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\PycharmProjects\MND_Data_Management(2)\client_directories\"/>
    </mc:Choice>
  </mc:AlternateContent>
  <xr:revisionPtr revIDLastSave="0" documentId="13_ncr:1_{4C9289CE-BECC-4C21-BC02-653BF6E2D6F1}" xr6:coauthVersionLast="47" xr6:coauthVersionMax="47" xr10:uidLastSave="{00000000-0000-0000-0000-000000000000}"/>
  <workbookProtection workbookAlgorithmName="SHA-512" workbookHashValue="VkDgtgoXzzFI44hRlQyCZH274iiOt6cAv+NjeeZeqgLkSYEX+1v89yxyS2SMDym572Wlf2Bg455UKv4Q3vuk5A==" workbookSaltValue="VyNGYh1Pc3Ddiai2lyN6uA==" workbookSpinCount="100000" lockStructure="1"/>
  <bookViews>
    <workbookView xWindow="-98" yWindow="-98" windowWidth="22695" windowHeight="14595" xr2:uid="{00000000-000D-0000-FFFF-FFFF00000000}"/>
  </bookViews>
  <sheets>
    <sheet name="Demographics" sheetId="5" r:id="rId1"/>
    <sheet name="Outcomes" sheetId="2" r:id="rId2"/>
    <sheet name="Client Lists" sheetId="3" r:id="rId3"/>
    <sheet name="Data" sheetId="4" state="hidden" r:id="rId4"/>
  </sheets>
  <externalReferences>
    <externalReference r:id="rId5"/>
  </externalReferences>
  <definedNames>
    <definedName name="_xlnm._FilterDatabase" localSheetId="2" hidden="1">'Client Lists'!$B$11:$K$108</definedName>
    <definedName name="_xlnm._FilterDatabase" localSheetId="3" hidden="1">Data!$A$1:$DX$108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2" l="1"/>
  <c r="F342" i="5"/>
  <c r="F339" i="5"/>
  <c r="F336" i="5"/>
  <c r="F333" i="5"/>
  <c r="F330" i="5"/>
  <c r="F327" i="5"/>
  <c r="F324" i="5"/>
  <c r="F321" i="5"/>
  <c r="F318" i="5"/>
  <c r="F308" i="5"/>
  <c r="F305" i="5"/>
  <c r="F302" i="5"/>
  <c r="F299" i="5"/>
  <c r="F296" i="5"/>
  <c r="F293" i="5"/>
  <c r="F290" i="5"/>
  <c r="F287" i="5"/>
  <c r="F284" i="5"/>
  <c r="F281" i="5"/>
  <c r="F278" i="5"/>
  <c r="F275" i="5"/>
  <c r="F272" i="5"/>
  <c r="F269" i="5"/>
  <c r="F266" i="5"/>
  <c r="F263" i="5"/>
  <c r="F260" i="5"/>
  <c r="F257" i="5"/>
  <c r="F254" i="5"/>
  <c r="F251" i="5"/>
  <c r="F248" i="5"/>
  <c r="F245" i="5"/>
  <c r="F242" i="5"/>
  <c r="F232" i="5"/>
  <c r="F229" i="5"/>
  <c r="F226" i="5"/>
  <c r="F191" i="5"/>
  <c r="F188" i="5"/>
  <c r="F185" i="5"/>
  <c r="F182" i="5"/>
  <c r="F179" i="5"/>
  <c r="F176" i="5"/>
  <c r="F173" i="5"/>
  <c r="F170" i="5"/>
  <c r="F157" i="5"/>
  <c r="F154" i="5"/>
  <c r="F151" i="5"/>
  <c r="F148" i="5"/>
  <c r="F145" i="5"/>
  <c r="F142" i="5"/>
  <c r="F139" i="5"/>
  <c r="F126" i="5"/>
  <c r="F123" i="5"/>
  <c r="F113" i="5"/>
  <c r="F110" i="5"/>
  <c r="F107" i="5"/>
  <c r="F104" i="5"/>
  <c r="F101" i="5"/>
  <c r="F91" i="5"/>
  <c r="F88" i="5"/>
  <c r="F47" i="5"/>
  <c r="H47" i="5" s="1"/>
  <c r="F44" i="5"/>
  <c r="F41" i="5"/>
  <c r="H41" i="5" s="1"/>
  <c r="F38" i="5"/>
  <c r="F50" i="5" s="1"/>
  <c r="F25" i="5"/>
  <c r="F22" i="5"/>
  <c r="F19" i="5"/>
  <c r="F16" i="5"/>
  <c r="H16" i="5"/>
  <c r="H308" i="5"/>
  <c r="H305" i="5"/>
  <c r="H302" i="5"/>
  <c r="H299" i="5"/>
  <c r="H296" i="5"/>
  <c r="H293" i="5"/>
  <c r="H290" i="5"/>
  <c r="H287" i="5"/>
  <c r="H284" i="5"/>
  <c r="H281" i="5"/>
  <c r="H278" i="5"/>
  <c r="H275" i="5"/>
  <c r="H272" i="5"/>
  <c r="H269" i="5"/>
  <c r="H266" i="5"/>
  <c r="H263" i="5"/>
  <c r="H260" i="5"/>
  <c r="F216" i="5"/>
  <c r="F213" i="5"/>
  <c r="F210" i="5"/>
  <c r="F207" i="5"/>
  <c r="F204" i="5"/>
  <c r="F201" i="5"/>
  <c r="F78" i="5"/>
  <c r="F75" i="5"/>
  <c r="F72" i="5"/>
  <c r="F69" i="5"/>
  <c r="F66" i="5"/>
  <c r="F63" i="5"/>
  <c r="F60" i="5"/>
  <c r="F16" i="2"/>
  <c r="B108" i="3" a="1"/>
  <c r="B108" i="3" s="1"/>
  <c r="B107" i="3" a="1"/>
  <c r="B107" i="3" s="1"/>
  <c r="B106" i="3" a="1"/>
  <c r="B106" i="3" s="1"/>
  <c r="B105" i="3" a="1"/>
  <c r="B105" i="3" s="1"/>
  <c r="B104" i="3" a="1"/>
  <c r="B104" i="3" s="1"/>
  <c r="D104" i="3" s="1"/>
  <c r="B103" i="3" a="1"/>
  <c r="B103" i="3" s="1"/>
  <c r="B102" i="3" a="1"/>
  <c r="B102" i="3" s="1"/>
  <c r="B101" i="3" a="1"/>
  <c r="B101" i="3" s="1"/>
  <c r="B100" i="3" a="1"/>
  <c r="B100" i="3" s="1"/>
  <c r="D100" i="3" s="1"/>
  <c r="B99" i="3" a="1"/>
  <c r="B99" i="3" s="1"/>
  <c r="B98" i="3" a="1"/>
  <c r="B98" i="3" s="1"/>
  <c r="B97" i="3" a="1"/>
  <c r="B97" i="3" s="1"/>
  <c r="B96" i="3" a="1"/>
  <c r="B96" i="3" s="1"/>
  <c r="D96" i="3" s="1"/>
  <c r="B95" i="3" a="1"/>
  <c r="B95" i="3" s="1"/>
  <c r="B94" i="3" a="1"/>
  <c r="B94" i="3" s="1"/>
  <c r="B93" i="3" a="1"/>
  <c r="B93" i="3" s="1"/>
  <c r="B92" i="3" a="1"/>
  <c r="B92" i="3" s="1"/>
  <c r="D92" i="3" s="1"/>
  <c r="B91" i="3" a="1"/>
  <c r="B91" i="3" s="1"/>
  <c r="B90" i="3" a="1"/>
  <c r="B90" i="3" s="1"/>
  <c r="B89" i="3" a="1"/>
  <c r="B89" i="3" s="1"/>
  <c r="B88" i="3" a="1"/>
  <c r="B88" i="3" s="1"/>
  <c r="B87" i="3" a="1"/>
  <c r="B87" i="3" s="1"/>
  <c r="B86" i="3" a="1"/>
  <c r="B86" i="3" s="1"/>
  <c r="B85" i="3" a="1"/>
  <c r="B85" i="3" s="1"/>
  <c r="B84" i="3" a="1"/>
  <c r="B84" i="3" s="1"/>
  <c r="B83" i="3" a="1"/>
  <c r="B83" i="3" s="1"/>
  <c r="B82" i="3" a="1"/>
  <c r="B82" i="3" s="1"/>
  <c r="B81" i="3" a="1"/>
  <c r="B81" i="3" s="1"/>
  <c r="B80" i="3" a="1"/>
  <c r="B80" i="3" s="1"/>
  <c r="D80" i="3" s="1"/>
  <c r="B79" i="3" a="1"/>
  <c r="B79" i="3" s="1"/>
  <c r="B78" i="3" a="1"/>
  <c r="B78" i="3" s="1"/>
  <c r="B77" i="3" a="1"/>
  <c r="B77" i="3" s="1"/>
  <c r="B76" i="3" a="1"/>
  <c r="B76" i="3" s="1"/>
  <c r="B75" i="3" a="1"/>
  <c r="B75" i="3" s="1"/>
  <c r="B74" i="3" a="1"/>
  <c r="B74" i="3" s="1"/>
  <c r="B73" i="3" a="1"/>
  <c r="B73" i="3" s="1"/>
  <c r="B72" i="3" a="1"/>
  <c r="B72" i="3" s="1"/>
  <c r="B71" i="3" a="1"/>
  <c r="B71" i="3" s="1"/>
  <c r="B70" i="3" a="1"/>
  <c r="B70" i="3" s="1"/>
  <c r="B69" i="3" a="1"/>
  <c r="B69" i="3" s="1"/>
  <c r="B68" i="3" a="1"/>
  <c r="B68" i="3" s="1"/>
  <c r="B67" i="3" a="1"/>
  <c r="B67" i="3" s="1"/>
  <c r="B66" i="3" a="1"/>
  <c r="B66" i="3" s="1"/>
  <c r="B65" i="3" a="1"/>
  <c r="B65" i="3" s="1"/>
  <c r="B64" i="3" a="1"/>
  <c r="B64" i="3" s="1"/>
  <c r="B63" i="3" a="1"/>
  <c r="B63" i="3" s="1"/>
  <c r="B62" i="3" a="1"/>
  <c r="B62" i="3" s="1"/>
  <c r="B61" i="3" a="1"/>
  <c r="B61" i="3" s="1"/>
  <c r="B60" i="3" a="1"/>
  <c r="B60" i="3" s="1"/>
  <c r="B59" i="3" a="1"/>
  <c r="B59" i="3" s="1"/>
  <c r="B58" i="3" a="1"/>
  <c r="B58" i="3" s="1"/>
  <c r="B57" i="3" a="1"/>
  <c r="B57" i="3" s="1"/>
  <c r="B56" i="3" a="1"/>
  <c r="B56" i="3" s="1"/>
  <c r="B55" i="3" a="1"/>
  <c r="B55" i="3" s="1"/>
  <c r="B54" i="3" a="1"/>
  <c r="B54" i="3" s="1"/>
  <c r="B53" i="3" a="1"/>
  <c r="B53" i="3" s="1"/>
  <c r="B52" i="3" a="1"/>
  <c r="B52" i="3" s="1"/>
  <c r="D52" i="3" s="1"/>
  <c r="B51" i="3" a="1"/>
  <c r="B51" i="3" s="1"/>
  <c r="C51" i="3" s="1"/>
  <c r="B50" i="3" a="1"/>
  <c r="B50" i="3" s="1"/>
  <c r="B49" i="3" a="1"/>
  <c r="B49" i="3" s="1"/>
  <c r="B48" i="3" a="1"/>
  <c r="B48" i="3" s="1"/>
  <c r="D48" i="3" s="1"/>
  <c r="B47" i="3" a="1"/>
  <c r="B47" i="3" s="1"/>
  <c r="C47" i="3" s="1"/>
  <c r="B46" i="3" a="1"/>
  <c r="B46" i="3" s="1"/>
  <c r="B45" i="3" a="1"/>
  <c r="B45" i="3" s="1"/>
  <c r="B44" i="3" a="1"/>
  <c r="B44" i="3" s="1"/>
  <c r="B43" i="3" a="1"/>
  <c r="B43" i="3" s="1"/>
  <c r="B42" i="3" a="1"/>
  <c r="B42" i="3" s="1"/>
  <c r="B41" i="3" a="1"/>
  <c r="B41" i="3" s="1"/>
  <c r="B40" i="3" a="1"/>
  <c r="B40" i="3" s="1"/>
  <c r="B39" i="3" a="1"/>
  <c r="B39" i="3" s="1"/>
  <c r="B38" i="3" a="1"/>
  <c r="B38" i="3" s="1"/>
  <c r="B37" i="3" a="1"/>
  <c r="B37" i="3" s="1"/>
  <c r="B36" i="3" a="1"/>
  <c r="B36" i="3" s="1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I23" i="3" s="1"/>
  <c r="B22" i="3" a="1"/>
  <c r="B22" i="3" s="1"/>
  <c r="B21" i="3" a="1"/>
  <c r="B21" i="3" s="1"/>
  <c r="B20" i="3" a="1"/>
  <c r="B20" i="3" s="1"/>
  <c r="J20" i="3" s="1"/>
  <c r="B19" i="3" a="1"/>
  <c r="B19" i="3" s="1"/>
  <c r="I19" i="3" s="1"/>
  <c r="B18" i="3" a="1"/>
  <c r="B18" i="3" s="1"/>
  <c r="B17" i="3" a="1"/>
  <c r="B17" i="3" s="1"/>
  <c r="B16" i="3" a="1"/>
  <c r="B16" i="3" s="1"/>
  <c r="B15" i="3" a="1"/>
  <c r="B15" i="3" s="1"/>
  <c r="I15" i="3" s="1"/>
  <c r="B14" i="3" a="1"/>
  <c r="B14" i="3" s="1"/>
  <c r="B13" i="3" a="1"/>
  <c r="B13" i="3" s="1"/>
  <c r="B12" i="3" a="1"/>
  <c r="B12" i="3" s="1"/>
  <c r="F12" i="3" s="1"/>
  <c r="K11" i="3" a="1"/>
  <c r="K11" i="3"/>
  <c r="J11" i="3" a="1"/>
  <c r="J11" i="3" s="1"/>
  <c r="I11" i="3" a="1"/>
  <c r="I11" i="3"/>
  <c r="H11" i="3" a="1"/>
  <c r="H11" i="3" s="1"/>
  <c r="G11" i="3" a="1"/>
  <c r="G11" i="3"/>
  <c r="F11" i="3" a="1"/>
  <c r="F11" i="3" s="1"/>
  <c r="E11" i="3" a="1"/>
  <c r="E11" i="3"/>
  <c r="F108" i="2"/>
  <c r="F105" i="2"/>
  <c r="F102" i="2"/>
  <c r="F99" i="2"/>
  <c r="F96" i="2"/>
  <c r="F93" i="2"/>
  <c r="F90" i="2"/>
  <c r="F87" i="2"/>
  <c r="F84" i="2"/>
  <c r="F81" i="2"/>
  <c r="F78" i="2"/>
  <c r="F75" i="2"/>
  <c r="F72" i="2"/>
  <c r="F69" i="2"/>
  <c r="F66" i="2"/>
  <c r="F56" i="2"/>
  <c r="F53" i="2"/>
  <c r="F50" i="2"/>
  <c r="F47" i="2"/>
  <c r="F37" i="2"/>
  <c r="F34" i="2"/>
  <c r="F31" i="2"/>
  <c r="F28" i="2"/>
  <c r="F25" i="2"/>
  <c r="F19" i="2"/>
  <c r="H333" i="5" l="1"/>
  <c r="H242" i="5"/>
  <c r="H173" i="5"/>
  <c r="H91" i="5"/>
  <c r="H321" i="5"/>
  <c r="H151" i="5"/>
  <c r="H139" i="5"/>
  <c r="H254" i="5"/>
  <c r="H185" i="5"/>
  <c r="H110" i="5"/>
  <c r="H60" i="5"/>
  <c r="H72" i="5"/>
  <c r="H204" i="5"/>
  <c r="H216" i="5"/>
  <c r="H22" i="5"/>
  <c r="H25" i="5"/>
  <c r="H19" i="5"/>
  <c r="H63" i="5"/>
  <c r="H75" i="5"/>
  <c r="H101" i="5"/>
  <c r="H113" i="5"/>
  <c r="H142" i="5"/>
  <c r="H154" i="5"/>
  <c r="H176" i="5"/>
  <c r="H188" i="5"/>
  <c r="H207" i="5"/>
  <c r="H226" i="5"/>
  <c r="H245" i="5"/>
  <c r="H342" i="5"/>
  <c r="H336" i="5"/>
  <c r="H330" i="5"/>
  <c r="H324" i="5"/>
  <c r="H318" i="5"/>
  <c r="H257" i="5"/>
  <c r="F129" i="5"/>
  <c r="H129" i="5" s="1"/>
  <c r="F160" i="5"/>
  <c r="H160" i="5" s="1"/>
  <c r="H66" i="5"/>
  <c r="H78" i="5"/>
  <c r="H104" i="5"/>
  <c r="H123" i="5"/>
  <c r="H145" i="5"/>
  <c r="H157" i="5"/>
  <c r="H179" i="5"/>
  <c r="H191" i="5"/>
  <c r="H210" i="5"/>
  <c r="H229" i="5"/>
  <c r="H248" i="5"/>
  <c r="H327" i="5"/>
  <c r="H339" i="5"/>
  <c r="H69" i="5"/>
  <c r="H88" i="5"/>
  <c r="H107" i="5"/>
  <c r="H126" i="5"/>
  <c r="H148" i="5"/>
  <c r="H170" i="5"/>
  <c r="H182" i="5"/>
  <c r="H201" i="5"/>
  <c r="H213" i="5"/>
  <c r="H232" i="5"/>
  <c r="H251" i="5"/>
  <c r="H38" i="5"/>
  <c r="H44" i="5"/>
  <c r="F28" i="5"/>
  <c r="H78" i="2"/>
  <c r="H90" i="2"/>
  <c r="H81" i="2"/>
  <c r="H93" i="2"/>
  <c r="H84" i="2"/>
  <c r="H87" i="2"/>
  <c r="H99" i="2"/>
  <c r="J12" i="3"/>
  <c r="H37" i="2"/>
  <c r="H28" i="2"/>
  <c r="H22" i="2"/>
  <c r="H53" i="2"/>
  <c r="H72" i="2"/>
  <c r="G13" i="3"/>
  <c r="D13" i="3"/>
  <c r="C13" i="3"/>
  <c r="K13" i="3"/>
  <c r="K26" i="3"/>
  <c r="D26" i="3"/>
  <c r="K14" i="3"/>
  <c r="D14" i="3"/>
  <c r="K17" i="3"/>
  <c r="G17" i="3"/>
  <c r="D17" i="3"/>
  <c r="C17" i="3"/>
  <c r="K22" i="3"/>
  <c r="D22" i="3"/>
  <c r="D25" i="3"/>
  <c r="C25" i="3"/>
  <c r="K38" i="3"/>
  <c r="D38" i="3"/>
  <c r="I41" i="3"/>
  <c r="C41" i="3"/>
  <c r="D79" i="3"/>
  <c r="C79" i="3"/>
  <c r="D83" i="3"/>
  <c r="C83" i="3"/>
  <c r="D87" i="3"/>
  <c r="C87" i="3"/>
  <c r="D29" i="3"/>
  <c r="C29" i="3"/>
  <c r="K30" i="3"/>
  <c r="D30" i="3"/>
  <c r="C33" i="3"/>
  <c r="D33" i="3"/>
  <c r="K18" i="3"/>
  <c r="D18" i="3"/>
  <c r="G21" i="3"/>
  <c r="D21" i="3"/>
  <c r="C21" i="3"/>
  <c r="K21" i="3"/>
  <c r="K34" i="3"/>
  <c r="D34" i="3"/>
  <c r="D37" i="3"/>
  <c r="C37" i="3"/>
  <c r="H96" i="2"/>
  <c r="G37" i="3"/>
  <c r="E80" i="3"/>
  <c r="E23" i="3"/>
  <c r="H19" i="2"/>
  <c r="H102" i="2"/>
  <c r="H18" i="3"/>
  <c r="K47" i="3"/>
  <c r="H34" i="2"/>
  <c r="H50" i="2"/>
  <c r="H75" i="2"/>
  <c r="I12" i="3"/>
  <c r="E12" i="3"/>
  <c r="H12" i="3"/>
  <c r="D12" i="3"/>
  <c r="K12" i="3"/>
  <c r="G12" i="3"/>
  <c r="C12" i="3"/>
  <c r="H14" i="3"/>
  <c r="J17" i="3"/>
  <c r="E19" i="3"/>
  <c r="J25" i="3"/>
  <c r="J33" i="3"/>
  <c r="H43" i="3"/>
  <c r="D43" i="3"/>
  <c r="K43" i="3"/>
  <c r="F43" i="3"/>
  <c r="J43" i="3"/>
  <c r="E43" i="3"/>
  <c r="I43" i="3"/>
  <c r="C43" i="3"/>
  <c r="G43" i="3"/>
  <c r="K46" i="3"/>
  <c r="G46" i="3"/>
  <c r="C46" i="3"/>
  <c r="I46" i="3"/>
  <c r="D46" i="3"/>
  <c r="H46" i="3"/>
  <c r="F46" i="3"/>
  <c r="J46" i="3"/>
  <c r="E46" i="3"/>
  <c r="I16" i="3"/>
  <c r="E16" i="3"/>
  <c r="H16" i="3"/>
  <c r="D16" i="3"/>
  <c r="K16" i="3"/>
  <c r="G16" i="3"/>
  <c r="C16" i="3"/>
  <c r="J21" i="3"/>
  <c r="I28" i="3"/>
  <c r="E28" i="3"/>
  <c r="H28" i="3"/>
  <c r="D28" i="3"/>
  <c r="K28" i="3"/>
  <c r="G28" i="3"/>
  <c r="C28" i="3"/>
  <c r="J28" i="3"/>
  <c r="F28" i="3"/>
  <c r="H31" i="3"/>
  <c r="I36" i="3"/>
  <c r="E36" i="3"/>
  <c r="H36" i="3"/>
  <c r="D36" i="3"/>
  <c r="K36" i="3"/>
  <c r="G36" i="3"/>
  <c r="C36" i="3"/>
  <c r="J36" i="3"/>
  <c r="F36" i="3"/>
  <c r="H39" i="3"/>
  <c r="H15" i="3"/>
  <c r="D15" i="3"/>
  <c r="K15" i="3"/>
  <c r="G15" i="3"/>
  <c r="C15" i="3"/>
  <c r="J15" i="3"/>
  <c r="F15" i="3"/>
  <c r="H31" i="2"/>
  <c r="H69" i="2"/>
  <c r="H87" i="3"/>
  <c r="H83" i="3"/>
  <c r="H104" i="3"/>
  <c r="H100" i="3"/>
  <c r="H96" i="3"/>
  <c r="H92" i="3"/>
  <c r="H79" i="3"/>
  <c r="H52" i="3"/>
  <c r="H37" i="3"/>
  <c r="H33" i="3"/>
  <c r="H29" i="3"/>
  <c r="H25" i="3"/>
  <c r="H21" i="3"/>
  <c r="H17" i="3"/>
  <c r="H13" i="3"/>
  <c r="H41" i="3"/>
  <c r="H38" i="3"/>
  <c r="H34" i="3"/>
  <c r="H30" i="3"/>
  <c r="H26" i="3"/>
  <c r="F16" i="3"/>
  <c r="H19" i="3"/>
  <c r="D19" i="3"/>
  <c r="K19" i="3"/>
  <c r="G19" i="3"/>
  <c r="C19" i="3"/>
  <c r="J19" i="3"/>
  <c r="F19" i="3"/>
  <c r="I20" i="3"/>
  <c r="E20" i="3"/>
  <c r="H20" i="3"/>
  <c r="D20" i="3"/>
  <c r="K20" i="3"/>
  <c r="G20" i="3"/>
  <c r="C20" i="3"/>
  <c r="H22" i="3"/>
  <c r="J29" i="3"/>
  <c r="J37" i="3"/>
  <c r="H66" i="2"/>
  <c r="H25" i="2"/>
  <c r="H47" i="2"/>
  <c r="H56" i="2"/>
  <c r="J13" i="3"/>
  <c r="E15" i="3"/>
  <c r="J16" i="3"/>
  <c r="F20" i="3"/>
  <c r="H23" i="3"/>
  <c r="D23" i="3"/>
  <c r="K23" i="3"/>
  <c r="G23" i="3"/>
  <c r="C23" i="3"/>
  <c r="J23" i="3"/>
  <c r="F23" i="3"/>
  <c r="I24" i="3"/>
  <c r="E24" i="3"/>
  <c r="H24" i="3"/>
  <c r="D24" i="3"/>
  <c r="K24" i="3"/>
  <c r="G24" i="3"/>
  <c r="C24" i="3"/>
  <c r="J24" i="3"/>
  <c r="F24" i="3"/>
  <c r="H27" i="3"/>
  <c r="I32" i="3"/>
  <c r="E32" i="3"/>
  <c r="H32" i="3"/>
  <c r="D32" i="3"/>
  <c r="K32" i="3"/>
  <c r="G32" i="3"/>
  <c r="C32" i="3"/>
  <c r="J32" i="3"/>
  <c r="F32" i="3"/>
  <c r="H35" i="3"/>
  <c r="I40" i="3"/>
  <c r="E40" i="3"/>
  <c r="H40" i="3"/>
  <c r="D40" i="3"/>
  <c r="K40" i="3"/>
  <c r="G40" i="3"/>
  <c r="C40" i="3"/>
  <c r="J40" i="3"/>
  <c r="F40" i="3"/>
  <c r="K42" i="3"/>
  <c r="G42" i="3"/>
  <c r="C42" i="3"/>
  <c r="F42" i="3"/>
  <c r="J42" i="3"/>
  <c r="E42" i="3"/>
  <c r="I42" i="3"/>
  <c r="D42" i="3"/>
  <c r="H42" i="3"/>
  <c r="G25" i="3"/>
  <c r="K25" i="3"/>
  <c r="E27" i="3"/>
  <c r="I27" i="3"/>
  <c r="G29" i="3"/>
  <c r="K29" i="3"/>
  <c r="E31" i="3"/>
  <c r="I31" i="3"/>
  <c r="G33" i="3"/>
  <c r="K33" i="3"/>
  <c r="E35" i="3"/>
  <c r="I35" i="3"/>
  <c r="K37" i="3"/>
  <c r="E39" i="3"/>
  <c r="I39" i="3"/>
  <c r="I44" i="3"/>
  <c r="E44" i="3"/>
  <c r="G44" i="3"/>
  <c r="J45" i="3"/>
  <c r="F45" i="3"/>
  <c r="E45" i="3"/>
  <c r="K45" i="3"/>
  <c r="J49" i="3"/>
  <c r="F49" i="3"/>
  <c r="H49" i="3"/>
  <c r="D49" i="3"/>
  <c r="K49" i="3"/>
  <c r="G49" i="3"/>
  <c r="C49" i="3"/>
  <c r="K50" i="3"/>
  <c r="G50" i="3"/>
  <c r="C50" i="3"/>
  <c r="I50" i="3"/>
  <c r="E50" i="3"/>
  <c r="H50" i="3"/>
  <c r="D50" i="3"/>
  <c r="E53" i="3"/>
  <c r="I56" i="3"/>
  <c r="E56" i="3"/>
  <c r="H56" i="3"/>
  <c r="D56" i="3"/>
  <c r="K56" i="3"/>
  <c r="G56" i="3"/>
  <c r="C56" i="3"/>
  <c r="J56" i="3"/>
  <c r="F56" i="3"/>
  <c r="H59" i="3"/>
  <c r="D59" i="3"/>
  <c r="K59" i="3"/>
  <c r="G59" i="3"/>
  <c r="C59" i="3"/>
  <c r="J59" i="3"/>
  <c r="F59" i="3"/>
  <c r="I59" i="3"/>
  <c r="E59" i="3"/>
  <c r="K62" i="3"/>
  <c r="G62" i="3"/>
  <c r="C62" i="3"/>
  <c r="J62" i="3"/>
  <c r="F62" i="3"/>
  <c r="I62" i="3"/>
  <c r="E62" i="3"/>
  <c r="H62" i="3"/>
  <c r="D62" i="3"/>
  <c r="J69" i="3"/>
  <c r="I72" i="3"/>
  <c r="E72" i="3"/>
  <c r="H72" i="3"/>
  <c r="D72" i="3"/>
  <c r="K72" i="3"/>
  <c r="G72" i="3"/>
  <c r="C72" i="3"/>
  <c r="J72" i="3"/>
  <c r="F72" i="3"/>
  <c r="J75" i="3"/>
  <c r="F75" i="3"/>
  <c r="I75" i="3"/>
  <c r="D75" i="3"/>
  <c r="H75" i="3"/>
  <c r="C75" i="3"/>
  <c r="G75" i="3"/>
  <c r="K75" i="3"/>
  <c r="E75" i="3"/>
  <c r="G87" i="3"/>
  <c r="G83" i="3"/>
  <c r="I79" i="3"/>
  <c r="I81" i="3"/>
  <c r="I80" i="3"/>
  <c r="K87" i="3"/>
  <c r="K83" i="3"/>
  <c r="E14" i="3"/>
  <c r="I14" i="3"/>
  <c r="E18" i="3"/>
  <c r="I18" i="3"/>
  <c r="E22" i="3"/>
  <c r="I22" i="3"/>
  <c r="E26" i="3"/>
  <c r="I26" i="3"/>
  <c r="F27" i="3"/>
  <c r="J27" i="3"/>
  <c r="E30" i="3"/>
  <c r="I30" i="3"/>
  <c r="F31" i="3"/>
  <c r="J31" i="3"/>
  <c r="E34" i="3"/>
  <c r="I34" i="3"/>
  <c r="F35" i="3"/>
  <c r="J35" i="3"/>
  <c r="E38" i="3"/>
  <c r="I38" i="3"/>
  <c r="F39" i="3"/>
  <c r="J39" i="3"/>
  <c r="D41" i="3"/>
  <c r="C44" i="3"/>
  <c r="H44" i="3"/>
  <c r="G45" i="3"/>
  <c r="H47" i="3"/>
  <c r="D47" i="3"/>
  <c r="J47" i="3"/>
  <c r="F47" i="3"/>
  <c r="I47" i="3"/>
  <c r="E47" i="3"/>
  <c r="I48" i="3"/>
  <c r="E48" i="3"/>
  <c r="K48" i="3"/>
  <c r="G48" i="3"/>
  <c r="C48" i="3"/>
  <c r="J48" i="3"/>
  <c r="F48" i="3"/>
  <c r="F50" i="3"/>
  <c r="G51" i="3"/>
  <c r="I53" i="3"/>
  <c r="J57" i="3"/>
  <c r="I60" i="3"/>
  <c r="E60" i="3"/>
  <c r="H60" i="3"/>
  <c r="D60" i="3"/>
  <c r="K60" i="3"/>
  <c r="G60" i="3"/>
  <c r="C60" i="3"/>
  <c r="J60" i="3"/>
  <c r="F60" i="3"/>
  <c r="H63" i="3"/>
  <c r="D63" i="3"/>
  <c r="K63" i="3"/>
  <c r="G63" i="3"/>
  <c r="C63" i="3"/>
  <c r="J63" i="3"/>
  <c r="F63" i="3"/>
  <c r="I63" i="3"/>
  <c r="E63" i="3"/>
  <c r="K66" i="3"/>
  <c r="G66" i="3"/>
  <c r="C66" i="3"/>
  <c r="J66" i="3"/>
  <c r="F66" i="3"/>
  <c r="I66" i="3"/>
  <c r="E66" i="3"/>
  <c r="H66" i="3"/>
  <c r="D66" i="3"/>
  <c r="J73" i="3"/>
  <c r="K76" i="3"/>
  <c r="G76" i="3"/>
  <c r="C76" i="3"/>
  <c r="I76" i="3"/>
  <c r="D76" i="3"/>
  <c r="H76" i="3"/>
  <c r="F76" i="3"/>
  <c r="J76" i="3"/>
  <c r="E76" i="3"/>
  <c r="F14" i="3"/>
  <c r="J14" i="3"/>
  <c r="E17" i="3"/>
  <c r="I17" i="3"/>
  <c r="F18" i="3"/>
  <c r="J18" i="3"/>
  <c r="E21" i="3"/>
  <c r="I21" i="3"/>
  <c r="F22" i="3"/>
  <c r="J22" i="3"/>
  <c r="E25" i="3"/>
  <c r="I25" i="3"/>
  <c r="F26" i="3"/>
  <c r="J26" i="3"/>
  <c r="C27" i="3"/>
  <c r="G27" i="3"/>
  <c r="K27" i="3"/>
  <c r="E29" i="3"/>
  <c r="I29" i="3"/>
  <c r="F30" i="3"/>
  <c r="J30" i="3"/>
  <c r="C31" i="3"/>
  <c r="G31" i="3"/>
  <c r="K31" i="3"/>
  <c r="E33" i="3"/>
  <c r="I33" i="3"/>
  <c r="F34" i="3"/>
  <c r="J34" i="3"/>
  <c r="C35" i="3"/>
  <c r="G35" i="3"/>
  <c r="K35" i="3"/>
  <c r="E37" i="3"/>
  <c r="I37" i="3"/>
  <c r="F38" i="3"/>
  <c r="J38" i="3"/>
  <c r="C39" i="3"/>
  <c r="G39" i="3"/>
  <c r="K39" i="3"/>
  <c r="J41" i="3"/>
  <c r="F41" i="3"/>
  <c r="E41" i="3"/>
  <c r="K41" i="3"/>
  <c r="D44" i="3"/>
  <c r="J44" i="3"/>
  <c r="C45" i="3"/>
  <c r="H45" i="3"/>
  <c r="E49" i="3"/>
  <c r="J50" i="3"/>
  <c r="K51" i="3"/>
  <c r="J53" i="3"/>
  <c r="F53" i="3"/>
  <c r="H53" i="3"/>
  <c r="D53" i="3"/>
  <c r="K53" i="3"/>
  <c r="G53" i="3"/>
  <c r="C53" i="3"/>
  <c r="K54" i="3"/>
  <c r="G54" i="3"/>
  <c r="C54" i="3"/>
  <c r="J54" i="3"/>
  <c r="F54" i="3"/>
  <c r="I54" i="3"/>
  <c r="E54" i="3"/>
  <c r="H54" i="3"/>
  <c r="D54" i="3"/>
  <c r="J61" i="3"/>
  <c r="I64" i="3"/>
  <c r="E64" i="3"/>
  <c r="H64" i="3"/>
  <c r="D64" i="3"/>
  <c r="K64" i="3"/>
  <c r="G64" i="3"/>
  <c r="C64" i="3"/>
  <c r="J64" i="3"/>
  <c r="F64" i="3"/>
  <c r="H67" i="3"/>
  <c r="D67" i="3"/>
  <c r="K67" i="3"/>
  <c r="G67" i="3"/>
  <c r="C67" i="3"/>
  <c r="J67" i="3"/>
  <c r="F67" i="3"/>
  <c r="I67" i="3"/>
  <c r="E67" i="3"/>
  <c r="K70" i="3"/>
  <c r="G70" i="3"/>
  <c r="C70" i="3"/>
  <c r="J70" i="3"/>
  <c r="F70" i="3"/>
  <c r="I70" i="3"/>
  <c r="E70" i="3"/>
  <c r="H70" i="3"/>
  <c r="D70" i="3"/>
  <c r="H77" i="3"/>
  <c r="D77" i="3"/>
  <c r="I77" i="3"/>
  <c r="C77" i="3"/>
  <c r="G77" i="3"/>
  <c r="K77" i="3"/>
  <c r="F77" i="3"/>
  <c r="J77" i="3"/>
  <c r="E77" i="3"/>
  <c r="E13" i="3"/>
  <c r="I13" i="3"/>
  <c r="F13" i="3"/>
  <c r="C14" i="3"/>
  <c r="G14" i="3"/>
  <c r="F17" i="3"/>
  <c r="C18" i="3"/>
  <c r="G18" i="3"/>
  <c r="F21" i="3"/>
  <c r="C22" i="3"/>
  <c r="G22" i="3"/>
  <c r="F25" i="3"/>
  <c r="C26" i="3"/>
  <c r="G26" i="3"/>
  <c r="D27" i="3"/>
  <c r="F29" i="3"/>
  <c r="C30" i="3"/>
  <c r="G30" i="3"/>
  <c r="D31" i="3"/>
  <c r="F33" i="3"/>
  <c r="C34" i="3"/>
  <c r="G34" i="3"/>
  <c r="D35" i="3"/>
  <c r="F37" i="3"/>
  <c r="C38" i="3"/>
  <c r="G38" i="3"/>
  <c r="D39" i="3"/>
  <c r="G41" i="3"/>
  <c r="F44" i="3"/>
  <c r="K44" i="3"/>
  <c r="D45" i="3"/>
  <c r="I45" i="3"/>
  <c r="G47" i="3"/>
  <c r="H48" i="3"/>
  <c r="I49" i="3"/>
  <c r="H51" i="3"/>
  <c r="D51" i="3"/>
  <c r="J51" i="3"/>
  <c r="F51" i="3"/>
  <c r="I51" i="3"/>
  <c r="E51" i="3"/>
  <c r="I52" i="3"/>
  <c r="E52" i="3"/>
  <c r="K52" i="3"/>
  <c r="G52" i="3"/>
  <c r="C52" i="3"/>
  <c r="J52" i="3"/>
  <c r="F52" i="3"/>
  <c r="H55" i="3"/>
  <c r="D55" i="3"/>
  <c r="K55" i="3"/>
  <c r="G55" i="3"/>
  <c r="C55" i="3"/>
  <c r="J55" i="3"/>
  <c r="F55" i="3"/>
  <c r="I55" i="3"/>
  <c r="E55" i="3"/>
  <c r="K58" i="3"/>
  <c r="G58" i="3"/>
  <c r="C58" i="3"/>
  <c r="J58" i="3"/>
  <c r="F58" i="3"/>
  <c r="I58" i="3"/>
  <c r="E58" i="3"/>
  <c r="H58" i="3"/>
  <c r="D58" i="3"/>
  <c r="J65" i="3"/>
  <c r="I68" i="3"/>
  <c r="E68" i="3"/>
  <c r="H68" i="3"/>
  <c r="D68" i="3"/>
  <c r="K68" i="3"/>
  <c r="G68" i="3"/>
  <c r="C68" i="3"/>
  <c r="J68" i="3"/>
  <c r="F68" i="3"/>
  <c r="H71" i="3"/>
  <c r="D71" i="3"/>
  <c r="K71" i="3"/>
  <c r="G71" i="3"/>
  <c r="C71" i="3"/>
  <c r="J71" i="3"/>
  <c r="F71" i="3"/>
  <c r="I71" i="3"/>
  <c r="E71" i="3"/>
  <c r="K74" i="3"/>
  <c r="G74" i="3"/>
  <c r="C74" i="3"/>
  <c r="J74" i="3"/>
  <c r="F74" i="3"/>
  <c r="I74" i="3"/>
  <c r="E74" i="3"/>
  <c r="H74" i="3"/>
  <c r="D74" i="3"/>
  <c r="K78" i="3"/>
  <c r="C57" i="3"/>
  <c r="G57" i="3"/>
  <c r="K57" i="3"/>
  <c r="C61" i="3"/>
  <c r="G61" i="3"/>
  <c r="K61" i="3"/>
  <c r="C65" i="3"/>
  <c r="G65" i="3"/>
  <c r="K65" i="3"/>
  <c r="C69" i="3"/>
  <c r="G69" i="3"/>
  <c r="K69" i="3"/>
  <c r="C73" i="3"/>
  <c r="G73" i="3"/>
  <c r="K73" i="3"/>
  <c r="D78" i="3"/>
  <c r="J78" i="3"/>
  <c r="H85" i="3"/>
  <c r="D85" i="3"/>
  <c r="K85" i="3"/>
  <c r="G85" i="3"/>
  <c r="C85" i="3"/>
  <c r="J85" i="3"/>
  <c r="F85" i="3"/>
  <c r="I85" i="3"/>
  <c r="E85" i="3"/>
  <c r="H89" i="3"/>
  <c r="D89" i="3"/>
  <c r="K89" i="3"/>
  <c r="G89" i="3"/>
  <c r="C89" i="3"/>
  <c r="J89" i="3"/>
  <c r="F89" i="3"/>
  <c r="I89" i="3"/>
  <c r="E89" i="3"/>
  <c r="I94" i="3"/>
  <c r="E94" i="3"/>
  <c r="H94" i="3"/>
  <c r="D94" i="3"/>
  <c r="K94" i="3"/>
  <c r="G94" i="3"/>
  <c r="C94" i="3"/>
  <c r="J94" i="3"/>
  <c r="F94" i="3"/>
  <c r="J99" i="3"/>
  <c r="F99" i="3"/>
  <c r="I99" i="3"/>
  <c r="E99" i="3"/>
  <c r="H99" i="3"/>
  <c r="D99" i="3"/>
  <c r="K99" i="3"/>
  <c r="G99" i="3"/>
  <c r="C99" i="3"/>
  <c r="H101" i="3"/>
  <c r="K104" i="3"/>
  <c r="D57" i="3"/>
  <c r="H57" i="3"/>
  <c r="D61" i="3"/>
  <c r="H61" i="3"/>
  <c r="D65" i="3"/>
  <c r="H65" i="3"/>
  <c r="D69" i="3"/>
  <c r="H69" i="3"/>
  <c r="D73" i="3"/>
  <c r="H73" i="3"/>
  <c r="F78" i="3"/>
  <c r="H81" i="3"/>
  <c r="D81" i="3"/>
  <c r="K81" i="3"/>
  <c r="G81" i="3"/>
  <c r="C81" i="3"/>
  <c r="J81" i="3"/>
  <c r="F81" i="3"/>
  <c r="I82" i="3"/>
  <c r="E82" i="3"/>
  <c r="H82" i="3"/>
  <c r="D82" i="3"/>
  <c r="K82" i="3"/>
  <c r="G82" i="3"/>
  <c r="C82" i="3"/>
  <c r="J82" i="3"/>
  <c r="F82" i="3"/>
  <c r="I86" i="3"/>
  <c r="E86" i="3"/>
  <c r="H86" i="3"/>
  <c r="D86" i="3"/>
  <c r="K86" i="3"/>
  <c r="G86" i="3"/>
  <c r="C86" i="3"/>
  <c r="J86" i="3"/>
  <c r="F86" i="3"/>
  <c r="I90" i="3"/>
  <c r="E90" i="3"/>
  <c r="H90" i="3"/>
  <c r="D90" i="3"/>
  <c r="K90" i="3"/>
  <c r="G90" i="3"/>
  <c r="C90" i="3"/>
  <c r="J90" i="3"/>
  <c r="F90" i="3"/>
  <c r="J95" i="3"/>
  <c r="F95" i="3"/>
  <c r="I95" i="3"/>
  <c r="E95" i="3"/>
  <c r="H95" i="3"/>
  <c r="D95" i="3"/>
  <c r="K95" i="3"/>
  <c r="G95" i="3"/>
  <c r="C95" i="3"/>
  <c r="H97" i="3"/>
  <c r="K100" i="3"/>
  <c r="I106" i="3"/>
  <c r="E106" i="3"/>
  <c r="H106" i="3"/>
  <c r="D106" i="3"/>
  <c r="K106" i="3"/>
  <c r="G106" i="3"/>
  <c r="C106" i="3"/>
  <c r="J106" i="3"/>
  <c r="F106" i="3"/>
  <c r="E57" i="3"/>
  <c r="I57" i="3"/>
  <c r="E61" i="3"/>
  <c r="I61" i="3"/>
  <c r="E65" i="3"/>
  <c r="I65" i="3"/>
  <c r="E69" i="3"/>
  <c r="I69" i="3"/>
  <c r="E73" i="3"/>
  <c r="I73" i="3"/>
  <c r="I78" i="3"/>
  <c r="E78" i="3"/>
  <c r="G78" i="3"/>
  <c r="J79" i="3"/>
  <c r="F79" i="3"/>
  <c r="E79" i="3"/>
  <c r="K79" i="3"/>
  <c r="J83" i="3"/>
  <c r="K84" i="3"/>
  <c r="J87" i="3"/>
  <c r="K88" i="3"/>
  <c r="J91" i="3"/>
  <c r="F91" i="3"/>
  <c r="I91" i="3"/>
  <c r="E91" i="3"/>
  <c r="H91" i="3"/>
  <c r="D91" i="3"/>
  <c r="K91" i="3"/>
  <c r="G91" i="3"/>
  <c r="C91" i="3"/>
  <c r="H93" i="3"/>
  <c r="K96" i="3"/>
  <c r="I102" i="3"/>
  <c r="E102" i="3"/>
  <c r="H102" i="3"/>
  <c r="D102" i="3"/>
  <c r="K102" i="3"/>
  <c r="G102" i="3"/>
  <c r="C102" i="3"/>
  <c r="J102" i="3"/>
  <c r="F102" i="3"/>
  <c r="J107" i="3"/>
  <c r="F107" i="3"/>
  <c r="I107" i="3"/>
  <c r="E107" i="3"/>
  <c r="H107" i="3"/>
  <c r="D107" i="3"/>
  <c r="K107" i="3"/>
  <c r="G107" i="3"/>
  <c r="C107" i="3"/>
  <c r="F57" i="3"/>
  <c r="F61" i="3"/>
  <c r="F65" i="3"/>
  <c r="F69" i="3"/>
  <c r="F73" i="3"/>
  <c r="C78" i="3"/>
  <c r="H78" i="3"/>
  <c r="G79" i="3"/>
  <c r="K80" i="3"/>
  <c r="G80" i="3"/>
  <c r="C80" i="3"/>
  <c r="J80" i="3"/>
  <c r="F80" i="3"/>
  <c r="H80" i="3"/>
  <c r="E81" i="3"/>
  <c r="K92" i="3"/>
  <c r="I98" i="3"/>
  <c r="E98" i="3"/>
  <c r="H98" i="3"/>
  <c r="D98" i="3"/>
  <c r="K98" i="3"/>
  <c r="G98" i="3"/>
  <c r="C98" i="3"/>
  <c r="J98" i="3"/>
  <c r="F98" i="3"/>
  <c r="J103" i="3"/>
  <c r="F103" i="3"/>
  <c r="I103" i="3"/>
  <c r="E103" i="3"/>
  <c r="H103" i="3"/>
  <c r="D103" i="3"/>
  <c r="K103" i="3"/>
  <c r="G103" i="3"/>
  <c r="C103" i="3"/>
  <c r="H105" i="3"/>
  <c r="K108" i="3"/>
  <c r="G108" i="3"/>
  <c r="C108" i="3"/>
  <c r="J108" i="3"/>
  <c r="F108" i="3"/>
  <c r="I108" i="3"/>
  <c r="E108" i="3"/>
  <c r="H108" i="3"/>
  <c r="D108" i="3"/>
  <c r="D84" i="3"/>
  <c r="H84" i="3"/>
  <c r="D88" i="3"/>
  <c r="H88" i="3"/>
  <c r="E93" i="3"/>
  <c r="I93" i="3"/>
  <c r="E97" i="3"/>
  <c r="I97" i="3"/>
  <c r="E101" i="3"/>
  <c r="I101" i="3"/>
  <c r="E105" i="3"/>
  <c r="I105" i="3"/>
  <c r="E84" i="3"/>
  <c r="I84" i="3"/>
  <c r="E88" i="3"/>
  <c r="I88" i="3"/>
  <c r="E92" i="3"/>
  <c r="I92" i="3"/>
  <c r="F93" i="3"/>
  <c r="J93" i="3"/>
  <c r="E96" i="3"/>
  <c r="I96" i="3"/>
  <c r="F97" i="3"/>
  <c r="J97" i="3"/>
  <c r="E100" i="3"/>
  <c r="I100" i="3"/>
  <c r="F101" i="3"/>
  <c r="J101" i="3"/>
  <c r="E104" i="3"/>
  <c r="I104" i="3"/>
  <c r="F105" i="3"/>
  <c r="J105" i="3"/>
  <c r="E83" i="3"/>
  <c r="I83" i="3"/>
  <c r="F84" i="3"/>
  <c r="J84" i="3"/>
  <c r="E87" i="3"/>
  <c r="I87" i="3"/>
  <c r="F88" i="3"/>
  <c r="J88" i="3"/>
  <c r="F92" i="3"/>
  <c r="J92" i="3"/>
  <c r="C93" i="3"/>
  <c r="G93" i="3"/>
  <c r="K93" i="3"/>
  <c r="F96" i="3"/>
  <c r="J96" i="3"/>
  <c r="C97" i="3"/>
  <c r="G97" i="3"/>
  <c r="K97" i="3"/>
  <c r="F100" i="3"/>
  <c r="J100" i="3"/>
  <c r="C101" i="3"/>
  <c r="G101" i="3"/>
  <c r="K101" i="3"/>
  <c r="F104" i="3"/>
  <c r="J104" i="3"/>
  <c r="C105" i="3"/>
  <c r="G105" i="3"/>
  <c r="K105" i="3"/>
  <c r="F83" i="3"/>
  <c r="C84" i="3"/>
  <c r="G84" i="3"/>
  <c r="F87" i="3"/>
  <c r="C88" i="3"/>
  <c r="G88" i="3"/>
  <c r="C92" i="3"/>
  <c r="G92" i="3"/>
  <c r="D93" i="3"/>
  <c r="C96" i="3"/>
  <c r="G96" i="3"/>
  <c r="D97" i="3"/>
  <c r="C100" i="3"/>
  <c r="G100" i="3"/>
  <c r="D101" i="3"/>
  <c r="C104" i="3"/>
  <c r="G104" i="3"/>
  <c r="D105" i="3"/>
  <c r="J6" i="3" l="1"/>
</calcChain>
</file>

<file path=xl/sharedStrings.xml><?xml version="1.0" encoding="utf-8"?>
<sst xmlns="http://schemas.openxmlformats.org/spreadsheetml/2006/main" count="7096" uniqueCount="664">
  <si>
    <t>Original Training Program</t>
  </si>
  <si>
    <t>Cohort Date</t>
  </si>
  <si>
    <t>Program Completion</t>
  </si>
  <si>
    <t>Fiscal Year</t>
  </si>
  <si>
    <t>Quarter</t>
  </si>
  <si>
    <t>Gained Certification</t>
  </si>
  <si>
    <t>Gained Employment</t>
  </si>
  <si>
    <t>Last Retention Status</t>
  </si>
  <si>
    <t>Grant Fund</t>
  </si>
  <si>
    <t>Age</t>
  </si>
  <si>
    <t>Gender</t>
  </si>
  <si>
    <t>Vehicle</t>
  </si>
  <si>
    <t>Substance Abuse History</t>
  </si>
  <si>
    <t>Criminal Conviction</t>
  </si>
  <si>
    <t>Marital Status</t>
  </si>
  <si>
    <t>Children</t>
  </si>
  <si>
    <t>Income Source</t>
  </si>
  <si>
    <t>Training Status</t>
  </si>
  <si>
    <t>Forklift</t>
  </si>
  <si>
    <t>Initial Startdate</t>
  </si>
  <si>
    <t>Initial Position</t>
  </si>
  <si>
    <t>Initial Wage</t>
  </si>
  <si>
    <t>Initial Hours</t>
  </si>
  <si>
    <t>Initial Full Time</t>
  </si>
  <si>
    <t>Initial Benefits</t>
  </si>
  <si>
    <t>Initial Temporary</t>
  </si>
  <si>
    <t>Initial Industry Related</t>
  </si>
  <si>
    <t>Current Startdate</t>
  </si>
  <si>
    <t>Current Position</t>
  </si>
  <si>
    <t>Current Wage</t>
  </si>
  <si>
    <t>Current Hours</t>
  </si>
  <si>
    <t>Current Full Time</t>
  </si>
  <si>
    <t>Current Benefits</t>
  </si>
  <si>
    <t>Current Temporary</t>
  </si>
  <si>
    <t>Current Industry Related</t>
  </si>
  <si>
    <t>Employment Milestone</t>
  </si>
  <si>
    <t>Last Retention Update</t>
  </si>
  <si>
    <t>Last Date Retained</t>
  </si>
  <si>
    <t>Last Job Hop</t>
  </si>
  <si>
    <t>Advancement</t>
  </si>
  <si>
    <t>Retention Milestone</t>
  </si>
  <si>
    <t>Contact Milestone</t>
  </si>
  <si>
    <t>Call Due</t>
  </si>
  <si>
    <t>Programatic Report</t>
  </si>
  <si>
    <t>Service Report</t>
  </si>
  <si>
    <t>Intakes Processed</t>
  </si>
  <si>
    <t>Clients Enrolled</t>
  </si>
  <si>
    <t>Withdrawn</t>
  </si>
  <si>
    <t>Enrollment Pending</t>
  </si>
  <si>
    <t>Active Clients</t>
  </si>
  <si>
    <t>In Active Training</t>
  </si>
  <si>
    <t>Status Unknown</t>
  </si>
  <si>
    <t>TTW</t>
  </si>
  <si>
    <t>Program Report</t>
  </si>
  <si>
    <t>CF</t>
  </si>
  <si>
    <t>CTC</t>
  </si>
  <si>
    <t>MTDL</t>
  </si>
  <si>
    <t>OOO</t>
  </si>
  <si>
    <t>Outcomes Report</t>
  </si>
  <si>
    <t>Gained New Employment</t>
  </si>
  <si>
    <t>Contacted for Retention</t>
  </si>
  <si>
    <t>Sub 30 Day Retention</t>
  </si>
  <si>
    <t>30 Day Retention</t>
  </si>
  <si>
    <t>90 Day Retention</t>
  </si>
  <si>
    <t>180 Retention</t>
  </si>
  <si>
    <t>360 Day Retention</t>
  </si>
  <si>
    <t>Still Working</t>
  </si>
  <si>
    <t>Not Working</t>
  </si>
  <si>
    <t>Call Needed</t>
  </si>
  <si>
    <t>Client Lists</t>
  </si>
  <si>
    <t>Total</t>
  </si>
  <si>
    <t>Active</t>
  </si>
  <si>
    <t>Account ID</t>
  </si>
  <si>
    <t>Name</t>
  </si>
  <si>
    <t>Unnamed: 0</t>
  </si>
  <si>
    <t>Account Id</t>
  </si>
  <si>
    <t>City</t>
  </si>
  <si>
    <t>State</t>
  </si>
  <si>
    <t>Addresscountry</t>
  </si>
  <si>
    <t>Source</t>
  </si>
  <si>
    <t>Notes</t>
  </si>
  <si>
    <t>Sourcenote</t>
  </si>
  <si>
    <t>Valid Dl</t>
  </si>
  <si>
    <t>Orientationattendance</t>
  </si>
  <si>
    <t>Typeofjobsought</t>
  </si>
  <si>
    <t>Householdhead</t>
  </si>
  <si>
    <t>Female Hh</t>
  </si>
  <si>
    <t>Ethnicity</t>
  </si>
  <si>
    <t>Race</t>
  </si>
  <si>
    <t>Original Intake Date</t>
  </si>
  <si>
    <t>Dob</t>
  </si>
  <si>
    <t>Transitional Home</t>
  </si>
  <si>
    <t>Last Wage</t>
  </si>
  <si>
    <t>Other Income</t>
  </si>
  <si>
    <t>Time Unemployed</t>
  </si>
  <si>
    <t>Veteran</t>
  </si>
  <si>
    <t>Income Category</t>
  </si>
  <si>
    <t>Monthly Hh Income</t>
  </si>
  <si>
    <t>Highest Education</t>
  </si>
  <si>
    <t>Ttw</t>
  </si>
  <si>
    <t>Mental Abuse History</t>
  </si>
  <si>
    <t>Healthinsurance</t>
  </si>
  <si>
    <t>Owifeligible</t>
  </si>
  <si>
    <t>Programofinterest</t>
  </si>
  <si>
    <t>National Origin</t>
  </si>
  <si>
    <t>Previoushoursworked</t>
  </si>
  <si>
    <t>Barriers</t>
  </si>
  <si>
    <t>Returningclient</t>
  </si>
  <si>
    <t>Childrenundertwelve</t>
  </si>
  <si>
    <t>Releasedate</t>
  </si>
  <si>
    <t>Scheduledtraining</t>
  </si>
  <si>
    <t>Workingadultsinhh</t>
  </si>
  <si>
    <t>Incumbentdetails</t>
  </si>
  <si>
    <t>Incumbentbenefits</t>
  </si>
  <si>
    <t>Affectedbycovid</t>
  </si>
  <si>
    <t>Formeremploymentdetails</t>
  </si>
  <si>
    <t>Case Manager</t>
  </si>
  <si>
    <t>Initial Placement Type</t>
  </si>
  <si>
    <t>Initial Mnd Lead</t>
  </si>
  <si>
    <t>Current Placement Type</t>
  </si>
  <si>
    <t>Current Mnd Lead</t>
  </si>
  <si>
    <t>Job Hopping</t>
  </si>
  <si>
    <t>Incumbent Worker</t>
  </si>
  <si>
    <t>Nonincumbent Retention Milestone</t>
  </si>
  <si>
    <t>Incumbent Retention Milestone</t>
  </si>
  <si>
    <t>Forklift Date</t>
  </si>
  <si>
    <t>Cgsp</t>
  </si>
  <si>
    <t>Cgsp Date</t>
  </si>
  <si>
    <t>Dot</t>
  </si>
  <si>
    <t>Dot Date</t>
  </si>
  <si>
    <t>Btwt</t>
  </si>
  <si>
    <t>Btwt Date</t>
  </si>
  <si>
    <t>Cdl-A</t>
  </si>
  <si>
    <t>Cdl-A Date</t>
  </si>
  <si>
    <t>Cdl-B</t>
  </si>
  <si>
    <t>Cdl-B Date</t>
  </si>
  <si>
    <t>Ccs</t>
  </si>
  <si>
    <t>Ccs Date</t>
  </si>
  <si>
    <t>Clp</t>
  </si>
  <si>
    <t>Clp Date</t>
  </si>
  <si>
    <t>Twic</t>
  </si>
  <si>
    <t>Twic Date</t>
  </si>
  <si>
    <t>Inactive</t>
  </si>
  <si>
    <t>Initial Confirmation</t>
  </si>
  <si>
    <t>Eligible Period</t>
  </si>
  <si>
    <t>Snap Jan</t>
  </si>
  <si>
    <t>Snap Feb</t>
  </si>
  <si>
    <t>Snap Mar</t>
  </si>
  <si>
    <t>Snap Apr</t>
  </si>
  <si>
    <t>Snap May</t>
  </si>
  <si>
    <t>Snap Jun</t>
  </si>
  <si>
    <t>Snap Jul</t>
  </si>
  <si>
    <t>Snap Aug</t>
  </si>
  <si>
    <t>Snap Sep</t>
  </si>
  <si>
    <t>Snap Oct</t>
  </si>
  <si>
    <t>Snap Nov</t>
  </si>
  <si>
    <t>Snap Dec</t>
  </si>
  <si>
    <t>Earn Entry</t>
  </si>
  <si>
    <t>Earn Exit</t>
  </si>
  <si>
    <t>Bc Resident</t>
  </si>
  <si>
    <t>Cdbg</t>
  </si>
  <si>
    <t>Enrollment Satisfied</t>
  </si>
  <si>
    <t>Currently Employed</t>
  </si>
  <si>
    <t>Days To Employment</t>
  </si>
  <si>
    <t>Completed Without Employment</t>
  </si>
  <si>
    <t>Incumbent Wage Increase</t>
  </si>
  <si>
    <t>Incumbent Hours Increase</t>
  </si>
  <si>
    <t>Incumbent Advancement</t>
  </si>
  <si>
    <t>Month</t>
  </si>
  <si>
    <t>Year</t>
  </si>
  <si>
    <t>Intake Month</t>
  </si>
  <si>
    <t>Intake Quarter</t>
  </si>
  <si>
    <t>Intake Fy</t>
  </si>
  <si>
    <t>Baltimore</t>
  </si>
  <si>
    <t>MD</t>
  </si>
  <si>
    <t>United States of America</t>
  </si>
  <si>
    <t>Word of Mouth</t>
  </si>
  <si>
    <t>Single</t>
  </si>
  <si>
    <t>No</t>
  </si>
  <si>
    <t>Yes</t>
  </si>
  <si>
    <t>Male</t>
  </si>
  <si>
    <t>06/28/2002</t>
  </si>
  <si>
    <t>No Income</t>
  </si>
  <si>
    <t>Never Worked Before</t>
  </si>
  <si>
    <t>Extremely Low Income</t>
  </si>
  <si>
    <t>Some Highschool</t>
  </si>
  <si>
    <t xml:space="preserve"> EARN</t>
  </si>
  <si>
    <t>United States</t>
  </si>
  <si>
    <t>Criminal Background, Education, Resume, Transportation</t>
  </si>
  <si>
    <t>8/29/2022</t>
  </si>
  <si>
    <t>Not Incumbent</t>
  </si>
  <si>
    <t>None, None, None, None, None, , None</t>
  </si>
  <si>
    <t>CH</t>
  </si>
  <si>
    <t>09/19/2022</t>
  </si>
  <si>
    <t>Complete</t>
  </si>
  <si>
    <t>2022-07-01 00:00:00</t>
  </si>
  <si>
    <t>Quarter 1</t>
  </si>
  <si>
    <t>Catonsville</t>
  </si>
  <si>
    <t>3/15/2022</t>
  </si>
  <si>
    <t>warehousing</t>
  </si>
  <si>
    <t>Black/African American</t>
  </si>
  <si>
    <t>09/23/1998</t>
  </si>
  <si>
    <t>Other Sources</t>
  </si>
  <si>
    <t>1-3 months</t>
  </si>
  <si>
    <t>High School Diploma/GED</t>
  </si>
  <si>
    <t>Criminal Background</t>
  </si>
  <si>
    <t>40</t>
  </si>
  <si>
    <t>04/22/2022</t>
  </si>
  <si>
    <t>Quarter 4</t>
  </si>
  <si>
    <t>Quarter 3</t>
  </si>
  <si>
    <t>MARYLAND</t>
  </si>
  <si>
    <t>Community Partner Referral</t>
  </si>
  <si>
    <t>probation officer</t>
  </si>
  <si>
    <t>Single, Non Elderly</t>
  </si>
  <si>
    <t>Not Hispanic or Latino</t>
  </si>
  <si>
    <t>Black or African American</t>
  </si>
  <si>
    <t>12/17/1997</t>
  </si>
  <si>
    <t>1 year or longer</t>
  </si>
  <si>
    <t>High school diploma or GED</t>
  </si>
  <si>
    <t xml:space="preserve"> CDBG</t>
  </si>
  <si>
    <t>CDBG</t>
  </si>
  <si>
    <t>5/3/2022</t>
  </si>
  <si>
    <t>12/25/1990</t>
  </si>
  <si>
    <t>&gt; 1 year</t>
  </si>
  <si>
    <t>Md</t>
  </si>
  <si>
    <t>warehouse</t>
  </si>
  <si>
    <t>09/25/1993</t>
  </si>
  <si>
    <t>Salary/Wages</t>
  </si>
  <si>
    <t xml:space="preserve"> CDBG; EARN</t>
  </si>
  <si>
    <t>03/25/2022</t>
  </si>
  <si>
    <t>2021-04-01 00:00:00</t>
  </si>
  <si>
    <t>01/02/2002</t>
  </si>
  <si>
    <t>WIOA</t>
  </si>
  <si>
    <t>Transportation</t>
  </si>
  <si>
    <t>Flyer</t>
  </si>
  <si>
    <t>Warehouse</t>
  </si>
  <si>
    <t>03/12/1998</t>
  </si>
  <si>
    <t>WIOA; CDBG</t>
  </si>
  <si>
    <t>0</t>
  </si>
  <si>
    <t>04/06/2022</t>
  </si>
  <si>
    <t>Initial Placement</t>
  </si>
  <si>
    <t>Production Associate</t>
  </si>
  <si>
    <t>08/15/2022</t>
  </si>
  <si>
    <t>Job Retained</t>
  </si>
  <si>
    <t>02/02/2022</t>
  </si>
  <si>
    <t>6/10/2022</t>
  </si>
  <si>
    <t>Warehousing</t>
  </si>
  <si>
    <t>11/02/1996</t>
  </si>
  <si>
    <t>&lt;1 month</t>
  </si>
  <si>
    <t>Some high school</t>
  </si>
  <si>
    <t>11/22/2002</t>
  </si>
  <si>
    <t>Divorced/Separated</t>
  </si>
  <si>
    <t>4/28/2022</t>
  </si>
  <si>
    <t>12/31/1964</t>
  </si>
  <si>
    <t>MOED Opioid; CDBG</t>
  </si>
  <si>
    <t>07/29/2022</t>
  </si>
  <si>
    <t>Job Not Retained</t>
  </si>
  <si>
    <t>MND Client/Graduate</t>
  </si>
  <si>
    <t>1/7/2022</t>
  </si>
  <si>
    <t>Female</t>
  </si>
  <si>
    <t>08/05/1992</t>
  </si>
  <si>
    <t>Baltimore,</t>
  </si>
  <si>
    <t>06/10/1973</t>
  </si>
  <si>
    <t>SNAP; CDBG</t>
  </si>
  <si>
    <t>07-2021</t>
  </si>
  <si>
    <t>E</t>
  </si>
  <si>
    <t>Middle River</t>
  </si>
  <si>
    <t>3/28/2022</t>
  </si>
  <si>
    <t>Warehouse/Port of Baltimore</t>
  </si>
  <si>
    <t>01/17/1991</t>
  </si>
  <si>
    <t>Internet Search</t>
  </si>
  <si>
    <t>12/10/1996</t>
  </si>
  <si>
    <t>1 to 3 months</t>
  </si>
  <si>
    <t>after have convo on MTA</t>
  </si>
  <si>
    <t>07/06/2021</t>
  </si>
  <si>
    <t>Line Cook/Prep Cook</t>
  </si>
  <si>
    <t>11/01/2021</t>
  </si>
  <si>
    <t>Secondary Placement</t>
  </si>
  <si>
    <t>Cook</t>
  </si>
  <si>
    <t>06/18/2021</t>
  </si>
  <si>
    <t>06/19/1996</t>
  </si>
  <si>
    <t>SSI;TCA or Cash Assistance</t>
  </si>
  <si>
    <t>food stamps</t>
  </si>
  <si>
    <t>WIOA III; CDBG</t>
  </si>
  <si>
    <t>04/15/2021</t>
  </si>
  <si>
    <t>Team Member</t>
  </si>
  <si>
    <t>02/12/2022</t>
  </si>
  <si>
    <t>Food Service Worker</t>
  </si>
  <si>
    <t>06/16/2022</t>
  </si>
  <si>
    <t>02/05/2021</t>
  </si>
  <si>
    <t>Quarter 2</t>
  </si>
  <si>
    <t>4/26/2022</t>
  </si>
  <si>
    <t>05/06/1997</t>
  </si>
  <si>
    <t>09/13/2022</t>
  </si>
  <si>
    <t>Utilities/maintenance</t>
  </si>
  <si>
    <t>2022-09-13 00:00:00</t>
  </si>
  <si>
    <t>06/23/2022</t>
  </si>
  <si>
    <t>02/18/1998</t>
  </si>
  <si>
    <t>05/07/2021</t>
  </si>
  <si>
    <t>Facebook</t>
  </si>
  <si>
    <t>11/16/2021</t>
  </si>
  <si>
    <t>07/16/1999</t>
  </si>
  <si>
    <t>7-12 months</t>
  </si>
  <si>
    <t>Some College</t>
  </si>
  <si>
    <t>Health</t>
  </si>
  <si>
    <t>01/24/2022</t>
  </si>
  <si>
    <t>Order Puller</t>
  </si>
  <si>
    <t>03/01/2022</t>
  </si>
  <si>
    <t>Forklift operator</t>
  </si>
  <si>
    <t>05/12/2022</t>
  </si>
  <si>
    <t>Job Retained;Retention and Advancement</t>
  </si>
  <si>
    <t>6/14/2022</t>
  </si>
  <si>
    <t>05/27/1967</t>
  </si>
  <si>
    <t>06/24/1996</t>
  </si>
  <si>
    <t>Salary and Wages</t>
  </si>
  <si>
    <t>Currently employed</t>
  </si>
  <si>
    <t>Moderate Income</t>
  </si>
  <si>
    <t>5/10/2022</t>
  </si>
  <si>
    <t>04/15/1986</t>
  </si>
  <si>
    <t>3/31/22</t>
  </si>
  <si>
    <t>08/22/2003</t>
  </si>
  <si>
    <t>Resume</t>
  </si>
  <si>
    <t>25</t>
  </si>
  <si>
    <t>Other</t>
  </si>
  <si>
    <t>American Indian, Alaskan Native and Black</t>
  </si>
  <si>
    <t>08/19/1988</t>
  </si>
  <si>
    <t>snap/food stamps</t>
  </si>
  <si>
    <t>09/19/1996</t>
  </si>
  <si>
    <t>Unemployment</t>
  </si>
  <si>
    <t>4 to 6 months</t>
  </si>
  <si>
    <t>10/17/2020 Assault Nolle Processed</t>
  </si>
  <si>
    <t>Driving</t>
  </si>
  <si>
    <t>05/11/1980</t>
  </si>
  <si>
    <t>No Success No Struggle Program</t>
  </si>
  <si>
    <t>Warehouse/Forklift Certification</t>
  </si>
  <si>
    <t>08/13/1965</t>
  </si>
  <si>
    <t>Salary/Wages, SNAP/Food Stamp</t>
  </si>
  <si>
    <t>08/29/2022</t>
  </si>
  <si>
    <t>Maintenance Technician</t>
  </si>
  <si>
    <t>06/08/1996</t>
  </si>
  <si>
    <t>SW Partnership Resource Fair</t>
  </si>
  <si>
    <t>12/28/2021</t>
  </si>
  <si>
    <t>08/12/1983</t>
  </si>
  <si>
    <t>Greenbelt</t>
  </si>
  <si>
    <t>09/18/1979</t>
  </si>
  <si>
    <t>4-6 months</t>
  </si>
  <si>
    <t>DOL Opioid</t>
  </si>
  <si>
    <t>06/28/2022</t>
  </si>
  <si>
    <t>Delivery Driver</t>
  </si>
  <si>
    <t>02/25/2022</t>
  </si>
  <si>
    <t>5/2/2022</t>
  </si>
  <si>
    <t>Construction/Warehouse</t>
  </si>
  <si>
    <t>08/06/1974</t>
  </si>
  <si>
    <t>Cash Assistance/TCA, SNAP/Food Stamp</t>
  </si>
  <si>
    <t xml:space="preserve"> CDBG; SNAP; EARN</t>
  </si>
  <si>
    <t>Overnight Sanitation Worker</t>
  </si>
  <si>
    <t>05/20/2022</t>
  </si>
  <si>
    <t>05-2022</t>
  </si>
  <si>
    <t>2022-04-01 00:00:00</t>
  </si>
  <si>
    <t>2022-09-30 00:00:00</t>
  </si>
  <si>
    <t>03/30/1999</t>
  </si>
  <si>
    <t>Unemployment, Snap/Food Stamps</t>
  </si>
  <si>
    <t>08/27/2021</t>
  </si>
  <si>
    <t>Social Media</t>
  </si>
  <si>
    <t>07/24/1996</t>
  </si>
  <si>
    <t>Laid Off</t>
  </si>
  <si>
    <t>6/1/22, Amazon, picker, 18.80, 20, , 7/15/22</t>
  </si>
  <si>
    <t>Customer Service</t>
  </si>
  <si>
    <t>08/23/2001</t>
  </si>
  <si>
    <t>08/03/2001</t>
  </si>
  <si>
    <t>5/27/2022</t>
  </si>
  <si>
    <t>03/02/1993</t>
  </si>
  <si>
    <t xml:space="preserve"> CDBG; SNAP</t>
  </si>
  <si>
    <t>35</t>
  </si>
  <si>
    <t>ALABAMA</t>
  </si>
  <si>
    <t>09/11/1999</t>
  </si>
  <si>
    <t>Parkville</t>
  </si>
  <si>
    <t>5/24/2022</t>
  </si>
  <si>
    <t>03/09/1999</t>
  </si>
  <si>
    <t>10/08/1996</t>
  </si>
  <si>
    <t>04/28/2021</t>
  </si>
  <si>
    <t>warehouse/Sanitation</t>
  </si>
  <si>
    <t>06/10/2021</t>
  </si>
  <si>
    <t>Flagger</t>
  </si>
  <si>
    <t>03/24/2022</t>
  </si>
  <si>
    <t>04/30/2021</t>
  </si>
  <si>
    <t>10/02/1996</t>
  </si>
  <si>
    <t>10/01/2021</t>
  </si>
  <si>
    <t>Special Education Assistant</t>
  </si>
  <si>
    <t>06/01/2022</t>
  </si>
  <si>
    <t>Nursing assistant/caregiver</t>
  </si>
  <si>
    <t>2/4/2022</t>
  </si>
  <si>
    <t>12/29/1985</t>
  </si>
  <si>
    <t>Dundalk</t>
  </si>
  <si>
    <t>word of mouth</t>
  </si>
  <si>
    <t>10/02/1999</t>
  </si>
  <si>
    <t>Medicare/Medicaid</t>
  </si>
  <si>
    <t>None,  ,  , None, None, , None</t>
  </si>
  <si>
    <t>10/21/2022</t>
  </si>
  <si>
    <t>Picker</t>
  </si>
  <si>
    <t>07/22/2022</t>
  </si>
  <si>
    <t>03/18/1996</t>
  </si>
  <si>
    <t>7 to 12 months</t>
  </si>
  <si>
    <t>Some college</t>
  </si>
  <si>
    <t>CDL Driving</t>
  </si>
  <si>
    <t>09/17/1991</t>
  </si>
  <si>
    <t>License</t>
  </si>
  <si>
    <t>6/28/2022</t>
  </si>
  <si>
    <t>10/03/2003</t>
  </si>
  <si>
    <t>20</t>
  </si>
  <si>
    <t>4/19/2022</t>
  </si>
  <si>
    <t>10/18/1964</t>
  </si>
  <si>
    <t>10/05/1991</t>
  </si>
  <si>
    <t>05/25/2022</t>
  </si>
  <si>
    <t>Criminal Background, Resume</t>
  </si>
  <si>
    <t>1/6/2022</t>
  </si>
  <si>
    <t>06/27/1993</t>
  </si>
  <si>
    <t>Married</t>
  </si>
  <si>
    <t>10/25/1968</t>
  </si>
  <si>
    <t>License and Working Vehicle</t>
  </si>
  <si>
    <t>Ms. Scott from 7x7</t>
  </si>
  <si>
    <t>3/31/2022</t>
  </si>
  <si>
    <t>04/09/1966</t>
  </si>
  <si>
    <t>SNAP/Food Stamp</t>
  </si>
  <si>
    <t xml:space="preserve"> SNAP</t>
  </si>
  <si>
    <t>Education, Resume</t>
  </si>
  <si>
    <t>04-2022</t>
  </si>
  <si>
    <t>05/07/1996</t>
  </si>
  <si>
    <t>5/16/2022</t>
  </si>
  <si>
    <t>12/30/1999</t>
  </si>
  <si>
    <t>08/18/1996</t>
  </si>
  <si>
    <t>3/3/2022</t>
  </si>
  <si>
    <t>12/28/1987</t>
  </si>
  <si>
    <t>03-2022</t>
  </si>
  <si>
    <t>2022-01-01 00:00:00</t>
  </si>
  <si>
    <t>10/24/1998</t>
  </si>
  <si>
    <t>05/13/2021</t>
  </si>
  <si>
    <t>Production Worker</t>
  </si>
  <si>
    <t>03/26/2002</t>
  </si>
  <si>
    <t>03/22/2000</t>
  </si>
  <si>
    <t>#203 Silver Spring</t>
  </si>
  <si>
    <t>Admin/Customer Service</t>
  </si>
  <si>
    <t>01/19/1999</t>
  </si>
  <si>
    <t>Salary/Wages, Snap/Food Stamps</t>
  </si>
  <si>
    <t>11/05/2021</t>
  </si>
  <si>
    <t>01/17/1994</t>
  </si>
  <si>
    <t>Less than 1 month</t>
  </si>
  <si>
    <t>2/17/2022</t>
  </si>
  <si>
    <t>08/16/1997</t>
  </si>
  <si>
    <t>07/19/2022</t>
  </si>
  <si>
    <t>Warehouse Worker</t>
  </si>
  <si>
    <t>09/22/2022</t>
  </si>
  <si>
    <t>DreamLife/MOED</t>
  </si>
  <si>
    <t>White</t>
  </si>
  <si>
    <t>12/16/1976</t>
  </si>
  <si>
    <t>fork lift possession</t>
  </si>
  <si>
    <t>07/27/1995</t>
  </si>
  <si>
    <t>HOPE HAVEN</t>
  </si>
  <si>
    <t>01/12/1995</t>
  </si>
  <si>
    <t>SNAP/Food Stamp, No Income</t>
  </si>
  <si>
    <t>Train Up; CDBG</t>
  </si>
  <si>
    <t>january 10 2021, Amazon, warehouse assoc, 19.39, 40, , 9/25/22</t>
  </si>
  <si>
    <t>06/19/1981</t>
  </si>
  <si>
    <t>5/27/21, Marlyand Food Bank, Warehouse, 14.55, 40,</t>
  </si>
  <si>
    <t>Mother</t>
  </si>
  <si>
    <t>male</t>
  </si>
  <si>
    <t>12/17/2001</t>
  </si>
  <si>
    <t>5/13/22, Aubon Pain, Dishwasher, 14.00, 25, , 7/5/22</t>
  </si>
  <si>
    <t>06/06/1999</t>
  </si>
  <si>
    <t>SSI</t>
  </si>
  <si>
    <t>11/12/2021</t>
  </si>
  <si>
    <t>Security Officer</t>
  </si>
  <si>
    <t>Port of Baltimore/Warehouse</t>
  </si>
  <si>
    <t>07/30/2000</t>
  </si>
  <si>
    <t>General Warehouse Laborer</t>
  </si>
  <si>
    <t>Accessory Installer</t>
  </si>
  <si>
    <t>09/09/2022</t>
  </si>
  <si>
    <t>Gaithersburg</t>
  </si>
  <si>
    <t>01/13/1978</t>
  </si>
  <si>
    <t>Windsor Mill</t>
  </si>
  <si>
    <t>Re Entry Program</t>
  </si>
  <si>
    <t>01/13/1973</t>
  </si>
  <si>
    <t>1</t>
  </si>
  <si>
    <t>Decrease In Work Hours, Left Labor Force, Youth Adverse Experience</t>
  </si>
  <si>
    <t>7/1/16, Fed Ex, Driver, 20.00, 40, , 7/1/16</t>
  </si>
  <si>
    <t>12/23/1997</t>
  </si>
  <si>
    <t>09/12/2000</t>
  </si>
  <si>
    <t>07/17/1982</t>
  </si>
  <si>
    <t>Private Insurance</t>
  </si>
  <si>
    <t>6/1/20, Sam's C;ub, supervisor, 21.23, 40,</t>
  </si>
  <si>
    <t>Medical, Dental, Retirement</t>
  </si>
  <si>
    <t>Other Multi Racial Category;American Indian, Alaskan Native and Black</t>
  </si>
  <si>
    <t>06/26/1996</t>
  </si>
  <si>
    <t>Operations Team Member</t>
  </si>
  <si>
    <t>04/11/2022</t>
  </si>
  <si>
    <t>Manager</t>
  </si>
  <si>
    <t>2022-04-11 00:00:00</t>
  </si>
  <si>
    <t>02/12/2021</t>
  </si>
  <si>
    <t>06/19/1997</t>
  </si>
  <si>
    <t>Community Partner Refferal - Baltimore Connect</t>
  </si>
  <si>
    <t>03/15/2001</t>
  </si>
  <si>
    <t>07/05/2021</t>
  </si>
  <si>
    <t>Stower</t>
  </si>
  <si>
    <t>01/11/2022</t>
  </si>
  <si>
    <t>Warehouse Associate</t>
  </si>
  <si>
    <t>09/15/2021</t>
  </si>
  <si>
    <t>07/28/1989</t>
  </si>
  <si>
    <t>Word of mouth</t>
  </si>
  <si>
    <t>04/18/2004</t>
  </si>
  <si>
    <t>09/05/1998</t>
  </si>
  <si>
    <t>30</t>
  </si>
  <si>
    <t>Hope Haven</t>
  </si>
  <si>
    <t>11/04/2002</t>
  </si>
  <si>
    <t>3/8/2022</t>
  </si>
  <si>
    <t>02/26/1987</t>
  </si>
  <si>
    <t>basketball coach</t>
  </si>
  <si>
    <t>09/28/2001</t>
  </si>
  <si>
    <t>Word Of Mouth</t>
  </si>
  <si>
    <t>09/12/1983</t>
  </si>
  <si>
    <t>09/06/1988</t>
  </si>
  <si>
    <t>09/06/2021, Burlington, Janitor, 14, 40, , 05/05/2022</t>
  </si>
  <si>
    <t>05/19/1976</t>
  </si>
  <si>
    <t>11/26/1998</t>
  </si>
  <si>
    <t>06/28/1971</t>
  </si>
  <si>
    <t>TCA or Cash Assistance</t>
  </si>
  <si>
    <t>6/29/2022</t>
  </si>
  <si>
    <t>01/22/1995</t>
  </si>
  <si>
    <t>Nottingham</t>
  </si>
  <si>
    <t>09/06/1979</t>
  </si>
  <si>
    <t>Cashier/Cust Serv/Warehouse</t>
  </si>
  <si>
    <t>07/19/1987</t>
  </si>
  <si>
    <t>Snap/Food Stamps</t>
  </si>
  <si>
    <t>Childcare;Transportation</t>
  </si>
  <si>
    <t>08/20/2021</t>
  </si>
  <si>
    <t>09/28/2021</t>
  </si>
  <si>
    <t>3/7/2022</t>
  </si>
  <si>
    <t>06/15/1970</t>
  </si>
  <si>
    <t>08/22/1988</t>
  </si>
  <si>
    <t>Low Income</t>
  </si>
  <si>
    <t>BA/BS</t>
  </si>
  <si>
    <t>04/12/1998</t>
  </si>
  <si>
    <t>03/24/2002</t>
  </si>
  <si>
    <t>7/11/22, Family Dollar, stocker, 12.50, 32,</t>
  </si>
  <si>
    <t>4/29/2022</t>
  </si>
  <si>
    <t>10/15/1977</t>
  </si>
  <si>
    <t>07/14/1992</t>
  </si>
  <si>
    <t>4/12/2022</t>
  </si>
  <si>
    <t>03/28/1988</t>
  </si>
  <si>
    <t>State attorney office</t>
  </si>
  <si>
    <t>09/19/1999</t>
  </si>
  <si>
    <t>09/01/2001</t>
  </si>
  <si>
    <t>05/26/2021</t>
  </si>
  <si>
    <t>12/13/2021</t>
  </si>
  <si>
    <t>Dockworker</t>
  </si>
  <si>
    <t>Civic Works</t>
  </si>
  <si>
    <t>08/21/1998</t>
  </si>
  <si>
    <t>08/08/2022</t>
  </si>
  <si>
    <t>Dishwasher</t>
  </si>
  <si>
    <t>05/17/1997</t>
  </si>
  <si>
    <t>cousin has been affected by opioid addiction and passed away</t>
  </si>
  <si>
    <t>06/14/2001</t>
  </si>
  <si>
    <t>OWIF-W; CDBG</t>
  </si>
  <si>
    <t>Instagram/Baltimore Jobs</t>
  </si>
  <si>
    <t>09/07/1999</t>
  </si>
  <si>
    <t>Childcare</t>
  </si>
  <si>
    <t>12/16/1999</t>
  </si>
  <si>
    <t>04/22/1962</t>
  </si>
  <si>
    <t>Night Shift Production Operator</t>
  </si>
  <si>
    <t>12/22/1997</t>
  </si>
  <si>
    <t>2/8/2022</t>
  </si>
  <si>
    <t>12/19/1987</t>
  </si>
  <si>
    <t>SSI, Other Sources</t>
  </si>
  <si>
    <t>05/10/1976</t>
  </si>
  <si>
    <t>SNAP</t>
  </si>
  <si>
    <t>01-2021</t>
  </si>
  <si>
    <t>04/12/2001</t>
  </si>
  <si>
    <t>01/29/2021</t>
  </si>
  <si>
    <t>Representative</t>
  </si>
  <si>
    <t>07/24/2021</t>
  </si>
  <si>
    <t>Linen Services</t>
  </si>
  <si>
    <t>2021-10-01 00:00:00</t>
  </si>
  <si>
    <t>9/2/2021</t>
  </si>
  <si>
    <t>10/10/1998</t>
  </si>
  <si>
    <t>good will services</t>
  </si>
  <si>
    <t>11/24/1991</t>
  </si>
  <si>
    <t>Community Location</t>
  </si>
  <si>
    <t>12/11/1981</t>
  </si>
  <si>
    <t>10/25/1989</t>
  </si>
  <si>
    <t>11/29/2002</t>
  </si>
  <si>
    <t>Family Circumstances</t>
  </si>
  <si>
    <t>8/23/22, Taharka Bros, Cashier, 13.75, 30,</t>
  </si>
  <si>
    <t>2/15/2022</t>
  </si>
  <si>
    <t>Port of Baltimore/Warehousing</t>
  </si>
  <si>
    <t>02/12/1999</t>
  </si>
  <si>
    <t>Warehouse/Port Jobs</t>
  </si>
  <si>
    <t>03/17/1993</t>
  </si>
  <si>
    <t>apt 810  Balto</t>
  </si>
  <si>
    <t>08/07/1987</t>
  </si>
  <si>
    <t>Forklift Operator</t>
  </si>
  <si>
    <t>08/22/2002</t>
  </si>
  <si>
    <t>10/02/2022</t>
  </si>
  <si>
    <t>10/18/1996</t>
  </si>
  <si>
    <t>12/06/1987</t>
  </si>
  <si>
    <t>Twic card/warehouse</t>
  </si>
  <si>
    <t>female</t>
  </si>
  <si>
    <t>06/21/1987</t>
  </si>
  <si>
    <t>07/25/1988</t>
  </si>
  <si>
    <t>Fork Lift Operator</t>
  </si>
  <si>
    <t>11/03/2000</t>
  </si>
  <si>
    <t>2021-07-01 00:00:00</t>
  </si>
  <si>
    <t>2021-12-31 00:00:00</t>
  </si>
  <si>
    <t>md</t>
  </si>
  <si>
    <t>3/1/2022</t>
  </si>
  <si>
    <t>Warhousing</t>
  </si>
  <si>
    <t>04/01/1978</t>
  </si>
  <si>
    <t>CIHS (Community Intervention Healthcare Services)</t>
  </si>
  <si>
    <t>12/07/1998</t>
  </si>
  <si>
    <t>Covid Other Check</t>
  </si>
  <si>
    <t>5/16/22, Capital Grille, DIshwasher, 15, 30, , 7/15/22</t>
  </si>
  <si>
    <t>06/06/1991</t>
  </si>
  <si>
    <t>11/06/2001</t>
  </si>
  <si>
    <t>2020-Present</t>
  </si>
  <si>
    <t>Demographic Report</t>
  </si>
  <si>
    <t>Quarterly Registrants</t>
  </si>
  <si>
    <t>Quarterly Enrollment</t>
  </si>
  <si>
    <t xml:space="preserve">Quarter 3 </t>
  </si>
  <si>
    <t>Coach Caseloads</t>
  </si>
  <si>
    <t>KD</t>
  </si>
  <si>
    <t>ML</t>
  </si>
  <si>
    <t>RB</t>
  </si>
  <si>
    <t>RG</t>
  </si>
  <si>
    <t>RV</t>
  </si>
  <si>
    <t>SH</t>
  </si>
  <si>
    <t>Age Group</t>
  </si>
  <si>
    <t>&lt; 25</t>
  </si>
  <si>
    <t>25-35</t>
  </si>
  <si>
    <t>36-45</t>
  </si>
  <si>
    <t>46-65</t>
  </si>
  <si>
    <t>65+</t>
  </si>
  <si>
    <t>Walk With Me</t>
  </si>
  <si>
    <t>Income Sources</t>
  </si>
  <si>
    <t>None</t>
  </si>
  <si>
    <t>SSDI</t>
  </si>
  <si>
    <t>SNAP/Food Stamps</t>
  </si>
  <si>
    <t>Child Support</t>
  </si>
  <si>
    <t>No Valid Dl</t>
  </si>
  <si>
    <t>No Vehicle</t>
  </si>
  <si>
    <t>Single w/Children</t>
  </si>
  <si>
    <t>Appearance</t>
  </si>
  <si>
    <t>Communication Skills</t>
  </si>
  <si>
    <t>Disability</t>
  </si>
  <si>
    <t>Education</t>
  </si>
  <si>
    <t>Employment History</t>
  </si>
  <si>
    <t>Homeless</t>
  </si>
  <si>
    <t>Illiteracy</t>
  </si>
  <si>
    <t>Lack Job Search/Application Skills</t>
  </si>
  <si>
    <t>Lack of Consistent Phone Number</t>
  </si>
  <si>
    <t>Self Esteem</t>
  </si>
  <si>
    <t>Grant Funds</t>
  </si>
  <si>
    <t>EARN</t>
  </si>
  <si>
    <t>Grads2Careers</t>
  </si>
  <si>
    <t>MOED Opioid</t>
  </si>
  <si>
    <t>OWIF</t>
  </si>
  <si>
    <t>Train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</si>
</sst>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\ hh:mm:ss"/>
  </numFmts>
  <fonts count="11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4" fontId="3" fillId="0" borderId="0"/>
    <xf numFmtId="9" fontId="3" fillId="0" borderId="0"/>
  </cellStyleXfs>
  <cellXfs count="49">
    <xf numFmtId="0" fontId="0" fillId="0" borderId="0" xfId="0"/>
    <xf numFmtId="14" fontId="0" fillId="3" borderId="10" xfId="0" applyNumberFormat="1" applyFill="1" applyBorder="1"/>
    <xf numFmtId="1" fontId="0" fillId="3" borderId="10" xfId="0" applyNumberFormat="1" applyFill="1" applyBorder="1"/>
    <xf numFmtId="0" fontId="7" fillId="0" borderId="11" xfId="0" applyFont="1" applyBorder="1" applyAlignment="1">
      <alignment horizontal="center" vertical="top"/>
    </xf>
    <xf numFmtId="0" fontId="6" fillId="4" borderId="10" xfId="0" applyFont="1" applyFill="1" applyBorder="1"/>
    <xf numFmtId="0" fontId="0" fillId="3" borderId="10" xfId="0" applyFill="1" applyBorder="1"/>
    <xf numFmtId="164" fontId="0" fillId="0" borderId="0" xfId="0" applyNumberFormat="1"/>
    <xf numFmtId="0" fontId="0" fillId="2" borderId="0" xfId="0" applyFill="1"/>
    <xf numFmtId="0" fontId="8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5" fillId="3" borderId="12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4" fontId="5" fillId="3" borderId="12" xfId="1" applyFont="1" applyFill="1" applyBorder="1" applyAlignment="1">
      <alignment horizontal="center" vertical="center"/>
    </xf>
    <xf numFmtId="9" fontId="5" fillId="3" borderId="12" xfId="2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5" fillId="3" borderId="12" xfId="0" applyFont="1" applyFill="1" applyBorder="1" applyAlignment="1">
      <alignment horizontal="center" vertical="center" wrapText="1"/>
    </xf>
    <xf numFmtId="9" fontId="2" fillId="0" borderId="12" xfId="2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5" fillId="3" borderId="13" xfId="0" applyFont="1" applyFill="1" applyBorder="1" applyAlignment="1">
      <alignment horizontal="center" vertical="center"/>
    </xf>
    <xf numFmtId="9" fontId="2" fillId="0" borderId="13" xfId="2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9" fontId="5" fillId="0" borderId="13" xfId="2" applyFont="1" applyBorder="1" applyAlignment="1">
      <alignment horizontal="center" vertical="center"/>
    </xf>
    <xf numFmtId="9" fontId="5" fillId="0" borderId="0" xfId="2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9" fontId="5" fillId="2" borderId="0" xfId="2" applyFont="1" applyFill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9" fontId="5" fillId="3" borderId="9" xfId="2" applyFont="1" applyFill="1" applyBorder="1" applyAlignment="1">
      <alignment horizontal="center" vertical="center"/>
    </xf>
    <xf numFmtId="9" fontId="5" fillId="3" borderId="13" xfId="2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4" xfId="0" applyFill="1" applyBorder="1"/>
    <xf numFmtId="0" fontId="0" fillId="2" borderId="9" xfId="0" applyFill="1" applyBorder="1"/>
    <xf numFmtId="0" fontId="10" fillId="3" borderId="9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Demographics!$B$11</c:f>
              <c:strCache>
                <c:ptCount val="1"/>
                <c:pt idx="0">
                  <c:v>Quarterly Registrants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  <a:prstDash val="solid"/>
            </a:ln>
          </c:spPr>
          <c:cat>
            <c:strRef>
              <c:f>(Demographics!$B$38,Demographics!$B$41,Demographics!$B$44,Demographics!$B$47)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 </c:v>
                </c:pt>
                <c:pt idx="3">
                  <c:v>Quarter 4</c:v>
                </c:pt>
              </c:strCache>
            </c:strRef>
          </c:cat>
          <c:val>
            <c:numRef>
              <c:f>(Demographics!$F$16,Demographics!$F$19,Demographics!$F$22,Demographics!$F$25)</c:f>
              <c:numCache>
                <c:formatCode>General</c:formatCode>
                <c:ptCount val="4"/>
                <c:pt idx="0">
                  <c:v>25</c:v>
                </c:pt>
                <c:pt idx="1">
                  <c:v>12</c:v>
                </c:pt>
                <c:pt idx="2">
                  <c:v>44</c:v>
                </c:pt>
                <c:pt idx="3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4-4AF1-AEB3-11A55AE7B862}"/>
            </c:ext>
          </c:extLst>
        </c:ser>
        <c:ser>
          <c:idx val="1"/>
          <c:order val="1"/>
          <c:tx>
            <c:strRef>
              <c:f>Demographics!$B$33</c:f>
              <c:strCache>
                <c:ptCount val="1"/>
                <c:pt idx="0">
                  <c:v>Quarterly Enrollment</c:v>
                </c:pt>
              </c:strCache>
            </c:strRef>
          </c:tx>
          <c:spPr>
            <a:solidFill>
              <a:schemeClr val="accent4"/>
            </a:solidFill>
            <a:ln w="25400">
              <a:solidFill>
                <a:schemeClr val="accent4"/>
              </a:solidFill>
              <a:prstDash val="solid"/>
            </a:ln>
          </c:spPr>
          <c:cat>
            <c:strRef>
              <c:f>(Demographics!$B$38,Demographics!$B$41,Demographics!$B$44,Demographics!$B$47)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 </c:v>
                </c:pt>
                <c:pt idx="3">
                  <c:v>Quarter 4</c:v>
                </c:pt>
              </c:strCache>
            </c:strRef>
          </c:cat>
          <c:val>
            <c:numRef>
              <c:f>(Demographics!$F$38,Demographics!$F$41,Demographics!$F$44,Demographics!$F$47)</c:f>
              <c:numCache>
                <c:formatCode>General</c:formatCode>
                <c:ptCount val="4"/>
                <c:pt idx="0">
                  <c:v>14</c:v>
                </c:pt>
                <c:pt idx="1">
                  <c:v>7</c:v>
                </c:pt>
                <c:pt idx="2">
                  <c:v>31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C4-4AF1-AEB3-11A55AE7B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areaChart>
      <c:catAx>
        <c:axId val="1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1"/>
          <c:order val="0"/>
          <c:tx>
            <c:v>Enrollment Rate</c:v>
          </c:tx>
          <c: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c:spPr>
          <c:cat>
            <c:strRef>
              <c:f>(Demographics!$B$38,Demographics!$B$41,Demographics!$B$44,Demographics!$B$47)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 </c:v>
                </c:pt>
                <c:pt idx="3">
                  <c:v>Quarter 4</c:v>
                </c:pt>
              </c:strCache>
            </c:strRef>
          </c:cat>
          <c:val>
            <c:numRef>
              <c:f>(Demographics!$H$38,Demographics!$H$41,Demographics!$H$44,Demographics!$H$47)</c:f>
              <c:numCache>
                <c:formatCode>0%</c:formatCode>
                <c:ptCount val="4"/>
                <c:pt idx="0">
                  <c:v>0.56000000000000005</c:v>
                </c:pt>
                <c:pt idx="1">
                  <c:v>0.58333333333333337</c:v>
                </c:pt>
                <c:pt idx="2">
                  <c:v>0.70454545454545459</c:v>
                </c:pt>
                <c:pt idx="3">
                  <c:v>0.65306122448979587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2B-47E1-9B78-960860749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areaChart>
      <c:barChart>
        <c:barDir val="col"/>
        <c:grouping val="clustered"/>
        <c:varyColors val="0"/>
        <c:ser>
          <c:idx val="2"/>
          <c:order val="1"/>
          <c:tx>
            <c:strRef>
              <c:f>Demographics!$B$33</c:f>
              <c:strCache>
                <c:ptCount val="1"/>
                <c:pt idx="0">
                  <c:v>Quarterly Enrollment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  <a:prstDash val="solid"/>
            </a:ln>
          </c:spPr>
          <c:invertIfNegative val="0"/>
          <c:cat>
            <c:strRef>
              <c:f>(Demographics!$B$38,Demographics!$B$41,Demographics!$B$44,Demographics!$B$47)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 </c:v>
                </c:pt>
                <c:pt idx="3">
                  <c:v>Quarter 4</c:v>
                </c:pt>
              </c:strCache>
            </c:strRef>
          </c:cat>
          <c:val>
            <c:numRef>
              <c:f>(Demographics!$F$38,Demographics!$F$41,Demographics!$F$44,Demographics!$F$47)</c:f>
              <c:numCache>
                <c:formatCode>General</c:formatCode>
                <c:ptCount val="4"/>
                <c:pt idx="0">
                  <c:v>14</c:v>
                </c:pt>
                <c:pt idx="1">
                  <c:v>7</c:v>
                </c:pt>
                <c:pt idx="2">
                  <c:v>31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2B-47E1-9B78-960860749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8443256"/>
        <c:axId val="618439736"/>
      </c:barChart>
      <c:catAx>
        <c:axId val="1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  <c:catAx>
        <c:axId val="6184432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18439736"/>
        <c:crosses val="autoZero"/>
        <c:auto val="1"/>
        <c:lblAlgn val="ctr"/>
        <c:lblOffset val="100"/>
        <c:noMultiLvlLbl val="0"/>
      </c:catAx>
      <c:valAx>
        <c:axId val="61843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443256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[1]Demographics!$B$55</c:f>
              <c:strCache>
                <c:ptCount val="1"/>
                <c:pt idx="0">
                  <c:v>Coach Caseloads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22D-4941-93BD-6D74B5F2A9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22D-4941-93BD-6D74B5F2A9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22D-4941-93BD-6D74B5F2A9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622D-4941-93BD-6D74B5F2A9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622D-4941-93BD-6D74B5F2A95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622D-4941-93BD-6D74B5F2A95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622D-4941-93BD-6D74B5F2A958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1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multiLvlStrRef>
              <c:f>([1]Demographics!$B$60,[1]Demographics!$B$63,[1]Demographics!$B$66,[1]Demographics!$B$69,[1]Demographics!$B$72,[1]Demographics!$B$75,[1]Demographics!$B$78)</c:f>
            </c:multiLvlStrRef>
          </c:cat>
          <c:val>
            <c:numRef>
              <c:f>([1]Demographics!$F$60,[1]Demographics!$F$63,[1]Demographics!$F$66,[1]Demographics!$F$69,[1]Demographics!$F$72,[1]Demographics!$F$75,[1]Demographics!$F$78)</c:f>
            </c:numRef>
          </c:val>
          <c:extLst>
            <c:ext xmlns:c16="http://schemas.microsoft.com/office/drawing/2014/chart" uri="{C3380CC4-5D6E-409C-BE32-E72D297353CC}">
              <c16:uniqueId val="{0000000E-622D-4941-93BD-6D74B5F2A95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 rtl="0"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Demographics!$B$83</c:f>
              <c:strCache>
                <c:ptCount val="1"/>
                <c:pt idx="0">
                  <c:v>Gender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(Demographics!$B$88,Demographics!$B$91)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(Demographics!$F$88,Demographics!$F$91)</c:f>
              <c:numCache>
                <c:formatCode>General</c:formatCode>
                <c:ptCount val="2"/>
                <c:pt idx="0">
                  <c:v>17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E-47C8-B021-C627BC77A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43529656"/>
        <c:axId val="643531256"/>
      </c:barChart>
      <c:catAx>
        <c:axId val="643529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531256"/>
        <c:crosses val="autoZero"/>
        <c:auto val="1"/>
        <c:lblAlgn val="ctr"/>
        <c:lblOffset val="100"/>
        <c:noMultiLvlLbl val="0"/>
      </c:catAx>
      <c:valAx>
        <c:axId val="643531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529656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Demographics!$B$96</c:f>
              <c:strCache>
                <c:ptCount val="1"/>
                <c:pt idx="0">
                  <c:v>Age Group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strRef>
              <c:f>(Demographics!$B$101,Demographics!$B$104,Demographics!$B$107,Demographics!$B$110,Demographics!$B$113)</c:f>
              <c:strCache>
                <c:ptCount val="5"/>
                <c:pt idx="0">
                  <c:v>&lt; 25</c:v>
                </c:pt>
                <c:pt idx="1">
                  <c:v>25-35</c:v>
                </c:pt>
                <c:pt idx="2">
                  <c:v>36-45</c:v>
                </c:pt>
                <c:pt idx="3">
                  <c:v>46-65</c:v>
                </c:pt>
                <c:pt idx="4">
                  <c:v>65+</c:v>
                </c:pt>
              </c:strCache>
            </c:strRef>
          </c:cat>
          <c:val>
            <c:numRef>
              <c:f>(Demographics!$F$101,Demographics!$F$104,Demographics!$F$107,Demographics!$F$110,Demographics!$F$113)</c:f>
              <c:numCache>
                <c:formatCode>General</c:formatCode>
                <c:ptCount val="5"/>
                <c:pt idx="0">
                  <c:v>37</c:v>
                </c:pt>
                <c:pt idx="1">
                  <c:v>28</c:v>
                </c:pt>
                <c:pt idx="2">
                  <c:v>9</c:v>
                </c:pt>
                <c:pt idx="3">
                  <c:v>10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9A-47DE-9F4C-26C5F7C52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058936"/>
        <c:axId val="717059256"/>
      </c:barChart>
      <c:catAx>
        <c:axId val="717058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059256"/>
        <c:crosses val="autoZero"/>
        <c:auto val="1"/>
        <c:lblAlgn val="ctr"/>
        <c:lblOffset val="100"/>
        <c:noMultiLvlLbl val="0"/>
      </c:catAx>
      <c:valAx>
        <c:axId val="71705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058936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Demographics!$B$118</c:f>
              <c:strCache>
                <c:ptCount val="1"/>
                <c:pt idx="0">
                  <c:v>Race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prstDash val="solid"/>
            </a:ln>
          </c:spPr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914-4F3E-8DCB-1446C6355269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914-4F3E-8DCB-1446C635526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2914-4F3E-8DCB-1446C6355269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(Demographics!$B$123,Demographics!$B$126,Demographics!$B$129)</c:f>
              <c:strCache>
                <c:ptCount val="3"/>
                <c:pt idx="0">
                  <c:v>Black or African American</c:v>
                </c:pt>
                <c:pt idx="1">
                  <c:v>White</c:v>
                </c:pt>
                <c:pt idx="2">
                  <c:v>Other</c:v>
                </c:pt>
              </c:strCache>
            </c:strRef>
          </c:cat>
          <c:val>
            <c:numRef>
              <c:f>(Demographics!$F$123,Demographics!$F$126,Demographics!$F$129)</c:f>
              <c:numCache>
                <c:formatCode>General</c:formatCode>
                <c:ptCount val="3"/>
                <c:pt idx="0">
                  <c:v>82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14-4F3E-8DCB-1446C63552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[1]Demographics!$B$134</c:f>
              <c:strCache>
                <c:ptCount val="1"/>
                <c:pt idx="0">
                  <c:v>Source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multiLvlStrRef>
              <c:f>([1]Demographics!$B$139,[1]Demographics!$B$142,[1]Demographics!$B$145,[1]Demographics!$B$148,[1]Demographics!$B$151,[1]Demographics!$B$154,[1]Demographics!$B$160)</c:f>
            </c:multiLvlStrRef>
          </c:cat>
          <c:val>
            <c:numRef>
              <c:f>([1]Demographics!$F$139,[1]Demographics!$F$142,[1]Demographics!$F$145,[1]Demographics!$F$148,[1]Demographics!$F$151,[1]Demographics!$F$154,[1]Demographics!$F$160)</c:f>
            </c:numRef>
          </c:val>
          <c:extLst>
            <c:ext xmlns:c16="http://schemas.microsoft.com/office/drawing/2014/chart" uri="{C3380CC4-5D6E-409C-BE32-E72D297353CC}">
              <c16:uniqueId val="{00000000-A0D4-4B94-AFDD-8DBF61BB8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47867512"/>
        <c:axId val="647870712"/>
      </c:barChart>
      <c:catAx>
        <c:axId val="647867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870712"/>
        <c:crosses val="autoZero"/>
        <c:auto val="1"/>
        <c:lblAlgn val="ctr"/>
        <c:lblOffset val="100"/>
        <c:noMultiLvlLbl val="0"/>
      </c:catAx>
      <c:valAx>
        <c:axId val="647870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867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Demographics!$B$165</c:f>
              <c:strCache>
                <c:ptCount val="1"/>
                <c:pt idx="0">
                  <c:v>Income Sources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(Demographics!$B$170,Demographics!$B$173,Demographics!$B$176,Demographics!$B$179,Demographics!$B$182,Demographics!$B$185,Demographics!$B$188,Demographics!$B$191)</c:f>
              <c:strCache>
                <c:ptCount val="8"/>
                <c:pt idx="0">
                  <c:v>None</c:v>
                </c:pt>
                <c:pt idx="1">
                  <c:v>Salary and Wages</c:v>
                </c:pt>
                <c:pt idx="2">
                  <c:v>Unemployment</c:v>
                </c:pt>
                <c:pt idx="3">
                  <c:v>TCA or Cash Assistance</c:v>
                </c:pt>
                <c:pt idx="4">
                  <c:v>SSDI</c:v>
                </c:pt>
                <c:pt idx="5">
                  <c:v>SNAP/Food Stamps</c:v>
                </c:pt>
                <c:pt idx="6">
                  <c:v>Child Support</c:v>
                </c:pt>
                <c:pt idx="7">
                  <c:v>SSI</c:v>
                </c:pt>
              </c:strCache>
            </c:strRef>
          </c:cat>
          <c:val>
            <c:numRef>
              <c:f>(Demographics!$F$170,Demographics!$F$173,Demographics!$F$176,Demographics!$F$179,Demographics!$F$182,Demographics!$F$185,Demographics!$F$188,Demographics!$F$191)</c:f>
              <c:numCache>
                <c:formatCode>General</c:formatCode>
                <c:ptCount val="8"/>
                <c:pt idx="0">
                  <c:v>37</c:v>
                </c:pt>
                <c:pt idx="1">
                  <c:v>6</c:v>
                </c:pt>
                <c:pt idx="2">
                  <c:v>6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9C-4FA7-85C1-45FE6CAB5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97722056"/>
        <c:axId val="797727176"/>
      </c:barChart>
      <c:catAx>
        <c:axId val="797722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727176"/>
        <c:crosses val="autoZero"/>
        <c:auto val="1"/>
        <c:lblAlgn val="ctr"/>
        <c:lblOffset val="100"/>
        <c:noMultiLvlLbl val="0"/>
      </c:catAx>
      <c:valAx>
        <c:axId val="797727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722056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[1]Demographics!$B$196</c:f>
              <c:strCache>
                <c:ptCount val="1"/>
                <c:pt idx="0">
                  <c:v>Time Unemployed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multiLvlStrRef>
              <c:f>([1]Demographics!$B$201,[1]Demographics!$B$204,[1]Demographics!$B$207,[1]Demographics!$B$210,[1]Demographics!$B$213,[1]Demographics!$B$216)</c:f>
            </c:multiLvlStrRef>
          </c:cat>
          <c:val>
            <c:numRef>
              <c:f>([1]Demographics!$F$201,[1]Demographics!$F$204,[1]Demographics!$F$207,[1]Demographics!$F$210,[1]Demographics!$F$213,[1]Demographics!$F$216)</c:f>
            </c:numRef>
          </c:val>
          <c:extLst>
            <c:ext xmlns:c16="http://schemas.microsoft.com/office/drawing/2014/chart" uri="{C3380CC4-5D6E-409C-BE32-E72D297353CC}">
              <c16:uniqueId val="{00000000-55DF-4E7A-ADA1-9CA0D8120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97748936"/>
        <c:axId val="797749576"/>
      </c:barChart>
      <c:catAx>
        <c:axId val="797748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749576"/>
        <c:crosses val="autoZero"/>
        <c:auto val="1"/>
        <c:lblAlgn val="ctr"/>
        <c:lblOffset val="100"/>
        <c:noMultiLvlLbl val="0"/>
      </c:catAx>
      <c:valAx>
        <c:axId val="797749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748936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Demographics!$B$221</c:f>
              <c:strCache>
                <c:ptCount val="1"/>
                <c:pt idx="0">
                  <c:v>Income Category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prstDash val="solid"/>
            </a:ln>
          </c:spPr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6F5-4AA1-AF56-F8E42F7A164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6F5-4AA1-AF56-F8E42F7A1640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F6F5-4AA1-AF56-F8E42F7A1640}"/>
              </c:ext>
            </c:extLst>
          </c:dPt>
          <c:cat>
            <c:strRef>
              <c:f>(Demographics!$B$226,Demographics!$B$229,Demographics!$B$232)</c:f>
              <c:strCache>
                <c:ptCount val="3"/>
                <c:pt idx="0">
                  <c:v>Extremely Low Income</c:v>
                </c:pt>
                <c:pt idx="1">
                  <c:v>Low Income</c:v>
                </c:pt>
                <c:pt idx="2">
                  <c:v>Moderate Income</c:v>
                </c:pt>
              </c:strCache>
            </c:strRef>
          </c:cat>
          <c:val>
            <c:numRef>
              <c:f>(Demographics!$F$226,Demographics!$F$229,Demographics!$F$232)</c:f>
              <c:numCache>
                <c:formatCode>General</c:formatCode>
                <c:ptCount val="3"/>
                <c:pt idx="0">
                  <c:v>76</c:v>
                </c:pt>
                <c:pt idx="1">
                  <c:v>1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F5-4AA1-AF56-F8E42F7A1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 rtl="0"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strRef>
              <c:f>Demographics!$B$318:$B$344</c:f>
              <c:strCache>
                <c:ptCount val="25"/>
                <c:pt idx="0">
                  <c:v>CDBG</c:v>
                </c:pt>
                <c:pt idx="3">
                  <c:v>DOL Opioid</c:v>
                </c:pt>
                <c:pt idx="6">
                  <c:v>EARN</c:v>
                </c:pt>
                <c:pt idx="9">
                  <c:v>Grads2Careers</c:v>
                </c:pt>
                <c:pt idx="12">
                  <c:v>MOED Opioid</c:v>
                </c:pt>
                <c:pt idx="15">
                  <c:v>OWIF</c:v>
                </c:pt>
                <c:pt idx="18">
                  <c:v>SNAP</c:v>
                </c:pt>
                <c:pt idx="21">
                  <c:v>Train Up</c:v>
                </c:pt>
                <c:pt idx="24">
                  <c:v>WIOA</c:v>
                </c:pt>
              </c:strCache>
            </c:strRef>
          </c:cat>
          <c:val>
            <c:numRef>
              <c:f>Demographics!$F$318:$F$344</c:f>
              <c:numCache>
                <c:formatCode>General</c:formatCode>
                <c:ptCount val="27"/>
                <c:pt idx="0">
                  <c:v>67</c:v>
                </c:pt>
                <c:pt idx="3">
                  <c:v>1</c:v>
                </c:pt>
                <c:pt idx="6">
                  <c:v>21</c:v>
                </c:pt>
                <c:pt idx="9">
                  <c:v>0</c:v>
                </c:pt>
                <c:pt idx="12">
                  <c:v>5</c:v>
                </c:pt>
                <c:pt idx="15">
                  <c:v>1</c:v>
                </c:pt>
                <c:pt idx="18">
                  <c:v>8</c:v>
                </c:pt>
                <c:pt idx="21">
                  <c:v>1</c:v>
                </c:pt>
                <c:pt idx="2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FF-4CD2-A2B0-19ADA5B2B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-27"/>
        <c:axId val="1295603839"/>
        <c:axId val="1295586783"/>
      </c:barChart>
      <c:catAx>
        <c:axId val="129560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586783"/>
        <c:crosses val="autoZero"/>
        <c:auto val="1"/>
        <c:lblAlgn val="ctr"/>
        <c:lblOffset val="100"/>
        <c:noMultiLvlLbl val="0"/>
      </c:catAx>
      <c:valAx>
        <c:axId val="1295586783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603839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3"/>
          <c:order val="0"/>
          <c: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Demographics!$B$242:$B$259</c:f>
              <c:strCache>
                <c:ptCount val="16"/>
                <c:pt idx="0">
                  <c:v>No Valid Dl</c:v>
                </c:pt>
                <c:pt idx="3">
                  <c:v>No Vehicle</c:v>
                </c:pt>
                <c:pt idx="6">
                  <c:v>Single w/Children</c:v>
                </c:pt>
                <c:pt idx="9">
                  <c:v>Transitional Home</c:v>
                </c:pt>
                <c:pt idx="12">
                  <c:v>Criminal Conviction</c:v>
                </c:pt>
                <c:pt idx="15">
                  <c:v>Substance Abuse History</c:v>
                </c:pt>
              </c:strCache>
            </c:strRef>
          </c:cat>
          <c:val>
            <c:numRef>
              <c:f>Demographics!$F$242:$F$259</c:f>
              <c:numCache>
                <c:formatCode>General</c:formatCode>
                <c:ptCount val="18"/>
                <c:pt idx="0">
                  <c:v>46</c:v>
                </c:pt>
                <c:pt idx="3">
                  <c:v>61</c:v>
                </c:pt>
                <c:pt idx="6">
                  <c:v>8</c:v>
                </c:pt>
                <c:pt idx="9">
                  <c:v>4</c:v>
                </c:pt>
                <c:pt idx="12">
                  <c:v>37</c:v>
                </c:pt>
                <c:pt idx="1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E4-4DAF-A0D1-20B4493DF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axId val="1114152335"/>
        <c:axId val="1114150255"/>
      </c:barChart>
      <c:catAx>
        <c:axId val="1114152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150255"/>
        <c:crosses val="autoZero"/>
        <c:auto val="1"/>
        <c:lblAlgn val="ctr"/>
        <c:lblOffset val="100"/>
        <c:noMultiLvlLbl val="0"/>
      </c:catAx>
      <c:valAx>
        <c:axId val="1114150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152335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All Registrants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Outcomes!$B$11</c:f>
              <c:strCache>
                <c:ptCount val="1"/>
                <c:pt idx="0">
                  <c:v>Service Report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70B-41BA-989C-4FA9BB80E74C}"/>
              </c:ext>
            </c:extLst>
          </c:dPt>
          <c:dPt>
            <c:idx val="1"/>
            <c:bubble3D val="0"/>
            <c:spPr>
              <a:solidFill>
                <a:schemeClr val="accent1">
                  <a:shade val="86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A70B-41BA-989C-4FA9BB80E74C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A70B-41BA-989C-4FA9BB80E74C}"/>
              </c:ext>
            </c:extLst>
          </c:dPt>
          <c:dPt>
            <c:idx val="3"/>
            <c:bubble3D val="0"/>
            <c:spPr>
              <a:solidFill>
                <a:schemeClr val="accent1">
                  <a:tint val="58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A70B-41BA-989C-4FA9BB80E74C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(Outcomes!$B$19,Outcomes!$B$25,Outcomes!$B$22,Outcomes!$B$34)</c:f>
              <c:strCache>
                <c:ptCount val="3"/>
                <c:pt idx="0">
                  <c:v>Clients Enrolled</c:v>
                </c:pt>
                <c:pt idx="1">
                  <c:v>Enrollment Pending</c:v>
                </c:pt>
                <c:pt idx="2">
                  <c:v>Withdrawn</c:v>
                </c:pt>
              </c:strCache>
            </c:strRef>
          </c:cat>
          <c:val>
            <c:numRef>
              <c:f>(Outcomes!$F$19,Outcomes!$F$25,Outcomes!$F$22,Outcomes!$F$34)</c:f>
              <c:numCache>
                <c:formatCode>General</c:formatCode>
                <c:ptCount val="3"/>
                <c:pt idx="0">
                  <c:v>84</c:v>
                </c:pt>
                <c:pt idx="1">
                  <c:v>1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70B-41BA-989C-4FA9BB80E74C}"/>
            </c:ext>
          </c:extLst>
        </c:ser>
        <c:ser>
          <c:idx val="1"/>
          <c:order val="1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A70B-41BA-989C-4FA9BB80E74C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(Outcomes!$B$19,Outcomes!$B$25,Outcomes!$B$22,Outcomes!$B$34)</c:f>
              <c:strCache>
                <c:ptCount val="3"/>
                <c:pt idx="0">
                  <c:v>Clients Enrolled</c:v>
                </c:pt>
                <c:pt idx="1">
                  <c:v>Enrollment Pending</c:v>
                </c:pt>
                <c:pt idx="2">
                  <c:v>Withdrawn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B-A70B-41BA-989C-4FA9BB80E74C}"/>
            </c:ext>
          </c:extLst>
        </c:ser>
        <c:ser>
          <c:idx val="2"/>
          <c:order val="2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A70B-41BA-989C-4FA9BB80E74C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(Outcomes!$B$19,Outcomes!$B$25,Outcomes!$B$22,Outcomes!$B$34)</c:f>
              <c:strCache>
                <c:ptCount val="3"/>
                <c:pt idx="0">
                  <c:v>Clients Enrolled</c:v>
                </c:pt>
                <c:pt idx="1">
                  <c:v>Enrollment Pending</c:v>
                </c:pt>
                <c:pt idx="2">
                  <c:v>Withdrawn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E-A70B-41BA-989C-4FA9BB80E74C}"/>
            </c:ext>
          </c:extLst>
        </c:ser>
        <c:ser>
          <c:idx val="3"/>
          <c:order val="3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A70B-41BA-989C-4FA9BB80E74C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(Outcomes!$B$19,Outcomes!$B$25,Outcomes!$B$22,Outcomes!$B$34)</c:f>
              <c:strCache>
                <c:ptCount val="3"/>
                <c:pt idx="0">
                  <c:v>Clients Enrolled</c:v>
                </c:pt>
                <c:pt idx="1">
                  <c:v>Enrollment Pending</c:v>
                </c:pt>
                <c:pt idx="2">
                  <c:v>Withdrawn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1-A70B-41BA-989C-4FA9BB80E74C}"/>
            </c:ext>
          </c:extLst>
        </c:ser>
        <c:ser>
          <c:idx val="4"/>
          <c:order val="4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A70B-41BA-989C-4FA9BB80E74C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(Outcomes!$B$19,Outcomes!$B$25,Outcomes!$B$22,Outcomes!$B$34)</c:f>
              <c:strCache>
                <c:ptCount val="3"/>
                <c:pt idx="0">
                  <c:v>Clients Enrolled</c:v>
                </c:pt>
                <c:pt idx="1">
                  <c:v>Enrollment Pending</c:v>
                </c:pt>
                <c:pt idx="2">
                  <c:v>Withdrawn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4-A70B-41BA-989C-4FA9BB80E74C}"/>
            </c:ext>
          </c:extLst>
        </c:ser>
        <c:ser>
          <c:idx val="5"/>
          <c:order val="5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A70B-41BA-989C-4FA9BB80E74C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(Outcomes!$B$19,Outcomes!$B$25,Outcomes!$B$22,Outcomes!$B$34)</c:f>
              <c:strCache>
                <c:ptCount val="3"/>
                <c:pt idx="0">
                  <c:v>Clients Enrolled</c:v>
                </c:pt>
                <c:pt idx="1">
                  <c:v>Enrollment Pending</c:v>
                </c:pt>
                <c:pt idx="2">
                  <c:v>Withdrawn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17-A70B-41BA-989C-4FA9BB80E74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Enrolled Clients by Program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Outcomes!$B$47:$B$58</c:f>
              <c:strCache>
                <c:ptCount val="10"/>
                <c:pt idx="0">
                  <c:v>CF</c:v>
                </c:pt>
                <c:pt idx="3">
                  <c:v>CTC</c:v>
                </c:pt>
                <c:pt idx="6">
                  <c:v>MTDL</c:v>
                </c:pt>
                <c:pt idx="9">
                  <c:v>OOO</c:v>
                </c:pt>
              </c:strCache>
            </c:strRef>
          </c:cat>
          <c:val>
            <c:numRef>
              <c:f>Outcomes!$F$47:$F$58</c:f>
              <c:numCache>
                <c:formatCode>General</c:formatCode>
                <c:ptCount val="12"/>
                <c:pt idx="0">
                  <c:v>7</c:v>
                </c:pt>
                <c:pt idx="3">
                  <c:v>8</c:v>
                </c:pt>
                <c:pt idx="6">
                  <c:v>64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C4-4D16-8251-9AF582F12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7625144"/>
        <c:axId val="1127626104"/>
      </c:barChart>
      <c:catAx>
        <c:axId val="112762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626104"/>
        <c:crosses val="autoZero"/>
        <c:auto val="1"/>
        <c:lblAlgn val="ctr"/>
        <c:lblOffset val="100"/>
        <c:noMultiLvlLbl val="0"/>
      </c:catAx>
      <c:valAx>
        <c:axId val="112762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625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Clients</c:v>
          </c:tx>
          <c: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dLbl>
              <c:idx val="1"/>
              <c:numFmt formatCode="#,##0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E2F4-421D-A7BE-BCAADC180723}"/>
                </c:ext>
              </c:extLst>
            </c:dLbl>
            <c:dLbl>
              <c:idx val="2"/>
              <c:numFmt formatCode="#,##0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E2F4-421D-A7BE-BCAADC180723}"/>
                </c:ext>
              </c:extLst>
            </c:dLbl>
            <c:numFmt formatCode="#,##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(Outcomes!$B$66,Outcomes!$B$69,Outcomes!$B$72,Outcomes!$B$75)</c:f>
              <c:strCache>
                <c:ptCount val="4"/>
                <c:pt idx="0">
                  <c:v>Program Completion</c:v>
                </c:pt>
                <c:pt idx="1">
                  <c:v>Gained Certification</c:v>
                </c:pt>
                <c:pt idx="2">
                  <c:v>Gained New Employment</c:v>
                </c:pt>
                <c:pt idx="3">
                  <c:v>Contacted for Retention</c:v>
                </c:pt>
              </c:strCache>
            </c:strRef>
          </c:cat>
          <c:val>
            <c:numRef>
              <c:f>(Outcomes!$F$66,Outcomes!$F$69,Outcomes!$F$72,Outcomes!$F$75)</c:f>
              <c:numCache>
                <c:formatCode>General</c:formatCode>
                <c:ptCount val="4"/>
                <c:pt idx="0">
                  <c:v>64</c:v>
                </c:pt>
                <c:pt idx="1">
                  <c:v>47</c:v>
                </c:pt>
                <c:pt idx="2">
                  <c:v>24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F4-421D-A7BE-BCAADC18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20766640"/>
        <c:axId val="1320766960"/>
      </c:barChart>
      <c:barChart>
        <c:barDir val="col"/>
        <c:grouping val="clustered"/>
        <c:varyColors val="0"/>
        <c:ser>
          <c:idx val="1"/>
          <c:order val="1"/>
          <c:tx>
            <c:v>Percent of Enrollees</c:v>
          </c:tx>
          <c:spPr>
            <a:solidFill>
              <a:srgbClr val="FB5603"/>
            </a:solidFill>
            <a:ln>
              <a:noFill/>
              <a:prstDash val="solid"/>
            </a:ln>
          </c:spPr>
          <c:invertIfNegative val="0"/>
          <c:dLbls>
            <c:dLbl>
              <c:idx val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F4-421D-A7BE-BCAADC180723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4"/>
              <c:pt idx="0">
                <c:v>2</c:v>
              </c:pt>
              <c:pt idx="1">
                <c:v>4</c:v>
              </c:pt>
              <c:pt idx="2">
                <c:v>6</c:v>
              </c:pt>
              <c:pt idx="3">
                <c:v>8</c:v>
              </c:pt>
            </c:strLit>
          </c:cat>
          <c:val>
            <c:numRef>
              <c:f>(Outcomes!$H$66,Outcomes!$I$70,Outcomes!$I$73,Outcomes!$I$76)</c:f>
              <c:numCache>
                <c:formatCode>General</c:formatCode>
                <c:ptCount val="4"/>
                <c:pt idx="0" formatCode="0%">
                  <c:v>0.77108433734939763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F4-421D-A7BE-BCAADC180723}"/>
            </c:ext>
          </c:extLst>
        </c:ser>
        <c:ser>
          <c:idx val="2"/>
          <c:order val="2"/>
          <c:tx>
            <c:v>Percent of Completers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4"/>
              <c:pt idx="0">
                <c:v>2</c:v>
              </c:pt>
              <c:pt idx="1">
                <c:v>4</c:v>
              </c:pt>
              <c:pt idx="2">
                <c:v>6</c:v>
              </c:pt>
              <c:pt idx="3">
                <c:v>8</c:v>
              </c:pt>
            </c:strLit>
          </c:cat>
          <c:val>
            <c:numRef>
              <c:f>(Outcomes!$I$67,Outcomes!$H$69,Outcomes!$H$72,Outcomes!$I$76)</c:f>
              <c:numCache>
                <c:formatCode>0%</c:formatCode>
                <c:ptCount val="4"/>
                <c:pt idx="1">
                  <c:v>0.734375</c:v>
                </c:pt>
                <c:pt idx="2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F4-421D-A7BE-BCAADC180723}"/>
            </c:ext>
          </c:extLst>
        </c:ser>
        <c:ser>
          <c:idx val="3"/>
          <c:order val="3"/>
          <c:tx>
            <c:v>Percent of Employed Clients</c:v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4"/>
              <c:pt idx="0">
                <c:v>2</c:v>
              </c:pt>
              <c:pt idx="1">
                <c:v>4</c:v>
              </c:pt>
              <c:pt idx="2">
                <c:v>6</c:v>
              </c:pt>
              <c:pt idx="3">
                <c:v>8</c:v>
              </c:pt>
            </c:strLit>
          </c:cat>
          <c:val>
            <c:numRef>
              <c:f>(Outcomes!$I$66,Outcomes!$I$70,Outcomes!$I$73,Outcomes!$H$75)</c:f>
              <c:numCache>
                <c:formatCode>General</c:formatCode>
                <c:ptCount val="4"/>
                <c:pt idx="3" formatCode="0%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F4-421D-A7BE-BCAADC18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04980208"/>
        <c:axId val="1304979888"/>
      </c:barChart>
      <c:catAx>
        <c:axId val="132076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766960"/>
        <c:crosses val="autoZero"/>
        <c:auto val="1"/>
        <c:lblAlgn val="ctr"/>
        <c:lblOffset val="100"/>
        <c:noMultiLvlLbl val="0"/>
      </c:catAx>
      <c:valAx>
        <c:axId val="132076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766640"/>
        <c:crosses val="autoZero"/>
        <c:crossBetween val="between"/>
      </c:valAx>
      <c:catAx>
        <c:axId val="1304980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4979888"/>
        <c:crosses val="autoZero"/>
        <c:auto val="1"/>
        <c:lblAlgn val="ctr"/>
        <c:lblOffset val="100"/>
        <c:noMultiLvlLbl val="0"/>
      </c:catAx>
      <c:valAx>
        <c:axId val="1304979888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980208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Retention Milestones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areaChart>
        <c:grouping val="standard"/>
        <c:varyColors val="0"/>
        <c:ser>
          <c:idx val="3"/>
          <c:order val="0"/>
          <c:spPr>
            <a:solidFill>
              <a:schemeClr val="accent4"/>
            </a:solidFill>
            <a:ln>
              <a:noFill/>
              <a:prstDash val="solid"/>
            </a:ln>
          </c:spPr>
          <c:cat>
            <c:strRef>
              <c:f>(Outcomes!$B$78,Outcomes!$B$81,Outcomes!$B$84,Outcomes!$B$87,Outcomes!$B$90)</c:f>
              <c:strCache>
                <c:ptCount val="5"/>
                <c:pt idx="0">
                  <c:v>Sub 30 Day Retention</c:v>
                </c:pt>
                <c:pt idx="1">
                  <c:v>30 Day Retention</c:v>
                </c:pt>
                <c:pt idx="2">
                  <c:v>90 Day Retention</c:v>
                </c:pt>
                <c:pt idx="3">
                  <c:v>180 Retention</c:v>
                </c:pt>
                <c:pt idx="4">
                  <c:v>360 Day Retention</c:v>
                </c:pt>
              </c:strCache>
            </c:strRef>
          </c:cat>
          <c:val>
            <c:numRef>
              <c:f>(Outcomes!$F$78,Outcomes!$F$81,Outcomes!$F$84,Outcomes!$F$87,Outcomes!$F$90)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11</c:v>
                </c:pt>
                <c:pt idx="3">
                  <c:v>8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3E-4D27-8DA5-3DBDE1897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areaChart>
      <c:catAx>
        <c:axId val="1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Retention Status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3"/>
          <c:order val="0"/>
          <c: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Outcomes!$B$93:$B$104</c:f>
              <c:strCache>
                <c:ptCount val="10"/>
                <c:pt idx="0">
                  <c:v>Still Working</c:v>
                </c:pt>
                <c:pt idx="3">
                  <c:v>Not Working</c:v>
                </c:pt>
                <c:pt idx="6">
                  <c:v>Advancement</c:v>
                </c:pt>
                <c:pt idx="9">
                  <c:v>Call Needed</c:v>
                </c:pt>
              </c:strCache>
            </c:strRef>
          </c:cat>
          <c:val>
            <c:numRef>
              <c:f>Outcomes!$F$93:$F$104</c:f>
              <c:numCache>
                <c:formatCode>General</c:formatCode>
                <c:ptCount val="12"/>
                <c:pt idx="0">
                  <c:v>11</c:v>
                </c:pt>
                <c:pt idx="3">
                  <c:v>8</c:v>
                </c:pt>
                <c:pt idx="6">
                  <c:v>7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E0-41CB-8EFE-A85FBD332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20809200"/>
        <c:axId val="1320809520"/>
      </c:barChart>
      <c:catAx>
        <c:axId val="1320809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809520"/>
        <c:crosses val="autoZero"/>
        <c:auto val="1"/>
        <c:lblAlgn val="ctr"/>
        <c:lblOffset val="100"/>
        <c:noMultiLvlLbl val="0"/>
      </c:catAx>
      <c:valAx>
        <c:axId val="132080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809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2380</xdr:colOff>
      <xdr:row>10</xdr:row>
      <xdr:rowOff>4763</xdr:rowOff>
    </xdr:from>
    <xdr:to>
      <xdr:col>18</xdr:col>
      <xdr:colOff>642938</xdr:colOff>
      <xdr:row>30</xdr:row>
      <xdr:rowOff>52386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9E3D56-E442-4513-BF58-0ECE397FDC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645318</xdr:colOff>
      <xdr:row>31</xdr:row>
      <xdr:rowOff>164305</xdr:rowOff>
    </xdr:from>
    <xdr:to>
      <xdr:col>19</xdr:col>
      <xdr:colOff>19049</xdr:colOff>
      <xdr:row>52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B1C2B1-2CDB-4CE7-A18F-05600EB7B1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631031</xdr:colOff>
      <xdr:row>53</xdr:row>
      <xdr:rowOff>169068</xdr:rowOff>
    </xdr:from>
    <xdr:to>
      <xdr:col>19</xdr:col>
      <xdr:colOff>28575</xdr:colOff>
      <xdr:row>79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C913D9-75AB-42AE-9DC1-194153913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642938</xdr:colOff>
      <xdr:row>81</xdr:row>
      <xdr:rowOff>73818</xdr:rowOff>
    </xdr:from>
    <xdr:to>
      <xdr:col>18</xdr:col>
      <xdr:colOff>638175</xdr:colOff>
      <xdr:row>93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208C00-C780-45EF-83A1-D76DF646E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</xdr:colOff>
      <xdr:row>96</xdr:row>
      <xdr:rowOff>26193</xdr:rowOff>
    </xdr:from>
    <xdr:to>
      <xdr:col>18</xdr:col>
      <xdr:colOff>642939</xdr:colOff>
      <xdr:row>115</xdr:row>
      <xdr:rowOff>33338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F3119C-536F-4336-B90F-521C2BD3DF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</xdr:colOff>
      <xdr:row>117</xdr:row>
      <xdr:rowOff>0</xdr:rowOff>
    </xdr:from>
    <xdr:to>
      <xdr:col>19</xdr:col>
      <xdr:colOff>19050</xdr:colOff>
      <xdr:row>131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CDFE28-EF2F-44D4-B4F5-C39AEA039E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133</xdr:row>
      <xdr:rowOff>21431</xdr:rowOff>
    </xdr:from>
    <xdr:to>
      <xdr:col>19</xdr:col>
      <xdr:colOff>4763</xdr:colOff>
      <xdr:row>162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C581A9-1F84-42B6-B245-E78D391B18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4762</xdr:colOff>
      <xdr:row>163</xdr:row>
      <xdr:rowOff>164306</xdr:rowOff>
    </xdr:from>
    <xdr:to>
      <xdr:col>19</xdr:col>
      <xdr:colOff>4763</xdr:colOff>
      <xdr:row>193</xdr:row>
      <xdr:rowOff>57150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E339670-CBAC-44EB-9505-ABE3B74E60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4764</xdr:colOff>
      <xdr:row>195</xdr:row>
      <xdr:rowOff>26193</xdr:rowOff>
    </xdr:from>
    <xdr:to>
      <xdr:col>19</xdr:col>
      <xdr:colOff>0</xdr:colOff>
      <xdr:row>218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BDB71AC-EF46-4C06-91BE-F686722732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4764</xdr:colOff>
      <xdr:row>219</xdr:row>
      <xdr:rowOff>73818</xdr:rowOff>
    </xdr:from>
    <xdr:to>
      <xdr:col>19</xdr:col>
      <xdr:colOff>4763</xdr:colOff>
      <xdr:row>234</xdr:row>
      <xdr:rowOff>42862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6D1556D-5AE5-4A33-A500-831444EF03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14006</xdr:colOff>
      <xdr:row>311</xdr:row>
      <xdr:rowOff>123266</xdr:rowOff>
    </xdr:from>
    <xdr:to>
      <xdr:col>18</xdr:col>
      <xdr:colOff>649940</xdr:colOff>
      <xdr:row>344</xdr:row>
      <xdr:rowOff>5604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6E2E84C-853F-43D7-AA30-80DC79648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14005</xdr:colOff>
      <xdr:row>236</xdr:row>
      <xdr:rowOff>3923</xdr:rowOff>
    </xdr:from>
    <xdr:to>
      <xdr:col>19</xdr:col>
      <xdr:colOff>5602</xdr:colOff>
      <xdr:row>310</xdr:row>
      <xdr:rowOff>11206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2B96FB8-BE96-4CBD-8E11-AF89BB7776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10</xdr:row>
      <xdr:rowOff>1</xdr:rowOff>
    </xdr:from>
    <xdr:to>
      <xdr:col>19</xdr:col>
      <xdr:colOff>0</xdr:colOff>
      <xdr:row>39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41</xdr:row>
      <xdr:rowOff>17970</xdr:rowOff>
    </xdr:from>
    <xdr:to>
      <xdr:col>18</xdr:col>
      <xdr:colOff>647699</xdr:colOff>
      <xdr:row>58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647699</xdr:colOff>
      <xdr:row>60</xdr:row>
      <xdr:rowOff>0</xdr:rowOff>
    </xdr:from>
    <xdr:to>
      <xdr:col>18</xdr:col>
      <xdr:colOff>642938</xdr:colOff>
      <xdr:row>77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4762</xdr:colOff>
      <xdr:row>79</xdr:row>
      <xdr:rowOff>76200</xdr:rowOff>
    </xdr:from>
    <xdr:to>
      <xdr:col>18</xdr:col>
      <xdr:colOff>647699</xdr:colOff>
      <xdr:row>94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96</xdr:row>
      <xdr:rowOff>0</xdr:rowOff>
    </xdr:from>
    <xdr:to>
      <xdr:col>18</xdr:col>
      <xdr:colOff>647699</xdr:colOff>
      <xdr:row>110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plete%20Client%20Directory%20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ory"/>
      <sheetName val="Demographics"/>
      <sheetName val="Outcomes"/>
      <sheetName val="Client Lists"/>
      <sheetName val="Data"/>
    </sheetNames>
    <sheetDataSet>
      <sheetData sheetId="0"/>
      <sheetData sheetId="1">
        <row r="11">
          <cell r="B11" t="str">
            <v>Quarterly Registrants</v>
          </cell>
        </row>
        <row r="16">
          <cell r="F16">
            <v>332</v>
          </cell>
        </row>
        <row r="19">
          <cell r="F19">
            <v>317</v>
          </cell>
        </row>
        <row r="22">
          <cell r="F22">
            <v>309</v>
          </cell>
        </row>
        <row r="25">
          <cell r="F25">
            <v>295</v>
          </cell>
        </row>
        <row r="33">
          <cell r="B33" t="str">
            <v>Quarterly Enrollment</v>
          </cell>
        </row>
        <row r="38">
          <cell r="B38" t="str">
            <v>Quarter 1</v>
          </cell>
          <cell r="F38">
            <v>239</v>
          </cell>
          <cell r="H38">
            <v>0.71987951807228912</v>
          </cell>
        </row>
        <row r="41">
          <cell r="B41" t="str">
            <v>Quarter 2</v>
          </cell>
          <cell r="F41">
            <v>229</v>
          </cell>
          <cell r="H41">
            <v>0.72239747634069396</v>
          </cell>
        </row>
        <row r="44">
          <cell r="B44" t="str">
            <v xml:space="preserve">Quarter 3 </v>
          </cell>
          <cell r="F44">
            <v>224</v>
          </cell>
          <cell r="H44">
            <v>0.72491909385113273</v>
          </cell>
        </row>
        <row r="47">
          <cell r="B47" t="str">
            <v>Quarter 4</v>
          </cell>
          <cell r="F47">
            <v>219</v>
          </cell>
          <cell r="H47">
            <v>0.74237288135593216</v>
          </cell>
        </row>
        <row r="55">
          <cell r="B55" t="str">
            <v>Coach Caseloads</v>
          </cell>
        </row>
        <row r="60">
          <cell r="B60" t="str">
            <v>CH</v>
          </cell>
          <cell r="F60" t="e">
            <v>#REF!</v>
          </cell>
        </row>
        <row r="63">
          <cell r="B63" t="str">
            <v>KD</v>
          </cell>
          <cell r="F63" t="e">
            <v>#REF!</v>
          </cell>
        </row>
        <row r="66">
          <cell r="B66" t="str">
            <v>ML</v>
          </cell>
          <cell r="F66" t="e">
            <v>#REF!</v>
          </cell>
        </row>
        <row r="69">
          <cell r="B69" t="str">
            <v>RB</v>
          </cell>
          <cell r="F69" t="e">
            <v>#REF!</v>
          </cell>
        </row>
        <row r="72">
          <cell r="B72" t="str">
            <v>RG</v>
          </cell>
          <cell r="F72" t="e">
            <v>#REF!</v>
          </cell>
        </row>
        <row r="75">
          <cell r="B75" t="str">
            <v>RV</v>
          </cell>
          <cell r="F75" t="e">
            <v>#REF!</v>
          </cell>
        </row>
        <row r="78">
          <cell r="B78" t="str">
            <v>SH</v>
          </cell>
          <cell r="F78" t="e">
            <v>#REF!</v>
          </cell>
        </row>
        <row r="83">
          <cell r="B83" t="str">
            <v>Gender</v>
          </cell>
        </row>
        <row r="88">
          <cell r="B88" t="str">
            <v>Female</v>
          </cell>
          <cell r="F88">
            <v>369</v>
          </cell>
        </row>
        <row r="91">
          <cell r="B91" t="str">
            <v>Male</v>
          </cell>
          <cell r="F91">
            <v>537</v>
          </cell>
        </row>
        <row r="96">
          <cell r="B96" t="str">
            <v>Age Group</v>
          </cell>
        </row>
        <row r="101">
          <cell r="B101" t="str">
            <v>&lt; 25</v>
          </cell>
          <cell r="F101">
            <v>173</v>
          </cell>
        </row>
        <row r="104">
          <cell r="B104" t="str">
            <v>25-35</v>
          </cell>
          <cell r="F104">
            <v>311</v>
          </cell>
        </row>
        <row r="107">
          <cell r="B107" t="str">
            <v>36-45</v>
          </cell>
          <cell r="F107">
            <v>196</v>
          </cell>
        </row>
        <row r="110">
          <cell r="B110" t="str">
            <v>46-65</v>
          </cell>
          <cell r="F110">
            <v>221</v>
          </cell>
        </row>
        <row r="113">
          <cell r="B113" t="str">
            <v>65+</v>
          </cell>
          <cell r="F113">
            <v>10</v>
          </cell>
        </row>
        <row r="118">
          <cell r="B118" t="str">
            <v>Race</v>
          </cell>
        </row>
        <row r="123">
          <cell r="B123" t="str">
            <v>Black or African American</v>
          </cell>
          <cell r="F123">
            <v>832</v>
          </cell>
        </row>
        <row r="126">
          <cell r="B126" t="str">
            <v>White</v>
          </cell>
          <cell r="F126">
            <v>42</v>
          </cell>
        </row>
        <row r="129">
          <cell r="B129" t="str">
            <v>Other</v>
          </cell>
          <cell r="F129">
            <v>37</v>
          </cell>
        </row>
        <row r="134">
          <cell r="B134" t="str">
            <v>Source</v>
          </cell>
        </row>
        <row r="139">
          <cell r="B139" t="str">
            <v>Word of Mouth</v>
          </cell>
          <cell r="F139">
            <v>392</v>
          </cell>
        </row>
        <row r="142">
          <cell r="B142" t="str">
            <v>Community Location</v>
          </cell>
          <cell r="F142">
            <v>21</v>
          </cell>
        </row>
        <row r="145">
          <cell r="B145" t="str">
            <v>Facebook</v>
          </cell>
          <cell r="F145">
            <v>63</v>
          </cell>
        </row>
        <row r="148">
          <cell r="B148" t="str">
            <v>Internet Search</v>
          </cell>
          <cell r="F148">
            <v>82</v>
          </cell>
        </row>
        <row r="151">
          <cell r="B151" t="str">
            <v>MND Client/Graduate</v>
          </cell>
          <cell r="F151">
            <v>35</v>
          </cell>
        </row>
        <row r="154">
          <cell r="B154" t="str">
            <v>Flyer</v>
          </cell>
          <cell r="F154">
            <v>15</v>
          </cell>
        </row>
        <row r="160">
          <cell r="B160" t="str">
            <v>Other</v>
          </cell>
          <cell r="F160">
            <v>300</v>
          </cell>
        </row>
        <row r="165">
          <cell r="B165" t="str">
            <v>Income Sources</v>
          </cell>
        </row>
        <row r="170">
          <cell r="B170" t="str">
            <v>None</v>
          </cell>
          <cell r="F170">
            <v>337</v>
          </cell>
        </row>
        <row r="173">
          <cell r="B173" t="str">
            <v>Salary and Wages</v>
          </cell>
          <cell r="F173">
            <v>102</v>
          </cell>
        </row>
        <row r="176">
          <cell r="B176" t="str">
            <v>Unemployment</v>
          </cell>
          <cell r="F176">
            <v>62</v>
          </cell>
        </row>
        <row r="179">
          <cell r="B179" t="str">
            <v>TCA or Cash Assistance</v>
          </cell>
          <cell r="F179">
            <v>35</v>
          </cell>
        </row>
        <row r="182">
          <cell r="B182" t="str">
            <v>SSDI</v>
          </cell>
          <cell r="F182">
            <v>48</v>
          </cell>
        </row>
        <row r="185">
          <cell r="B185" t="str">
            <v>SNAP/Food Stamps</v>
          </cell>
          <cell r="F185">
            <v>17</v>
          </cell>
        </row>
        <row r="188">
          <cell r="B188" t="str">
            <v>Child Support</v>
          </cell>
          <cell r="F188">
            <v>14</v>
          </cell>
        </row>
        <row r="191">
          <cell r="B191" t="str">
            <v>SSI</v>
          </cell>
          <cell r="F191">
            <v>81</v>
          </cell>
        </row>
        <row r="196">
          <cell r="B196" t="str">
            <v>Time Unemployed</v>
          </cell>
        </row>
        <row r="201">
          <cell r="B201" t="str">
            <v>1 year or longer</v>
          </cell>
          <cell r="F201" t="e">
            <v>#REF!</v>
          </cell>
        </row>
        <row r="204">
          <cell r="B204" t="str">
            <v>Currently employed</v>
          </cell>
          <cell r="F204" t="e">
            <v>#REF!</v>
          </cell>
        </row>
        <row r="207">
          <cell r="B207" t="str">
            <v>1 to 3 months</v>
          </cell>
          <cell r="F207" t="e">
            <v>#REF!</v>
          </cell>
        </row>
        <row r="210">
          <cell r="B210" t="str">
            <v>4 to 6 months</v>
          </cell>
          <cell r="F210" t="e">
            <v>#REF!</v>
          </cell>
        </row>
        <row r="213">
          <cell r="B213" t="str">
            <v>7 to 12 months</v>
          </cell>
          <cell r="F213" t="e">
            <v>#REF!</v>
          </cell>
        </row>
        <row r="216">
          <cell r="B216" t="str">
            <v>Less than 1 month</v>
          </cell>
          <cell r="F216" t="e">
            <v>#REF!</v>
          </cell>
        </row>
        <row r="221">
          <cell r="B221" t="str">
            <v>Income Category</v>
          </cell>
        </row>
        <row r="226">
          <cell r="B226" t="str">
            <v>Extremely Low Income</v>
          </cell>
          <cell r="F226">
            <v>781</v>
          </cell>
        </row>
        <row r="229">
          <cell r="B229" t="str">
            <v>Low Income</v>
          </cell>
          <cell r="F229">
            <v>65</v>
          </cell>
        </row>
        <row r="232">
          <cell r="B232" t="str">
            <v>Moderate Income</v>
          </cell>
          <cell r="F232">
            <v>23</v>
          </cell>
        </row>
        <row r="242">
          <cell r="B242" t="str">
            <v>No Valid Dl</v>
          </cell>
          <cell r="F242">
            <v>378</v>
          </cell>
        </row>
        <row r="245">
          <cell r="B245" t="str">
            <v>No Vehicle</v>
          </cell>
          <cell r="F245">
            <v>493</v>
          </cell>
        </row>
        <row r="248">
          <cell r="B248" t="str">
            <v>Single w/Children</v>
          </cell>
          <cell r="F248">
            <v>180</v>
          </cell>
        </row>
        <row r="251">
          <cell r="B251" t="str">
            <v>Transitional Home</v>
          </cell>
          <cell r="F251">
            <v>110</v>
          </cell>
        </row>
        <row r="254">
          <cell r="B254" t="str">
            <v>Criminal Conviction</v>
          </cell>
          <cell r="F254">
            <v>268</v>
          </cell>
        </row>
        <row r="257">
          <cell r="B257" t="str">
            <v>Substance Abuse History</v>
          </cell>
          <cell r="F257">
            <v>104</v>
          </cell>
        </row>
        <row r="318">
          <cell r="B318" t="str">
            <v>CDBG</v>
          </cell>
          <cell r="F318">
            <v>705</v>
          </cell>
        </row>
        <row r="321">
          <cell r="B321" t="str">
            <v>DOL Opioid</v>
          </cell>
          <cell r="F321">
            <v>15</v>
          </cell>
        </row>
        <row r="324">
          <cell r="B324" t="str">
            <v>EARN</v>
          </cell>
          <cell r="F324">
            <v>214</v>
          </cell>
        </row>
        <row r="327">
          <cell r="B327" t="str">
            <v>Grads2Careers</v>
          </cell>
          <cell r="F327">
            <v>76</v>
          </cell>
        </row>
        <row r="330">
          <cell r="B330" t="str">
            <v>MOED Opioid</v>
          </cell>
          <cell r="F330">
            <v>31</v>
          </cell>
        </row>
        <row r="333">
          <cell r="B333" t="str">
            <v>OWIF</v>
          </cell>
          <cell r="F333">
            <v>61</v>
          </cell>
        </row>
        <row r="336">
          <cell r="B336" t="str">
            <v>SNAP</v>
          </cell>
          <cell r="F336">
            <v>100</v>
          </cell>
        </row>
        <row r="339">
          <cell r="B339" t="str">
            <v>Train Up</v>
          </cell>
          <cell r="F339">
            <v>60</v>
          </cell>
        </row>
        <row r="342">
          <cell r="B342" t="str">
            <v>WIOA</v>
          </cell>
          <cell r="F342">
            <v>44</v>
          </cell>
        </row>
      </sheetData>
      <sheetData sheetId="2">
        <row r="19">
          <cell r="F19">
            <v>911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A11E-8D31-4833-B861-F54DFDE4DB93}">
  <dimension ref="B3:S344"/>
  <sheetViews>
    <sheetView tabSelected="1" zoomScale="85" zoomScaleNormal="85" workbookViewId="0">
      <pane ySplit="8" topLeftCell="A9" activePane="bottomLeft" state="frozen"/>
      <selection pane="bottomLeft" activeCell="F19" sqref="F19:G21"/>
    </sheetView>
  </sheetViews>
  <sheetFormatPr defaultColWidth="9.1328125" defaultRowHeight="14.25" x14ac:dyDescent="0.45"/>
  <cols>
    <col min="1" max="7" width="9.1328125" style="7" customWidth="1"/>
    <col min="8" max="8" width="14.265625" style="7" bestFit="1" customWidth="1"/>
    <col min="9" max="94" width="9.1328125" style="7" customWidth="1"/>
    <col min="95" max="16384" width="9.1328125" style="7"/>
  </cols>
  <sheetData>
    <row r="3" spans="2:19" x14ac:dyDescent="0.45">
      <c r="B3" s="26" t="s">
        <v>3</v>
      </c>
      <c r="C3" s="11"/>
      <c r="D3" s="11"/>
      <c r="E3" s="11"/>
      <c r="F3" s="11"/>
      <c r="G3" s="11"/>
      <c r="H3" s="11"/>
      <c r="K3" s="26" t="s">
        <v>622</v>
      </c>
      <c r="L3" s="11"/>
      <c r="M3" s="11"/>
      <c r="N3" s="11"/>
      <c r="O3" s="11"/>
      <c r="P3" s="11"/>
      <c r="Q3" s="11"/>
      <c r="R3" s="11"/>
      <c r="S3" s="11"/>
    </row>
    <row r="4" spans="2:19" x14ac:dyDescent="0.45">
      <c r="B4" s="11"/>
      <c r="C4" s="11"/>
      <c r="D4" s="11"/>
      <c r="E4" s="11"/>
      <c r="F4" s="11"/>
      <c r="G4" s="11"/>
      <c r="H4" s="11"/>
      <c r="K4" s="11"/>
      <c r="L4" s="11"/>
      <c r="M4" s="11"/>
      <c r="N4" s="11"/>
      <c r="O4" s="11"/>
      <c r="P4" s="11"/>
      <c r="Q4" s="11"/>
      <c r="R4" s="11"/>
      <c r="S4" s="11"/>
    </row>
    <row r="5" spans="2:19" x14ac:dyDescent="0.45">
      <c r="B5" s="11"/>
      <c r="C5" s="11"/>
      <c r="D5" s="11"/>
      <c r="E5" s="11"/>
      <c r="F5" s="11"/>
      <c r="G5" s="11"/>
      <c r="H5" s="11"/>
      <c r="K5" s="11"/>
      <c r="L5" s="11"/>
      <c r="M5" s="11"/>
      <c r="N5" s="11"/>
      <c r="O5" s="11"/>
      <c r="P5" s="11"/>
      <c r="Q5" s="11"/>
      <c r="R5" s="11"/>
      <c r="S5" s="11"/>
    </row>
    <row r="6" spans="2:19" x14ac:dyDescent="0.45">
      <c r="B6" s="27" t="s">
        <v>621</v>
      </c>
      <c r="C6" s="28"/>
      <c r="D6" s="28"/>
      <c r="E6" s="28"/>
      <c r="F6" s="28"/>
      <c r="G6" s="28"/>
      <c r="H6" s="28"/>
      <c r="K6" s="11"/>
      <c r="L6" s="11"/>
      <c r="M6" s="11"/>
      <c r="N6" s="11"/>
      <c r="O6" s="11"/>
      <c r="P6" s="11"/>
      <c r="Q6" s="11"/>
      <c r="R6" s="11"/>
      <c r="S6" s="11"/>
    </row>
    <row r="7" spans="2:19" x14ac:dyDescent="0.45">
      <c r="B7" s="28"/>
      <c r="C7" s="28"/>
      <c r="D7" s="28"/>
      <c r="E7" s="28"/>
      <c r="F7" s="28"/>
      <c r="G7" s="28"/>
      <c r="H7" s="28"/>
      <c r="K7" s="11"/>
      <c r="L7" s="11"/>
      <c r="M7" s="11"/>
      <c r="N7" s="11"/>
      <c r="O7" s="11"/>
      <c r="P7" s="11"/>
      <c r="Q7" s="11"/>
      <c r="R7" s="11"/>
      <c r="S7" s="11"/>
    </row>
    <row r="8" spans="2:19" x14ac:dyDescent="0.45">
      <c r="B8" s="28"/>
      <c r="C8" s="28"/>
      <c r="D8" s="28"/>
      <c r="E8" s="28"/>
      <c r="F8" s="28"/>
      <c r="G8" s="28"/>
      <c r="H8" s="28"/>
      <c r="K8" s="11"/>
      <c r="L8" s="11"/>
      <c r="M8" s="11"/>
      <c r="N8" s="11"/>
      <c r="O8" s="11"/>
      <c r="P8" s="11"/>
      <c r="Q8" s="11"/>
      <c r="R8" s="11"/>
      <c r="S8" s="11"/>
    </row>
    <row r="11" spans="2:19" x14ac:dyDescent="0.45">
      <c r="B11" s="10" t="s">
        <v>623</v>
      </c>
      <c r="C11" s="11"/>
      <c r="D11" s="11"/>
      <c r="E11" s="11"/>
      <c r="F11" s="11"/>
      <c r="G11" s="11"/>
      <c r="H11" s="11"/>
    </row>
    <row r="12" spans="2:19" x14ac:dyDescent="0.45">
      <c r="B12" s="11"/>
      <c r="C12" s="11"/>
      <c r="D12" s="11"/>
      <c r="E12" s="11"/>
      <c r="F12" s="11"/>
      <c r="G12" s="11"/>
      <c r="H12" s="11"/>
    </row>
    <row r="13" spans="2:19" x14ac:dyDescent="0.45">
      <c r="B13" s="11"/>
      <c r="C13" s="11"/>
      <c r="D13" s="11"/>
      <c r="E13" s="11"/>
      <c r="F13" s="11"/>
      <c r="G13" s="11"/>
      <c r="H13" s="11"/>
    </row>
    <row r="16" spans="2:19" ht="14.25" customHeight="1" x14ac:dyDescent="0.45">
      <c r="B16" s="29" t="s">
        <v>196</v>
      </c>
      <c r="C16" s="13"/>
      <c r="D16" s="13"/>
      <c r="E16" s="14"/>
      <c r="F16" s="29">
        <f>IF(
$B$6="2020-Present",
COUNTIFS(
INDEX(Data!$1:$1048576,0,MATCH("Intake Quarter",Data!$1:$1,0)),$B16),COUNTIFS(
INDEX(Data!$1:$1048576,0,MATCH("Intake FY",Data!$1:$1,0)),Demographics!$B$6,
INDEX(Data!$1:$1048576,0,MATCH("Intake Quarter",Data!$1:$1,0)),$B16))</f>
        <v>25</v>
      </c>
      <c r="G16" s="14"/>
      <c r="H16" s="30">
        <f>$F16/SUM($F$16:$G$27)</f>
        <v>0.19230769230769232</v>
      </c>
    </row>
    <row r="17" spans="2:8" x14ac:dyDescent="0.45">
      <c r="B17" s="15"/>
      <c r="C17" s="11"/>
      <c r="D17" s="11"/>
      <c r="E17" s="16"/>
      <c r="F17" s="15"/>
      <c r="G17" s="16"/>
      <c r="H17" s="22"/>
    </row>
    <row r="18" spans="2:8" ht="18.600000000000001" customHeight="1" x14ac:dyDescent="0.45">
      <c r="B18" s="17"/>
      <c r="C18" s="18"/>
      <c r="D18" s="18"/>
      <c r="E18" s="19"/>
      <c r="F18" s="17"/>
      <c r="G18" s="19"/>
      <c r="H18" s="23"/>
    </row>
    <row r="19" spans="2:8" ht="14.45" customHeight="1" x14ac:dyDescent="0.45">
      <c r="B19" s="29" t="s">
        <v>290</v>
      </c>
      <c r="C19" s="13"/>
      <c r="D19" s="13"/>
      <c r="E19" s="14"/>
      <c r="F19" s="29">
        <f>IF(
$B$6="2020-Present",
COUNTIFS(
INDEX(Data!$1:$1048576,0,MATCH("Intake Quarter",Data!$1:$1,0)),$B19),COUNTIFS(
INDEX(Data!$1:$1048576,0,MATCH("Intake FY",Data!$1:$1,0)),Demographics!$B$6,
INDEX(Data!$1:$1048576,0,MATCH("Intake Quarter",Data!$1:$1,0)),$B19))</f>
        <v>12</v>
      </c>
      <c r="G19" s="14"/>
      <c r="H19" s="30">
        <f>$F19/SUM($F$16:$G$27)</f>
        <v>9.2307692307692313E-2</v>
      </c>
    </row>
    <row r="20" spans="2:8" ht="14.45" customHeight="1" x14ac:dyDescent="0.45">
      <c r="B20" s="15"/>
      <c r="C20" s="11"/>
      <c r="D20" s="11"/>
      <c r="E20" s="16"/>
      <c r="F20" s="15"/>
      <c r="G20" s="16"/>
      <c r="H20" s="22"/>
    </row>
    <row r="21" spans="2:8" ht="14.45" customHeight="1" x14ac:dyDescent="0.45">
      <c r="B21" s="17"/>
      <c r="C21" s="18"/>
      <c r="D21" s="18"/>
      <c r="E21" s="19"/>
      <c r="F21" s="17"/>
      <c r="G21" s="19"/>
      <c r="H21" s="23"/>
    </row>
    <row r="22" spans="2:8" ht="14.25" customHeight="1" x14ac:dyDescent="0.45">
      <c r="B22" s="29" t="s">
        <v>209</v>
      </c>
      <c r="C22" s="13"/>
      <c r="D22" s="13"/>
      <c r="E22" s="14"/>
      <c r="F22" s="29">
        <f>IF(
$B$6="2020-Present",
COUNTIFS(
INDEX(Data!$1:$1048576,0,MATCH("Intake Quarter",Data!$1:$1,0)),$B22),COUNTIFS(
INDEX(Data!$1:$1048576,0,MATCH("Intake FY",Data!$1:$1,0)),Demographics!$B$6,
INDEX(Data!$1:$1048576,0,MATCH("Intake Quarter",Data!$1:$1,0)),$B22))</f>
        <v>44</v>
      </c>
      <c r="G22" s="14"/>
      <c r="H22" s="30">
        <f>$F22/SUM($F$16:$G$27)</f>
        <v>0.33846153846153848</v>
      </c>
    </row>
    <row r="23" spans="2:8" ht="14.25" customHeight="1" x14ac:dyDescent="0.45">
      <c r="B23" s="15"/>
      <c r="C23" s="11"/>
      <c r="D23" s="11"/>
      <c r="E23" s="16"/>
      <c r="F23" s="15"/>
      <c r="G23" s="16"/>
      <c r="H23" s="22"/>
    </row>
    <row r="24" spans="2:8" ht="14.25" customHeight="1" x14ac:dyDescent="0.45">
      <c r="B24" s="17"/>
      <c r="C24" s="18"/>
      <c r="D24" s="18"/>
      <c r="E24" s="19"/>
      <c r="F24" s="17"/>
      <c r="G24" s="19"/>
      <c r="H24" s="23"/>
    </row>
    <row r="25" spans="2:8" ht="14.25" customHeight="1" x14ac:dyDescent="0.45">
      <c r="B25" s="29" t="s">
        <v>208</v>
      </c>
      <c r="C25" s="13"/>
      <c r="D25" s="13"/>
      <c r="E25" s="14"/>
      <c r="F25" s="29">
        <f>IF(
$B$6="2020-Present",
COUNTIFS(
INDEX(Data!$1:$1048576,0,MATCH("Intake Quarter",Data!$1:$1,0)),$B25),COUNTIFS(
INDEX(Data!$1:$1048576,0,MATCH("Intake FY",Data!$1:$1,0)),Demographics!$B$6,
INDEX(Data!$1:$1048576,0,MATCH("Intake Quarter",Data!$1:$1,0)),$B25))</f>
        <v>49</v>
      </c>
      <c r="G25" s="14"/>
      <c r="H25" s="30">
        <f>$F25/SUM($F$16:$G$27)</f>
        <v>0.37692307692307692</v>
      </c>
    </row>
    <row r="26" spans="2:8" ht="14.25" customHeight="1" x14ac:dyDescent="0.45">
      <c r="B26" s="15"/>
      <c r="C26" s="11"/>
      <c r="D26" s="11"/>
      <c r="E26" s="16"/>
      <c r="F26" s="15"/>
      <c r="G26" s="16"/>
      <c r="H26" s="22"/>
    </row>
    <row r="27" spans="2:8" ht="14.25" customHeight="1" x14ac:dyDescent="0.45">
      <c r="B27" s="17"/>
      <c r="C27" s="18"/>
      <c r="D27" s="18"/>
      <c r="E27" s="19"/>
      <c r="F27" s="17"/>
      <c r="G27" s="19"/>
      <c r="H27" s="23"/>
    </row>
    <row r="28" spans="2:8" ht="14.25" customHeight="1" x14ac:dyDescent="0.45">
      <c r="B28" s="29" t="s">
        <v>70</v>
      </c>
      <c r="C28" s="13"/>
      <c r="D28" s="13"/>
      <c r="E28" s="14"/>
      <c r="F28" s="31">
        <f>SUM(F16:G27)</f>
        <v>130</v>
      </c>
      <c r="G28" s="13"/>
      <c r="H28" s="14"/>
    </row>
    <row r="29" spans="2:8" ht="14.25" customHeight="1" x14ac:dyDescent="0.45">
      <c r="B29" s="15"/>
      <c r="C29" s="11"/>
      <c r="D29" s="11"/>
      <c r="E29" s="16"/>
      <c r="F29" s="15"/>
      <c r="G29" s="11"/>
      <c r="H29" s="16"/>
    </row>
    <row r="30" spans="2:8" ht="14.25" customHeight="1" x14ac:dyDescent="0.45">
      <c r="B30" s="17"/>
      <c r="C30" s="18"/>
      <c r="D30" s="18"/>
      <c r="E30" s="19"/>
      <c r="F30" s="15"/>
      <c r="G30" s="11"/>
      <c r="H30" s="16"/>
    </row>
    <row r="31" spans="2:8" ht="14.25" customHeight="1" x14ac:dyDescent="0.45"/>
    <row r="32" spans="2:8" ht="14.25" customHeight="1" x14ac:dyDescent="0.45"/>
    <row r="33" spans="2:8" ht="14.25" customHeight="1" x14ac:dyDescent="0.45">
      <c r="B33" s="32" t="s">
        <v>624</v>
      </c>
      <c r="C33" s="11"/>
      <c r="D33" s="11"/>
      <c r="E33" s="11"/>
      <c r="F33" s="11"/>
      <c r="G33" s="11"/>
      <c r="H33" s="16"/>
    </row>
    <row r="34" spans="2:8" ht="14.25" customHeight="1" x14ac:dyDescent="0.45">
      <c r="B34" s="15"/>
      <c r="C34" s="11"/>
      <c r="D34" s="11"/>
      <c r="E34" s="11"/>
      <c r="F34" s="11"/>
      <c r="G34" s="11"/>
      <c r="H34" s="16"/>
    </row>
    <row r="35" spans="2:8" ht="14.25" customHeight="1" x14ac:dyDescent="0.45">
      <c r="B35" s="15"/>
      <c r="C35" s="11"/>
      <c r="D35" s="11"/>
      <c r="E35" s="11"/>
      <c r="F35" s="11"/>
      <c r="G35" s="11"/>
      <c r="H35" s="16"/>
    </row>
    <row r="36" spans="2:8" ht="14.25" customHeight="1" x14ac:dyDescent="0.45">
      <c r="B36" s="33"/>
      <c r="C36" s="33"/>
      <c r="D36" s="33"/>
      <c r="E36" s="33"/>
      <c r="F36" s="33"/>
      <c r="G36" s="33"/>
      <c r="H36" s="33"/>
    </row>
    <row r="37" spans="2:8" ht="14.25" customHeight="1" x14ac:dyDescent="0.45">
      <c r="B37" s="33"/>
      <c r="C37" s="33"/>
      <c r="D37" s="33"/>
      <c r="E37" s="33"/>
      <c r="F37" s="33"/>
      <c r="G37" s="33"/>
      <c r="H37" s="33"/>
    </row>
    <row r="38" spans="2:8" ht="14.25" customHeight="1" x14ac:dyDescent="0.45">
      <c r="B38" s="34" t="s">
        <v>196</v>
      </c>
      <c r="C38" s="13"/>
      <c r="D38" s="13"/>
      <c r="E38" s="14"/>
      <c r="F38" s="34">
        <f>IF(
$B$6="2020-Present",
COUNTIFS(
INDEX(Data!$1:$1048576,0,MATCH("Intake Quarter",Data!$1:$1,0)),$B16,
INDEX(Data!$1:$1048576,0,MATCH("Enrollment Satisfied",Data!$1:$1,0)),"Yes"),
COUNTIFS(
INDEX(Data!$1:$1048576,0,MATCH("Intake FY",Data!$1:$1,0)),Demographics!$B$6,
INDEX(Data!$1:$1048576,0,MATCH("Intake Quarter",Data!$1:$1,0)),$B16,
INDEX(Data!$1:$1048576,0,MATCH("Enrollment Satisfied",Data!$1:$1,0)),"Yes"))</f>
        <v>14</v>
      </c>
      <c r="G38" s="14"/>
      <c r="H38" s="35">
        <f>$F38/$F16</f>
        <v>0.56000000000000005</v>
      </c>
    </row>
    <row r="39" spans="2:8" ht="14.25" customHeight="1" x14ac:dyDescent="0.45">
      <c r="B39" s="15"/>
      <c r="C39" s="11"/>
      <c r="D39" s="11"/>
      <c r="E39" s="16"/>
      <c r="F39" s="15"/>
      <c r="G39" s="16"/>
      <c r="H39" s="22"/>
    </row>
    <row r="40" spans="2:8" ht="14.25" customHeight="1" x14ac:dyDescent="0.45">
      <c r="B40" s="17"/>
      <c r="C40" s="18"/>
      <c r="D40" s="18"/>
      <c r="E40" s="19"/>
      <c r="F40" s="17"/>
      <c r="G40" s="19"/>
      <c r="H40" s="23"/>
    </row>
    <row r="41" spans="2:8" ht="14.25" customHeight="1" x14ac:dyDescent="0.45">
      <c r="B41" s="34" t="s">
        <v>290</v>
      </c>
      <c r="C41" s="13"/>
      <c r="D41" s="13"/>
      <c r="E41" s="14"/>
      <c r="F41" s="34">
        <f>IF(
$B$6="2020-Present",
COUNTIFS(
INDEX(Data!$1:$1048576,0,MATCH("Intake Quarter",Data!$1:$1,0)),$B19,
INDEX(Data!$1:$1048576,0,MATCH("Enrollment Satisfied",Data!$1:$1,0)),"Yes"),
COUNTIFS(
INDEX(Data!$1:$1048576,0,MATCH("Intake FY",Data!$1:$1,0)),Demographics!$B$6,
INDEX(Data!$1:$1048576,0,MATCH("Intake Quarter",Data!$1:$1,0)),$B19,
INDEX(Data!$1:$1048576,0,MATCH("Enrollment Satisfied",Data!$1:$1,0)),"Yes"))</f>
        <v>7</v>
      </c>
      <c r="G41" s="14"/>
      <c r="H41" s="35">
        <f>$F41/$F19</f>
        <v>0.58333333333333337</v>
      </c>
    </row>
    <row r="42" spans="2:8" ht="14.25" customHeight="1" x14ac:dyDescent="0.45">
      <c r="B42" s="15"/>
      <c r="C42" s="11"/>
      <c r="D42" s="11"/>
      <c r="E42" s="16"/>
      <c r="F42" s="15"/>
      <c r="G42" s="16"/>
      <c r="H42" s="22"/>
    </row>
    <row r="43" spans="2:8" ht="14.25" customHeight="1" x14ac:dyDescent="0.45">
      <c r="B43" s="17"/>
      <c r="C43" s="18"/>
      <c r="D43" s="18"/>
      <c r="E43" s="19"/>
      <c r="F43" s="17"/>
      <c r="G43" s="19"/>
      <c r="H43" s="23"/>
    </row>
    <row r="44" spans="2:8" ht="14.25" customHeight="1" x14ac:dyDescent="0.45">
      <c r="B44" s="34" t="s">
        <v>625</v>
      </c>
      <c r="C44" s="13"/>
      <c r="D44" s="13"/>
      <c r="E44" s="14"/>
      <c r="F44" s="34">
        <f>IF(
$B$6="2020-Present",
COUNTIFS(
INDEX(Data!$1:$1048576,0,MATCH("Intake Quarter",Data!$1:$1,0)),$B22,
INDEX(Data!$1:$1048576,0,MATCH("Enrollment Satisfied",Data!$1:$1,0)),"Yes"),
COUNTIFS(
INDEX(Data!$1:$1048576,0,MATCH("Intake FY",Data!$1:$1,0)),Demographics!$B$6,
INDEX(Data!$1:$1048576,0,MATCH("Intake Quarter",Data!$1:$1,0)),$B22,
INDEX(Data!$1:$1048576,0,MATCH("Enrollment Satisfied",Data!$1:$1,0)),"Yes"))</f>
        <v>31</v>
      </c>
      <c r="G44" s="14"/>
      <c r="H44" s="35">
        <f>$F44/$F22</f>
        <v>0.70454545454545459</v>
      </c>
    </row>
    <row r="45" spans="2:8" ht="14.25" customHeight="1" x14ac:dyDescent="0.45">
      <c r="B45" s="15"/>
      <c r="C45" s="11"/>
      <c r="D45" s="11"/>
      <c r="E45" s="16"/>
      <c r="F45" s="15"/>
      <c r="G45" s="16"/>
      <c r="H45" s="22"/>
    </row>
    <row r="46" spans="2:8" ht="14.25" customHeight="1" x14ac:dyDescent="0.45">
      <c r="B46" s="17"/>
      <c r="C46" s="18"/>
      <c r="D46" s="18"/>
      <c r="E46" s="19"/>
      <c r="F46" s="17"/>
      <c r="G46" s="19"/>
      <c r="H46" s="23"/>
    </row>
    <row r="47" spans="2:8" ht="14.25" customHeight="1" x14ac:dyDescent="0.45">
      <c r="B47" s="34" t="s">
        <v>208</v>
      </c>
      <c r="C47" s="13"/>
      <c r="D47" s="13"/>
      <c r="E47" s="14"/>
      <c r="F47" s="34">
        <f>IF(
$B$6="2020-Present",
COUNTIFS(
INDEX(Data!$1:$1048576,0,MATCH("Intake Quarter",Data!$1:$1,0)),$B25,
INDEX(Data!$1:$1048576,0,MATCH("Enrollment Satisfied",Data!$1:$1,0)),"Yes"),
COUNTIFS(
INDEX(Data!$1:$1048576,0,MATCH("Intake FY",Data!$1:$1,0)),Demographics!$B$6,
INDEX(Data!$1:$1048576,0,MATCH("Intake Quarter",Data!$1:$1,0)),$B25,
INDEX(Data!$1:$1048576,0,MATCH("Enrollment Satisfied",Data!$1:$1,0)),"Yes"))</f>
        <v>32</v>
      </c>
      <c r="G47" s="14"/>
      <c r="H47" s="35">
        <f>$F47/$F25</f>
        <v>0.65306122448979587</v>
      </c>
    </row>
    <row r="48" spans="2:8" ht="14.25" customHeight="1" x14ac:dyDescent="0.45">
      <c r="B48" s="15"/>
      <c r="C48" s="11"/>
      <c r="D48" s="11"/>
      <c r="E48" s="16"/>
      <c r="F48" s="15"/>
      <c r="G48" s="16"/>
      <c r="H48" s="22"/>
    </row>
    <row r="49" spans="2:8" ht="14.25" customHeight="1" x14ac:dyDescent="0.45">
      <c r="B49" s="17"/>
      <c r="C49" s="18"/>
      <c r="D49" s="18"/>
      <c r="E49" s="19"/>
      <c r="F49" s="17"/>
      <c r="G49" s="19"/>
      <c r="H49" s="23"/>
    </row>
    <row r="50" spans="2:8" ht="14.25" customHeight="1" x14ac:dyDescent="0.45">
      <c r="B50" s="34" t="s">
        <v>70</v>
      </c>
      <c r="C50" s="13"/>
      <c r="D50" s="13"/>
      <c r="E50" s="14"/>
      <c r="F50" s="34">
        <f>SUM(F38:G49)</f>
        <v>84</v>
      </c>
      <c r="G50" s="13"/>
      <c r="H50" s="14"/>
    </row>
    <row r="51" spans="2:8" ht="14.25" customHeight="1" x14ac:dyDescent="0.45">
      <c r="B51" s="15"/>
      <c r="C51" s="11"/>
      <c r="D51" s="11"/>
      <c r="E51" s="16"/>
      <c r="F51" s="15"/>
      <c r="G51" s="11"/>
      <c r="H51" s="16"/>
    </row>
    <row r="52" spans="2:8" ht="14.25" customHeight="1" x14ac:dyDescent="0.45">
      <c r="B52" s="17"/>
      <c r="C52" s="18"/>
      <c r="D52" s="18"/>
      <c r="E52" s="19"/>
      <c r="F52" s="17"/>
      <c r="G52" s="18"/>
      <c r="H52" s="19"/>
    </row>
    <row r="53" spans="2:8" ht="14.25" customHeight="1" x14ac:dyDescent="0.45"/>
    <row r="54" spans="2:8" ht="14.25" hidden="1" customHeight="1" x14ac:dyDescent="0.45"/>
    <row r="55" spans="2:8" ht="14.25" hidden="1" customHeight="1" x14ac:dyDescent="0.45">
      <c r="B55" s="32" t="s">
        <v>626</v>
      </c>
      <c r="C55" s="11"/>
      <c r="D55" s="11"/>
      <c r="E55" s="11"/>
      <c r="F55" s="11"/>
      <c r="G55" s="11"/>
      <c r="H55" s="16"/>
    </row>
    <row r="56" spans="2:8" ht="14.25" hidden="1" customHeight="1" x14ac:dyDescent="0.45">
      <c r="B56" s="15"/>
      <c r="C56" s="11"/>
      <c r="D56" s="11"/>
      <c r="E56" s="11"/>
      <c r="F56" s="11"/>
      <c r="G56" s="11"/>
      <c r="H56" s="16"/>
    </row>
    <row r="57" spans="2:8" ht="14.25" hidden="1" customHeight="1" x14ac:dyDescent="0.45">
      <c r="B57" s="15"/>
      <c r="C57" s="11"/>
      <c r="D57" s="11"/>
      <c r="E57" s="11"/>
      <c r="F57" s="11"/>
      <c r="G57" s="11"/>
      <c r="H57" s="16"/>
    </row>
    <row r="58" spans="2:8" ht="14.25" hidden="1" customHeight="1" x14ac:dyDescent="0.45">
      <c r="B58" s="33"/>
      <c r="C58" s="33"/>
      <c r="D58" s="33"/>
      <c r="E58" s="33"/>
      <c r="F58" s="33"/>
      <c r="G58" s="33"/>
      <c r="H58" s="33"/>
    </row>
    <row r="59" spans="2:8" ht="14.25" hidden="1" customHeight="1" x14ac:dyDescent="0.45">
      <c r="B59" s="33"/>
      <c r="C59" s="33"/>
      <c r="D59" s="33"/>
      <c r="E59" s="33"/>
      <c r="F59" s="33"/>
      <c r="G59" s="33"/>
      <c r="H59" s="33"/>
    </row>
    <row r="60" spans="2:8" ht="14.25" hidden="1" customHeight="1" x14ac:dyDescent="0.45">
      <c r="B60" s="32" t="s">
        <v>192</v>
      </c>
      <c r="C60" s="11"/>
      <c r="D60" s="11"/>
      <c r="E60" s="16"/>
      <c r="F60" s="32" t="e">
        <f>IF($B$6="2020-2021",
COUNTIFS(INDEX(#REF!,0,MATCH("Case Manager",#REF!,0)),$B60,INDEX(#REF!,0,MATCH("Enrollment Satisfied",#REF!,0)),"Yes"),COUNTIFS(INDEX(#REF!,0,MATCH("Fiscal Year",#REF!,0)),Demographics!$B$6,INDEX(#REF!,0,MATCH("Case Manager",#REF!,0)),$B60,INDEX(#REF!,0,MATCH("Enrollment Satisfied",#REF!,0)),"Yes"))</f>
        <v>#REF!</v>
      </c>
      <c r="G60" s="16"/>
      <c r="H60" s="36" t="e">
        <f>$F60/$F$50</f>
        <v>#REF!</v>
      </c>
    </row>
    <row r="61" spans="2:8" ht="14.25" hidden="1" customHeight="1" x14ac:dyDescent="0.45">
      <c r="B61" s="15"/>
      <c r="C61" s="11"/>
      <c r="D61" s="11"/>
      <c r="E61" s="16"/>
      <c r="F61" s="15"/>
      <c r="G61" s="16"/>
      <c r="H61" s="11"/>
    </row>
    <row r="62" spans="2:8" ht="14.25" hidden="1" customHeight="1" x14ac:dyDescent="0.45">
      <c r="B62" s="15"/>
      <c r="C62" s="11"/>
      <c r="D62" s="11"/>
      <c r="E62" s="16"/>
      <c r="F62" s="15"/>
      <c r="G62" s="16"/>
      <c r="H62" s="11"/>
    </row>
    <row r="63" spans="2:8" ht="14.25" hidden="1" customHeight="1" x14ac:dyDescent="0.45">
      <c r="B63" s="32" t="s">
        <v>627</v>
      </c>
      <c r="C63" s="11"/>
      <c r="D63" s="11"/>
      <c r="E63" s="16"/>
      <c r="F63" s="32" t="e">
        <f>IF($B$6="2020-2021",
COUNTIFS(INDEX(#REF!,0,MATCH("Case Manager",#REF!,0)),$B63,INDEX(#REF!,0,MATCH("Enrollment Satisfied",#REF!,0)),"Yes"),COUNTIFS(INDEX(#REF!,0,MATCH("Fiscal Year",#REF!,0)),Demographics!$B$6,INDEX(#REF!,0,MATCH("Case Manager",#REF!,0)),$B63,INDEX(#REF!,0,MATCH("Enrollment Satisfied",#REF!,0)),"Yes"))</f>
        <v>#REF!</v>
      </c>
      <c r="G63" s="16"/>
      <c r="H63" s="36" t="e">
        <f>$F63/$F$50</f>
        <v>#REF!</v>
      </c>
    </row>
    <row r="64" spans="2:8" ht="14.25" hidden="1" customHeight="1" x14ac:dyDescent="0.45">
      <c r="B64" s="15"/>
      <c r="C64" s="11"/>
      <c r="D64" s="11"/>
      <c r="E64" s="16"/>
      <c r="F64" s="15"/>
      <c r="G64" s="16"/>
      <c r="H64" s="11"/>
    </row>
    <row r="65" spans="2:8" ht="14.25" hidden="1" customHeight="1" x14ac:dyDescent="0.45">
      <c r="B65" s="15"/>
      <c r="C65" s="11"/>
      <c r="D65" s="11"/>
      <c r="E65" s="16"/>
      <c r="F65" s="15"/>
      <c r="G65" s="16"/>
      <c r="H65" s="11"/>
    </row>
    <row r="66" spans="2:8" ht="14.25" hidden="1" customHeight="1" x14ac:dyDescent="0.45">
      <c r="B66" s="32" t="s">
        <v>628</v>
      </c>
      <c r="C66" s="11"/>
      <c r="D66" s="11"/>
      <c r="E66" s="16"/>
      <c r="F66" s="32" t="e">
        <f>IF($B$6="2020-2021",
COUNTIFS(INDEX(#REF!,0,MATCH("Case Manager",#REF!,0)),$B66,INDEX(#REF!,0,MATCH("Enrollment Satisfied",#REF!,0)),"Yes"),COUNTIFS(INDEX(#REF!,0,MATCH("Fiscal Year",#REF!,0)),Demographics!$B$6,INDEX(#REF!,0,MATCH("Case Manager",#REF!,0)),$B66,INDEX(#REF!,0,MATCH("Enrollment Satisfied",#REF!,0)),"Yes"))</f>
        <v>#REF!</v>
      </c>
      <c r="G66" s="16"/>
      <c r="H66" s="36" t="e">
        <f>$F66/$F$50</f>
        <v>#REF!</v>
      </c>
    </row>
    <row r="67" spans="2:8" ht="14.25" hidden="1" customHeight="1" x14ac:dyDescent="0.45">
      <c r="B67" s="15"/>
      <c r="C67" s="11"/>
      <c r="D67" s="11"/>
      <c r="E67" s="16"/>
      <c r="F67" s="15"/>
      <c r="G67" s="16"/>
      <c r="H67" s="11"/>
    </row>
    <row r="68" spans="2:8" ht="14.25" hidden="1" customHeight="1" x14ac:dyDescent="0.45">
      <c r="B68" s="15"/>
      <c r="C68" s="11"/>
      <c r="D68" s="11"/>
      <c r="E68" s="16"/>
      <c r="F68" s="15"/>
      <c r="G68" s="16"/>
      <c r="H68" s="11"/>
    </row>
    <row r="69" spans="2:8" ht="14.25" hidden="1" customHeight="1" x14ac:dyDescent="0.45">
      <c r="B69" s="32" t="s">
        <v>629</v>
      </c>
      <c r="C69" s="11"/>
      <c r="D69" s="11"/>
      <c r="E69" s="16"/>
      <c r="F69" s="32" t="e">
        <f>IF($B$6="2020-2021",
COUNTIFS(INDEX(#REF!,0,MATCH("Case Manager",#REF!,0)),$B69,INDEX(#REF!,0,MATCH("Enrollment Satisfied",#REF!,0)),"Yes"),COUNTIFS(INDEX(#REF!,0,MATCH("Fiscal Year",#REF!,0)),Demographics!$B$6,INDEX(#REF!,0,MATCH("Case Manager",#REF!,0)),$B69,INDEX(#REF!,0,MATCH("Enrollment Satisfied",#REF!,0)),"Yes"))</f>
        <v>#REF!</v>
      </c>
      <c r="G69" s="16"/>
      <c r="H69" s="36" t="e">
        <f>$F69/$F$50</f>
        <v>#REF!</v>
      </c>
    </row>
    <row r="70" spans="2:8" ht="14.25" hidden="1" customHeight="1" x14ac:dyDescent="0.45">
      <c r="B70" s="15"/>
      <c r="C70" s="11"/>
      <c r="D70" s="11"/>
      <c r="E70" s="16"/>
      <c r="F70" s="15"/>
      <c r="G70" s="16"/>
      <c r="H70" s="11"/>
    </row>
    <row r="71" spans="2:8" ht="14.25" hidden="1" customHeight="1" x14ac:dyDescent="0.45">
      <c r="B71" s="15"/>
      <c r="C71" s="11"/>
      <c r="D71" s="11"/>
      <c r="E71" s="16"/>
      <c r="F71" s="15"/>
      <c r="G71" s="16"/>
      <c r="H71" s="11"/>
    </row>
    <row r="72" spans="2:8" ht="14.25" hidden="1" customHeight="1" x14ac:dyDescent="0.45">
      <c r="B72" s="37" t="s">
        <v>630</v>
      </c>
      <c r="C72" s="11"/>
      <c r="D72" s="11"/>
      <c r="E72" s="16"/>
      <c r="F72" s="32" t="e">
        <f>IF($B$6="2020-2021",
COUNTIFS(INDEX(#REF!,0,MATCH("Case Manager",#REF!,0)),$B72,INDEX(#REF!,0,MATCH("Enrollment Satisfied",#REF!,0)),"Yes"),COUNTIFS(INDEX(#REF!,0,MATCH("Fiscal Year",#REF!,0)),Demographics!$B$6,INDEX(#REF!,0,MATCH("Case Manager",#REF!,0)),$B72,INDEX(#REF!,0,MATCH("Enrollment Satisfied",#REF!,0)),"Yes"))</f>
        <v>#REF!</v>
      </c>
      <c r="G72" s="16"/>
      <c r="H72" s="36" t="e">
        <f>$F72/$F$50</f>
        <v>#REF!</v>
      </c>
    </row>
    <row r="73" spans="2:8" ht="14.25" hidden="1" customHeight="1" x14ac:dyDescent="0.45">
      <c r="B73" s="15"/>
      <c r="C73" s="11"/>
      <c r="D73" s="11"/>
      <c r="E73" s="16"/>
      <c r="F73" s="15"/>
      <c r="G73" s="16"/>
      <c r="H73" s="11"/>
    </row>
    <row r="74" spans="2:8" ht="14.25" hidden="1" customHeight="1" x14ac:dyDescent="0.45">
      <c r="B74" s="17"/>
      <c r="C74" s="18"/>
      <c r="D74" s="18"/>
      <c r="E74" s="19"/>
      <c r="F74" s="15"/>
      <c r="G74" s="16"/>
      <c r="H74" s="11"/>
    </row>
    <row r="75" spans="2:8" ht="14.25" hidden="1" customHeight="1" x14ac:dyDescent="0.45">
      <c r="B75" s="34" t="s">
        <v>631</v>
      </c>
      <c r="C75" s="13"/>
      <c r="D75" s="13"/>
      <c r="E75" s="14"/>
      <c r="F75" s="32" t="e">
        <f>IF($B$6="2020-2021",
COUNTIFS(INDEX(#REF!,0,MATCH("Case Manager",#REF!,0)),$B75,INDEX(#REF!,0,MATCH("Enrollment Satisfied",#REF!,0)),"Yes"),COUNTIFS(INDEX(#REF!,0,MATCH("Fiscal Year",#REF!,0)),Demographics!$B$6,INDEX(#REF!,0,MATCH("Case Manager",#REF!,0)),$B75,INDEX(#REF!,0,MATCH("Enrollment Satisfied",#REF!,0)),"Yes"))</f>
        <v>#REF!</v>
      </c>
      <c r="G75" s="16"/>
      <c r="H75" s="36" t="e">
        <f>$F75/$F$50</f>
        <v>#REF!</v>
      </c>
    </row>
    <row r="76" spans="2:8" ht="14.25" hidden="1" customHeight="1" x14ac:dyDescent="0.45">
      <c r="B76" s="15"/>
      <c r="C76" s="11"/>
      <c r="D76" s="11"/>
      <c r="E76" s="16"/>
      <c r="F76" s="15"/>
      <c r="G76" s="16"/>
      <c r="H76" s="11"/>
    </row>
    <row r="77" spans="2:8" ht="14.25" hidden="1" customHeight="1" x14ac:dyDescent="0.45">
      <c r="B77" s="17"/>
      <c r="C77" s="18"/>
      <c r="D77" s="18"/>
      <c r="E77" s="19"/>
      <c r="F77" s="15"/>
      <c r="G77" s="16"/>
      <c r="H77" s="11"/>
    </row>
    <row r="78" spans="2:8" ht="14.25" hidden="1" customHeight="1" x14ac:dyDescent="0.45">
      <c r="B78" s="34" t="s">
        <v>632</v>
      </c>
      <c r="C78" s="13"/>
      <c r="D78" s="13"/>
      <c r="E78" s="14"/>
      <c r="F78" s="32" t="e">
        <f>IF($B$6="2020-2021",
COUNTIFS(INDEX(#REF!,0,MATCH("Case Manager",#REF!,0)),$B78,INDEX(#REF!,0,MATCH("Enrollment Satisfied",#REF!,0)),"Yes"),COUNTIFS(INDEX(#REF!,0,MATCH("Fiscal Year",#REF!,0)),Demographics!$B$6,INDEX(#REF!,0,MATCH("Case Manager",#REF!,0)),$B78,INDEX(#REF!,0,MATCH("Enrollment Satisfied",#REF!,0)),"Yes"))</f>
        <v>#REF!</v>
      </c>
      <c r="G78" s="16"/>
      <c r="H78" s="36" t="e">
        <f>$F78/$F$50</f>
        <v>#REF!</v>
      </c>
    </row>
    <row r="79" spans="2:8" ht="14.25" hidden="1" customHeight="1" x14ac:dyDescent="0.45">
      <c r="B79" s="15"/>
      <c r="C79" s="11"/>
      <c r="D79" s="11"/>
      <c r="E79" s="16"/>
      <c r="F79" s="15"/>
      <c r="G79" s="16"/>
      <c r="H79" s="11"/>
    </row>
    <row r="80" spans="2:8" ht="14.25" hidden="1" customHeight="1" x14ac:dyDescent="0.45">
      <c r="B80" s="17"/>
      <c r="C80" s="18"/>
      <c r="D80" s="18"/>
      <c r="E80" s="19"/>
      <c r="F80" s="15"/>
      <c r="G80" s="16"/>
      <c r="H80" s="11"/>
    </row>
    <row r="81" spans="2:8" ht="14.25" customHeight="1" x14ac:dyDescent="0.45">
      <c r="B81" s="33"/>
      <c r="C81" s="33"/>
      <c r="D81" s="33"/>
      <c r="E81" s="33"/>
      <c r="F81" s="33"/>
      <c r="G81" s="33"/>
      <c r="H81" s="33"/>
    </row>
    <row r="82" spans="2:8" ht="14.25" customHeight="1" x14ac:dyDescent="0.45">
      <c r="B82" s="33"/>
      <c r="C82" s="33"/>
      <c r="D82" s="33"/>
      <c r="E82" s="33"/>
      <c r="F82" s="33"/>
      <c r="G82" s="33"/>
      <c r="H82" s="33"/>
    </row>
    <row r="83" spans="2:8" ht="14.25" customHeight="1" x14ac:dyDescent="0.45">
      <c r="B83" s="38" t="s">
        <v>10</v>
      </c>
      <c r="C83" s="11"/>
      <c r="D83" s="11"/>
      <c r="E83" s="11"/>
      <c r="F83" s="11"/>
      <c r="G83" s="11"/>
      <c r="H83" s="16"/>
    </row>
    <row r="84" spans="2:8" ht="14.25" customHeight="1" x14ac:dyDescent="0.45">
      <c r="B84" s="15"/>
      <c r="C84" s="11"/>
      <c r="D84" s="11"/>
      <c r="E84" s="11"/>
      <c r="F84" s="11"/>
      <c r="G84" s="11"/>
      <c r="H84" s="16"/>
    </row>
    <row r="85" spans="2:8" ht="14.25" customHeight="1" x14ac:dyDescent="0.45">
      <c r="B85" s="15"/>
      <c r="C85" s="11"/>
      <c r="D85" s="11"/>
      <c r="E85" s="11"/>
      <c r="F85" s="11"/>
      <c r="G85" s="11"/>
      <c r="H85" s="16"/>
    </row>
    <row r="86" spans="2:8" ht="14.25" customHeight="1" x14ac:dyDescent="0.45">
      <c r="B86" s="33"/>
      <c r="C86" s="33"/>
      <c r="D86" s="33"/>
      <c r="E86" s="33"/>
      <c r="F86" s="33"/>
      <c r="G86" s="33"/>
      <c r="H86" s="39"/>
    </row>
    <row r="87" spans="2:8" ht="14.25" customHeight="1" x14ac:dyDescent="0.45">
      <c r="B87" s="33"/>
      <c r="C87" s="33"/>
      <c r="D87" s="33"/>
      <c r="E87" s="33"/>
      <c r="F87" s="33"/>
      <c r="G87" s="33"/>
      <c r="H87" s="39"/>
    </row>
    <row r="88" spans="2:8" ht="14.25" customHeight="1" x14ac:dyDescent="0.45">
      <c r="B88" s="40" t="s">
        <v>259</v>
      </c>
      <c r="C88" s="11"/>
      <c r="D88" s="11"/>
      <c r="E88" s="16"/>
      <c r="F88" s="40">
        <f>IF(
$B$6="2020-Present",
COUNTIFS(
INDEX(Data!$1:$1048576,0,MATCH("Gender",Data!$1:$1,0)),$B88,
INDEX(Data!$1:$1048576,0,MATCH("Enrollment Satisfied",Data!$1:$1,0)),"Yes"),
COUNTIFS(INDEX(Data!$1:$1048576,0,MATCH("Fiscal Year",Data!$1:$1,0)),Demographics!$B$6,
INDEX(Data!$1:$1048576,0,MATCH("Gender",Data!$1:$1,0)),$B88,
INDEX(Data!$1:$1048576,0,MATCH("Enrollment Satisfied",Data!$1:$1,0)),"Yes"))</f>
        <v>17</v>
      </c>
      <c r="G88" s="16"/>
      <c r="H88" s="41">
        <f>F88/$F$50</f>
        <v>0.20238095238095238</v>
      </c>
    </row>
    <row r="89" spans="2:8" ht="14.25" customHeight="1" x14ac:dyDescent="0.45">
      <c r="B89" s="15"/>
      <c r="C89" s="11"/>
      <c r="D89" s="11"/>
      <c r="E89" s="16"/>
      <c r="F89" s="15"/>
      <c r="G89" s="16"/>
      <c r="H89" s="22"/>
    </row>
    <row r="90" spans="2:8" ht="14.25" customHeight="1" x14ac:dyDescent="0.45">
      <c r="B90" s="17"/>
      <c r="C90" s="18"/>
      <c r="D90" s="18"/>
      <c r="E90" s="19"/>
      <c r="F90" s="17"/>
      <c r="G90" s="19"/>
      <c r="H90" s="23"/>
    </row>
    <row r="91" spans="2:8" ht="14.25" customHeight="1" x14ac:dyDescent="0.45">
      <c r="B91" s="29" t="s">
        <v>180</v>
      </c>
      <c r="C91" s="13"/>
      <c r="D91" s="13"/>
      <c r="E91" s="14"/>
      <c r="F91" s="40">
        <f>IF(
$B$6="2020-Present",
COUNTIFS(
INDEX(Data!$1:$1048576,0,MATCH("Gender",Data!$1:$1,0)),$B91,
INDEX(Data!$1:$1048576,0,MATCH("Enrollment Satisfied",Data!$1:$1,0)),"Yes"),
COUNTIFS(INDEX(Data!$1:$1048576,0,MATCH("Fiscal Year",Data!$1:$1,0)),Demographics!$B$6,
INDEX(Data!$1:$1048576,0,MATCH("Gender",Data!$1:$1,0)),$B91,
INDEX(Data!$1:$1048576,0,MATCH("Enrollment Satisfied",Data!$1:$1,0)),"Yes"))</f>
        <v>66</v>
      </c>
      <c r="G91" s="16"/>
      <c r="H91" s="41">
        <f>F91/$F$50</f>
        <v>0.7857142857142857</v>
      </c>
    </row>
    <row r="92" spans="2:8" ht="14.25" customHeight="1" x14ac:dyDescent="0.45">
      <c r="B92" s="15"/>
      <c r="C92" s="11"/>
      <c r="D92" s="11"/>
      <c r="E92" s="16"/>
      <c r="F92" s="15"/>
      <c r="G92" s="16"/>
      <c r="H92" s="22"/>
    </row>
    <row r="93" spans="2:8" ht="14.25" customHeight="1" x14ac:dyDescent="0.45">
      <c r="B93" s="17"/>
      <c r="C93" s="18"/>
      <c r="D93" s="18"/>
      <c r="E93" s="19"/>
      <c r="F93" s="17"/>
      <c r="G93" s="19"/>
      <c r="H93" s="23"/>
    </row>
    <row r="94" spans="2:8" ht="15" customHeight="1" x14ac:dyDescent="0.45"/>
    <row r="96" spans="2:8" x14ac:dyDescent="0.45">
      <c r="B96" s="10" t="s">
        <v>633</v>
      </c>
      <c r="C96" s="11"/>
      <c r="D96" s="11"/>
      <c r="E96" s="11"/>
      <c r="F96" s="11"/>
      <c r="G96" s="11"/>
      <c r="H96" s="11"/>
    </row>
    <row r="97" spans="2:8" x14ac:dyDescent="0.45">
      <c r="B97" s="11"/>
      <c r="C97" s="11"/>
      <c r="D97" s="11"/>
      <c r="E97" s="11"/>
      <c r="F97" s="11"/>
      <c r="G97" s="11"/>
      <c r="H97" s="11"/>
    </row>
    <row r="98" spans="2:8" x14ac:dyDescent="0.45">
      <c r="B98" s="11"/>
      <c r="C98" s="11"/>
      <c r="D98" s="11"/>
      <c r="E98" s="11"/>
      <c r="F98" s="11"/>
      <c r="G98" s="11"/>
      <c r="H98" s="11"/>
    </row>
    <row r="101" spans="2:8" ht="14.25" customHeight="1" x14ac:dyDescent="0.45">
      <c r="B101" s="29" t="s">
        <v>634</v>
      </c>
      <c r="C101" s="13"/>
      <c r="D101" s="13"/>
      <c r="E101" s="14"/>
      <c r="F101" s="29">
        <f>IF(
$B$6="2020-Present",
COUNTIFS(
INDEX(Data!$1:$1048576,0,MATCH("Age",Data!$1:$1,0)),"&lt;25",
INDEX(Data!$1:$1048576,0,MATCH("Enrollment Satisfied",Data!$1:$1,0)),"Yes"),
COUNTIFS(
INDEX(Data!$1:$1048576,0,MATCH("Fiscal Year",Data!$1:$1,0)),Demographics!$B$6,
INDEX(Data!$1:$1048576,0,MATCH("Age",Data!$1:$1,0)),"&lt;25",
INDEX(Data!$1:$1048576,0,MATCH("Enrollment Satisfied",Data!$1:$1,0)),"Yes"))</f>
        <v>37</v>
      </c>
      <c r="G101" s="14"/>
      <c r="H101" s="42">
        <f>$F101/$F$50</f>
        <v>0.44047619047619047</v>
      </c>
    </row>
    <row r="102" spans="2:8" x14ac:dyDescent="0.45">
      <c r="B102" s="15"/>
      <c r="C102" s="11"/>
      <c r="D102" s="11"/>
      <c r="E102" s="16"/>
      <c r="F102" s="15"/>
      <c r="G102" s="16"/>
      <c r="H102" s="22"/>
    </row>
    <row r="103" spans="2:8" ht="15" customHeight="1" x14ac:dyDescent="0.45">
      <c r="B103" s="17"/>
      <c r="C103" s="18"/>
      <c r="D103" s="18"/>
      <c r="E103" s="19"/>
      <c r="F103" s="17"/>
      <c r="G103" s="19"/>
      <c r="H103" s="23"/>
    </row>
    <row r="104" spans="2:8" ht="14.25" customHeight="1" x14ac:dyDescent="0.45">
      <c r="B104" s="29" t="s">
        <v>635</v>
      </c>
      <c r="C104" s="13"/>
      <c r="D104" s="13"/>
      <c r="E104" s="14"/>
      <c r="F104" s="29">
        <f>IF($B$6="2020-Present",
COUNTIFS(
INDEX(Data!$1:$1048576,0,MATCH("Age",Data!$1:$1,0)),"&gt;=25",
INDEX(Data!$1:$1048576,0,MATCH("Age",Data!$1:$1,0)),"&lt;36",
INDEX(Data!$1:$1048576,0,MATCH("Enrollment Satisfied",Data!$1:$1,0)),"Yes"),
COUNTIFS(
INDEX(Data!$1:$1048576,0,MATCH("Age",Data!$1:$1,0)),"&gt;=25",
INDEX(Data!$1:$1048576,0,MATCH("Age",Data!$1:$1,0)),"&lt;36",
INDEX(Data!$1:$1048576,0,MATCH("Enrollment Satisfied",Data!$1:$1,0)),"Yes",
INDEX(Data!$1:$1048576,0,MATCH("Fiscal Year",Data!$1:$1,0)),Demographics!$B$6))</f>
        <v>28</v>
      </c>
      <c r="G104" s="14"/>
      <c r="H104" s="42">
        <f>$F104/$F$50</f>
        <v>0.33333333333333331</v>
      </c>
    </row>
    <row r="105" spans="2:8" ht="14.25" customHeight="1" x14ac:dyDescent="0.45">
      <c r="B105" s="15"/>
      <c r="C105" s="11"/>
      <c r="D105" s="11"/>
      <c r="E105" s="16"/>
      <c r="F105" s="15"/>
      <c r="G105" s="16"/>
      <c r="H105" s="22"/>
    </row>
    <row r="106" spans="2:8" ht="14.25" customHeight="1" x14ac:dyDescent="0.45">
      <c r="B106" s="17"/>
      <c r="C106" s="18"/>
      <c r="D106" s="18"/>
      <c r="E106" s="19"/>
      <c r="F106" s="17"/>
      <c r="G106" s="19"/>
      <c r="H106" s="23"/>
    </row>
    <row r="107" spans="2:8" ht="14.25" customHeight="1" x14ac:dyDescent="0.45">
      <c r="B107" s="29" t="s">
        <v>636</v>
      </c>
      <c r="C107" s="13"/>
      <c r="D107" s="13"/>
      <c r="E107" s="14"/>
      <c r="F107" s="29">
        <f>IF(
$B$6="2020-Present",
COUNTIFS(
INDEX(Data!$1:$1048576,0,MATCH("Age",Data!$1:$1,0)),"&gt;=36",
INDEX(Data!$1:$1048576,0,MATCH("Age",Data!$1:$1,0)),"&lt;46",
INDEX(Data!$1:$1048576,0,MATCH("Enrollment Satisfied",Data!$1:$1,0)),"Yes"),
COUNTIFS(INDEX(Data!$1:$1048576,0,MATCH("Age",Data!$1:$1,0)),"&gt;=36",
INDEX(Data!$1:$1048576,0,MATCH("Age",Data!$1:$1,0)),"&lt;46",
INDEX(Data!$1:$1048576,0,MATCH("Enrollment Satisfied",Data!$1:$1,0)),"Yes",
INDEX(Data!$1:$1048576,0,MATCH("Fiscal Year",Data!$1:$1,0)),Demographics!$B$6))</f>
        <v>9</v>
      </c>
      <c r="G107" s="14"/>
      <c r="H107" s="42">
        <f>$F107/$F$50</f>
        <v>0.10714285714285714</v>
      </c>
    </row>
    <row r="108" spans="2:8" ht="14.25" customHeight="1" x14ac:dyDescent="0.45">
      <c r="B108" s="15"/>
      <c r="C108" s="11"/>
      <c r="D108" s="11"/>
      <c r="E108" s="16"/>
      <c r="F108" s="15"/>
      <c r="G108" s="16"/>
      <c r="H108" s="22"/>
    </row>
    <row r="109" spans="2:8" ht="14.25" customHeight="1" x14ac:dyDescent="0.45">
      <c r="B109" s="17"/>
      <c r="C109" s="18"/>
      <c r="D109" s="18"/>
      <c r="E109" s="19"/>
      <c r="F109" s="17"/>
      <c r="G109" s="19"/>
      <c r="H109" s="23"/>
    </row>
    <row r="110" spans="2:8" ht="14.25" customHeight="1" x14ac:dyDescent="0.45">
      <c r="B110" s="29" t="s">
        <v>637</v>
      </c>
      <c r="C110" s="13"/>
      <c r="D110" s="13"/>
      <c r="E110" s="14"/>
      <c r="F110" s="29">
        <f>IF(
$B$6="2020-Present",
COUNTIFS(
INDEX(Data!$1:$1048576,0,MATCH("Age",Data!$1:$1,0)),"&gt;=46",
INDEX(Data!$1:$1048576,0,MATCH("Age",Data!$1:$1,0)),"&lt;66",
INDEX(Data!$1:$1048576,0,MATCH("Enrollment Satisfied",Data!$1:$1,0)),"Yes"),
COUNTIFS(
INDEX(Data!$1:$1048576,0,MATCH("Age",Data!$1:$1,0)),"&gt;=46",
INDEX(Data!$1:$1048576,0,MATCH("Age",Data!$1:$1,0)),"&lt;66",
INDEX(Data!$1:$1048576,0,MATCH("Enrollment Satisfied",Data!$1:$1,0)),"Yes",
INDEX(Data!$1:$1048576,0,MATCH("Fiscal Year",Data!$1:$1,0)),Demographics!$B$6))</f>
        <v>10</v>
      </c>
      <c r="G110" s="14"/>
      <c r="H110" s="42">
        <f>$F110/$F$50</f>
        <v>0.11904761904761904</v>
      </c>
    </row>
    <row r="111" spans="2:8" ht="14.25" customHeight="1" x14ac:dyDescent="0.45">
      <c r="B111" s="15"/>
      <c r="C111" s="11"/>
      <c r="D111" s="11"/>
      <c r="E111" s="16"/>
      <c r="F111" s="15"/>
      <c r="G111" s="16"/>
      <c r="H111" s="22"/>
    </row>
    <row r="112" spans="2:8" ht="14.25" customHeight="1" x14ac:dyDescent="0.45">
      <c r="B112" s="17"/>
      <c r="C112" s="18"/>
      <c r="D112" s="18"/>
      <c r="E112" s="19"/>
      <c r="F112" s="17"/>
      <c r="G112" s="19"/>
      <c r="H112" s="23"/>
    </row>
    <row r="113" spans="2:8" ht="14.25" customHeight="1" x14ac:dyDescent="0.45">
      <c r="B113" s="29" t="s">
        <v>638</v>
      </c>
      <c r="C113" s="13"/>
      <c r="D113" s="13"/>
      <c r="E113" s="14"/>
      <c r="F113" s="29">
        <f>IF(
$B$6="2020-Present",
COUNTIFS(
INDEX(Data!$1:$1048576,0,MATCH("Age",Data!$1:$1,0)),"&gt;65",
INDEX(Data!$1:$1048576,0,MATCH("Enrollment Satisfied",Data!$1:$1,0)),"Yes"),
COUNTIFS(INDEX(Data!$1:$1048576,0,MATCH("Fiscal Year",Data!$1:$1,0)),Demographics!$B$6,
INDEX(Data!$1:$1048576,0,MATCH("Age",Data!$1:$1,0)),"&gt;65",
INDEX(Data!$1:$1048576,0,MATCH("Enrollment Satisfied",Data!$1:$1,0)),"Yes"))</f>
        <v>0</v>
      </c>
      <c r="G113" s="14"/>
      <c r="H113" s="42">
        <f>$F113/$F$50</f>
        <v>0</v>
      </c>
    </row>
    <row r="114" spans="2:8" ht="14.25" customHeight="1" x14ac:dyDescent="0.45">
      <c r="B114" s="15"/>
      <c r="C114" s="11"/>
      <c r="D114" s="11"/>
      <c r="E114" s="16"/>
      <c r="F114" s="15"/>
      <c r="G114" s="16"/>
      <c r="H114" s="22"/>
    </row>
    <row r="115" spans="2:8" ht="14.25" customHeight="1" x14ac:dyDescent="0.45">
      <c r="B115" s="17"/>
      <c r="C115" s="18"/>
      <c r="D115" s="18"/>
      <c r="E115" s="19"/>
      <c r="F115" s="17"/>
      <c r="G115" s="19"/>
      <c r="H115" s="23"/>
    </row>
    <row r="116" spans="2:8" ht="15" customHeight="1" x14ac:dyDescent="0.45"/>
    <row r="118" spans="2:8" x14ac:dyDescent="0.45">
      <c r="B118" s="10" t="s">
        <v>88</v>
      </c>
      <c r="C118" s="11"/>
      <c r="D118" s="11"/>
      <c r="E118" s="11"/>
      <c r="F118" s="11"/>
      <c r="G118" s="11"/>
      <c r="H118" s="11"/>
    </row>
    <row r="119" spans="2:8" x14ac:dyDescent="0.45">
      <c r="B119" s="11"/>
      <c r="C119" s="11"/>
      <c r="D119" s="11"/>
      <c r="E119" s="11"/>
      <c r="F119" s="11"/>
      <c r="G119" s="11"/>
      <c r="H119" s="11"/>
    </row>
    <row r="120" spans="2:8" x14ac:dyDescent="0.45">
      <c r="B120" s="11"/>
      <c r="C120" s="11"/>
      <c r="D120" s="11"/>
      <c r="E120" s="11"/>
      <c r="F120" s="11"/>
      <c r="G120" s="11"/>
      <c r="H120" s="11"/>
    </row>
    <row r="123" spans="2:8" ht="14.25" customHeight="1" x14ac:dyDescent="0.45">
      <c r="B123" s="43" t="s">
        <v>215</v>
      </c>
      <c r="C123" s="13"/>
      <c r="D123" s="13"/>
      <c r="E123" s="14"/>
      <c r="F123" s="29">
        <f>IF($B$6="2020-Present",
COUNTIFS(
INDEX(Data!$1:$1048576,0,MATCH("Race",Data!$1:$1,0)),"*Black*",
INDEX(Data!$1:$1048576,0,MATCH("Enrollment Satisfied",Data!$1:$1,0)),"Yes"),
COUNTIFS(
INDEX(Data!$1:$1048576,0,MATCH("Fiscal Year",Data!$1:$1,0)),Demographics!$B$6,
INDEX(Data!$1:$1048576,0,MATCH("Race",Data!$1:$1,0)),"*Black*",
INDEX(Data!$1:$1048576,0,MATCH("Enrollment Satisfied",Data!$1:$1,0)),"Yes"))</f>
        <v>82</v>
      </c>
      <c r="G123" s="14"/>
      <c r="H123" s="42">
        <f>F123/$F$50</f>
        <v>0.97619047619047616</v>
      </c>
    </row>
    <row r="124" spans="2:8" x14ac:dyDescent="0.45">
      <c r="B124" s="15"/>
      <c r="C124" s="11"/>
      <c r="D124" s="11"/>
      <c r="E124" s="16"/>
      <c r="F124" s="15"/>
      <c r="G124" s="16"/>
      <c r="H124" s="22"/>
    </row>
    <row r="125" spans="2:8" ht="15" customHeight="1" x14ac:dyDescent="0.45">
      <c r="B125" s="17"/>
      <c r="C125" s="18"/>
      <c r="D125" s="18"/>
      <c r="E125" s="19"/>
      <c r="F125" s="17"/>
      <c r="G125" s="19"/>
      <c r="H125" s="23"/>
    </row>
    <row r="126" spans="2:8" ht="14.25" customHeight="1" x14ac:dyDescent="0.45">
      <c r="B126" s="29" t="s">
        <v>453</v>
      </c>
      <c r="C126" s="13"/>
      <c r="D126" s="13"/>
      <c r="E126" s="14"/>
      <c r="F126" s="29">
        <f>IF($B$6="2020-Present",
COUNTIFS(
INDEX(Data!$1:$1048576,0,MATCH("Race",Data!$1:$1,0)),$B126,
INDEX(Data!$1:$1048576,0,MATCH("Enrollment Satisfied",Data!$1:$1,0)),"Yes"),
COUNTIFS(
INDEX(Data!$1:$1048576,0,MATCH("Fiscal Year",Data!$1:$1,0)),Demographics!$B$6,
INDEX(Data!$1:$1048576,0,MATCH("Race",Data!$1:$1,0)),$B126,
INDEX(Data!$1:$1048576,0,MATCH("Enrollment Satisfied",Data!$1:$1,0)),"Yes"))</f>
        <v>0</v>
      </c>
      <c r="G126" s="14"/>
      <c r="H126" s="42">
        <f>F126/$F$50</f>
        <v>0</v>
      </c>
    </row>
    <row r="127" spans="2:8" ht="14.25" customHeight="1" x14ac:dyDescent="0.45">
      <c r="B127" s="15"/>
      <c r="C127" s="11"/>
      <c r="D127" s="11"/>
      <c r="E127" s="16"/>
      <c r="F127" s="15"/>
      <c r="G127" s="16"/>
      <c r="H127" s="22"/>
    </row>
    <row r="128" spans="2:8" ht="14.25" customHeight="1" x14ac:dyDescent="0.45">
      <c r="B128" s="17"/>
      <c r="C128" s="18"/>
      <c r="D128" s="18"/>
      <c r="E128" s="19"/>
      <c r="F128" s="17"/>
      <c r="G128" s="19"/>
      <c r="H128" s="23"/>
    </row>
    <row r="129" spans="2:8" ht="14.25" customHeight="1" x14ac:dyDescent="0.45">
      <c r="B129" s="29" t="s">
        <v>323</v>
      </c>
      <c r="C129" s="13"/>
      <c r="D129" s="13"/>
      <c r="E129" s="14"/>
      <c r="F129" s="29">
        <f>$F$50-F123-F126</f>
        <v>2</v>
      </c>
      <c r="G129" s="14"/>
      <c r="H129" s="42">
        <f>F129/$F$50</f>
        <v>2.3809523809523808E-2</v>
      </c>
    </row>
    <row r="130" spans="2:8" ht="14.25" customHeight="1" x14ac:dyDescent="0.45">
      <c r="B130" s="15"/>
      <c r="C130" s="11"/>
      <c r="D130" s="11"/>
      <c r="E130" s="16"/>
      <c r="F130" s="15"/>
      <c r="G130" s="16"/>
      <c r="H130" s="22"/>
    </row>
    <row r="131" spans="2:8" ht="14.25" customHeight="1" x14ac:dyDescent="0.45">
      <c r="B131" s="17"/>
      <c r="C131" s="18"/>
      <c r="D131" s="18"/>
      <c r="E131" s="19"/>
      <c r="F131" s="17"/>
      <c r="G131" s="19"/>
      <c r="H131" s="23"/>
    </row>
    <row r="132" spans="2:8" ht="14.25" customHeight="1" x14ac:dyDescent="0.45">
      <c r="B132" s="44"/>
      <c r="E132" s="45"/>
      <c r="F132" s="44"/>
      <c r="G132" s="45"/>
      <c r="H132" s="46"/>
    </row>
    <row r="133" spans="2:8" ht="14.25" customHeight="1" x14ac:dyDescent="0.45">
      <c r="B133" s="44"/>
      <c r="E133" s="45"/>
      <c r="F133" s="44"/>
      <c r="G133" s="45"/>
      <c r="H133" s="46"/>
    </row>
    <row r="134" spans="2:8" ht="14.25" hidden="1" customHeight="1" x14ac:dyDescent="0.45">
      <c r="B134" s="29" t="s">
        <v>79</v>
      </c>
      <c r="C134" s="13"/>
      <c r="D134" s="13"/>
      <c r="E134" s="13"/>
      <c r="F134" s="13"/>
      <c r="G134" s="13"/>
      <c r="H134" s="14"/>
    </row>
    <row r="135" spans="2:8" ht="14.25" hidden="1" customHeight="1" x14ac:dyDescent="0.45">
      <c r="B135" s="15"/>
      <c r="C135" s="11"/>
      <c r="D135" s="11"/>
      <c r="E135" s="11"/>
      <c r="F135" s="11"/>
      <c r="G135" s="11"/>
      <c r="H135" s="16"/>
    </row>
    <row r="136" spans="2:8" ht="14.25" hidden="1" customHeight="1" x14ac:dyDescent="0.45">
      <c r="B136" s="17"/>
      <c r="C136" s="18"/>
      <c r="D136" s="18"/>
      <c r="E136" s="18"/>
      <c r="F136" s="18"/>
      <c r="G136" s="18"/>
      <c r="H136" s="19"/>
    </row>
    <row r="137" spans="2:8" ht="14.25" hidden="1" customHeight="1" x14ac:dyDescent="0.45">
      <c r="B137" s="33"/>
      <c r="C137" s="33"/>
      <c r="D137" s="33"/>
      <c r="E137" s="33"/>
      <c r="F137" s="33"/>
      <c r="G137" s="33"/>
      <c r="H137" s="33"/>
    </row>
    <row r="138" spans="2:8" ht="14.25" hidden="1" customHeight="1" x14ac:dyDescent="0.45">
      <c r="B138" s="33"/>
      <c r="C138" s="33"/>
      <c r="D138" s="33"/>
      <c r="E138" s="33"/>
      <c r="F138" s="33"/>
      <c r="G138" s="33"/>
      <c r="H138" s="33"/>
    </row>
    <row r="139" spans="2:8" ht="14.25" hidden="1" customHeight="1" x14ac:dyDescent="0.45">
      <c r="B139" s="40" t="s">
        <v>176</v>
      </c>
      <c r="C139" s="11"/>
      <c r="D139" s="11"/>
      <c r="E139" s="16"/>
      <c r="F139" s="40">
        <f>IF($B$6="2020-Present",
COUNTIFS(
INDEX(Data!$1:$1048576,0,MATCH("Source",Data!$1:$1,0)),"*Word of Mouth*",
INDEX(Data!$1:$1048576,0,MATCH("Enrollment Satisfied",Data!$1:$1,0)),"Yes"),
COUNTIFS(
INDEX(Data!$1:$1048576,0,MATCH("Fiscal Year",Data!$1:$1,0)),Demographics!$B$6,
INDEX(Data!$1:$1048576,0,MATCH("Source",Data!$1:$1,0)),"*Word of Mouth*",
INDEX(Data!$1:$1048576,0,MATCH("Enrollment Satisfied",Data!$1:$1,0)),"Yes"))</f>
        <v>57</v>
      </c>
      <c r="G139" s="16"/>
      <c r="H139" s="41">
        <f>$F139/$F$50</f>
        <v>0.6785714285714286</v>
      </c>
    </row>
    <row r="140" spans="2:8" ht="14.25" hidden="1" customHeight="1" x14ac:dyDescent="0.45">
      <c r="B140" s="15"/>
      <c r="C140" s="11"/>
      <c r="D140" s="11"/>
      <c r="E140" s="16"/>
      <c r="F140" s="15"/>
      <c r="G140" s="16"/>
      <c r="H140" s="22"/>
    </row>
    <row r="141" spans="2:8" ht="14.25" hidden="1" customHeight="1" x14ac:dyDescent="0.45">
      <c r="B141" s="17"/>
      <c r="C141" s="18"/>
      <c r="D141" s="18"/>
      <c r="E141" s="19"/>
      <c r="F141" s="17"/>
      <c r="G141" s="19"/>
      <c r="H141" s="23"/>
    </row>
    <row r="142" spans="2:8" ht="14.25" hidden="1" customHeight="1" x14ac:dyDescent="0.45">
      <c r="B142" s="43" t="s">
        <v>585</v>
      </c>
      <c r="C142" s="13"/>
      <c r="D142" s="13"/>
      <c r="E142" s="14"/>
      <c r="F142" s="29">
        <f>IF($B$6="2020-Present",
COUNTIFS(
INDEX(Data!$1:$1048576,0,MATCH("Source",Data!$1:$1,0)),"*Community Location*",
INDEX(Data!$1:$1048576,0,MATCH("Enrollment Satisfied",Data!$1:$1,0)),"Yes"),
COUNTIFS(
INDEX(Data!$1:$1048576,0,MATCH("Fiscal Year",Data!$1:$1,0)),Demographics!$B$6,
INDEX(Data!$1:$1048576,0,MATCH("Source",Data!$1:$1,0)),"*Community Location*",
INDEX(Data!$1:$1048576,0,MATCH("Enrollment Satisfied",Data!$1:$1,0)),"Yes"))</f>
        <v>1</v>
      </c>
      <c r="G142" s="14"/>
      <c r="H142" s="41">
        <f>$F142/$F$50</f>
        <v>1.1904761904761904E-2</v>
      </c>
    </row>
    <row r="143" spans="2:8" ht="14.25" hidden="1" customHeight="1" x14ac:dyDescent="0.45">
      <c r="B143" s="15"/>
      <c r="C143" s="11"/>
      <c r="D143" s="11"/>
      <c r="E143" s="16"/>
      <c r="F143" s="15"/>
      <c r="G143" s="16"/>
      <c r="H143" s="22"/>
    </row>
    <row r="144" spans="2:8" ht="14.25" hidden="1" customHeight="1" x14ac:dyDescent="0.45">
      <c r="B144" s="17"/>
      <c r="C144" s="18"/>
      <c r="D144" s="18"/>
      <c r="E144" s="19"/>
      <c r="F144" s="17"/>
      <c r="G144" s="19"/>
      <c r="H144" s="23"/>
    </row>
    <row r="145" spans="2:8" ht="14.25" hidden="1" customHeight="1" x14ac:dyDescent="0.45">
      <c r="B145" s="29" t="s">
        <v>299</v>
      </c>
      <c r="C145" s="13"/>
      <c r="D145" s="13"/>
      <c r="E145" s="14"/>
      <c r="F145" s="29">
        <f>IF($B$6="2020-Present",
COUNTIFS(
INDEX(Data!$1:$1048576,0,MATCH("Source",Data!$1:$1,0)),$B145,
INDEX(Data!$1:$1048576,0,MATCH("Enrollment Satisfied",Data!$1:$1,0)),"Yes"),
COUNTIFS(
INDEX(Data!$1:$1048576,0,MATCH("Fiscal Year",Data!$1:$1,0)),Demographics!$B$6,
INDEX(Data!$1:$1048576,0,MATCH("Source",Data!$1:$1,0)),$B145,
INDEX(Data!$1:$1048576,0,MATCH("Enrollment Satisfied",Data!$1:$1,0)),"Yes"))</f>
        <v>8</v>
      </c>
      <c r="G145" s="14"/>
      <c r="H145" s="41">
        <f>$F145/$F$50</f>
        <v>9.5238095238095233E-2</v>
      </c>
    </row>
    <row r="146" spans="2:8" ht="14.25" hidden="1" customHeight="1" x14ac:dyDescent="0.45">
      <c r="B146" s="15"/>
      <c r="C146" s="11"/>
      <c r="D146" s="11"/>
      <c r="E146" s="16"/>
      <c r="F146" s="15"/>
      <c r="G146" s="16"/>
      <c r="H146" s="22"/>
    </row>
    <row r="147" spans="2:8" ht="14.25" hidden="1" customHeight="1" x14ac:dyDescent="0.45">
      <c r="B147" s="17"/>
      <c r="C147" s="18"/>
      <c r="D147" s="18"/>
      <c r="E147" s="19"/>
      <c r="F147" s="17"/>
      <c r="G147" s="19"/>
      <c r="H147" s="23"/>
    </row>
    <row r="148" spans="2:8" ht="14.25" hidden="1" customHeight="1" x14ac:dyDescent="0.45">
      <c r="B148" s="29" t="s">
        <v>270</v>
      </c>
      <c r="C148" s="13"/>
      <c r="D148" s="13"/>
      <c r="E148" s="14"/>
      <c r="F148" s="29">
        <f>IF($B$6="2020-Present",
COUNTIFS(
INDEX(Data!$1:$1048576,0,MATCH("Source",Data!$1:$1,0)),$B148,
INDEX(Data!$1:$1048576,0,MATCH("Enrollment Satisfied",Data!$1:$1,0)),"Yes"),
COUNTIFS(
INDEX(Data!$1:$1048576,0,MATCH("Fiscal Year",Data!$1:$1,0)),Demographics!$B$6,
INDEX(Data!$1:$1048576,0,MATCH("Source",Data!$1:$1,0)),$B148,
INDEX(Data!$1:$1048576,0,MATCH("Enrollment Satisfied",Data!$1:$1,0)),"Yes"))</f>
        <v>3</v>
      </c>
      <c r="G148" s="14"/>
      <c r="H148" s="41">
        <f>$F148/$F$50</f>
        <v>3.5714285714285712E-2</v>
      </c>
    </row>
    <row r="149" spans="2:8" ht="14.25" hidden="1" customHeight="1" x14ac:dyDescent="0.45">
      <c r="B149" s="15"/>
      <c r="C149" s="11"/>
      <c r="D149" s="11"/>
      <c r="E149" s="16"/>
      <c r="F149" s="15"/>
      <c r="G149" s="16"/>
      <c r="H149" s="22"/>
    </row>
    <row r="150" spans="2:8" ht="14.25" hidden="1" customHeight="1" x14ac:dyDescent="0.45">
      <c r="B150" s="17"/>
      <c r="C150" s="18"/>
      <c r="D150" s="18"/>
      <c r="E150" s="19"/>
      <c r="F150" s="17"/>
      <c r="G150" s="19"/>
      <c r="H150" s="23"/>
    </row>
    <row r="151" spans="2:8" ht="14.25" hidden="1" customHeight="1" x14ac:dyDescent="0.45">
      <c r="B151" s="29" t="s">
        <v>257</v>
      </c>
      <c r="C151" s="13"/>
      <c r="D151" s="13"/>
      <c r="E151" s="14"/>
      <c r="F151" s="29">
        <f>IF($B$6="2020-Present",
COUNTIFS(
INDEX(Data!$1:$1048576,0,MATCH("Source",Data!$1:$1,0)),$B151,
INDEX(Data!$1:$1048576,0,MATCH("Enrollment Satisfied",Data!$1:$1,0)),"Yes"),
COUNTIFS(
INDEX(Data!$1:$1048576,0,MATCH("Fiscal Year",Data!$1:$1,0)),Demographics!$B$6,
INDEX(Data!$1:$1048576,0,MATCH("Source",Data!$1:$1,0)),$B151,
INDEX(Data!$1:$1048576,0,MATCH("Enrollment Satisfied",Data!$1:$1,0)),"Yes"))</f>
        <v>1</v>
      </c>
      <c r="G151" s="14"/>
      <c r="H151" s="41">
        <f>$F151/$F$50</f>
        <v>1.1904761904761904E-2</v>
      </c>
    </row>
    <row r="152" spans="2:8" ht="14.25" hidden="1" customHeight="1" x14ac:dyDescent="0.45">
      <c r="B152" s="15"/>
      <c r="C152" s="11"/>
      <c r="D152" s="11"/>
      <c r="E152" s="16"/>
      <c r="F152" s="15"/>
      <c r="G152" s="16"/>
      <c r="H152" s="22"/>
    </row>
    <row r="153" spans="2:8" ht="14.25" hidden="1" customHeight="1" x14ac:dyDescent="0.45">
      <c r="B153" s="17"/>
      <c r="C153" s="18"/>
      <c r="D153" s="18"/>
      <c r="E153" s="19"/>
      <c r="F153" s="17"/>
      <c r="G153" s="19"/>
      <c r="H153" s="23"/>
    </row>
    <row r="154" spans="2:8" ht="14.25" hidden="1" customHeight="1" x14ac:dyDescent="0.45">
      <c r="B154" s="29" t="s">
        <v>234</v>
      </c>
      <c r="C154" s="13"/>
      <c r="D154" s="13"/>
      <c r="E154" s="14"/>
      <c r="F154" s="29">
        <f>IF($B$6="2020-Present",
COUNTIFS(
INDEX(Data!$1:$1048576,0,MATCH("Source",Data!$1:$1,0)),$B154,
INDEX(Data!$1:$1048576,0,MATCH("Enrollment Satisfied",Data!$1:$1,0)),"Yes"),
COUNTIFS(
INDEX(Data!$1:$1048576,0,MATCH("Fiscal Year",Data!$1:$1,0)),Demographics!$B$6,
INDEX(Data!$1:$1048576,0,MATCH("Source",Data!$1:$1,0)),$B154,
INDEX(Data!$1:$1048576,0,MATCH("Enrollment Satisfied",Data!$1:$1,0)),"Yes"))</f>
        <v>1</v>
      </c>
      <c r="G154" s="14"/>
      <c r="H154" s="41">
        <f>$F154/$F$50</f>
        <v>1.1904761904761904E-2</v>
      </c>
    </row>
    <row r="155" spans="2:8" ht="14.25" hidden="1" customHeight="1" x14ac:dyDescent="0.45">
      <c r="B155" s="15"/>
      <c r="C155" s="11"/>
      <c r="D155" s="11"/>
      <c r="E155" s="16"/>
      <c r="F155" s="15"/>
      <c r="G155" s="16"/>
      <c r="H155" s="22"/>
    </row>
    <row r="156" spans="2:8" ht="14.25" hidden="1" customHeight="1" x14ac:dyDescent="0.45">
      <c r="B156" s="17"/>
      <c r="C156" s="18"/>
      <c r="D156" s="18"/>
      <c r="E156" s="19"/>
      <c r="F156" s="17"/>
      <c r="G156" s="19"/>
      <c r="H156" s="23"/>
    </row>
    <row r="157" spans="2:8" ht="14.25" hidden="1" customHeight="1" x14ac:dyDescent="0.45">
      <c r="B157" s="29" t="s">
        <v>639</v>
      </c>
      <c r="C157" s="13"/>
      <c r="D157" s="13"/>
      <c r="E157" s="14"/>
      <c r="F157" s="29">
        <f>IF($B$6="2020-Present",
COUNTIFS(
INDEX(Data!$1:$1048576,0,MATCH("Source",Data!$1:$1,0)),"*Walk With Me*",
INDEX(Data!$1:$1048576,0,MATCH("Enrollment Satisfied",Data!$1:$1,0)),"Yes"),
COUNTIFS(
INDEX(Data!$1:$1048576,0,MATCH("Fiscal Year",Data!$1:$1,0)),Demographics!$B$6,
INDEX(Data!$1:$1048576,0,MATCH("Source",Data!$1:$1,0)),"*Walk With Me*",
INDEX(Data!$1:$1048576,0,MATCH("Enrollment Satisfied",Data!$1:$1,0)),"Yes"))</f>
        <v>0</v>
      </c>
      <c r="G157" s="14"/>
      <c r="H157" s="41">
        <f>$F157/$F$50</f>
        <v>0</v>
      </c>
    </row>
    <row r="158" spans="2:8" ht="14.25" hidden="1" customHeight="1" x14ac:dyDescent="0.45">
      <c r="B158" s="15"/>
      <c r="C158" s="11"/>
      <c r="D158" s="11"/>
      <c r="E158" s="16"/>
      <c r="F158" s="15"/>
      <c r="G158" s="16"/>
      <c r="H158" s="22"/>
    </row>
    <row r="159" spans="2:8" ht="14.25" hidden="1" customHeight="1" x14ac:dyDescent="0.45">
      <c r="B159" s="17"/>
      <c r="C159" s="18"/>
      <c r="D159" s="18"/>
      <c r="E159" s="19"/>
      <c r="F159" s="17"/>
      <c r="G159" s="19"/>
      <c r="H159" s="23"/>
    </row>
    <row r="160" spans="2:8" ht="14.25" hidden="1" customHeight="1" x14ac:dyDescent="0.45">
      <c r="B160" s="29" t="s">
        <v>323</v>
      </c>
      <c r="C160" s="13"/>
      <c r="D160" s="13"/>
      <c r="E160" s="14"/>
      <c r="F160" s="29">
        <f>$F$50-SUM(F139:G159)</f>
        <v>13</v>
      </c>
      <c r="G160" s="14"/>
      <c r="H160" s="41">
        <f>$F160/$F$50</f>
        <v>0.15476190476190477</v>
      </c>
    </row>
    <row r="161" spans="2:8" ht="14.25" hidden="1" customHeight="1" x14ac:dyDescent="0.45">
      <c r="B161" s="15"/>
      <c r="C161" s="11"/>
      <c r="D161" s="11"/>
      <c r="E161" s="16"/>
      <c r="F161" s="15"/>
      <c r="G161" s="16"/>
      <c r="H161" s="22"/>
    </row>
    <row r="162" spans="2:8" ht="14.25" hidden="1" customHeight="1" x14ac:dyDescent="0.45">
      <c r="B162" s="17"/>
      <c r="C162" s="18"/>
      <c r="D162" s="18"/>
      <c r="E162" s="19"/>
      <c r="F162" s="17"/>
      <c r="G162" s="19"/>
      <c r="H162" s="23"/>
    </row>
    <row r="163" spans="2:8" ht="15" hidden="1" customHeight="1" x14ac:dyDescent="0.45"/>
    <row r="165" spans="2:8" x14ac:dyDescent="0.45">
      <c r="B165" s="10" t="s">
        <v>640</v>
      </c>
      <c r="C165" s="11"/>
      <c r="D165" s="11"/>
      <c r="E165" s="11"/>
      <c r="F165" s="11"/>
      <c r="G165" s="11"/>
      <c r="H165" s="11"/>
    </row>
    <row r="166" spans="2:8" x14ac:dyDescent="0.45">
      <c r="B166" s="11"/>
      <c r="C166" s="11"/>
      <c r="D166" s="11"/>
      <c r="E166" s="11"/>
      <c r="F166" s="11"/>
      <c r="G166" s="11"/>
      <c r="H166" s="11"/>
    </row>
    <row r="167" spans="2:8" x14ac:dyDescent="0.45">
      <c r="B167" s="11"/>
      <c r="C167" s="11"/>
      <c r="D167" s="11"/>
      <c r="E167" s="11"/>
      <c r="F167" s="11"/>
      <c r="G167" s="11"/>
      <c r="H167" s="11"/>
    </row>
    <row r="170" spans="2:8" x14ac:dyDescent="0.45">
      <c r="B170" s="29" t="s">
        <v>641</v>
      </c>
      <c r="C170" s="13"/>
      <c r="D170" s="13"/>
      <c r="E170" s="14"/>
      <c r="F170" s="29">
        <f>IF($B$6="2020-Present",
COUNTIFS(
INDEX(Data!$1:$1048576,0,MATCH("Income Source",Data!$1:$1,0)),"",
INDEX(Data!$1:$1048576,0,MATCH("Enrollment Satisfied",Data!$1:$1,0)),"Yes"),
COUNTIFS(
INDEX(Data!$1:$1048576,0,MATCH("Fiscal Year",Data!$1:$1,0)),Demographics!$B$6,
INDEX(Data!$1:$1048576,0,MATCH("Income Source",Data!$1:$1,0)),"",
INDEX(Data!$1:$1048576,0,MATCH("Enrollment Satisfied",Data!$1:$1,0)),"Yes"))</f>
        <v>37</v>
      </c>
      <c r="G170" s="14"/>
      <c r="H170" s="42">
        <f>$F170/$F$50</f>
        <v>0.44047619047619047</v>
      </c>
    </row>
    <row r="171" spans="2:8" x14ac:dyDescent="0.45">
      <c r="B171" s="15"/>
      <c r="C171" s="11"/>
      <c r="D171" s="11"/>
      <c r="E171" s="16"/>
      <c r="F171" s="15"/>
      <c r="G171" s="16"/>
      <c r="H171" s="22"/>
    </row>
    <row r="172" spans="2:8" ht="15" customHeight="1" x14ac:dyDescent="0.45">
      <c r="B172" s="17"/>
      <c r="C172" s="18"/>
      <c r="D172" s="18"/>
      <c r="E172" s="19"/>
      <c r="F172" s="17"/>
      <c r="G172" s="19"/>
      <c r="H172" s="23"/>
    </row>
    <row r="173" spans="2:8" ht="14.25" customHeight="1" x14ac:dyDescent="0.45">
      <c r="B173" s="29" t="s">
        <v>314</v>
      </c>
      <c r="C173" s="13"/>
      <c r="D173" s="13"/>
      <c r="E173" s="14"/>
      <c r="F173" s="29">
        <f>IF($B$6="2020-Present",
COUNTIFS(
INDEX(Data!$1:$1048576,0,MATCH("Income Source",Data!$1:$1,0)),"*Salary and Wages*",
INDEX(Data!$1:$1048576,0,MATCH("Enrollment Satisfied",Data!$1:$1,0)),"Yes"),
COUNTIFS(INDEX(Data!$1:$1048576,0,MATCH("Fiscal Year",Data!$1:$1,0)),Demographics!$B$6,
INDEX(Data!$1:$1048576,0,MATCH("Income Source",Data!$1:$1,0)),"*Salary and Wages*",
INDEX(Data!$1:$1048576,0,MATCH("Enrollment Satisfied",Data!$1:$1,0)),"Yes"))</f>
        <v>6</v>
      </c>
      <c r="G173" s="14"/>
      <c r="H173" s="42">
        <f>$F173/$F$50</f>
        <v>7.1428571428571425E-2</v>
      </c>
    </row>
    <row r="174" spans="2:8" ht="14.25" customHeight="1" x14ac:dyDescent="0.45">
      <c r="B174" s="15"/>
      <c r="C174" s="11"/>
      <c r="D174" s="11"/>
      <c r="E174" s="16"/>
      <c r="F174" s="15"/>
      <c r="G174" s="16"/>
      <c r="H174" s="22"/>
    </row>
    <row r="175" spans="2:8" ht="14.25" customHeight="1" x14ac:dyDescent="0.45">
      <c r="B175" s="17"/>
      <c r="C175" s="18"/>
      <c r="D175" s="18"/>
      <c r="E175" s="19"/>
      <c r="F175" s="17"/>
      <c r="G175" s="19"/>
      <c r="H175" s="23"/>
    </row>
    <row r="176" spans="2:8" ht="14.25" customHeight="1" x14ac:dyDescent="0.45">
      <c r="B176" s="29" t="s">
        <v>328</v>
      </c>
      <c r="C176" s="13"/>
      <c r="D176" s="13"/>
      <c r="E176" s="14"/>
      <c r="F176" s="29">
        <f>IF($B$6="2020-Present",
COUNTIFS(
INDEX(Data!$1:$1048576,0,MATCH("Income Source",Data!$1:$1,0)),"*Unemployment*",
INDEX(Data!$1:$1048576,0,MATCH("Enrollment Satisfied",Data!$1:$1,0)),"Yes"),
COUNTIFS(
INDEX(Data!$1:$1048576,0,MATCH("Fiscal Year",Data!$1:$1,0)),Demographics!$B$6,
INDEX(Data!$1:$1048576,0,MATCH("Income Source",Data!$1:$1,0)),"*Unemployment*",
INDEX(Data!$1:$1048576,0,MATCH("Enrollment Satisfied",Data!$1:$1,0)),"Yes"))</f>
        <v>6</v>
      </c>
      <c r="G176" s="14"/>
      <c r="H176" s="42">
        <f>$F176/$F$50</f>
        <v>7.1428571428571425E-2</v>
      </c>
    </row>
    <row r="177" spans="2:8" ht="14.25" customHeight="1" x14ac:dyDescent="0.45">
      <c r="B177" s="15"/>
      <c r="C177" s="11"/>
      <c r="D177" s="11"/>
      <c r="E177" s="16"/>
      <c r="F177" s="15"/>
      <c r="G177" s="16"/>
      <c r="H177" s="22"/>
    </row>
    <row r="178" spans="2:8" ht="14.25" customHeight="1" x14ac:dyDescent="0.45">
      <c r="B178" s="17"/>
      <c r="C178" s="18"/>
      <c r="D178" s="18"/>
      <c r="E178" s="19"/>
      <c r="F178" s="17"/>
      <c r="G178" s="19"/>
      <c r="H178" s="23"/>
    </row>
    <row r="179" spans="2:8" ht="14.25" customHeight="1" x14ac:dyDescent="0.45">
      <c r="B179" s="29" t="s">
        <v>524</v>
      </c>
      <c r="C179" s="13"/>
      <c r="D179" s="13"/>
      <c r="E179" s="14"/>
      <c r="F179" s="29">
        <f>IF($B$6="2020-Present",
COUNTIFS(
INDEX(Data!$1:$1048576,0,MATCH("Income Source",Data!$1:$1,0)),"*TCA or Cash Assistance*",
INDEX(Data!$1:$1048576,0,MATCH("Enrollment Satisfied",Data!$1:$1,0)),"Yes"),
COUNTIFS(INDEX(Data!$1:$1048576,0,MATCH("Fiscal Year",Data!$1:$1,0)),Demographics!$B$6,
INDEX(Data!$1:$1048576,0,MATCH("Income Source",Data!$1:$1,0)),"*TCA or Cash Assistance*",
INDEX(Data!$1:$1048576,0,MATCH("Enrollment Satisfied",Data!$1:$1,0)),"Yes"))</f>
        <v>1</v>
      </c>
      <c r="G179" s="14"/>
      <c r="H179" s="42">
        <f>$F179/$F$50</f>
        <v>1.1904761904761904E-2</v>
      </c>
    </row>
    <row r="180" spans="2:8" ht="14.25" customHeight="1" x14ac:dyDescent="0.45">
      <c r="B180" s="15"/>
      <c r="C180" s="11"/>
      <c r="D180" s="11"/>
      <c r="E180" s="16"/>
      <c r="F180" s="15"/>
      <c r="G180" s="16"/>
      <c r="H180" s="22"/>
    </row>
    <row r="181" spans="2:8" ht="14.25" customHeight="1" x14ac:dyDescent="0.45">
      <c r="B181" s="17"/>
      <c r="C181" s="18"/>
      <c r="D181" s="18"/>
      <c r="E181" s="19"/>
      <c r="F181" s="17"/>
      <c r="G181" s="19"/>
      <c r="H181" s="23"/>
    </row>
    <row r="182" spans="2:8" ht="14.25" customHeight="1" x14ac:dyDescent="0.45">
      <c r="B182" s="29" t="s">
        <v>642</v>
      </c>
      <c r="C182" s="13"/>
      <c r="D182" s="13"/>
      <c r="E182" s="14"/>
      <c r="F182" s="29">
        <f>IF($B$6="2020-Present",
COUNTIFS(
INDEX(Data!$1:$1048576,0,MATCH("Income Source",Data!$1:$1,0)),"*SSDI*",
INDEX(Data!$1:$1048576,0,MATCH("Enrollment Satisfied",Data!$1:$1,0)),"Yes"),
COUNTIFS(
INDEX(Data!$1:$1048576,0,MATCH("Fiscal Year",Data!$1:$1,0)),Demographics!$B$6,
INDEX(Data!$1:$1048576,0,MATCH("Income Source",Data!$1:$1,0)),"*SSDI*",
INDEX(Data!$1:$1048576,0,MATCH("Enrollment Satisfied",Data!$1:$1,0)),"Yes"))</f>
        <v>0</v>
      </c>
      <c r="G182" s="14"/>
      <c r="H182" s="42">
        <f>$F182/$F$50</f>
        <v>0</v>
      </c>
    </row>
    <row r="183" spans="2:8" ht="14.25" customHeight="1" x14ac:dyDescent="0.45">
      <c r="B183" s="15"/>
      <c r="C183" s="11"/>
      <c r="D183" s="11"/>
      <c r="E183" s="16"/>
      <c r="F183" s="15"/>
      <c r="G183" s="16"/>
      <c r="H183" s="22"/>
    </row>
    <row r="184" spans="2:8" ht="14.25" customHeight="1" x14ac:dyDescent="0.45">
      <c r="B184" s="17"/>
      <c r="C184" s="18"/>
      <c r="D184" s="18"/>
      <c r="E184" s="19"/>
      <c r="F184" s="17"/>
      <c r="G184" s="19"/>
      <c r="H184" s="23"/>
    </row>
    <row r="185" spans="2:8" ht="14.25" customHeight="1" x14ac:dyDescent="0.45">
      <c r="B185" s="29" t="s">
        <v>643</v>
      </c>
      <c r="C185" s="13"/>
      <c r="D185" s="13"/>
      <c r="E185" s="14"/>
      <c r="F185" s="29">
        <f>IF($B$6="2020-Present",
COUNTIFS(
INDEX(Data!$1:$1048576,0,MATCH("Income Source",Data!$1:$1,0)),"*SNAP/Food Stamps*",
INDEX(Data!$1:$1048576,0,MATCH("Enrollment Satisfied",Data!$1:$1,0)),"Yes"),
COUNTIFS(
INDEX(Data!$1:$1048576,0,MATCH("Fiscal Year",Data!$1:$1,0)),Demographics!$B$6,
INDEX(Data!$1:$1048576,0,MATCH("Income Source",Data!$1:$1,0)),"*SNAP/Food Stamps*",
INDEX(Data!$1:$1048576,0,MATCH("Enrollment Satisfied",Data!$1:$1,0)),"Yes"))</f>
        <v>3</v>
      </c>
      <c r="G185" s="14"/>
      <c r="H185" s="42">
        <f>$F185/$F$50</f>
        <v>3.5714285714285712E-2</v>
      </c>
    </row>
    <row r="186" spans="2:8" ht="14.25" customHeight="1" x14ac:dyDescent="0.45">
      <c r="B186" s="15"/>
      <c r="C186" s="11"/>
      <c r="D186" s="11"/>
      <c r="E186" s="16"/>
      <c r="F186" s="15"/>
      <c r="G186" s="16"/>
      <c r="H186" s="22"/>
    </row>
    <row r="187" spans="2:8" ht="14.25" customHeight="1" x14ac:dyDescent="0.45">
      <c r="B187" s="17"/>
      <c r="C187" s="18"/>
      <c r="D187" s="18"/>
      <c r="E187" s="19"/>
      <c r="F187" s="17"/>
      <c r="G187" s="19"/>
      <c r="H187" s="23"/>
    </row>
    <row r="188" spans="2:8" ht="14.25" customHeight="1" x14ac:dyDescent="0.45">
      <c r="B188" s="29" t="s">
        <v>644</v>
      </c>
      <c r="C188" s="13"/>
      <c r="D188" s="13"/>
      <c r="E188" s="14"/>
      <c r="F188" s="29">
        <f>IF($B$6="2020-Present",
COUNTIFS(
INDEX(Data!$1:$1048576,0,MATCH("Income Source",Data!$1:$1,0)),"*Child Support*",
INDEX(Data!$1:$1048576,0,MATCH("Enrollment Satisfied",Data!$1:$1,0)),"Yes"),
COUNTIFS(
INDEX(Data!$1:$1048576,0,MATCH("Fiscal Year",Data!$1:$1,0)),Demographics!$B$6,
INDEX(Data!$1:$1048576,0,MATCH("Income Source",Data!$1:$1,0)),"*Child Support*",
INDEX(Data!$1:$1048576,0,MATCH("Enrollment Satisfied",Data!$1:$1,0)),"Yes"))</f>
        <v>0</v>
      </c>
      <c r="G188" s="14"/>
      <c r="H188" s="42">
        <f>$F188/$F$50</f>
        <v>0</v>
      </c>
    </row>
    <row r="189" spans="2:8" ht="14.25" customHeight="1" x14ac:dyDescent="0.45">
      <c r="B189" s="15"/>
      <c r="C189" s="11"/>
      <c r="D189" s="11"/>
      <c r="E189" s="16"/>
      <c r="F189" s="15"/>
      <c r="G189" s="16"/>
      <c r="H189" s="22"/>
    </row>
    <row r="190" spans="2:8" ht="14.25" customHeight="1" x14ac:dyDescent="0.45">
      <c r="B190" s="17"/>
      <c r="C190" s="18"/>
      <c r="D190" s="18"/>
      <c r="E190" s="19"/>
      <c r="F190" s="17"/>
      <c r="G190" s="19"/>
      <c r="H190" s="23"/>
    </row>
    <row r="191" spans="2:8" ht="14.25" customHeight="1" x14ac:dyDescent="0.45">
      <c r="B191" s="29" t="s">
        <v>469</v>
      </c>
      <c r="C191" s="13"/>
      <c r="D191" s="13"/>
      <c r="E191" s="14"/>
      <c r="F191" s="29">
        <f>IF($B$6="2020-Present",
COUNTIFS(
INDEX(Data!$1:$1048576,0,MATCH("Income Source",Data!$1:$1,0)),"*SSI*",
INDEX(Data!$1:$1048576,0,MATCH("Enrollment Satisfied",Data!$1:$1,0)),"Yes"),
COUNTIFS(
INDEX(Data!$1:$1048576,0,MATCH("Fiscal Year",Data!$1:$1,0)),Demographics!$B$6,
INDEX(Data!$1:$1048576,0,MATCH("Income Source",Data!$1:$1,0)),"*SSI*",
INDEX(Data!$1:$1048576,0,MATCH("Enrollment Satisfied",Data!$1:$1,0)),"Yes"))</f>
        <v>4</v>
      </c>
      <c r="G191" s="14"/>
      <c r="H191" s="42">
        <f>$F191/$F$50</f>
        <v>4.7619047619047616E-2</v>
      </c>
    </row>
    <row r="192" spans="2:8" ht="14.25" customHeight="1" x14ac:dyDescent="0.45">
      <c r="B192" s="15"/>
      <c r="C192" s="11"/>
      <c r="D192" s="11"/>
      <c r="E192" s="16"/>
      <c r="F192" s="15"/>
      <c r="G192" s="16"/>
      <c r="H192" s="22"/>
    </row>
    <row r="193" spans="2:8" ht="14.25" customHeight="1" x14ac:dyDescent="0.45">
      <c r="B193" s="17"/>
      <c r="C193" s="18"/>
      <c r="D193" s="18"/>
      <c r="E193" s="19"/>
      <c r="F193" s="17"/>
      <c r="G193" s="19"/>
      <c r="H193" s="23"/>
    </row>
    <row r="194" spans="2:8" ht="14.25" customHeight="1" x14ac:dyDescent="0.45"/>
    <row r="195" spans="2:8" ht="14.25" hidden="1" customHeight="1" x14ac:dyDescent="0.45"/>
    <row r="196" spans="2:8" ht="14.25" hidden="1" customHeight="1" x14ac:dyDescent="0.45">
      <c r="B196" s="40" t="s">
        <v>94</v>
      </c>
      <c r="C196" s="11"/>
      <c r="D196" s="11"/>
      <c r="E196" s="11"/>
      <c r="F196" s="11"/>
      <c r="G196" s="11"/>
      <c r="H196" s="16"/>
    </row>
    <row r="197" spans="2:8" ht="14.25" hidden="1" customHeight="1" x14ac:dyDescent="0.45">
      <c r="B197" s="15"/>
      <c r="C197" s="11"/>
      <c r="D197" s="11"/>
      <c r="E197" s="11"/>
      <c r="F197" s="11"/>
      <c r="G197" s="11"/>
      <c r="H197" s="16"/>
    </row>
    <row r="198" spans="2:8" ht="14.25" hidden="1" customHeight="1" x14ac:dyDescent="0.45">
      <c r="B198" s="17"/>
      <c r="C198" s="18"/>
      <c r="D198" s="18"/>
      <c r="E198" s="18"/>
      <c r="F198" s="18"/>
      <c r="G198" s="18"/>
      <c r="H198" s="19"/>
    </row>
    <row r="199" spans="2:8" ht="14.25" hidden="1" customHeight="1" x14ac:dyDescent="0.45">
      <c r="B199" s="33"/>
      <c r="C199" s="33"/>
      <c r="D199" s="33"/>
      <c r="E199" s="33"/>
      <c r="F199" s="33"/>
      <c r="G199" s="33"/>
      <c r="H199" s="33"/>
    </row>
    <row r="200" spans="2:8" ht="14.25" hidden="1" customHeight="1" x14ac:dyDescent="0.45">
      <c r="B200" s="33"/>
      <c r="C200" s="33"/>
      <c r="D200" s="33"/>
      <c r="E200" s="33"/>
      <c r="F200" s="33"/>
      <c r="G200" s="33"/>
      <c r="H200" s="33"/>
    </row>
    <row r="201" spans="2:8" ht="14.25" hidden="1" customHeight="1" x14ac:dyDescent="0.45">
      <c r="B201" s="40" t="s">
        <v>217</v>
      </c>
      <c r="C201" s="11"/>
      <c r="D201" s="11"/>
      <c r="E201" s="16"/>
      <c r="F201" s="40" t="e">
        <f>IF($B$6="2020-2021",
COUNTIFS(INDEX(#REF!,0,MATCH("Time Unemployed",#REF!,0)),$B201,INDEX(#REF!,0,MATCH("Enrollment Satisfied",#REF!,0)),"Yes"),COUNTIFS(INDEX(#REF!,0,MATCH("Fiscal Year",#REF!,0)),Demographics!$B$6,INDEX(#REF!,0,MATCH("Time Unemployed",#REF!,0)),$B201,INDEX(#REF!,0,MATCH("Enrollment Satisfied",#REF!,0)),"Yes"))</f>
        <v>#REF!</v>
      </c>
      <c r="G201" s="16"/>
      <c r="H201" s="41" t="e">
        <f>$F201/$F$50</f>
        <v>#REF!</v>
      </c>
    </row>
    <row r="202" spans="2:8" ht="14.25" hidden="1" customHeight="1" x14ac:dyDescent="0.45">
      <c r="B202" s="15"/>
      <c r="C202" s="11"/>
      <c r="D202" s="11"/>
      <c r="E202" s="16"/>
      <c r="F202" s="15"/>
      <c r="G202" s="16"/>
      <c r="H202" s="22"/>
    </row>
    <row r="203" spans="2:8" ht="14.25" hidden="1" customHeight="1" x14ac:dyDescent="0.45">
      <c r="B203" s="17"/>
      <c r="C203" s="18"/>
      <c r="D203" s="18"/>
      <c r="E203" s="19"/>
      <c r="F203" s="17"/>
      <c r="G203" s="19"/>
      <c r="H203" s="23"/>
    </row>
    <row r="204" spans="2:8" ht="14.25" hidden="1" customHeight="1" x14ac:dyDescent="0.45">
      <c r="B204" s="29" t="s">
        <v>315</v>
      </c>
      <c r="C204" s="13"/>
      <c r="D204" s="13"/>
      <c r="E204" s="14"/>
      <c r="F204" s="29" t="e">
        <f>IF($B$6="2020-2021",
COUNTIFS(INDEX(#REF!,0,MATCH("Time Unemployed",#REF!,0)),$B204,INDEX(#REF!,0,MATCH("Enrollment Satisfied",#REF!,0)),"Yes"),COUNTIFS(INDEX(#REF!,0,MATCH("Fiscal Year",#REF!,0)),Demographics!$B$6,INDEX(#REF!,0,MATCH("Time Unemployed",#REF!,0)),$B204,INDEX(#REF!,0,MATCH("Enrollment Satisfied",#REF!,0)),"Yes"))</f>
        <v>#REF!</v>
      </c>
      <c r="G204" s="14"/>
      <c r="H204" s="42" t="e">
        <f>$F204/$F$50</f>
        <v>#REF!</v>
      </c>
    </row>
    <row r="205" spans="2:8" ht="14.25" hidden="1" customHeight="1" x14ac:dyDescent="0.45">
      <c r="B205" s="15"/>
      <c r="C205" s="11"/>
      <c r="D205" s="11"/>
      <c r="E205" s="16"/>
      <c r="F205" s="15"/>
      <c r="G205" s="16"/>
      <c r="H205" s="22"/>
    </row>
    <row r="206" spans="2:8" ht="14.25" hidden="1" customHeight="1" x14ac:dyDescent="0.45">
      <c r="B206" s="17"/>
      <c r="C206" s="18"/>
      <c r="D206" s="18"/>
      <c r="E206" s="19"/>
      <c r="F206" s="17"/>
      <c r="G206" s="19"/>
      <c r="H206" s="23"/>
    </row>
    <row r="207" spans="2:8" ht="14.25" hidden="1" customHeight="1" x14ac:dyDescent="0.45">
      <c r="B207" s="29" t="s">
        <v>272</v>
      </c>
      <c r="C207" s="13"/>
      <c r="D207" s="13"/>
      <c r="E207" s="14"/>
      <c r="F207" s="29" t="e">
        <f>IF($B$6="2020-2021",
COUNTIFS(INDEX(#REF!,0,MATCH("Time Unemployed",#REF!,0)),$B207,INDEX(#REF!,0,MATCH("Enrollment Satisfied",#REF!,0)),"Yes"),COUNTIFS(INDEX(#REF!,0,MATCH("Fiscal Year",#REF!,0)),Demographics!$B$6,INDEX(#REF!,0,MATCH("Time Unemployed",#REF!,0)),$B207,INDEX(#REF!,0,MATCH("Enrollment Satisfied",#REF!,0)),"Yes"))</f>
        <v>#REF!</v>
      </c>
      <c r="G207" s="14"/>
      <c r="H207" s="42" t="e">
        <f>$F207/$F$50</f>
        <v>#REF!</v>
      </c>
    </row>
    <row r="208" spans="2:8" ht="14.25" hidden="1" customHeight="1" x14ac:dyDescent="0.45">
      <c r="B208" s="15"/>
      <c r="C208" s="11"/>
      <c r="D208" s="11"/>
      <c r="E208" s="16"/>
      <c r="F208" s="15"/>
      <c r="G208" s="16"/>
      <c r="H208" s="22"/>
    </row>
    <row r="209" spans="2:8" ht="14.25" hidden="1" customHeight="1" x14ac:dyDescent="0.45">
      <c r="B209" s="17"/>
      <c r="C209" s="18"/>
      <c r="D209" s="18"/>
      <c r="E209" s="19"/>
      <c r="F209" s="17"/>
      <c r="G209" s="19"/>
      <c r="H209" s="23"/>
    </row>
    <row r="210" spans="2:8" ht="14.25" hidden="1" customHeight="1" x14ac:dyDescent="0.45">
      <c r="B210" s="29" t="s">
        <v>329</v>
      </c>
      <c r="C210" s="13"/>
      <c r="D210" s="13"/>
      <c r="E210" s="14"/>
      <c r="F210" s="29" t="e">
        <f>IF($B$6="2020-2021",
COUNTIFS(INDEX(#REF!,0,MATCH("Time Unemployed",#REF!,0)),$B210,INDEX(#REF!,0,MATCH("Enrollment Satisfied",#REF!,0)),"Yes"),COUNTIFS(INDEX(#REF!,0,MATCH("Fiscal Year",#REF!,0)),Demographics!$B$6,INDEX(#REF!,0,MATCH("Time Unemployed",#REF!,0)),$B210,INDEX(#REF!,0,MATCH("Enrollment Satisfied",#REF!,0)),"Yes"))</f>
        <v>#REF!</v>
      </c>
      <c r="G210" s="14"/>
      <c r="H210" s="42" t="e">
        <f>$F210/$F$50</f>
        <v>#REF!</v>
      </c>
    </row>
    <row r="211" spans="2:8" ht="14.25" hidden="1" customHeight="1" x14ac:dyDescent="0.45">
      <c r="B211" s="15"/>
      <c r="C211" s="11"/>
      <c r="D211" s="11"/>
      <c r="E211" s="16"/>
      <c r="F211" s="15"/>
      <c r="G211" s="16"/>
      <c r="H211" s="22"/>
    </row>
    <row r="212" spans="2:8" ht="14.25" hidden="1" customHeight="1" x14ac:dyDescent="0.45">
      <c r="B212" s="17"/>
      <c r="C212" s="18"/>
      <c r="D212" s="18"/>
      <c r="E212" s="19"/>
      <c r="F212" s="17"/>
      <c r="G212" s="19"/>
      <c r="H212" s="23"/>
    </row>
    <row r="213" spans="2:8" ht="14.25" hidden="1" customHeight="1" x14ac:dyDescent="0.45">
      <c r="B213" s="29" t="s">
        <v>402</v>
      </c>
      <c r="C213" s="13"/>
      <c r="D213" s="13"/>
      <c r="E213" s="14"/>
      <c r="F213" s="29" t="e">
        <f>IF($B$6="2020-2021",
COUNTIFS(INDEX(#REF!,0,MATCH("Time Unemployed",#REF!,0)),$B213,INDEX(#REF!,0,MATCH("Enrollment Satisfied",#REF!,0)),"Yes"),COUNTIFS(INDEX(#REF!,0,MATCH("Fiscal Year",#REF!,0)),Demographics!$B$6,INDEX(#REF!,0,MATCH("Time Unemployed",#REF!,0)),$B213,INDEX(#REF!,0,MATCH("Enrollment Satisfied",#REF!,0)),"Yes"))</f>
        <v>#REF!</v>
      </c>
      <c r="G213" s="14"/>
      <c r="H213" s="42" t="e">
        <f>$F213/$F$50</f>
        <v>#REF!</v>
      </c>
    </row>
    <row r="214" spans="2:8" ht="14.25" hidden="1" customHeight="1" x14ac:dyDescent="0.45">
      <c r="B214" s="15"/>
      <c r="C214" s="11"/>
      <c r="D214" s="11"/>
      <c r="E214" s="16"/>
      <c r="F214" s="15"/>
      <c r="G214" s="16"/>
      <c r="H214" s="22"/>
    </row>
    <row r="215" spans="2:8" ht="14.25" hidden="1" customHeight="1" x14ac:dyDescent="0.45">
      <c r="B215" s="17"/>
      <c r="C215" s="18"/>
      <c r="D215" s="18"/>
      <c r="E215" s="19"/>
      <c r="F215" s="17"/>
      <c r="G215" s="19"/>
      <c r="H215" s="23"/>
    </row>
    <row r="216" spans="2:8" ht="14.25" hidden="1" customHeight="1" x14ac:dyDescent="0.45">
      <c r="B216" s="29" t="s">
        <v>446</v>
      </c>
      <c r="C216" s="13"/>
      <c r="D216" s="13"/>
      <c r="E216" s="14"/>
      <c r="F216" s="29" t="e">
        <f>IF($B$6="2020-2021",
COUNTIFS(INDEX(#REF!,0,MATCH("Time Unemployed",#REF!,0)),$B216,INDEX(#REF!,0,MATCH("Enrollment Satisfied",#REF!,0)),"Yes"),COUNTIFS(INDEX(#REF!,0,MATCH("Fiscal Year",#REF!,0)),Demographics!$B$6,INDEX(#REF!,0,MATCH("Time Unemployed",#REF!,0)),$B216,INDEX(#REF!,0,MATCH("Enrollment Satisfied",#REF!,0)),"Yes"))</f>
        <v>#REF!</v>
      </c>
      <c r="G216" s="14"/>
      <c r="H216" s="42" t="e">
        <f>$F216/$F$50</f>
        <v>#REF!</v>
      </c>
    </row>
    <row r="217" spans="2:8" ht="14.25" hidden="1" customHeight="1" x14ac:dyDescent="0.45">
      <c r="B217" s="15"/>
      <c r="C217" s="11"/>
      <c r="D217" s="11"/>
      <c r="E217" s="16"/>
      <c r="F217" s="15"/>
      <c r="G217" s="16"/>
      <c r="H217" s="22"/>
    </row>
    <row r="218" spans="2:8" ht="14.25" hidden="1" customHeight="1" x14ac:dyDescent="0.45">
      <c r="B218" s="17"/>
      <c r="C218" s="18"/>
      <c r="D218" s="18"/>
      <c r="E218" s="19"/>
      <c r="F218" s="17"/>
      <c r="G218" s="19"/>
      <c r="H218" s="23"/>
    </row>
    <row r="219" spans="2:8" hidden="1" x14ac:dyDescent="0.45"/>
    <row r="221" spans="2:8" x14ac:dyDescent="0.45">
      <c r="B221" s="29" t="s">
        <v>96</v>
      </c>
      <c r="C221" s="13"/>
      <c r="D221" s="13"/>
      <c r="E221" s="13"/>
      <c r="F221" s="13"/>
      <c r="G221" s="13"/>
      <c r="H221" s="14"/>
    </row>
    <row r="222" spans="2:8" x14ac:dyDescent="0.45">
      <c r="B222" s="15"/>
      <c r="C222" s="11"/>
      <c r="D222" s="11"/>
      <c r="E222" s="11"/>
      <c r="F222" s="11"/>
      <c r="G222" s="11"/>
      <c r="H222" s="16"/>
    </row>
    <row r="223" spans="2:8" x14ac:dyDescent="0.45">
      <c r="B223" s="17"/>
      <c r="C223" s="18"/>
      <c r="D223" s="18"/>
      <c r="E223" s="18"/>
      <c r="F223" s="18"/>
      <c r="G223" s="18"/>
      <c r="H223" s="19"/>
    </row>
    <row r="224" spans="2:8" ht="12.95" customHeight="1" x14ac:dyDescent="0.45">
      <c r="B224" s="33"/>
      <c r="C224" s="33"/>
      <c r="D224" s="33"/>
      <c r="E224" s="33"/>
      <c r="F224" s="33"/>
      <c r="G224" s="33"/>
      <c r="H224" s="33"/>
    </row>
    <row r="225" spans="2:8" ht="12.95" customHeight="1" x14ac:dyDescent="0.45">
      <c r="B225" s="33"/>
      <c r="C225" s="33"/>
      <c r="D225" s="33"/>
      <c r="E225" s="33"/>
      <c r="F225" s="33"/>
      <c r="G225" s="33"/>
      <c r="H225" s="33"/>
    </row>
    <row r="226" spans="2:8" x14ac:dyDescent="0.45">
      <c r="B226" s="40" t="s">
        <v>184</v>
      </c>
      <c r="C226" s="11"/>
      <c r="D226" s="11"/>
      <c r="E226" s="16"/>
      <c r="F226" s="40">
        <f>IF($B$6="2020-Present",
COUNTIFS(
INDEX(Data!$1:$1048576,0,MATCH("Income Category",Data!$1:$1,0)),$B226,
INDEX(Data!$1:$1048576,0,MATCH("Enrollment Satisfied",Data!$1:$1,0)),"Yes"),
COUNTIFS(
INDEX(Data!$1:$1048576,0,MATCH("Fiscal Year",Data!$1:$1,0)),Demographics!$B$6,
INDEX(Data!$1:$1048576,0,MATCH("Income Category",Data!$1:$1,0)),$B226,
INDEX(Data!$1:$1048576,0,MATCH("Enrollment Satisfied",Data!$1:$1,0)),"Yes"))</f>
        <v>76</v>
      </c>
      <c r="G226" s="16"/>
      <c r="H226" s="41">
        <f>$F226/$F$50</f>
        <v>0.90476190476190477</v>
      </c>
    </row>
    <row r="227" spans="2:8" x14ac:dyDescent="0.45">
      <c r="B227" s="15"/>
      <c r="C227" s="11"/>
      <c r="D227" s="11"/>
      <c r="E227" s="16"/>
      <c r="F227" s="15"/>
      <c r="G227" s="16"/>
      <c r="H227" s="22"/>
    </row>
    <row r="228" spans="2:8" ht="15" customHeight="1" x14ac:dyDescent="0.45">
      <c r="B228" s="17"/>
      <c r="C228" s="18"/>
      <c r="D228" s="18"/>
      <c r="E228" s="19"/>
      <c r="F228" s="17"/>
      <c r="G228" s="19"/>
      <c r="H228" s="23"/>
    </row>
    <row r="229" spans="2:8" ht="14.25" customHeight="1" x14ac:dyDescent="0.45">
      <c r="B229" s="29" t="s">
        <v>538</v>
      </c>
      <c r="C229" s="13"/>
      <c r="D229" s="13"/>
      <c r="E229" s="14"/>
      <c r="F229" s="29">
        <f>IF($B$6="2020-Present",
COUNTIFS(
INDEX(Data!$1:$1048576,0,MATCH("Income Category",Data!$1:$1,0)),$B229,
INDEX(Data!$1:$1048576,0,MATCH("Enrollment Satisfied",Data!$1:$1,0)),"Yes"),
COUNTIFS(
INDEX(Data!$1:$1048576,0,MATCH("Fiscal Year",Data!$1:$1,0)),Demographics!$B$6,
INDEX(Data!$1:$1048576,0,MATCH("Income Category",Data!$1:$1,0)),$B229,
INDEX(Data!$1:$1048576,0,MATCH("Enrollment Satisfied",Data!$1:$1,0)),"Yes"))</f>
        <v>1</v>
      </c>
      <c r="G229" s="14"/>
      <c r="H229" s="41">
        <f>$F229/$F$50</f>
        <v>1.1904761904761904E-2</v>
      </c>
    </row>
    <row r="230" spans="2:8" ht="14.25" customHeight="1" x14ac:dyDescent="0.45">
      <c r="B230" s="15"/>
      <c r="C230" s="11"/>
      <c r="D230" s="11"/>
      <c r="E230" s="16"/>
      <c r="F230" s="15"/>
      <c r="G230" s="16"/>
      <c r="H230" s="22"/>
    </row>
    <row r="231" spans="2:8" ht="14.25" customHeight="1" x14ac:dyDescent="0.45">
      <c r="B231" s="17"/>
      <c r="C231" s="18"/>
      <c r="D231" s="18"/>
      <c r="E231" s="19"/>
      <c r="F231" s="17"/>
      <c r="G231" s="19"/>
      <c r="H231" s="23"/>
    </row>
    <row r="232" spans="2:8" ht="14.25" customHeight="1" x14ac:dyDescent="0.45">
      <c r="B232" s="29" t="s">
        <v>316</v>
      </c>
      <c r="C232" s="13"/>
      <c r="D232" s="13"/>
      <c r="E232" s="14"/>
      <c r="F232" s="29">
        <f>IF($B$6="2020-Present",
COUNTIFS(
INDEX(Data!$1:$1048576,0,MATCH("Income Category",Data!$1:$1,0)),$B232,
INDEX(Data!$1:$1048576,0,MATCH("Enrollment Satisfied",Data!$1:$1,0)),"Yes"),
COUNTIFS(
INDEX(Data!$1:$1048576,0,MATCH("Fiscal Year",Data!$1:$1,0)),Demographics!$B$6,
INDEX(Data!$1:$1048576,0,MATCH("Income Category",Data!$1:$1,0)),$B232,
INDEX(Data!$1:$1048576,0,MATCH("Enrollment Satisfied",Data!$1:$1,0)),"Yes"))</f>
        <v>5</v>
      </c>
      <c r="G232" s="14"/>
      <c r="H232" s="41">
        <f>$F232/$F$50</f>
        <v>5.9523809523809521E-2</v>
      </c>
    </row>
    <row r="233" spans="2:8" ht="14.25" customHeight="1" x14ac:dyDescent="0.45">
      <c r="B233" s="15"/>
      <c r="C233" s="11"/>
      <c r="D233" s="11"/>
      <c r="E233" s="16"/>
      <c r="F233" s="15"/>
      <c r="G233" s="16"/>
      <c r="H233" s="22"/>
    </row>
    <row r="234" spans="2:8" ht="14.25" customHeight="1" x14ac:dyDescent="0.45">
      <c r="B234" s="17"/>
      <c r="C234" s="18"/>
      <c r="D234" s="18"/>
      <c r="E234" s="19"/>
      <c r="F234" s="17"/>
      <c r="G234" s="19"/>
      <c r="H234" s="23"/>
    </row>
    <row r="235" spans="2:8" ht="15" customHeight="1" x14ac:dyDescent="0.45"/>
    <row r="237" spans="2:8" x14ac:dyDescent="0.45">
      <c r="B237" s="29" t="s">
        <v>106</v>
      </c>
      <c r="C237" s="13"/>
      <c r="D237" s="13"/>
      <c r="E237" s="13"/>
      <c r="F237" s="13"/>
      <c r="G237" s="13"/>
      <c r="H237" s="14"/>
    </row>
    <row r="238" spans="2:8" x14ac:dyDescent="0.45">
      <c r="B238" s="15"/>
      <c r="C238" s="11"/>
      <c r="D238" s="11"/>
      <c r="E238" s="11"/>
      <c r="F238" s="11"/>
      <c r="G238" s="11"/>
      <c r="H238" s="16"/>
    </row>
    <row r="239" spans="2:8" x14ac:dyDescent="0.45">
      <c r="B239" s="17"/>
      <c r="C239" s="18"/>
      <c r="D239" s="18"/>
      <c r="E239" s="18"/>
      <c r="F239" s="18"/>
      <c r="G239" s="18"/>
      <c r="H239" s="19"/>
    </row>
    <row r="240" spans="2:8" ht="14.45" customHeight="1" x14ac:dyDescent="0.45">
      <c r="B240" s="33"/>
      <c r="C240" s="33"/>
      <c r="D240" s="33"/>
      <c r="E240" s="33"/>
      <c r="F240" s="33"/>
      <c r="G240" s="33"/>
      <c r="H240" s="33"/>
    </row>
    <row r="241" spans="2:8" ht="14.45" customHeight="1" x14ac:dyDescent="0.45">
      <c r="B241" s="33"/>
      <c r="C241" s="33"/>
      <c r="D241" s="33"/>
      <c r="E241" s="33"/>
      <c r="F241" s="33"/>
      <c r="G241" s="33"/>
      <c r="H241" s="33"/>
    </row>
    <row r="242" spans="2:8" x14ac:dyDescent="0.45">
      <c r="B242" s="40" t="s">
        <v>645</v>
      </c>
      <c r="C242" s="11"/>
      <c r="D242" s="11"/>
      <c r="E242" s="16"/>
      <c r="F242" s="40">
        <f>IF($B$6="2020-Present",
COUNTIFS(
INDEX(Data!$1:$1048576,0,MATCH("Valid Dl",Data!$1:$1,0)),"No",
INDEX(Data!$1:$1048576,0,MATCH("Enrollment Satisfied",Data!$1:$1,0)),"Yes"),
COUNTIFS(INDEX(Data!$1:$1048576,0,MATCH("Fiscal Year",Data!$1:$1,0)),Demographics!$B$6,
INDEX(Data!$1:$1048576,0,MATCH("Valid Dl",Data!$1:$1,0)),"No",
INDEX(Data!$1:$1048576,0,MATCH("Enrollment Satisfied",Data!$1:$1,0)),"Yes"))</f>
        <v>46</v>
      </c>
      <c r="G242" s="16"/>
      <c r="H242" s="41">
        <f>F242/$F$50</f>
        <v>0.54761904761904767</v>
      </c>
    </row>
    <row r="243" spans="2:8" x14ac:dyDescent="0.45">
      <c r="B243" s="15"/>
      <c r="C243" s="11"/>
      <c r="D243" s="11"/>
      <c r="E243" s="16"/>
      <c r="F243" s="15"/>
      <c r="G243" s="16"/>
      <c r="H243" s="22"/>
    </row>
    <row r="244" spans="2:8" ht="15" customHeight="1" x14ac:dyDescent="0.45">
      <c r="B244" s="17"/>
      <c r="C244" s="18"/>
      <c r="D244" s="18"/>
      <c r="E244" s="19"/>
      <c r="F244" s="17"/>
      <c r="G244" s="19"/>
      <c r="H244" s="23"/>
    </row>
    <row r="245" spans="2:8" ht="14.25" customHeight="1" x14ac:dyDescent="0.45">
      <c r="B245" s="29" t="s">
        <v>646</v>
      </c>
      <c r="C245" s="13"/>
      <c r="D245" s="13"/>
      <c r="E245" s="14"/>
      <c r="F245" s="40">
        <f>IF($B$6="2020-Present",
COUNTIFS(
INDEX(Data!$1:$1048576,0,MATCH("Vehicle",Data!$1:$1,0)),"No",
INDEX(Data!$1:$1048576,0,MATCH("Enrollment Satisfied",Data!$1:$1,0)),"Yes"),
COUNTIFS(INDEX(Data!$1:$1048576,0,MATCH("Fiscal Year",Data!$1:$1,0)),Demographics!$B$6,
INDEX(Data!$1:$1048576,0,MATCH("Vehicle",Data!$1:$1,0)),"No",
INDEX(Data!$1:$1048576,0,MATCH("Enrollment Satisfied",Data!$1:$1,0)),"Yes"))</f>
        <v>61</v>
      </c>
      <c r="G245" s="16"/>
      <c r="H245" s="41">
        <f>F245/$F$50</f>
        <v>0.72619047619047616</v>
      </c>
    </row>
    <row r="246" spans="2:8" ht="14.25" customHeight="1" x14ac:dyDescent="0.45">
      <c r="B246" s="15"/>
      <c r="C246" s="11"/>
      <c r="D246" s="11"/>
      <c r="E246" s="16"/>
      <c r="F246" s="15"/>
      <c r="G246" s="16"/>
      <c r="H246" s="22"/>
    </row>
    <row r="247" spans="2:8" ht="14.25" customHeight="1" x14ac:dyDescent="0.45">
      <c r="B247" s="17"/>
      <c r="C247" s="18"/>
      <c r="D247" s="18"/>
      <c r="E247" s="19"/>
      <c r="F247" s="17"/>
      <c r="G247" s="19"/>
      <c r="H247" s="23"/>
    </row>
    <row r="248" spans="2:8" ht="14.25" customHeight="1" x14ac:dyDescent="0.45">
      <c r="B248" s="29" t="s">
        <v>647</v>
      </c>
      <c r="C248" s="13"/>
      <c r="D248" s="13"/>
      <c r="E248" s="14"/>
      <c r="F248" s="40">
        <f>IF($B$6="2020-Present",
COUNTIFS(
INDEX(Data!$1:$1048576,0,MATCH("Marital Status",Data!$1:$1,0)),"&lt;&gt;*Married*",
INDEX(Data!$1:$1048576,0,MATCH("Children",Data!$1:$1,0)),"&gt;0",
INDEX(Data!$1:$1048576,0,MATCH("Enrollment Satisfied",Data!$1:$1,0)),"Yes"),
COUNTIFS(INDEX(Data!$1:$1048576,0,MATCH("Fiscal Year",Data!$1:$1,0)),Demographics!$B$6,
INDEX(Data!$1:$1048576,0,MATCH("Marital Status",Data!$1:$1,0)),"&lt;&gt;*Married*",
INDEX(Data!$1:$1048576,0,MATCH("Children",Data!$1:$1,0)),"&gt;0",
INDEX(Data!$1:$1048576,0,MATCH("Enrollment Satisfied",Data!$1:$1,0)),"Yes"))</f>
        <v>8</v>
      </c>
      <c r="G248" s="16"/>
      <c r="H248" s="41">
        <f>F248/$F$50</f>
        <v>9.5238095238095233E-2</v>
      </c>
    </row>
    <row r="249" spans="2:8" ht="14.25" customHeight="1" x14ac:dyDescent="0.45">
      <c r="B249" s="15"/>
      <c r="C249" s="11"/>
      <c r="D249" s="11"/>
      <c r="E249" s="16"/>
      <c r="F249" s="15"/>
      <c r="G249" s="16"/>
      <c r="H249" s="22"/>
    </row>
    <row r="250" spans="2:8" ht="14.25" customHeight="1" x14ac:dyDescent="0.45">
      <c r="B250" s="17"/>
      <c r="C250" s="18"/>
      <c r="D250" s="18"/>
      <c r="E250" s="19"/>
      <c r="F250" s="17"/>
      <c r="G250" s="19"/>
      <c r="H250" s="23"/>
    </row>
    <row r="251" spans="2:8" ht="14.25" customHeight="1" x14ac:dyDescent="0.45">
      <c r="B251" s="40" t="s">
        <v>91</v>
      </c>
      <c r="C251" s="11"/>
      <c r="D251" s="11"/>
      <c r="E251" s="16"/>
      <c r="F251" s="40">
        <f>IF($B$6="2020-Present",
COUNTIFS(
INDEX(Data!$1:$1048576,0,MATCH($B251,Data!$1:$1,0)),"Yes",
INDEX(Data!$1:$1048576,0,MATCH("Enrollment Satisfied",Data!$1:$1,0)),"Yes"),
COUNTIFS(INDEX(Data!$1:$1048576,0,MATCH("Fiscal Year",Data!$1:$1,0)),Demographics!$B$6,
INDEX(Data!$1:$1048576,0,MATCH($B251,Data!$1:$1,0)),"Yes",
INDEX(Data!$1:$1048576,0,MATCH("Enrollment Satisfied",Data!$1:$1,0)),"Yes"))</f>
        <v>4</v>
      </c>
      <c r="G251" s="16"/>
      <c r="H251" s="41">
        <f>F251/$F$50</f>
        <v>4.7619047619047616E-2</v>
      </c>
    </row>
    <row r="252" spans="2:8" ht="14.25" customHeight="1" x14ac:dyDescent="0.45">
      <c r="B252" s="15"/>
      <c r="C252" s="11"/>
      <c r="D252" s="11"/>
      <c r="E252" s="16"/>
      <c r="F252" s="15"/>
      <c r="G252" s="16"/>
      <c r="H252" s="22"/>
    </row>
    <row r="253" spans="2:8" ht="14.25" customHeight="1" x14ac:dyDescent="0.45">
      <c r="B253" s="17"/>
      <c r="C253" s="18"/>
      <c r="D253" s="18"/>
      <c r="E253" s="19"/>
      <c r="F253" s="17"/>
      <c r="G253" s="19"/>
      <c r="H253" s="23"/>
    </row>
    <row r="254" spans="2:8" ht="14.25" customHeight="1" x14ac:dyDescent="0.45">
      <c r="B254" s="29" t="s">
        <v>13</v>
      </c>
      <c r="C254" s="13"/>
      <c r="D254" s="13"/>
      <c r="E254" s="14"/>
      <c r="F254" s="40">
        <f>IF($B$6="2020-Present",
COUNTIFS(
INDEX(Data!$1:$1048576,0,MATCH($B254,Data!$1:$1,0)),"Yes",
INDEX(Data!$1:$1048576,0,MATCH("Enrollment Satisfied",Data!$1:$1,0)),"Yes"),
COUNTIFS(INDEX(Data!$1:$1048576,0,MATCH("Fiscal Year",Data!$1:$1,0)),Demographics!$B$6,
INDEX(Data!$1:$1048576,0,MATCH($B254,Data!$1:$1,0)),"Yes",
INDEX(Data!$1:$1048576,0,MATCH("Enrollment Satisfied",Data!$1:$1,0)),"Yes"))</f>
        <v>37</v>
      </c>
      <c r="G254" s="16"/>
      <c r="H254" s="41">
        <f>F254/$F$50</f>
        <v>0.44047619047619047</v>
      </c>
    </row>
    <row r="255" spans="2:8" ht="14.25" customHeight="1" x14ac:dyDescent="0.45">
      <c r="B255" s="15"/>
      <c r="C255" s="11"/>
      <c r="D255" s="11"/>
      <c r="E255" s="16"/>
      <c r="F255" s="15"/>
      <c r="G255" s="16"/>
      <c r="H255" s="22"/>
    </row>
    <row r="256" spans="2:8" ht="14.25" customHeight="1" x14ac:dyDescent="0.45">
      <c r="B256" s="17"/>
      <c r="C256" s="18"/>
      <c r="D256" s="18"/>
      <c r="E256" s="19"/>
      <c r="F256" s="17"/>
      <c r="G256" s="19"/>
      <c r="H256" s="23"/>
    </row>
    <row r="257" spans="2:8" ht="14.25" customHeight="1" x14ac:dyDescent="0.45">
      <c r="B257" s="29" t="s">
        <v>12</v>
      </c>
      <c r="C257" s="13"/>
      <c r="D257" s="13"/>
      <c r="E257" s="14"/>
      <c r="F257" s="40">
        <f>IF($B$6="2020-Present",
COUNTIFS(
INDEX(Data!$1:$1048576,0,MATCH($B257,Data!$1:$1,0)),"Yes",
INDEX(Data!$1:$1048576,0,MATCH("Enrollment Satisfied",Data!$1:$1,0)),"Yes"),
COUNTIFS(INDEX(Data!$1:$1048576,0,MATCH("Fiscal Year",Data!$1:$1,0)),Demographics!$B$6,
INDEX(Data!$1:$1048576,0,MATCH($B257,Data!$1:$1,0)),"Yes",
INDEX(Data!$1:$1048576,0,MATCH("Enrollment Satisfied",Data!$1:$1,0)),"Yes"))</f>
        <v>31</v>
      </c>
      <c r="G257" s="16"/>
      <c r="H257" s="41">
        <f>F257/$F$50</f>
        <v>0.36904761904761907</v>
      </c>
    </row>
    <row r="258" spans="2:8" ht="14.25" customHeight="1" x14ac:dyDescent="0.45">
      <c r="B258" s="15"/>
      <c r="C258" s="11"/>
      <c r="D258" s="11"/>
      <c r="E258" s="16"/>
      <c r="F258" s="15"/>
      <c r="G258" s="16"/>
      <c r="H258" s="22"/>
    </row>
    <row r="259" spans="2:8" ht="14.25" customHeight="1" x14ac:dyDescent="0.45">
      <c r="B259" s="17"/>
      <c r="C259" s="18"/>
      <c r="D259" s="18"/>
      <c r="E259" s="19"/>
      <c r="F259" s="17"/>
      <c r="G259" s="19"/>
      <c r="H259" s="23"/>
    </row>
    <row r="260" spans="2:8" ht="14.25" hidden="1" customHeight="1" x14ac:dyDescent="0.45">
      <c r="B260" s="40" t="s">
        <v>9</v>
      </c>
      <c r="C260" s="11"/>
      <c r="D260" s="11"/>
      <c r="E260" s="16"/>
      <c r="F260" s="40">
        <f>IF($B$6="2020-Present",
COUNTIFS(
INDEX(Data!$1:$1048576,0,MATCH("Barriers",Data!$1:$1,0)),"*"&amp;B260&amp;"*",
INDEX(Data!$1:$1048576,0,MATCH("Enrollment Satisfied",Data!$1:$1,0)),"Yes"),
COUNTIFS(INDEX(Data!$1:$1048576,0,MATCH("Fiscal Year",Data!$1:$1,0)),Demographics!$B$6,
INDEX(Data!$1:$1048576,0,MATCH("Barriers",Data!$1:$1,0)),"*"&amp;B260&amp;"*",
INDEX(Data!$1:$1048576,0,MATCH("Enrollment Satisfied",Data!$1:$1,0)),"Yes"))</f>
        <v>0</v>
      </c>
      <c r="G260" s="16"/>
      <c r="H260" s="41">
        <f>F260/[1]Outcomes!$F$19</f>
        <v>0</v>
      </c>
    </row>
    <row r="261" spans="2:8" ht="14.25" hidden="1" customHeight="1" x14ac:dyDescent="0.45">
      <c r="B261" s="15"/>
      <c r="C261" s="11"/>
      <c r="D261" s="11"/>
      <c r="E261" s="16"/>
      <c r="F261" s="15"/>
      <c r="G261" s="16"/>
      <c r="H261" s="22"/>
    </row>
    <row r="262" spans="2:8" ht="14.25" hidden="1" customHeight="1" x14ac:dyDescent="0.45">
      <c r="B262" s="17"/>
      <c r="C262" s="18"/>
      <c r="D262" s="18"/>
      <c r="E262" s="19"/>
      <c r="F262" s="17"/>
      <c r="G262" s="19"/>
      <c r="H262" s="23"/>
    </row>
    <row r="263" spans="2:8" ht="14.25" hidden="1" customHeight="1" x14ac:dyDescent="0.45">
      <c r="B263" s="29" t="s">
        <v>648</v>
      </c>
      <c r="C263" s="13"/>
      <c r="D263" s="13"/>
      <c r="E263" s="14"/>
      <c r="F263" s="40">
        <f>IF($B$6="2020-Present",
COUNTIFS(
INDEX(Data!$1:$1048576,0,MATCH("Barriers",Data!$1:$1,0)),"*"&amp;B263&amp;"*",
INDEX(Data!$1:$1048576,0,MATCH("Enrollment Satisfied",Data!$1:$1,0)),"Yes"),
COUNTIFS(INDEX(Data!$1:$1048576,0,MATCH("Fiscal Year",Data!$1:$1,0)),Demographics!$B$6,
INDEX(Data!$1:$1048576,0,MATCH("Barriers",Data!$1:$1,0)),"*"&amp;B263&amp;"*",
INDEX(Data!$1:$1048576,0,MATCH("Enrollment Satisfied",Data!$1:$1,0)),"Yes"))</f>
        <v>0</v>
      </c>
      <c r="G263" s="16"/>
      <c r="H263" s="41">
        <f>F263/[1]Outcomes!$F$19</f>
        <v>0</v>
      </c>
    </row>
    <row r="264" spans="2:8" ht="14.25" hidden="1" customHeight="1" x14ac:dyDescent="0.45">
      <c r="B264" s="15"/>
      <c r="C264" s="11"/>
      <c r="D264" s="11"/>
      <c r="E264" s="16"/>
      <c r="F264" s="15"/>
      <c r="G264" s="16"/>
      <c r="H264" s="22"/>
    </row>
    <row r="265" spans="2:8" ht="14.25" hidden="1" customHeight="1" x14ac:dyDescent="0.45">
      <c r="B265" s="17"/>
      <c r="C265" s="18"/>
      <c r="D265" s="18"/>
      <c r="E265" s="19"/>
      <c r="F265" s="17"/>
      <c r="G265" s="19"/>
      <c r="H265" s="23"/>
    </row>
    <row r="266" spans="2:8" ht="14.25" hidden="1" customHeight="1" x14ac:dyDescent="0.45">
      <c r="B266" s="29" t="s">
        <v>564</v>
      </c>
      <c r="C266" s="13"/>
      <c r="D266" s="13"/>
      <c r="E266" s="14"/>
      <c r="F266" s="40">
        <f>IF($B$6="2020-Present",
COUNTIFS(
INDEX(Data!$1:$1048576,0,MATCH("Barriers",Data!$1:$1,0)),"*"&amp;B266&amp;"*",
INDEX(Data!$1:$1048576,0,MATCH("Enrollment Satisfied",Data!$1:$1,0)),"Yes"),
COUNTIFS(INDEX(Data!$1:$1048576,0,MATCH("Fiscal Year",Data!$1:$1,0)),Demographics!$B$6,
INDEX(Data!$1:$1048576,0,MATCH("Barriers",Data!$1:$1,0)),"*"&amp;B266&amp;"*",
INDEX(Data!$1:$1048576,0,MATCH("Enrollment Satisfied",Data!$1:$1,0)),"Yes"))</f>
        <v>1</v>
      </c>
      <c r="G266" s="16"/>
      <c r="H266" s="41">
        <f>F266/[1]Outcomes!$F$19</f>
        <v>1.0976948408342481E-3</v>
      </c>
    </row>
    <row r="267" spans="2:8" ht="14.25" hidden="1" customHeight="1" x14ac:dyDescent="0.45">
      <c r="B267" s="15"/>
      <c r="C267" s="11"/>
      <c r="D267" s="11"/>
      <c r="E267" s="16"/>
      <c r="F267" s="15"/>
      <c r="G267" s="16"/>
      <c r="H267" s="22"/>
    </row>
    <row r="268" spans="2:8" ht="14.25" hidden="1" customHeight="1" x14ac:dyDescent="0.45">
      <c r="B268" s="17"/>
      <c r="C268" s="18"/>
      <c r="D268" s="18"/>
      <c r="E268" s="19"/>
      <c r="F268" s="17"/>
      <c r="G268" s="19"/>
      <c r="H268" s="23"/>
    </row>
    <row r="269" spans="2:8" ht="14.25" hidden="1" customHeight="1" x14ac:dyDescent="0.45">
      <c r="B269" s="40" t="s">
        <v>205</v>
      </c>
      <c r="C269" s="11"/>
      <c r="D269" s="11"/>
      <c r="E269" s="16"/>
      <c r="F269" s="40">
        <f>IF($B$6="2020-Present",
COUNTIFS(
INDEX(Data!$1:$1048576,0,MATCH("Barriers",Data!$1:$1,0)),"*"&amp;B269&amp;"*",
INDEX(Data!$1:$1048576,0,MATCH("Enrollment Satisfied",Data!$1:$1,0)),"Yes"),
COUNTIFS(INDEX(Data!$1:$1048576,0,MATCH("Fiscal Year",Data!$1:$1,0)),Demographics!$B$6,
INDEX(Data!$1:$1048576,0,MATCH("Barriers",Data!$1:$1,0)),"*"&amp;B269&amp;"*",
INDEX(Data!$1:$1048576,0,MATCH("Enrollment Satisfied",Data!$1:$1,0)),"Yes"))</f>
        <v>19</v>
      </c>
      <c r="G269" s="16"/>
      <c r="H269" s="41">
        <f>F269/[1]Outcomes!$F$19</f>
        <v>2.0856201975850714E-2</v>
      </c>
    </row>
    <row r="270" spans="2:8" ht="14.25" hidden="1" customHeight="1" x14ac:dyDescent="0.45">
      <c r="B270" s="15"/>
      <c r="C270" s="11"/>
      <c r="D270" s="11"/>
      <c r="E270" s="16"/>
      <c r="F270" s="15"/>
      <c r="G270" s="16"/>
      <c r="H270" s="22"/>
    </row>
    <row r="271" spans="2:8" ht="14.25" hidden="1" customHeight="1" x14ac:dyDescent="0.45">
      <c r="B271" s="17"/>
      <c r="C271" s="18"/>
      <c r="D271" s="18"/>
      <c r="E271" s="19"/>
      <c r="F271" s="17"/>
      <c r="G271" s="19"/>
      <c r="H271" s="23"/>
    </row>
    <row r="272" spans="2:8" ht="14.25" hidden="1" customHeight="1" x14ac:dyDescent="0.45">
      <c r="B272" s="29" t="s">
        <v>649</v>
      </c>
      <c r="C272" s="13"/>
      <c r="D272" s="13"/>
      <c r="E272" s="14"/>
      <c r="F272" s="40">
        <f>IF($B$6="2020-Present",
COUNTIFS(
INDEX(Data!$1:$1048576,0,MATCH("Barriers",Data!$1:$1,0)),"*"&amp;B272&amp;"*",
INDEX(Data!$1:$1048576,0,MATCH("Enrollment Satisfied",Data!$1:$1,0)),"Yes"),
COUNTIFS(INDEX(Data!$1:$1048576,0,MATCH("Fiscal Year",Data!$1:$1,0)),Demographics!$B$6,
INDEX(Data!$1:$1048576,0,MATCH("Barriers",Data!$1:$1,0)),"*"&amp;B272&amp;"*",
INDEX(Data!$1:$1048576,0,MATCH("Enrollment Satisfied",Data!$1:$1,0)),"Yes"))</f>
        <v>0</v>
      </c>
      <c r="G272" s="16"/>
      <c r="H272" s="41">
        <f>F272/[1]Outcomes!$F$19</f>
        <v>0</v>
      </c>
    </row>
    <row r="273" spans="2:8" ht="14.25" hidden="1" customHeight="1" x14ac:dyDescent="0.45">
      <c r="B273" s="15"/>
      <c r="C273" s="11"/>
      <c r="D273" s="11"/>
      <c r="E273" s="16"/>
      <c r="F273" s="15"/>
      <c r="G273" s="16"/>
      <c r="H273" s="22"/>
    </row>
    <row r="274" spans="2:8" ht="14.25" hidden="1" customHeight="1" x14ac:dyDescent="0.45">
      <c r="B274" s="17"/>
      <c r="C274" s="18"/>
      <c r="D274" s="18"/>
      <c r="E274" s="19"/>
      <c r="F274" s="17"/>
      <c r="G274" s="19"/>
      <c r="H274" s="23"/>
    </row>
    <row r="275" spans="2:8" ht="14.25" hidden="1" customHeight="1" x14ac:dyDescent="0.45">
      <c r="B275" s="29" t="s">
        <v>650</v>
      </c>
      <c r="C275" s="13"/>
      <c r="D275" s="13"/>
      <c r="E275" s="14"/>
      <c r="F275" s="40">
        <f>IF($B$6="2020-Present",
COUNTIFS(
INDEX(Data!$1:$1048576,0,MATCH("Barriers",Data!$1:$1,0)),"*"&amp;B275&amp;"*",
INDEX(Data!$1:$1048576,0,MATCH("Enrollment Satisfied",Data!$1:$1,0)),"Yes"),
COUNTIFS(INDEX(Data!$1:$1048576,0,MATCH("Fiscal Year",Data!$1:$1,0)),Demographics!$B$6,
INDEX(Data!$1:$1048576,0,MATCH("Barriers",Data!$1:$1,0)),"*"&amp;B275&amp;"*",
INDEX(Data!$1:$1048576,0,MATCH("Enrollment Satisfied",Data!$1:$1,0)),"Yes"))</f>
        <v>0</v>
      </c>
      <c r="G275" s="16"/>
      <c r="H275" s="41">
        <f>F275/[1]Outcomes!$F$19</f>
        <v>0</v>
      </c>
    </row>
    <row r="276" spans="2:8" ht="14.25" hidden="1" customHeight="1" x14ac:dyDescent="0.45">
      <c r="B276" s="15"/>
      <c r="C276" s="11"/>
      <c r="D276" s="11"/>
      <c r="E276" s="16"/>
      <c r="F276" s="15"/>
      <c r="G276" s="16"/>
      <c r="H276" s="22"/>
    </row>
    <row r="277" spans="2:8" ht="14.25" hidden="1" customHeight="1" x14ac:dyDescent="0.45">
      <c r="B277" s="17"/>
      <c r="C277" s="18"/>
      <c r="D277" s="18"/>
      <c r="E277" s="19"/>
      <c r="F277" s="17"/>
      <c r="G277" s="19"/>
      <c r="H277" s="23"/>
    </row>
    <row r="278" spans="2:8" ht="14.25" hidden="1" customHeight="1" x14ac:dyDescent="0.45">
      <c r="B278" s="40" t="s">
        <v>651</v>
      </c>
      <c r="C278" s="11"/>
      <c r="D278" s="11"/>
      <c r="E278" s="16"/>
      <c r="F278" s="40">
        <f>IF($B$6="2020-Present",
COUNTIFS(
INDEX(Data!$1:$1048576,0,MATCH("Barriers",Data!$1:$1,0)),"*"&amp;B278&amp;"*",
INDEX(Data!$1:$1048576,0,MATCH("Enrollment Satisfied",Data!$1:$1,0)),"Yes"),
COUNTIFS(INDEX(Data!$1:$1048576,0,MATCH("Fiscal Year",Data!$1:$1,0)),Demographics!$B$6,
INDEX(Data!$1:$1048576,0,MATCH("Barriers",Data!$1:$1,0)),"*"&amp;B278&amp;"*",
INDEX(Data!$1:$1048576,0,MATCH("Enrollment Satisfied",Data!$1:$1,0)),"Yes"))</f>
        <v>2</v>
      </c>
      <c r="G278" s="16"/>
      <c r="H278" s="41">
        <f>F278/[1]Outcomes!$F$19</f>
        <v>2.1953896816684962E-3</v>
      </c>
    </row>
    <row r="279" spans="2:8" ht="14.25" hidden="1" customHeight="1" x14ac:dyDescent="0.45">
      <c r="B279" s="15"/>
      <c r="C279" s="11"/>
      <c r="D279" s="11"/>
      <c r="E279" s="16"/>
      <c r="F279" s="15"/>
      <c r="G279" s="16"/>
      <c r="H279" s="22"/>
    </row>
    <row r="280" spans="2:8" ht="14.25" hidden="1" customHeight="1" x14ac:dyDescent="0.45">
      <c r="B280" s="17"/>
      <c r="C280" s="18"/>
      <c r="D280" s="18"/>
      <c r="E280" s="19"/>
      <c r="F280" s="17"/>
      <c r="G280" s="19"/>
      <c r="H280" s="23"/>
    </row>
    <row r="281" spans="2:8" ht="14.25" hidden="1" customHeight="1" x14ac:dyDescent="0.45">
      <c r="B281" s="29" t="s">
        <v>652</v>
      </c>
      <c r="C281" s="13"/>
      <c r="D281" s="13"/>
      <c r="E281" s="14"/>
      <c r="F281" s="40">
        <f>IF($B$6="2020-Present",
COUNTIFS(
INDEX(Data!$1:$1048576,0,MATCH("Barriers",Data!$1:$1,0)),"*"&amp;B281&amp;"*",
INDEX(Data!$1:$1048576,0,MATCH("Enrollment Satisfied",Data!$1:$1,0)),"Yes"),
COUNTIFS(INDEX(Data!$1:$1048576,0,MATCH("Fiscal Year",Data!$1:$1,0)),Demographics!$B$6,
INDEX(Data!$1:$1048576,0,MATCH("Barriers",Data!$1:$1,0)),"*"&amp;B281&amp;"*",
INDEX(Data!$1:$1048576,0,MATCH("Enrollment Satisfied",Data!$1:$1,0)),"Yes"))</f>
        <v>0</v>
      </c>
      <c r="G281" s="16"/>
      <c r="H281" s="41">
        <f>F281/[1]Outcomes!$F$19</f>
        <v>0</v>
      </c>
    </row>
    <row r="282" spans="2:8" ht="14.25" hidden="1" customHeight="1" x14ac:dyDescent="0.45">
      <c r="B282" s="15"/>
      <c r="C282" s="11"/>
      <c r="D282" s="11"/>
      <c r="E282" s="16"/>
      <c r="F282" s="15"/>
      <c r="G282" s="16"/>
      <c r="H282" s="22"/>
    </row>
    <row r="283" spans="2:8" ht="14.25" hidden="1" customHeight="1" x14ac:dyDescent="0.45">
      <c r="B283" s="17"/>
      <c r="C283" s="18"/>
      <c r="D283" s="18"/>
      <c r="E283" s="19"/>
      <c r="F283" s="17"/>
      <c r="G283" s="19"/>
      <c r="H283" s="23"/>
    </row>
    <row r="284" spans="2:8" ht="14.25" hidden="1" customHeight="1" x14ac:dyDescent="0.45">
      <c r="B284" s="29" t="s">
        <v>589</v>
      </c>
      <c r="C284" s="13"/>
      <c r="D284" s="13"/>
      <c r="E284" s="14"/>
      <c r="F284" s="40">
        <f>IF($B$6="2020-Present",
COUNTIFS(
INDEX(Data!$1:$1048576,0,MATCH("Barriers",Data!$1:$1,0)),"*"&amp;B284&amp;"*",
INDEX(Data!$1:$1048576,0,MATCH("Enrollment Satisfied",Data!$1:$1,0)),"Yes"),
COUNTIFS(INDEX(Data!$1:$1048576,0,MATCH("Fiscal Year",Data!$1:$1,0)),Demographics!$B$6,
INDEX(Data!$1:$1048576,0,MATCH("Barriers",Data!$1:$1,0)),"*"&amp;B284&amp;"*",
INDEX(Data!$1:$1048576,0,MATCH("Enrollment Satisfied",Data!$1:$1,0)),"Yes"))</f>
        <v>0</v>
      </c>
      <c r="G284" s="16"/>
      <c r="H284" s="41">
        <f>F284/[1]Outcomes!$F$19</f>
        <v>0</v>
      </c>
    </row>
    <row r="285" spans="2:8" ht="14.25" hidden="1" customHeight="1" x14ac:dyDescent="0.45">
      <c r="B285" s="15"/>
      <c r="C285" s="11"/>
      <c r="D285" s="11"/>
      <c r="E285" s="16"/>
      <c r="F285" s="15"/>
      <c r="G285" s="16"/>
      <c r="H285" s="22"/>
    </row>
    <row r="286" spans="2:8" ht="14.25" hidden="1" customHeight="1" x14ac:dyDescent="0.45">
      <c r="B286" s="17"/>
      <c r="C286" s="18"/>
      <c r="D286" s="18"/>
      <c r="E286" s="19"/>
      <c r="F286" s="17"/>
      <c r="G286" s="19"/>
      <c r="H286" s="23"/>
    </row>
    <row r="287" spans="2:8" ht="14.25" hidden="1" customHeight="1" x14ac:dyDescent="0.45">
      <c r="B287" s="40" t="s">
        <v>304</v>
      </c>
      <c r="C287" s="11"/>
      <c r="D287" s="11"/>
      <c r="E287" s="16"/>
      <c r="F287" s="40">
        <f>IF($B$6="2020-Present",
COUNTIFS(
INDEX(Data!$1:$1048576,0,MATCH("Barriers",Data!$1:$1,0)),"*"&amp;B287&amp;"*",
INDEX(Data!$1:$1048576,0,MATCH("Enrollment Satisfied",Data!$1:$1,0)),"Yes"),
COUNTIFS(INDEX(Data!$1:$1048576,0,MATCH("Fiscal Year",Data!$1:$1,0)),Demographics!$B$6,
INDEX(Data!$1:$1048576,0,MATCH("Barriers",Data!$1:$1,0)),"*"&amp;B287&amp;"*",
INDEX(Data!$1:$1048576,0,MATCH("Enrollment Satisfied",Data!$1:$1,0)),"Yes"))</f>
        <v>1</v>
      </c>
      <c r="G287" s="16"/>
      <c r="H287" s="41">
        <f>F287/[1]Outcomes!$F$19</f>
        <v>1.0976948408342481E-3</v>
      </c>
    </row>
    <row r="288" spans="2:8" ht="14.25" hidden="1" customHeight="1" x14ac:dyDescent="0.45">
      <c r="B288" s="15"/>
      <c r="C288" s="11"/>
      <c r="D288" s="11"/>
      <c r="E288" s="16"/>
      <c r="F288" s="15"/>
      <c r="G288" s="16"/>
      <c r="H288" s="22"/>
    </row>
    <row r="289" spans="2:8" ht="14.25" hidden="1" customHeight="1" x14ac:dyDescent="0.45">
      <c r="B289" s="17"/>
      <c r="C289" s="18"/>
      <c r="D289" s="18"/>
      <c r="E289" s="19"/>
      <c r="F289" s="17"/>
      <c r="G289" s="19"/>
      <c r="H289" s="23"/>
    </row>
    <row r="290" spans="2:8" ht="14.25" hidden="1" customHeight="1" x14ac:dyDescent="0.45">
      <c r="B290" s="29" t="s">
        <v>653</v>
      </c>
      <c r="C290" s="13"/>
      <c r="D290" s="13"/>
      <c r="E290" s="14"/>
      <c r="F290" s="40">
        <f>IF($B$6="2020-Present",
COUNTIFS(
INDEX(Data!$1:$1048576,0,MATCH("Barriers",Data!$1:$1,0)),"*"&amp;B290&amp;"*",
INDEX(Data!$1:$1048576,0,MATCH("Enrollment Satisfied",Data!$1:$1,0)),"Yes"),
COUNTIFS(INDEX(Data!$1:$1048576,0,MATCH("Fiscal Year",Data!$1:$1,0)),Demographics!$B$6,
INDEX(Data!$1:$1048576,0,MATCH("Barriers",Data!$1:$1,0)),"*"&amp;B290&amp;"*",
INDEX(Data!$1:$1048576,0,MATCH("Enrollment Satisfied",Data!$1:$1,0)),"Yes"))</f>
        <v>0</v>
      </c>
      <c r="G290" s="16"/>
      <c r="H290" s="41">
        <f>F290/[1]Outcomes!$F$19</f>
        <v>0</v>
      </c>
    </row>
    <row r="291" spans="2:8" ht="14.25" hidden="1" customHeight="1" x14ac:dyDescent="0.45">
      <c r="B291" s="15"/>
      <c r="C291" s="11"/>
      <c r="D291" s="11"/>
      <c r="E291" s="16"/>
      <c r="F291" s="15"/>
      <c r="G291" s="16"/>
      <c r="H291" s="22"/>
    </row>
    <row r="292" spans="2:8" ht="14.25" hidden="1" customHeight="1" x14ac:dyDescent="0.45">
      <c r="B292" s="17"/>
      <c r="C292" s="18"/>
      <c r="D292" s="18"/>
      <c r="E292" s="19"/>
      <c r="F292" s="17"/>
      <c r="G292" s="19"/>
      <c r="H292" s="23"/>
    </row>
    <row r="293" spans="2:8" ht="14.25" hidden="1" customHeight="1" x14ac:dyDescent="0.45">
      <c r="B293" s="29" t="s">
        <v>654</v>
      </c>
      <c r="C293" s="13"/>
      <c r="D293" s="13"/>
      <c r="E293" s="14"/>
      <c r="F293" s="40">
        <f>IF($B$6="2020-Present",
COUNTIFS(
INDEX(Data!$1:$1048576,0,MATCH("Barriers",Data!$1:$1,0)),"*"&amp;B293&amp;"*",
INDEX(Data!$1:$1048576,0,MATCH("Enrollment Satisfied",Data!$1:$1,0)),"Yes"),
COUNTIFS(INDEX(Data!$1:$1048576,0,MATCH("Fiscal Year",Data!$1:$1,0)),Demographics!$B$6,
INDEX(Data!$1:$1048576,0,MATCH("Barriers",Data!$1:$1,0)),"*"&amp;B293&amp;"*",
INDEX(Data!$1:$1048576,0,MATCH("Enrollment Satisfied",Data!$1:$1,0)),"Yes"))</f>
        <v>0</v>
      </c>
      <c r="G293" s="16"/>
      <c r="H293" s="41">
        <f>F293/[1]Outcomes!$F$19</f>
        <v>0</v>
      </c>
    </row>
    <row r="294" spans="2:8" ht="14.25" hidden="1" customHeight="1" x14ac:dyDescent="0.45">
      <c r="B294" s="15"/>
      <c r="C294" s="11"/>
      <c r="D294" s="11"/>
      <c r="E294" s="16"/>
      <c r="F294" s="15"/>
      <c r="G294" s="16"/>
      <c r="H294" s="22"/>
    </row>
    <row r="295" spans="2:8" ht="14.25" hidden="1" customHeight="1" x14ac:dyDescent="0.45">
      <c r="B295" s="17"/>
      <c r="C295" s="18"/>
      <c r="D295" s="18"/>
      <c r="E295" s="19"/>
      <c r="F295" s="17"/>
      <c r="G295" s="19"/>
      <c r="H295" s="23"/>
    </row>
    <row r="296" spans="2:8" ht="14.25" hidden="1" customHeight="1" x14ac:dyDescent="0.45">
      <c r="B296" s="47" t="s">
        <v>655</v>
      </c>
      <c r="C296" s="11"/>
      <c r="D296" s="11"/>
      <c r="E296" s="16"/>
      <c r="F296" s="40">
        <f>IF($B$6="2020-Present",
COUNTIFS(
INDEX(Data!$1:$1048576,0,MATCH("Barriers",Data!$1:$1,0)),"*"&amp;B296&amp;"*",
INDEX(Data!$1:$1048576,0,MATCH("Enrollment Satisfied",Data!$1:$1,0)),"Yes"),
COUNTIFS(INDEX(Data!$1:$1048576,0,MATCH("Fiscal Year",Data!$1:$1,0)),Demographics!$B$6,
INDEX(Data!$1:$1048576,0,MATCH("Barriers",Data!$1:$1,0)),"*"&amp;B296&amp;"*",
INDEX(Data!$1:$1048576,0,MATCH("Enrollment Satisfied",Data!$1:$1,0)),"Yes"))</f>
        <v>0</v>
      </c>
      <c r="G296" s="16"/>
      <c r="H296" s="41">
        <f>F296/[1]Outcomes!$F$19</f>
        <v>0</v>
      </c>
    </row>
    <row r="297" spans="2:8" ht="14.25" hidden="1" customHeight="1" x14ac:dyDescent="0.45">
      <c r="B297" s="15"/>
      <c r="C297" s="11"/>
      <c r="D297" s="11"/>
      <c r="E297" s="16"/>
      <c r="F297" s="15"/>
      <c r="G297" s="16"/>
      <c r="H297" s="22"/>
    </row>
    <row r="298" spans="2:8" ht="14.25" hidden="1" customHeight="1" x14ac:dyDescent="0.45">
      <c r="B298" s="17"/>
      <c r="C298" s="18"/>
      <c r="D298" s="18"/>
      <c r="E298" s="19"/>
      <c r="F298" s="17"/>
      <c r="G298" s="19"/>
      <c r="H298" s="23"/>
    </row>
    <row r="299" spans="2:8" ht="14.25" hidden="1" customHeight="1" x14ac:dyDescent="0.45">
      <c r="B299" s="43" t="s">
        <v>656</v>
      </c>
      <c r="C299" s="13"/>
      <c r="D299" s="13"/>
      <c r="E299" s="14"/>
      <c r="F299" s="40">
        <f>IF($B$6="2020-Present",
COUNTIFS(
INDEX(Data!$1:$1048576,0,MATCH("Barriers",Data!$1:$1,0)),"*"&amp;B299&amp;"*",
INDEX(Data!$1:$1048576,0,MATCH("Enrollment Satisfied",Data!$1:$1,0)),"Yes"),
COUNTIFS(INDEX(Data!$1:$1048576,0,MATCH("Fiscal Year",Data!$1:$1,0)),Demographics!$B$6,
INDEX(Data!$1:$1048576,0,MATCH("Barriers",Data!$1:$1,0)),"*"&amp;B299&amp;"*",
INDEX(Data!$1:$1048576,0,MATCH("Enrollment Satisfied",Data!$1:$1,0)),"Yes"))</f>
        <v>0</v>
      </c>
      <c r="G299" s="16"/>
      <c r="H299" s="41">
        <f>F299/[1]Outcomes!$F$19</f>
        <v>0</v>
      </c>
    </row>
    <row r="300" spans="2:8" ht="14.25" hidden="1" customHeight="1" x14ac:dyDescent="0.45">
      <c r="B300" s="15"/>
      <c r="C300" s="11"/>
      <c r="D300" s="11"/>
      <c r="E300" s="16"/>
      <c r="F300" s="15"/>
      <c r="G300" s="16"/>
      <c r="H300" s="22"/>
    </row>
    <row r="301" spans="2:8" ht="14.25" hidden="1" customHeight="1" x14ac:dyDescent="0.45">
      <c r="B301" s="17"/>
      <c r="C301" s="18"/>
      <c r="D301" s="18"/>
      <c r="E301" s="19"/>
      <c r="F301" s="17"/>
      <c r="G301" s="19"/>
      <c r="H301" s="23"/>
    </row>
    <row r="302" spans="2:8" ht="14.25" hidden="1" customHeight="1" x14ac:dyDescent="0.45">
      <c r="B302" s="29" t="s">
        <v>321</v>
      </c>
      <c r="C302" s="13"/>
      <c r="D302" s="13"/>
      <c r="E302" s="14"/>
      <c r="F302" s="40">
        <f>IF($B$6="2020-Present",
COUNTIFS(
INDEX(Data!$1:$1048576,0,MATCH("Barriers",Data!$1:$1,0)),"*"&amp;B302&amp;"*",
INDEX(Data!$1:$1048576,0,MATCH("Enrollment Satisfied",Data!$1:$1,0)),"Yes"),
COUNTIFS(INDEX(Data!$1:$1048576,0,MATCH("Fiscal Year",Data!$1:$1,0)),Demographics!$B$6,
INDEX(Data!$1:$1048576,0,MATCH("Barriers",Data!$1:$1,0)),"*"&amp;B302&amp;"*",
INDEX(Data!$1:$1048576,0,MATCH("Enrollment Satisfied",Data!$1:$1,0)),"Yes"))</f>
        <v>4</v>
      </c>
      <c r="G302" s="16"/>
      <c r="H302" s="41">
        <f>F302/[1]Outcomes!$F$19</f>
        <v>4.3907793633369925E-3</v>
      </c>
    </row>
    <row r="303" spans="2:8" ht="14.25" hidden="1" customHeight="1" x14ac:dyDescent="0.45">
      <c r="B303" s="15"/>
      <c r="C303" s="11"/>
      <c r="D303" s="11"/>
      <c r="E303" s="16"/>
      <c r="F303" s="15"/>
      <c r="G303" s="16"/>
      <c r="H303" s="22"/>
    </row>
    <row r="304" spans="2:8" ht="14.25" hidden="1" customHeight="1" x14ac:dyDescent="0.45">
      <c r="B304" s="17"/>
      <c r="C304" s="18"/>
      <c r="D304" s="18"/>
      <c r="E304" s="19"/>
      <c r="F304" s="17"/>
      <c r="G304" s="19"/>
      <c r="H304" s="23"/>
    </row>
    <row r="305" spans="2:8" ht="14.25" hidden="1" customHeight="1" x14ac:dyDescent="0.45">
      <c r="B305" s="40" t="s">
        <v>657</v>
      </c>
      <c r="C305" s="11"/>
      <c r="D305" s="11"/>
      <c r="E305" s="16"/>
      <c r="F305" s="40">
        <f>IF($B$6="2020-Present",
COUNTIFS(
INDEX(Data!$1:$1048576,0,MATCH("Barriers",Data!$1:$1,0)),"*"&amp;B305&amp;"*",
INDEX(Data!$1:$1048576,0,MATCH("Enrollment Satisfied",Data!$1:$1,0)),"Yes"),
COUNTIFS(INDEX(Data!$1:$1048576,0,MATCH("Fiscal Year",Data!$1:$1,0)),Demographics!$B$6,
INDEX(Data!$1:$1048576,0,MATCH("Barriers",Data!$1:$1,0)),"*"&amp;B305&amp;"*",
INDEX(Data!$1:$1048576,0,MATCH("Enrollment Satisfied",Data!$1:$1,0)),"Yes"))</f>
        <v>0</v>
      </c>
      <c r="G305" s="16"/>
      <c r="H305" s="41">
        <f>F305/[1]Outcomes!$F$19</f>
        <v>0</v>
      </c>
    </row>
    <row r="306" spans="2:8" hidden="1" x14ac:dyDescent="0.45">
      <c r="B306" s="15"/>
      <c r="C306" s="11"/>
      <c r="D306" s="11"/>
      <c r="E306" s="16"/>
      <c r="F306" s="15"/>
      <c r="G306" s="16"/>
      <c r="H306" s="22"/>
    </row>
    <row r="307" spans="2:8" ht="15" hidden="1" customHeight="1" x14ac:dyDescent="0.45">
      <c r="B307" s="17"/>
      <c r="C307" s="18"/>
      <c r="D307" s="18"/>
      <c r="E307" s="19"/>
      <c r="F307" s="17"/>
      <c r="G307" s="19"/>
      <c r="H307" s="23"/>
    </row>
    <row r="308" spans="2:8" ht="14.25" hidden="1" customHeight="1" x14ac:dyDescent="0.45">
      <c r="B308" s="29" t="s">
        <v>233</v>
      </c>
      <c r="C308" s="13"/>
      <c r="D308" s="13"/>
      <c r="E308" s="14"/>
      <c r="F308" s="40">
        <f>IF($B$6="2020-Present",
COUNTIFS(
INDEX(Data!$1:$1048576,0,MATCH("Barriers",Data!$1:$1,0)),"*"&amp;B308&amp;"*",
INDEX(Data!$1:$1048576,0,MATCH("Enrollment Satisfied",Data!$1:$1,0)),"Yes"),
COUNTIFS(INDEX(Data!$1:$1048576,0,MATCH("Fiscal Year",Data!$1:$1,0)),Demographics!$B$6,
INDEX(Data!$1:$1048576,0,MATCH("Barriers",Data!$1:$1,0)),"*"&amp;B308&amp;"*",
INDEX(Data!$1:$1048576,0,MATCH("Enrollment Satisfied",Data!$1:$1,0)),"Yes"))</f>
        <v>6</v>
      </c>
      <c r="G308" s="16"/>
      <c r="H308" s="41">
        <f>F308/[1]Outcomes!$F$19</f>
        <v>6.5861690450054883E-3</v>
      </c>
    </row>
    <row r="309" spans="2:8" ht="14.25" hidden="1" customHeight="1" x14ac:dyDescent="0.45">
      <c r="B309" s="15"/>
      <c r="C309" s="11"/>
      <c r="D309" s="11"/>
      <c r="E309" s="16"/>
      <c r="F309" s="15"/>
      <c r="G309" s="16"/>
      <c r="H309" s="22"/>
    </row>
    <row r="310" spans="2:8" ht="14.25" hidden="1" customHeight="1" x14ac:dyDescent="0.45">
      <c r="B310" s="17"/>
      <c r="C310" s="18"/>
      <c r="D310" s="18"/>
      <c r="E310" s="19"/>
      <c r="F310" s="17"/>
      <c r="G310" s="19"/>
      <c r="H310" s="23"/>
    </row>
    <row r="311" spans="2:8" ht="15" customHeight="1" x14ac:dyDescent="0.45"/>
    <row r="313" spans="2:8" x14ac:dyDescent="0.45">
      <c r="B313" s="48" t="s">
        <v>658</v>
      </c>
      <c r="C313" s="11"/>
      <c r="D313" s="11"/>
      <c r="E313" s="11"/>
      <c r="F313" s="11"/>
      <c r="G313" s="11"/>
      <c r="H313" s="11"/>
    </row>
    <row r="314" spans="2:8" x14ac:dyDescent="0.45">
      <c r="B314" s="11"/>
      <c r="C314" s="11"/>
      <c r="D314" s="11"/>
      <c r="E314" s="11"/>
      <c r="F314" s="11"/>
      <c r="G314" s="11"/>
      <c r="H314" s="11"/>
    </row>
    <row r="315" spans="2:8" x14ac:dyDescent="0.45">
      <c r="B315" s="11"/>
      <c r="C315" s="11"/>
      <c r="D315" s="11"/>
      <c r="E315" s="11"/>
      <c r="F315" s="11"/>
      <c r="G315" s="11"/>
      <c r="H315" s="11"/>
    </row>
    <row r="318" spans="2:8" x14ac:dyDescent="0.45">
      <c r="B318" s="29" t="s">
        <v>220</v>
      </c>
      <c r="C318" s="13"/>
      <c r="D318" s="13"/>
      <c r="E318" s="14"/>
      <c r="F318" s="29">
        <f>IF($B$6="2020-Present",
COUNTIFS(
INDEX(Data!$1:$1048576,0,MATCH("Grant Fund",Data!$1:$1,0)),"*CDBG*",
INDEX(Data!$1:$1048576,0,MATCH("Enrollment Satisfied",Data!$1:$1,0)),"Yes"),
COUNTIFS(
INDEX(Data!$1:$1048576,0,MATCH("Fiscal Year",Data!$1:$1,0)),Demographics!$B$6,
INDEX(Data!$1:$1048576,0,MATCH("Grant Fund",Data!$1:$1,0)),"*CDBG*",
INDEX(Data!$1:$1048576,0,MATCH("Enrollment Satisfied",Data!$1:$1,0)),"Yes"))</f>
        <v>67</v>
      </c>
      <c r="G318" s="14"/>
      <c r="H318" s="35">
        <f>F318/$F$50</f>
        <v>0.79761904761904767</v>
      </c>
    </row>
    <row r="319" spans="2:8" x14ac:dyDescent="0.45">
      <c r="B319" s="15"/>
      <c r="C319" s="11"/>
      <c r="D319" s="11"/>
      <c r="E319" s="16"/>
      <c r="F319" s="15"/>
      <c r="G319" s="16"/>
      <c r="H319" s="22"/>
    </row>
    <row r="320" spans="2:8" x14ac:dyDescent="0.45">
      <c r="B320" s="17"/>
      <c r="C320" s="18"/>
      <c r="D320" s="18"/>
      <c r="E320" s="19"/>
      <c r="F320" s="17"/>
      <c r="G320" s="19"/>
      <c r="H320" s="23"/>
    </row>
    <row r="321" spans="2:8" ht="14.25" customHeight="1" x14ac:dyDescent="0.45">
      <c r="B321" s="29" t="s">
        <v>346</v>
      </c>
      <c r="C321" s="13"/>
      <c r="D321" s="13"/>
      <c r="E321" s="14"/>
      <c r="F321" s="29">
        <f>IF($B$6="2020-Present",
COUNTIFS(
INDEX(Data!$1:$1048576,0,MATCH("Grant Fund",Data!$1:$1,0)),"*DOL Opioid*",
INDEX(Data!$1:$1048576,0,MATCH("Enrollment Satisfied",Data!$1:$1,0)),"Yes"),
COUNTIFS(
INDEX(Data!$1:$1048576,0,MATCH("Fiscal Year",Data!$1:$1,0)),Demographics!$B$6,
INDEX(Data!$1:$1048576,0,MATCH("Grant Fund",Data!$1:$1,0)),"*DOL Opioid*",
INDEX(Data!$1:$1048576,0,MATCH("Enrollment Satisfied",Data!$1:$1,0)),"Yes"))</f>
        <v>1</v>
      </c>
      <c r="G321" s="14"/>
      <c r="H321" s="35">
        <f>F321/$F$50</f>
        <v>1.1904761904761904E-2</v>
      </c>
    </row>
    <row r="322" spans="2:8" ht="14.25" customHeight="1" x14ac:dyDescent="0.45">
      <c r="B322" s="15"/>
      <c r="C322" s="11"/>
      <c r="D322" s="11"/>
      <c r="E322" s="16"/>
      <c r="F322" s="15"/>
      <c r="G322" s="16"/>
      <c r="H322" s="22"/>
    </row>
    <row r="323" spans="2:8" ht="14.25" customHeight="1" x14ac:dyDescent="0.45">
      <c r="B323" s="17"/>
      <c r="C323" s="18"/>
      <c r="D323" s="18"/>
      <c r="E323" s="19"/>
      <c r="F323" s="17"/>
      <c r="G323" s="19"/>
      <c r="H323" s="23"/>
    </row>
    <row r="324" spans="2:8" ht="14.25" customHeight="1" x14ac:dyDescent="0.45">
      <c r="B324" s="29" t="s">
        <v>659</v>
      </c>
      <c r="C324" s="13"/>
      <c r="D324" s="13"/>
      <c r="E324" s="14"/>
      <c r="F324" s="29">
        <f>IF($B$6="2020-Present",
COUNTIFS(
INDEX(Data!$1:$1048576,0,MATCH("Grant Fund",Data!$1:$1,0)),"*EARN*",
INDEX(Data!$1:$1048576,0,MATCH("Enrollment Satisfied",Data!$1:$1,0)),"Yes"),
COUNTIFS(
INDEX(Data!$1:$1048576,0,MATCH("Fiscal Year",Data!$1:$1,0)),Demographics!$B$6,
INDEX(Data!$1:$1048576,0,MATCH("Grant Fund",Data!$1:$1,0)),"*EARN*",
INDEX(Data!$1:$1048576,0,MATCH("Enrollment Satisfied",Data!$1:$1,0)),"Yes"))</f>
        <v>21</v>
      </c>
      <c r="G324" s="14"/>
      <c r="H324" s="35">
        <f>F324/$F$50</f>
        <v>0.25</v>
      </c>
    </row>
    <row r="325" spans="2:8" ht="14.25" customHeight="1" x14ac:dyDescent="0.45">
      <c r="B325" s="15"/>
      <c r="C325" s="11"/>
      <c r="D325" s="11"/>
      <c r="E325" s="16"/>
      <c r="F325" s="15"/>
      <c r="G325" s="16"/>
      <c r="H325" s="22"/>
    </row>
    <row r="326" spans="2:8" ht="14.25" customHeight="1" x14ac:dyDescent="0.45">
      <c r="B326" s="17"/>
      <c r="C326" s="18"/>
      <c r="D326" s="18"/>
      <c r="E326" s="19"/>
      <c r="F326" s="17"/>
      <c r="G326" s="19"/>
      <c r="H326" s="23"/>
    </row>
    <row r="327" spans="2:8" ht="14.25" customHeight="1" x14ac:dyDescent="0.45">
      <c r="B327" s="29" t="s">
        <v>660</v>
      </c>
      <c r="C327" s="13"/>
      <c r="D327" s="13"/>
      <c r="E327" s="14"/>
      <c r="F327" s="29">
        <f>IF($B$6="2020-Present",
COUNTIFS(
INDEX(Data!$1:$1048576,0,MATCH("Grant Fund",Data!$1:$1,0)),"*Grads2Careers*",
INDEX(Data!$1:$1048576,0,MATCH("Enrollment Satisfied",Data!$1:$1,0)),"Yes"),
COUNTIFS(
INDEX(Data!$1:$1048576,0,MATCH("Fiscal Year",Data!$1:$1,0)),Demographics!$B$6,
INDEX(Data!$1:$1048576,0,MATCH("Grant Fund",Data!$1:$1,0)),"*Grads2Careers*",
INDEX(Data!$1:$1048576,0,MATCH("Enrollment Satisfied",Data!$1:$1,0)),"Yes"))</f>
        <v>0</v>
      </c>
      <c r="G327" s="14"/>
      <c r="H327" s="35">
        <f>F327/$F$50</f>
        <v>0</v>
      </c>
    </row>
    <row r="328" spans="2:8" ht="14.25" customHeight="1" x14ac:dyDescent="0.45">
      <c r="B328" s="15"/>
      <c r="C328" s="11"/>
      <c r="D328" s="11"/>
      <c r="E328" s="16"/>
      <c r="F328" s="15"/>
      <c r="G328" s="16"/>
      <c r="H328" s="22"/>
    </row>
    <row r="329" spans="2:8" ht="14.25" customHeight="1" x14ac:dyDescent="0.45">
      <c r="B329" s="17"/>
      <c r="C329" s="18"/>
      <c r="D329" s="18"/>
      <c r="E329" s="19"/>
      <c r="F329" s="17"/>
      <c r="G329" s="19"/>
      <c r="H329" s="23"/>
    </row>
    <row r="330" spans="2:8" ht="14.25" customHeight="1" x14ac:dyDescent="0.45">
      <c r="B330" s="29" t="s">
        <v>661</v>
      </c>
      <c r="C330" s="13"/>
      <c r="D330" s="13"/>
      <c r="E330" s="14"/>
      <c r="F330" s="29">
        <f>IF($B$6="2020-Present",
COUNTIFS(
INDEX(Data!$1:$1048576,0,MATCH("Grant Fund",Data!$1:$1,0)),"*MOED Opioid*",
INDEX(Data!$1:$1048576,0,MATCH("Enrollment Satisfied",Data!$1:$1,0)),"Yes"),
COUNTIFS(
INDEX(Data!$1:$1048576,0,MATCH("Fiscal Year",Data!$1:$1,0)),Demographics!$B$6,
INDEX(Data!$1:$1048576,0,MATCH("Grant Fund",Data!$1:$1,0)),"*MOED Opioid*",
INDEX(Data!$1:$1048576,0,MATCH("Enrollment Satisfied",Data!$1:$1,0)),"Yes"))</f>
        <v>5</v>
      </c>
      <c r="G330" s="14"/>
      <c r="H330" s="35">
        <f>F330/$F$50</f>
        <v>5.9523809523809521E-2</v>
      </c>
    </row>
    <row r="331" spans="2:8" ht="14.25" customHeight="1" x14ac:dyDescent="0.45">
      <c r="B331" s="15"/>
      <c r="C331" s="11"/>
      <c r="D331" s="11"/>
      <c r="E331" s="16"/>
      <c r="F331" s="15"/>
      <c r="G331" s="16"/>
      <c r="H331" s="22"/>
    </row>
    <row r="332" spans="2:8" ht="14.25" customHeight="1" x14ac:dyDescent="0.45">
      <c r="B332" s="17"/>
      <c r="C332" s="18"/>
      <c r="D332" s="18"/>
      <c r="E332" s="19"/>
      <c r="F332" s="17"/>
      <c r="G332" s="19"/>
      <c r="H332" s="23"/>
    </row>
    <row r="333" spans="2:8" ht="14.25" customHeight="1" x14ac:dyDescent="0.45">
      <c r="B333" s="29" t="s">
        <v>662</v>
      </c>
      <c r="C333" s="13"/>
      <c r="D333" s="13"/>
      <c r="E333" s="14"/>
      <c r="F333" s="29">
        <f>IF($B$6="2020-Present",
COUNTIFS(
INDEX(Data!$1:$1048576,0,MATCH("Grant Fund",Data!$1:$1,0)),"*OWIF*",
INDEX(Data!$1:$1048576,0,MATCH("Enrollment Satisfied",Data!$1:$1,0)),"Yes"),
COUNTIFS(
INDEX(Data!$1:$1048576,0,MATCH("Fiscal Year",Data!$1:$1,0)),Demographics!$B$6,
INDEX(Data!$1:$1048576,0,MATCH("Grant Fund",Data!$1:$1,0)),"*OWIF*",
INDEX(Data!$1:$1048576,0,MATCH("Enrollment Satisfied",Data!$1:$1,0)),"Yes"))</f>
        <v>1</v>
      </c>
      <c r="G333" s="14"/>
      <c r="H333" s="35">
        <f>F333/$F$50</f>
        <v>1.1904761904761904E-2</v>
      </c>
    </row>
    <row r="334" spans="2:8" ht="14.25" customHeight="1" x14ac:dyDescent="0.45">
      <c r="B334" s="15"/>
      <c r="C334" s="11"/>
      <c r="D334" s="11"/>
      <c r="E334" s="16"/>
      <c r="F334" s="15"/>
      <c r="G334" s="16"/>
      <c r="H334" s="22"/>
    </row>
    <row r="335" spans="2:8" ht="14.25" customHeight="1" x14ac:dyDescent="0.45">
      <c r="B335" s="17"/>
      <c r="C335" s="18"/>
      <c r="D335" s="18"/>
      <c r="E335" s="19"/>
      <c r="F335" s="17"/>
      <c r="G335" s="19"/>
      <c r="H335" s="23"/>
    </row>
    <row r="336" spans="2:8" ht="14.25" customHeight="1" x14ac:dyDescent="0.45">
      <c r="B336" s="29" t="s">
        <v>573</v>
      </c>
      <c r="C336" s="13"/>
      <c r="D336" s="13"/>
      <c r="E336" s="14"/>
      <c r="F336" s="29">
        <f>IF($B$6="2020-Present",
COUNTIFS(
INDEX(Data!$1:$1048576,0,MATCH("Grant Fund",Data!$1:$1,0)),"*SNAP*",
INDEX(Data!$1:$1048576,0,MATCH("Enrollment Satisfied",Data!$1:$1,0)),"Yes"),
COUNTIFS(
INDEX(Data!$1:$1048576,0,MATCH("Fiscal Year",Data!$1:$1,0)),Demographics!$B$6,
INDEX(Data!$1:$1048576,0,MATCH("Grant Fund",Data!$1:$1,0)),"*SNAP*",
INDEX(Data!$1:$1048576,0,MATCH("Enrollment Satisfied",Data!$1:$1,0)),"Yes"))</f>
        <v>8</v>
      </c>
      <c r="G336" s="14"/>
      <c r="H336" s="35">
        <f>F336/$F$50</f>
        <v>9.5238095238095233E-2</v>
      </c>
    </row>
    <row r="337" spans="2:8" ht="14.25" customHeight="1" x14ac:dyDescent="0.45">
      <c r="B337" s="15"/>
      <c r="C337" s="11"/>
      <c r="D337" s="11"/>
      <c r="E337" s="16"/>
      <c r="F337" s="15"/>
      <c r="G337" s="16"/>
      <c r="H337" s="22"/>
    </row>
    <row r="338" spans="2:8" ht="14.25" customHeight="1" x14ac:dyDescent="0.45">
      <c r="B338" s="17"/>
      <c r="C338" s="18"/>
      <c r="D338" s="18"/>
      <c r="E338" s="19"/>
      <c r="F338" s="17"/>
      <c r="G338" s="19"/>
      <c r="H338" s="23"/>
    </row>
    <row r="339" spans="2:8" ht="14.25" customHeight="1" x14ac:dyDescent="0.45">
      <c r="B339" s="29" t="s">
        <v>663</v>
      </c>
      <c r="C339" s="13"/>
      <c r="D339" s="13"/>
      <c r="E339" s="14"/>
      <c r="F339" s="29">
        <f>IF($B$6="2020-Present",
COUNTIFS(
INDEX(Data!$1:$1048576,0,MATCH("Grant Fund",Data!$1:$1,0)),"*Train Up*",
INDEX(Data!$1:$1048576,0,MATCH("Enrollment Satisfied",Data!$1:$1,0)),"Yes"),
COUNTIFS(
INDEX(Data!$1:$1048576,0,MATCH("Fiscal Year",Data!$1:$1,0)),Demographics!$B$6,
INDEX(Data!$1:$1048576,0,MATCH("Grant Fund",Data!$1:$1,0)),"*CDBG*",
INDEX(Data!$1:$1048576,0,MATCH("Enrollment Satisfied",Data!$1:$1,0)),"Yes"))</f>
        <v>1</v>
      </c>
      <c r="G339" s="14"/>
      <c r="H339" s="35">
        <f>F339/$F$50</f>
        <v>1.1904761904761904E-2</v>
      </c>
    </row>
    <row r="340" spans="2:8" ht="14.25" customHeight="1" x14ac:dyDescent="0.45">
      <c r="B340" s="15"/>
      <c r="C340" s="11"/>
      <c r="D340" s="11"/>
      <c r="E340" s="16"/>
      <c r="F340" s="15"/>
      <c r="G340" s="16"/>
      <c r="H340" s="22"/>
    </row>
    <row r="341" spans="2:8" ht="14.25" customHeight="1" x14ac:dyDescent="0.45">
      <c r="B341" s="17"/>
      <c r="C341" s="18"/>
      <c r="D341" s="18"/>
      <c r="E341" s="19"/>
      <c r="F341" s="17"/>
      <c r="G341" s="19"/>
      <c r="H341" s="23"/>
    </row>
    <row r="342" spans="2:8" ht="14.25" customHeight="1" x14ac:dyDescent="0.45">
      <c r="B342" s="29" t="s">
        <v>232</v>
      </c>
      <c r="C342" s="13"/>
      <c r="D342" s="13"/>
      <c r="E342" s="14"/>
      <c r="F342" s="29">
        <f>IF($B$6="2020-Present",
COUNTIFS(
INDEX(Data!$1:$1048576,0,MATCH("Grant Fund",Data!$1:$1,0)),"*WIOA*",
INDEX(Data!$1:$1048576,0,MATCH("Enrollment Satisfied",Data!$1:$1,0)),"Yes"),
COUNTIFS(
INDEX(Data!$1:$1048576,0,MATCH("Fiscal Year",Data!$1:$1,0)),Demographics!$B$6,
INDEX(Data!$1:$1048576,0,MATCH("Grant Fund",Data!$1:$1,0)),"*CDBG*",
INDEX(Data!$1:$1048576,0,MATCH("Enrollment Satisfied",Data!$1:$1,0)),"Yes"))</f>
        <v>20</v>
      </c>
      <c r="G342" s="14"/>
      <c r="H342" s="35">
        <f>F342/$F$50</f>
        <v>0.23809523809523808</v>
      </c>
    </row>
    <row r="343" spans="2:8" ht="14.25" customHeight="1" x14ac:dyDescent="0.45">
      <c r="B343" s="15"/>
      <c r="C343" s="11"/>
      <c r="D343" s="11"/>
      <c r="E343" s="16"/>
      <c r="F343" s="15"/>
      <c r="G343" s="16"/>
      <c r="H343" s="22"/>
    </row>
    <row r="344" spans="2:8" ht="14.25" customHeight="1" x14ac:dyDescent="0.45">
      <c r="B344" s="17"/>
      <c r="C344" s="18"/>
      <c r="D344" s="18"/>
      <c r="E344" s="19"/>
      <c r="F344" s="17"/>
      <c r="G344" s="19"/>
      <c r="H344" s="23"/>
    </row>
  </sheetData>
  <mergeCells count="265">
    <mergeCell ref="B342:E344"/>
    <mergeCell ref="F342:G344"/>
    <mergeCell ref="H342:H344"/>
    <mergeCell ref="B336:E338"/>
    <mergeCell ref="F336:G338"/>
    <mergeCell ref="H336:H338"/>
    <mergeCell ref="B339:E341"/>
    <mergeCell ref="F339:G341"/>
    <mergeCell ref="H339:H341"/>
    <mergeCell ref="B330:E332"/>
    <mergeCell ref="F330:G332"/>
    <mergeCell ref="H330:H332"/>
    <mergeCell ref="B333:E335"/>
    <mergeCell ref="F333:G335"/>
    <mergeCell ref="H333:H335"/>
    <mergeCell ref="B324:E326"/>
    <mergeCell ref="F324:G326"/>
    <mergeCell ref="H324:H326"/>
    <mergeCell ref="B327:E329"/>
    <mergeCell ref="F327:G329"/>
    <mergeCell ref="H327:H329"/>
    <mergeCell ref="B313:H315"/>
    <mergeCell ref="B318:E320"/>
    <mergeCell ref="F318:G320"/>
    <mergeCell ref="H318:H320"/>
    <mergeCell ref="B321:E323"/>
    <mergeCell ref="F321:G323"/>
    <mergeCell ref="H321:H323"/>
    <mergeCell ref="B305:E307"/>
    <mergeCell ref="F305:G307"/>
    <mergeCell ref="H305:H307"/>
    <mergeCell ref="B308:E310"/>
    <mergeCell ref="F308:G310"/>
    <mergeCell ref="H308:H310"/>
    <mergeCell ref="B299:E301"/>
    <mergeCell ref="F299:G301"/>
    <mergeCell ref="H299:H301"/>
    <mergeCell ref="B302:E304"/>
    <mergeCell ref="F302:G304"/>
    <mergeCell ref="H302:H304"/>
    <mergeCell ref="B293:E295"/>
    <mergeCell ref="F293:G295"/>
    <mergeCell ref="H293:H295"/>
    <mergeCell ref="B296:E298"/>
    <mergeCell ref="F296:G298"/>
    <mergeCell ref="H296:H298"/>
    <mergeCell ref="B287:E289"/>
    <mergeCell ref="F287:G289"/>
    <mergeCell ref="H287:H289"/>
    <mergeCell ref="B290:E292"/>
    <mergeCell ref="F290:G292"/>
    <mergeCell ref="H290:H292"/>
    <mergeCell ref="B281:E283"/>
    <mergeCell ref="F281:G283"/>
    <mergeCell ref="H281:H283"/>
    <mergeCell ref="B284:E286"/>
    <mergeCell ref="F284:G286"/>
    <mergeCell ref="H284:H286"/>
    <mergeCell ref="B275:E277"/>
    <mergeCell ref="F275:G277"/>
    <mergeCell ref="H275:H277"/>
    <mergeCell ref="B278:E280"/>
    <mergeCell ref="F278:G280"/>
    <mergeCell ref="H278:H280"/>
    <mergeCell ref="B269:E271"/>
    <mergeCell ref="F269:G271"/>
    <mergeCell ref="H269:H271"/>
    <mergeCell ref="B272:E274"/>
    <mergeCell ref="F272:G274"/>
    <mergeCell ref="H272:H274"/>
    <mergeCell ref="B263:E265"/>
    <mergeCell ref="F263:G265"/>
    <mergeCell ref="H263:H265"/>
    <mergeCell ref="B266:E268"/>
    <mergeCell ref="F266:G268"/>
    <mergeCell ref="H266:H268"/>
    <mergeCell ref="B257:E259"/>
    <mergeCell ref="F257:G259"/>
    <mergeCell ref="H257:H259"/>
    <mergeCell ref="B260:E262"/>
    <mergeCell ref="F260:G262"/>
    <mergeCell ref="H260:H262"/>
    <mergeCell ref="B251:E253"/>
    <mergeCell ref="F251:G253"/>
    <mergeCell ref="H251:H253"/>
    <mergeCell ref="B254:E256"/>
    <mergeCell ref="F254:G256"/>
    <mergeCell ref="H254:H256"/>
    <mergeCell ref="B245:E247"/>
    <mergeCell ref="F245:G247"/>
    <mergeCell ref="H245:H247"/>
    <mergeCell ref="B248:E250"/>
    <mergeCell ref="F248:G250"/>
    <mergeCell ref="H248:H250"/>
    <mergeCell ref="B232:E234"/>
    <mergeCell ref="F232:G234"/>
    <mergeCell ref="H232:H234"/>
    <mergeCell ref="B237:H239"/>
    <mergeCell ref="B242:E244"/>
    <mergeCell ref="F242:G244"/>
    <mergeCell ref="H242:H244"/>
    <mergeCell ref="B221:H223"/>
    <mergeCell ref="B226:E228"/>
    <mergeCell ref="F226:G228"/>
    <mergeCell ref="H226:H228"/>
    <mergeCell ref="B229:E231"/>
    <mergeCell ref="F229:G231"/>
    <mergeCell ref="H229:H231"/>
    <mergeCell ref="B213:E215"/>
    <mergeCell ref="F213:G215"/>
    <mergeCell ref="H213:H215"/>
    <mergeCell ref="B216:E218"/>
    <mergeCell ref="F216:G218"/>
    <mergeCell ref="H216:H218"/>
    <mergeCell ref="B207:E209"/>
    <mergeCell ref="F207:G209"/>
    <mergeCell ref="H207:H209"/>
    <mergeCell ref="B210:E212"/>
    <mergeCell ref="F210:G212"/>
    <mergeCell ref="H210:H212"/>
    <mergeCell ref="B196:H198"/>
    <mergeCell ref="B201:E203"/>
    <mergeCell ref="F201:G203"/>
    <mergeCell ref="H201:H203"/>
    <mergeCell ref="B204:E206"/>
    <mergeCell ref="F204:G206"/>
    <mergeCell ref="H204:H206"/>
    <mergeCell ref="B188:E190"/>
    <mergeCell ref="F188:G190"/>
    <mergeCell ref="H188:H190"/>
    <mergeCell ref="B191:E193"/>
    <mergeCell ref="F191:G193"/>
    <mergeCell ref="H191:H193"/>
    <mergeCell ref="B182:E184"/>
    <mergeCell ref="F182:G184"/>
    <mergeCell ref="H182:H184"/>
    <mergeCell ref="B185:E187"/>
    <mergeCell ref="F185:G187"/>
    <mergeCell ref="H185:H187"/>
    <mergeCell ref="B176:E178"/>
    <mergeCell ref="F176:G178"/>
    <mergeCell ref="H176:H178"/>
    <mergeCell ref="B179:E181"/>
    <mergeCell ref="F179:G181"/>
    <mergeCell ref="H179:H181"/>
    <mergeCell ref="B165:H167"/>
    <mergeCell ref="B170:E172"/>
    <mergeCell ref="F170:G172"/>
    <mergeCell ref="H170:H172"/>
    <mergeCell ref="B173:E175"/>
    <mergeCell ref="F173:G175"/>
    <mergeCell ref="H173:H175"/>
    <mergeCell ref="B157:E159"/>
    <mergeCell ref="F157:G159"/>
    <mergeCell ref="H157:H159"/>
    <mergeCell ref="B160:E162"/>
    <mergeCell ref="F160:G162"/>
    <mergeCell ref="H160:H162"/>
    <mergeCell ref="B151:E153"/>
    <mergeCell ref="F151:G153"/>
    <mergeCell ref="H151:H153"/>
    <mergeCell ref="B154:E156"/>
    <mergeCell ref="F154:G156"/>
    <mergeCell ref="H154:H156"/>
    <mergeCell ref="B145:E147"/>
    <mergeCell ref="F145:G147"/>
    <mergeCell ref="H145:H147"/>
    <mergeCell ref="B148:E150"/>
    <mergeCell ref="F148:G150"/>
    <mergeCell ref="H148:H150"/>
    <mergeCell ref="B134:H136"/>
    <mergeCell ref="B139:E141"/>
    <mergeCell ref="F139:G141"/>
    <mergeCell ref="H139:H141"/>
    <mergeCell ref="B142:E144"/>
    <mergeCell ref="F142:G144"/>
    <mergeCell ref="H142:H144"/>
    <mergeCell ref="B126:E128"/>
    <mergeCell ref="F126:G128"/>
    <mergeCell ref="H126:H128"/>
    <mergeCell ref="B129:E131"/>
    <mergeCell ref="F129:G131"/>
    <mergeCell ref="H129:H131"/>
    <mergeCell ref="B113:E115"/>
    <mergeCell ref="F113:G115"/>
    <mergeCell ref="H113:H115"/>
    <mergeCell ref="B118:H120"/>
    <mergeCell ref="B123:E125"/>
    <mergeCell ref="F123:G125"/>
    <mergeCell ref="H123:H125"/>
    <mergeCell ref="B107:E109"/>
    <mergeCell ref="F107:G109"/>
    <mergeCell ref="H107:H109"/>
    <mergeCell ref="B110:E112"/>
    <mergeCell ref="F110:G112"/>
    <mergeCell ref="H110:H112"/>
    <mergeCell ref="B96:H98"/>
    <mergeCell ref="B101:E103"/>
    <mergeCell ref="F101:G103"/>
    <mergeCell ref="H101:H103"/>
    <mergeCell ref="B104:E106"/>
    <mergeCell ref="F104:G106"/>
    <mergeCell ref="H104:H106"/>
    <mergeCell ref="B83:H85"/>
    <mergeCell ref="B88:E90"/>
    <mergeCell ref="F88:G90"/>
    <mergeCell ref="H88:H90"/>
    <mergeCell ref="B91:E93"/>
    <mergeCell ref="F91:G93"/>
    <mergeCell ref="H91:H93"/>
    <mergeCell ref="B75:E77"/>
    <mergeCell ref="F75:G77"/>
    <mergeCell ref="H75:H77"/>
    <mergeCell ref="B78:E80"/>
    <mergeCell ref="F78:G80"/>
    <mergeCell ref="H78:H80"/>
    <mergeCell ref="B69:E71"/>
    <mergeCell ref="F69:G71"/>
    <mergeCell ref="H69:H71"/>
    <mergeCell ref="B72:E74"/>
    <mergeCell ref="F72:G74"/>
    <mergeCell ref="H72:H74"/>
    <mergeCell ref="B63:E65"/>
    <mergeCell ref="F63:G65"/>
    <mergeCell ref="H63:H65"/>
    <mergeCell ref="B66:E68"/>
    <mergeCell ref="F66:G68"/>
    <mergeCell ref="H66:H68"/>
    <mergeCell ref="B50:E52"/>
    <mergeCell ref="F50:H52"/>
    <mergeCell ref="B55:H57"/>
    <mergeCell ref="B60:E62"/>
    <mergeCell ref="F60:G62"/>
    <mergeCell ref="H60:H62"/>
    <mergeCell ref="B44:E46"/>
    <mergeCell ref="F44:G46"/>
    <mergeCell ref="H44:H46"/>
    <mergeCell ref="B47:E49"/>
    <mergeCell ref="F47:G49"/>
    <mergeCell ref="H47:H49"/>
    <mergeCell ref="B38:E40"/>
    <mergeCell ref="F38:G40"/>
    <mergeCell ref="H38:H40"/>
    <mergeCell ref="B41:E43"/>
    <mergeCell ref="F41:G43"/>
    <mergeCell ref="H41:H43"/>
    <mergeCell ref="B25:E27"/>
    <mergeCell ref="F25:G27"/>
    <mergeCell ref="H25:H27"/>
    <mergeCell ref="B28:E30"/>
    <mergeCell ref="F28:H30"/>
    <mergeCell ref="B33:H35"/>
    <mergeCell ref="B19:E21"/>
    <mergeCell ref="F19:G21"/>
    <mergeCell ref="H19:H21"/>
    <mergeCell ref="B22:E24"/>
    <mergeCell ref="F22:G24"/>
    <mergeCell ref="H22:H24"/>
    <mergeCell ref="B3:H5"/>
    <mergeCell ref="K3:S8"/>
    <mergeCell ref="B6:H8"/>
    <mergeCell ref="B11:H13"/>
    <mergeCell ref="B16:E18"/>
    <mergeCell ref="F16:G18"/>
    <mergeCell ref="H16:H18"/>
  </mergeCells>
  <dataValidations count="1">
    <dataValidation type="list" showInputMessage="1" showErrorMessage="1" sqref="B6:H8" xr:uid="{EC34AAF2-04EF-48DF-A7B4-40ED62661924}">
      <formula1>"2023,2022,2021,2020,2020-Present"</formula1>
    </dataValidation>
  </dataValidations>
  <pageMargins left="0.7" right="0.7" top="0.75" bottom="0.75" header="0.3" footer="0.3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S110"/>
  <sheetViews>
    <sheetView zoomScale="90" zoomScaleNormal="90" workbookViewId="0">
      <pane ySplit="8" topLeftCell="A95" activePane="bottomLeft" state="frozen"/>
      <selection pane="bottomLeft" activeCell="F25" sqref="F25:G27"/>
    </sheetView>
  </sheetViews>
  <sheetFormatPr defaultRowHeight="14.25" x14ac:dyDescent="0.45"/>
  <cols>
    <col min="1" max="94" width="9.06640625" style="7" customWidth="1"/>
    <col min="95" max="16384" width="9.06640625" style="7"/>
  </cols>
  <sheetData>
    <row r="3" spans="2:19" x14ac:dyDescent="0.45">
      <c r="B3" s="26" t="s">
        <v>3</v>
      </c>
      <c r="C3" s="11"/>
      <c r="D3" s="11"/>
      <c r="E3" s="11"/>
      <c r="F3" s="11"/>
      <c r="G3" s="11"/>
      <c r="H3" s="11"/>
      <c r="K3" s="26" t="s">
        <v>43</v>
      </c>
      <c r="L3" s="11"/>
      <c r="M3" s="11"/>
      <c r="N3" s="11"/>
      <c r="O3" s="11"/>
      <c r="P3" s="11"/>
      <c r="Q3" s="11"/>
      <c r="R3" s="11"/>
      <c r="S3" s="11"/>
    </row>
    <row r="4" spans="2:19" x14ac:dyDescent="0.45">
      <c r="B4" s="11"/>
      <c r="C4" s="11"/>
      <c r="D4" s="11"/>
      <c r="E4" s="11"/>
      <c r="F4" s="11"/>
      <c r="G4" s="11"/>
      <c r="H4" s="11"/>
      <c r="K4" s="11"/>
      <c r="L4" s="11"/>
      <c r="M4" s="11"/>
      <c r="N4" s="11"/>
      <c r="O4" s="11"/>
      <c r="P4" s="11"/>
      <c r="Q4" s="11"/>
      <c r="R4" s="11"/>
      <c r="S4" s="11"/>
    </row>
    <row r="5" spans="2:19" x14ac:dyDescent="0.45">
      <c r="B5" s="11"/>
      <c r="C5" s="11"/>
      <c r="D5" s="11"/>
      <c r="E5" s="11"/>
      <c r="F5" s="11"/>
      <c r="G5" s="11"/>
      <c r="H5" s="11"/>
      <c r="K5" s="11"/>
      <c r="L5" s="11"/>
      <c r="M5" s="11"/>
      <c r="N5" s="11"/>
      <c r="O5" s="11"/>
      <c r="P5" s="11"/>
      <c r="Q5" s="11"/>
      <c r="R5" s="11"/>
      <c r="S5" s="11"/>
    </row>
    <row r="6" spans="2:19" x14ac:dyDescent="0.45">
      <c r="B6" s="27" t="s">
        <v>621</v>
      </c>
      <c r="C6" s="28"/>
      <c r="D6" s="28"/>
      <c r="E6" s="28"/>
      <c r="F6" s="28"/>
      <c r="G6" s="28"/>
      <c r="H6" s="28"/>
      <c r="K6" s="11"/>
      <c r="L6" s="11"/>
      <c r="M6" s="11"/>
      <c r="N6" s="11"/>
      <c r="O6" s="11"/>
      <c r="P6" s="11"/>
      <c r="Q6" s="11"/>
      <c r="R6" s="11"/>
      <c r="S6" s="11"/>
    </row>
    <row r="7" spans="2:19" x14ac:dyDescent="0.45">
      <c r="B7" s="28"/>
      <c r="C7" s="28"/>
      <c r="D7" s="28"/>
      <c r="E7" s="28"/>
      <c r="F7" s="28"/>
      <c r="G7" s="28"/>
      <c r="H7" s="28"/>
      <c r="K7" s="11"/>
      <c r="L7" s="11"/>
      <c r="M7" s="11"/>
      <c r="N7" s="11"/>
      <c r="O7" s="11"/>
      <c r="P7" s="11"/>
      <c r="Q7" s="11"/>
      <c r="R7" s="11"/>
      <c r="S7" s="11"/>
    </row>
    <row r="8" spans="2:19" x14ac:dyDescent="0.45">
      <c r="B8" s="28"/>
      <c r="C8" s="28"/>
      <c r="D8" s="28"/>
      <c r="E8" s="28"/>
      <c r="F8" s="28"/>
      <c r="G8" s="28"/>
      <c r="H8" s="28"/>
      <c r="K8" s="11"/>
      <c r="L8" s="11"/>
      <c r="M8" s="11"/>
      <c r="N8" s="11"/>
      <c r="O8" s="11"/>
      <c r="P8" s="11"/>
      <c r="Q8" s="11"/>
      <c r="R8" s="11"/>
      <c r="S8" s="11"/>
    </row>
    <row r="11" spans="2:19" x14ac:dyDescent="0.45">
      <c r="B11" s="10" t="s">
        <v>44</v>
      </c>
      <c r="C11" s="11"/>
      <c r="D11" s="11"/>
      <c r="E11" s="11"/>
      <c r="F11" s="11"/>
      <c r="G11" s="11"/>
      <c r="H11" s="11"/>
    </row>
    <row r="12" spans="2:19" x14ac:dyDescent="0.45">
      <c r="B12" s="11"/>
      <c r="C12" s="11"/>
      <c r="D12" s="11"/>
      <c r="E12" s="11"/>
      <c r="F12" s="11"/>
      <c r="G12" s="11"/>
      <c r="H12" s="11"/>
    </row>
    <row r="13" spans="2:19" x14ac:dyDescent="0.45">
      <c r="B13" s="11"/>
      <c r="C13" s="11"/>
      <c r="D13" s="11"/>
      <c r="E13" s="11"/>
      <c r="F13" s="11"/>
      <c r="G13" s="11"/>
      <c r="H13" s="11"/>
    </row>
    <row r="16" spans="2:19" x14ac:dyDescent="0.45">
      <c r="B16" s="12" t="s">
        <v>45</v>
      </c>
      <c r="C16" s="13"/>
      <c r="D16" s="13"/>
      <c r="E16" s="14"/>
      <c r="F16" s="12">
        <f>IF(
$B$6="2020-Present",
COUNTIFS(
INDEX(Data!$1:$1048576,0,MATCH("Account Id",Data!$1:$1,0)),"&lt;&gt;",
INDEX(Data!$1:$1048576,0,MATCH("Fiscal Year",Data!$1:$1,0)),"&lt;&gt;*Fiscal Year*"),
COUNTIFS(
INDEX(Data!$1:$1048576,0,MATCH("Fiscal Year",Data!$1:$1,0)),Outcomes!$B$6,
INDEX(Data!$1:$1048576,0,MATCH("Account ID",Data!$1:$1,0)),"&lt;&gt;"))</f>
        <v>130</v>
      </c>
      <c r="G16" s="13"/>
      <c r="H16" s="14"/>
    </row>
    <row r="17" spans="2:8" x14ac:dyDescent="0.45">
      <c r="B17" s="15"/>
      <c r="C17" s="11"/>
      <c r="D17" s="11"/>
      <c r="E17" s="16"/>
      <c r="F17" s="15"/>
      <c r="G17" s="11"/>
      <c r="H17" s="16"/>
    </row>
    <row r="18" spans="2:8" x14ac:dyDescent="0.45">
      <c r="B18" s="17"/>
      <c r="C18" s="18"/>
      <c r="D18" s="18"/>
      <c r="E18" s="19"/>
      <c r="F18" s="17"/>
      <c r="G18" s="18"/>
      <c r="H18" s="19"/>
    </row>
    <row r="19" spans="2:8" ht="14.25" customHeight="1" x14ac:dyDescent="0.45">
      <c r="B19" s="12" t="s">
        <v>46</v>
      </c>
      <c r="C19" s="13"/>
      <c r="D19" s="13"/>
      <c r="E19" s="14"/>
      <c r="F19" s="12">
        <f>IF(
$B$6="2020-Present",
COUNTIFS(
INDEX(Data!$1:$1048576,0,MATCH("Enrollment Satisfied",Data!$1:$1,0)),"Yes"),
COUNTIFS(
INDEX(Data!$1:$1048576,0,MATCH("Fiscal Year",Data!$1:$1,0)),Outcomes!$B$6,
INDEX(Data!$1:$1048576,0,MATCH("Enrollment Satisfied",Data!$1:$1,0)),"Yes"))</f>
        <v>84</v>
      </c>
      <c r="G19" s="14"/>
      <c r="H19" s="25">
        <f>F19/F16</f>
        <v>0.64615384615384619</v>
      </c>
    </row>
    <row r="20" spans="2:8" x14ac:dyDescent="0.45">
      <c r="B20" s="15"/>
      <c r="C20" s="11"/>
      <c r="D20" s="11"/>
      <c r="E20" s="16"/>
      <c r="F20" s="15"/>
      <c r="G20" s="16"/>
      <c r="H20" s="22"/>
    </row>
    <row r="21" spans="2:8" ht="18.399999999999999" customHeight="1" x14ac:dyDescent="0.45">
      <c r="B21" s="17"/>
      <c r="C21" s="18"/>
      <c r="D21" s="18"/>
      <c r="E21" s="19"/>
      <c r="F21" s="17"/>
      <c r="G21" s="19"/>
      <c r="H21" s="23"/>
    </row>
    <row r="22" spans="2:8" ht="14.35" customHeight="1" x14ac:dyDescent="0.45">
      <c r="B22" s="12" t="s">
        <v>47</v>
      </c>
      <c r="C22" s="13"/>
      <c r="D22" s="13"/>
      <c r="E22" s="14"/>
      <c r="F22" s="12">
        <f>IF(
$B$6="2020-Present",
COUNTIFS(
INDEX(Data!$1:$1048576,0,MATCH("Enrollment Satisfied",Data!$1:$1,0)),"No",
INDEX(Data!$1:$1048576,0,MATCH("Inactive",Data!$1:$1,0)),"Yes"),
COUNTIFS(
INDEX(Data!$1:$1048576,0,MATCH("Fiscal Year",Data!$1:$1,0)),Outcomes!$B$6,
INDEX(Data!$1:$1048576,0,MATCH("Enrollment Satisfied",Data!$1:$1,0)),"No",
INDEX(Data!$1:$1048576,0,MATCH("Inactive",Data!$1:$1,0)),"Yes"))</f>
        <v>30</v>
      </c>
      <c r="G22" s="14"/>
      <c r="H22" s="25">
        <f>F22/F16</f>
        <v>0.23076923076923078</v>
      </c>
    </row>
    <row r="23" spans="2:8" ht="14.35" customHeight="1" x14ac:dyDescent="0.45">
      <c r="B23" s="15"/>
      <c r="C23" s="11"/>
      <c r="D23" s="11"/>
      <c r="E23" s="16"/>
      <c r="F23" s="15"/>
      <c r="G23" s="16"/>
      <c r="H23" s="22"/>
    </row>
    <row r="24" spans="2:8" ht="14.35" customHeight="1" x14ac:dyDescent="0.45">
      <c r="B24" s="17"/>
      <c r="C24" s="18"/>
      <c r="D24" s="18"/>
      <c r="E24" s="19"/>
      <c r="F24" s="17"/>
      <c r="G24" s="19"/>
      <c r="H24" s="23"/>
    </row>
    <row r="25" spans="2:8" ht="14.25" customHeight="1" x14ac:dyDescent="0.45">
      <c r="B25" s="12" t="s">
        <v>48</v>
      </c>
      <c r="C25" s="13"/>
      <c r="D25" s="13"/>
      <c r="E25" s="14"/>
      <c r="F25" s="12">
        <f>IF(
$B$6="2020-Present",
COUNTIFS(
INDEX(Data!$1:$1048576,0,MATCH("Enrollment Pending",Data!$1:$1,0)),"Yes",
INDEX(Data!$1:$1048576,0,MATCH("Original Training Program",Data!$1:$1,0)),"&lt;&gt;"),COUNTIFS(
INDEX(Data!$1:$1048576,0,MATCH("Fiscal Year",Data!$1:$1,0)),Outcomes!$B$6,
INDEX(Data!$1:$1048576,0,MATCH("Enrollment Pending",Data!$1:$1,0)),"Yes",
INDEX(Data!$1:$1048576,0,MATCH("Original Training Program",Data!$1:$1,0)),"&lt;&gt;"))</f>
        <v>1</v>
      </c>
      <c r="G25" s="14"/>
      <c r="H25" s="25">
        <f>F25/F16</f>
        <v>7.6923076923076927E-3</v>
      </c>
    </row>
    <row r="26" spans="2:8" x14ac:dyDescent="0.45">
      <c r="B26" s="15"/>
      <c r="C26" s="11"/>
      <c r="D26" s="11"/>
      <c r="E26" s="16"/>
      <c r="F26" s="15"/>
      <c r="G26" s="16"/>
      <c r="H26" s="22"/>
    </row>
    <row r="27" spans="2:8" x14ac:dyDescent="0.45">
      <c r="B27" s="17"/>
      <c r="C27" s="18"/>
      <c r="D27" s="18"/>
      <c r="E27" s="19"/>
      <c r="F27" s="17"/>
      <c r="G27" s="19"/>
      <c r="H27" s="23"/>
    </row>
    <row r="28" spans="2:8" x14ac:dyDescent="0.45">
      <c r="B28" s="12" t="s">
        <v>49</v>
      </c>
      <c r="C28" s="13"/>
      <c r="D28" s="13"/>
      <c r="E28" s="14"/>
      <c r="F28" s="12">
        <f>IF(
$B$6="2020-Present",
COUNTIFS(
INDEX(Data!$1:$1048576,0,MATCH("Active",Data!1:1,0)),"Yes"),
COUNTIFS(
INDEX(Data!$1:$1048576,0,MATCH("Active",Data!1:1,0)),"Yes",
INDEX(Data!$1:$1048576,0,MATCH("Fiscal Year",Data!$1:$1,0)),Outcomes!$B$6))</f>
        <v>44</v>
      </c>
      <c r="G28" s="14"/>
      <c r="H28" s="21">
        <f>F28/$F$16</f>
        <v>0.33846153846153848</v>
      </c>
    </row>
    <row r="29" spans="2:8" x14ac:dyDescent="0.45">
      <c r="B29" s="15"/>
      <c r="C29" s="11"/>
      <c r="D29" s="11"/>
      <c r="E29" s="16"/>
      <c r="F29" s="15"/>
      <c r="G29" s="16"/>
      <c r="H29" s="22"/>
    </row>
    <row r="30" spans="2:8" x14ac:dyDescent="0.45">
      <c r="B30" s="17"/>
      <c r="C30" s="18"/>
      <c r="D30" s="18"/>
      <c r="E30" s="19"/>
      <c r="F30" s="17"/>
      <c r="G30" s="19"/>
      <c r="H30" s="23"/>
    </row>
    <row r="31" spans="2:8" ht="14.25" customHeight="1" x14ac:dyDescent="0.45">
      <c r="B31" s="12" t="s">
        <v>50</v>
      </c>
      <c r="C31" s="13"/>
      <c r="D31" s="13"/>
      <c r="E31" s="14"/>
      <c r="F31" s="12">
        <f>IF(
$B$6="2020-Present",
COUNTIFS(
INDEX(Data!$1:$1048576,0,MATCH("In Active Training",Data!1:1,0)),"Yes"),
COUNTIFS(
INDEX(Data!$1:$1048576,0,MATCH("Fiscal Year",Data!$1:$1,0)),Outcomes!$B$6,
INDEX(Data!$1:$1048576,0,MATCH("In Active Training",Data!1:1,0)),"Yes"))</f>
        <v>1</v>
      </c>
      <c r="G31" s="14"/>
      <c r="H31" s="21">
        <f>F31/F16</f>
        <v>7.6923076923076927E-3</v>
      </c>
    </row>
    <row r="32" spans="2:8" ht="14.25" customHeight="1" x14ac:dyDescent="0.45">
      <c r="B32" s="15"/>
      <c r="C32" s="11"/>
      <c r="D32" s="11"/>
      <c r="E32" s="16"/>
      <c r="F32" s="15"/>
      <c r="G32" s="16"/>
      <c r="H32" s="22"/>
    </row>
    <row r="33" spans="2:8" ht="14.25" customHeight="1" x14ac:dyDescent="0.45">
      <c r="B33" s="17"/>
      <c r="C33" s="18"/>
      <c r="D33" s="18"/>
      <c r="E33" s="19"/>
      <c r="F33" s="17"/>
      <c r="G33" s="19"/>
      <c r="H33" s="23"/>
    </row>
    <row r="34" spans="2:8" ht="14.25" hidden="1" customHeight="1" x14ac:dyDescent="0.45">
      <c r="B34" s="12" t="s">
        <v>51</v>
      </c>
      <c r="C34" s="13"/>
      <c r="D34" s="13"/>
      <c r="E34" s="14"/>
      <c r="F34" s="12" t="e">
        <f>IF($B$6="2020-2021",COUNTIFS(INDEX(#REF!,0,MATCH("Status Unknown",#REF!,0)),"Yes"),COUNTIFS(INDEX(#REF!,0,MATCH("Status Unknown",#REF!,0)),"Yes",INDEX(#REF!,0,MATCH("Fiscal Year",#REF!,0)),Outcomes!$B$6))</f>
        <v>#REF!</v>
      </c>
      <c r="G34" s="14"/>
      <c r="H34" s="21" t="e">
        <f>F34/$F$19</f>
        <v>#REF!</v>
      </c>
    </row>
    <row r="35" spans="2:8" ht="14.25" hidden="1" customHeight="1" x14ac:dyDescent="0.45">
      <c r="B35" s="15"/>
      <c r="C35" s="11"/>
      <c r="D35" s="11"/>
      <c r="E35" s="16"/>
      <c r="F35" s="15"/>
      <c r="G35" s="16"/>
      <c r="H35" s="22"/>
    </row>
    <row r="36" spans="2:8" ht="14.25" hidden="1" customHeight="1" x14ac:dyDescent="0.45">
      <c r="B36" s="17"/>
      <c r="C36" s="18"/>
      <c r="D36" s="18"/>
      <c r="E36" s="19"/>
      <c r="F36" s="17"/>
      <c r="G36" s="19"/>
      <c r="H36" s="23"/>
    </row>
    <row r="37" spans="2:8" ht="14.25" customHeight="1" x14ac:dyDescent="0.45">
      <c r="B37" s="12" t="s">
        <v>52</v>
      </c>
      <c r="C37" s="13"/>
      <c r="D37" s="13"/>
      <c r="E37" s="14"/>
      <c r="F37" s="12">
        <f>IF(
$B$6="2020-Present",
COUNTIFS(
INDEX(Data!$1:$1048576,0,MATCH("Ttw",Data!$1:$1,0)),"Current TTW Holder",
INDEX(Data!$1:$1048576,0,MATCH("Original Training Program",Data!$1:$1,0)),"&lt;&gt;"),
COUNTIFS(
INDEX(Data!$1:$1048576,0,MATCH("Ttw",Data!$1:$1,0)),"Current TTW Holder",
INDEX(Data!$1:$1048576,0,MATCH("Original Training Program",Data!$1:$1,0)),"&lt;&gt;",
INDEX(Data!$1:$1048576,0,MATCH("Fiscal Year",Data!$1:$1,0)),Outcomes!$B$6))</f>
        <v>0</v>
      </c>
      <c r="G37" s="14"/>
      <c r="H37" s="21">
        <f>F37/$F$19</f>
        <v>0</v>
      </c>
    </row>
    <row r="38" spans="2:8" ht="14.25" customHeight="1" x14ac:dyDescent="0.45">
      <c r="B38" s="15"/>
      <c r="C38" s="11"/>
      <c r="D38" s="11"/>
      <c r="E38" s="16"/>
      <c r="F38" s="15"/>
      <c r="G38" s="16"/>
      <c r="H38" s="22"/>
    </row>
    <row r="39" spans="2:8" ht="14.25" customHeight="1" x14ac:dyDescent="0.45">
      <c r="B39" s="17"/>
      <c r="C39" s="18"/>
      <c r="D39" s="18"/>
      <c r="E39" s="19"/>
      <c r="F39" s="17"/>
      <c r="G39" s="19"/>
      <c r="H39" s="23"/>
    </row>
    <row r="42" spans="2:8" x14ac:dyDescent="0.45">
      <c r="B42" s="10" t="s">
        <v>53</v>
      </c>
      <c r="C42" s="11"/>
      <c r="D42" s="11"/>
      <c r="E42" s="11"/>
      <c r="F42" s="11"/>
      <c r="G42" s="11"/>
      <c r="H42" s="11"/>
    </row>
    <row r="43" spans="2:8" x14ac:dyDescent="0.45">
      <c r="B43" s="11"/>
      <c r="C43" s="11"/>
      <c r="D43" s="11"/>
      <c r="E43" s="11"/>
      <c r="F43" s="11"/>
      <c r="G43" s="11"/>
      <c r="H43" s="11"/>
    </row>
    <row r="44" spans="2:8" x14ac:dyDescent="0.45">
      <c r="B44" s="11"/>
      <c r="C44" s="11"/>
      <c r="D44" s="11"/>
      <c r="E44" s="11"/>
      <c r="F44" s="11"/>
      <c r="G44" s="11"/>
      <c r="H44" s="11"/>
    </row>
    <row r="47" spans="2:8" x14ac:dyDescent="0.45">
      <c r="B47" s="12" t="s">
        <v>54</v>
      </c>
      <c r="C47" s="13"/>
      <c r="D47" s="13"/>
      <c r="E47" s="14"/>
      <c r="F47" s="12">
        <f>IF(
$B$6="2020-Present",
COUNTIFS(
INDEX(Data!$1:$1048576,0,MATCH("Original Training Program",Data!$1:$1,0)),Outcomes!$B47,
INDEX(Data!$1:$1048576,0,MATCH("Enrollment Satisfied",Data!$1:$1,0)),"Yes"),
COUNTIFS(
INDEX(Data!$1:$1048576,0,MATCH("Original Training Program",Data!$1:$1,0)),Outcomes!$B47,
INDEX(Data!$1:$1048576,0,MATCH("Fiscal Year",Data!$1:$1,0)),Outcomes!$B$6,
INDEX(Data!$1:$1048576,0,MATCH("Enrollment Satisfied",Data!$1:$1,0)),"Yes"))</f>
        <v>7</v>
      </c>
      <c r="G47" s="14"/>
      <c r="H47" s="21">
        <f>$F47/$F$19</f>
        <v>8.3333333333333329E-2</v>
      </c>
    </row>
    <row r="48" spans="2:8" x14ac:dyDescent="0.45">
      <c r="B48" s="15"/>
      <c r="C48" s="11"/>
      <c r="D48" s="11"/>
      <c r="E48" s="16"/>
      <c r="F48" s="15"/>
      <c r="G48" s="16"/>
      <c r="H48" s="22"/>
    </row>
    <row r="49" spans="2:8" x14ac:dyDescent="0.45">
      <c r="B49" s="17"/>
      <c r="C49" s="18"/>
      <c r="D49" s="18"/>
      <c r="E49" s="19"/>
      <c r="F49" s="17"/>
      <c r="G49" s="19"/>
      <c r="H49" s="23"/>
    </row>
    <row r="50" spans="2:8" ht="14.25" customHeight="1" x14ac:dyDescent="0.45">
      <c r="B50" s="12" t="s">
        <v>55</v>
      </c>
      <c r="C50" s="13"/>
      <c r="D50" s="13"/>
      <c r="E50" s="14"/>
      <c r="F50" s="12">
        <f>IF(
$B$6="2020-Present",
COUNTIFS(
INDEX(Data!$1:$1048576,0,MATCH("Original Training Program",Data!$1:$1,0)),Outcomes!$B50,
INDEX(Data!$1:$1048576,0,MATCH("Enrollment Satisfied",Data!$1:$1,0)),"Yes"),
COUNTIFS(
INDEX(Data!$1:$1048576,0,MATCH("Original Training Program",Data!$1:$1,0)),Outcomes!$B50,
INDEX(Data!$1:$1048576,0,MATCH("Fiscal Year",Data!$1:$1,0)),Outcomes!$B$6,
INDEX(Data!$1:$1048576,0,MATCH("Enrollment Satisfied",Data!$1:$1,0)),"Yes"))</f>
        <v>8</v>
      </c>
      <c r="G50" s="14"/>
      <c r="H50" s="21">
        <f>$F50/$F$19</f>
        <v>9.5238095238095233E-2</v>
      </c>
    </row>
    <row r="51" spans="2:8" ht="14.25" customHeight="1" x14ac:dyDescent="0.45">
      <c r="B51" s="15"/>
      <c r="C51" s="11"/>
      <c r="D51" s="11"/>
      <c r="E51" s="16"/>
      <c r="F51" s="15"/>
      <c r="G51" s="16"/>
      <c r="H51" s="22"/>
    </row>
    <row r="52" spans="2:8" ht="14.25" customHeight="1" x14ac:dyDescent="0.45">
      <c r="B52" s="17"/>
      <c r="C52" s="18"/>
      <c r="D52" s="18"/>
      <c r="E52" s="19"/>
      <c r="F52" s="17"/>
      <c r="G52" s="19"/>
      <c r="H52" s="23"/>
    </row>
    <row r="53" spans="2:8" ht="14.25" customHeight="1" x14ac:dyDescent="0.45">
      <c r="B53" s="12" t="s">
        <v>56</v>
      </c>
      <c r="C53" s="13"/>
      <c r="D53" s="13"/>
      <c r="E53" s="14"/>
      <c r="F53" s="12">
        <f>IF(
$B$6="2020-Present",
COUNTIFS(
INDEX(Data!$1:$1048576,0,MATCH("Original Training Program",Data!$1:$1,0)),Outcomes!$B53,
INDEX(Data!$1:$1048576,0,MATCH("Enrollment Satisfied",Data!$1:$1,0)),"Yes"),
COUNTIFS(
INDEX(Data!$1:$1048576,0,MATCH("Original Training Program",Data!$1:$1,0)),Outcomes!$B53,
INDEX(Data!$1:$1048576,0,MATCH("Fiscal Year",Data!$1:$1,0)),Outcomes!$B$6,
INDEX(Data!$1:$1048576,0,MATCH("Enrollment Satisfied",Data!$1:$1,0)),"Yes"))</f>
        <v>64</v>
      </c>
      <c r="G53" s="14"/>
      <c r="H53" s="21">
        <f>$F53/$F$19</f>
        <v>0.76190476190476186</v>
      </c>
    </row>
    <row r="54" spans="2:8" ht="14.25" customHeight="1" x14ac:dyDescent="0.45">
      <c r="B54" s="15"/>
      <c r="C54" s="11"/>
      <c r="D54" s="11"/>
      <c r="E54" s="16"/>
      <c r="F54" s="15"/>
      <c r="G54" s="16"/>
      <c r="H54" s="22"/>
    </row>
    <row r="55" spans="2:8" ht="14.25" customHeight="1" x14ac:dyDescent="0.45">
      <c r="B55" s="17"/>
      <c r="C55" s="18"/>
      <c r="D55" s="18"/>
      <c r="E55" s="19"/>
      <c r="F55" s="17"/>
      <c r="G55" s="19"/>
      <c r="H55" s="23"/>
    </row>
    <row r="56" spans="2:8" ht="14.25" customHeight="1" x14ac:dyDescent="0.45">
      <c r="B56" s="12" t="s">
        <v>57</v>
      </c>
      <c r="C56" s="13"/>
      <c r="D56" s="13"/>
      <c r="E56" s="14"/>
      <c r="F56" s="12">
        <f>IF(
$B$6="2020-Present",
COUNTIFS(
INDEX(Data!$1:$1048576,0,MATCH("Original Training Program",Data!$1:$1,0)),Outcomes!$B56,
INDEX(Data!$1:$1048576,0,MATCH("Enrollment Satisfied",Data!$1:$1,0)),"Yes"),
COUNTIFS(
INDEX(Data!$1:$1048576,0,MATCH("Original Training Program",Data!$1:$1,0)),Outcomes!$B56,
INDEX(Data!$1:$1048576,0,MATCH("Fiscal Year",Data!$1:$1,0)),Outcomes!$B$6,
INDEX(Data!$1:$1048576,0,MATCH("Enrollment Satisfied",Data!$1:$1,0)),"Yes"))</f>
        <v>5</v>
      </c>
      <c r="G56" s="14"/>
      <c r="H56" s="21">
        <f>$F56/$F$19</f>
        <v>5.9523809523809521E-2</v>
      </c>
    </row>
    <row r="57" spans="2:8" ht="14.25" customHeight="1" x14ac:dyDescent="0.45">
      <c r="B57" s="15"/>
      <c r="C57" s="11"/>
      <c r="D57" s="11"/>
      <c r="E57" s="16"/>
      <c r="F57" s="15"/>
      <c r="G57" s="16"/>
      <c r="H57" s="22"/>
    </row>
    <row r="58" spans="2:8" ht="14.25" customHeight="1" x14ac:dyDescent="0.45">
      <c r="B58" s="17"/>
      <c r="C58" s="18"/>
      <c r="D58" s="18"/>
      <c r="E58" s="19"/>
      <c r="F58" s="17"/>
      <c r="G58" s="19"/>
      <c r="H58" s="23"/>
    </row>
    <row r="61" spans="2:8" x14ac:dyDescent="0.45">
      <c r="B61" s="10" t="s">
        <v>58</v>
      </c>
      <c r="C61" s="11"/>
      <c r="D61" s="11"/>
      <c r="E61" s="11"/>
      <c r="F61" s="11"/>
      <c r="G61" s="11"/>
      <c r="H61" s="11"/>
    </row>
    <row r="62" spans="2:8" x14ac:dyDescent="0.45">
      <c r="B62" s="11"/>
      <c r="C62" s="11"/>
      <c r="D62" s="11"/>
      <c r="E62" s="11"/>
      <c r="F62" s="11"/>
      <c r="G62" s="11"/>
      <c r="H62" s="11"/>
    </row>
    <row r="63" spans="2:8" x14ac:dyDescent="0.45">
      <c r="B63" s="11"/>
      <c r="C63" s="11"/>
      <c r="D63" s="11"/>
      <c r="E63" s="11"/>
      <c r="F63" s="11"/>
      <c r="G63" s="11"/>
      <c r="H63" s="11"/>
    </row>
    <row r="66" spans="2:8" x14ac:dyDescent="0.45">
      <c r="B66" s="12" t="s">
        <v>2</v>
      </c>
      <c r="C66" s="13"/>
      <c r="D66" s="13"/>
      <c r="E66" s="14"/>
      <c r="F66" s="12">
        <f>IF(
$B$6="2020-Present",
COUNTIF(
INDEX(Data!$1:$1048576,0,MATCH("Program Completion",Data!$1:$1,0)),"Yes"),
COUNTIFS(
INDEX(Data!$1:$1048576,0,MATCH("Program Completion",Data!$1:$1,0)),"Yes",
INDEX(Data!$1:$1048576,0,MATCH("Fiscal Year",Data!$1:$1,0)),Outcomes!$B$6))</f>
        <v>64</v>
      </c>
      <c r="G66" s="14"/>
      <c r="H66" s="21">
        <f>IF($F$19-$F$31 = 0, "0%",$F66/($F$19-$F$31))</f>
        <v>0.77108433734939763</v>
      </c>
    </row>
    <row r="67" spans="2:8" x14ac:dyDescent="0.45">
      <c r="B67" s="15"/>
      <c r="C67" s="11"/>
      <c r="D67" s="11"/>
      <c r="E67" s="16"/>
      <c r="F67" s="15"/>
      <c r="G67" s="16"/>
      <c r="H67" s="22"/>
    </row>
    <row r="68" spans="2:8" x14ac:dyDescent="0.45">
      <c r="B68" s="17"/>
      <c r="C68" s="18"/>
      <c r="D68" s="18"/>
      <c r="E68" s="19"/>
      <c r="F68" s="17"/>
      <c r="G68" s="19"/>
      <c r="H68" s="23"/>
    </row>
    <row r="69" spans="2:8" ht="14.25" customHeight="1" x14ac:dyDescent="0.45">
      <c r="B69" s="12" t="s">
        <v>5</v>
      </c>
      <c r="C69" s="13"/>
      <c r="D69" s="13"/>
      <c r="E69" s="14"/>
      <c r="F69" s="12">
        <f>IF(
$B$6="2020-Present",
COUNTIF(
INDEX(Data!$1:$1048576,0,MATCH("Gained Certification",Data!$1:$1,0)),"Yes"),
COUNTIFS(
INDEX(Data!$1:$1048576,0,MATCH("Gained Certification",Data!$1:$1,0)),"Yes",
INDEX(Data!$1:$1048576,0,MATCH("Fiscal Year",Data!$1:$1,0)),Outcomes!$B$6))</f>
        <v>47</v>
      </c>
      <c r="G69" s="14"/>
      <c r="H69" s="21">
        <f>IF($F69=0,"0%",$F69/$F$66)</f>
        <v>0.734375</v>
      </c>
    </row>
    <row r="70" spans="2:8" ht="14.25" customHeight="1" x14ac:dyDescent="0.45">
      <c r="B70" s="15"/>
      <c r="C70" s="11"/>
      <c r="D70" s="11"/>
      <c r="E70" s="16"/>
      <c r="F70" s="15"/>
      <c r="G70" s="16"/>
      <c r="H70" s="22"/>
    </row>
    <row r="71" spans="2:8" ht="14.25" customHeight="1" x14ac:dyDescent="0.45">
      <c r="B71" s="17"/>
      <c r="C71" s="18"/>
      <c r="D71" s="18"/>
      <c r="E71" s="19"/>
      <c r="F71" s="17"/>
      <c r="G71" s="19"/>
      <c r="H71" s="23"/>
    </row>
    <row r="72" spans="2:8" ht="14.25" customHeight="1" x14ac:dyDescent="0.45">
      <c r="B72" s="24" t="s">
        <v>59</v>
      </c>
      <c r="C72" s="13"/>
      <c r="D72" s="13"/>
      <c r="E72" s="14"/>
      <c r="F72" s="12">
        <f>IF(
$B$6="2020-Present",
COUNTIF(
INDEX(Data!$1:$1048576,0,MATCH("Gained Employment",Data!$1:$1,0)),"Yes"),
COUNTIFS(
INDEX(Data!$1:$1048576,0,MATCH("Gained Employment",Data!$1:$1,0)),"Yes",
INDEX(Data!$1:$1048576,0,MATCH("Fiscal Year",Data!$1:$1,0)),Outcomes!$B$6))</f>
        <v>24</v>
      </c>
      <c r="G72" s="14"/>
      <c r="H72" s="21">
        <f>IF($F72=0,"0%",$F72/$F$66)</f>
        <v>0.375</v>
      </c>
    </row>
    <row r="73" spans="2:8" ht="14.25" customHeight="1" x14ac:dyDescent="0.45">
      <c r="B73" s="15"/>
      <c r="C73" s="11"/>
      <c r="D73" s="11"/>
      <c r="E73" s="16"/>
      <c r="F73" s="15"/>
      <c r="G73" s="16"/>
      <c r="H73" s="22"/>
    </row>
    <row r="74" spans="2:8" ht="25.5" customHeight="1" x14ac:dyDescent="0.45">
      <c r="B74" s="17"/>
      <c r="C74" s="18"/>
      <c r="D74" s="18"/>
      <c r="E74" s="19"/>
      <c r="F74" s="17"/>
      <c r="G74" s="19"/>
      <c r="H74" s="23"/>
    </row>
    <row r="75" spans="2:8" ht="14.25" customHeight="1" x14ac:dyDescent="0.45">
      <c r="B75" s="12" t="s">
        <v>60</v>
      </c>
      <c r="C75" s="13"/>
      <c r="D75" s="13"/>
      <c r="E75" s="14"/>
      <c r="F75" s="12">
        <f>IF(
$B$6="2020-Present",
COUNTIF(
INDEX(Data!$1:$1048576,0,MATCH("Last Retention Status",Data!$1:$1,0)),"&lt;&gt;"),
COUNTIFS(
INDEX(Data!$1:$1048576,0,MATCH("Last Retention Status",Data!$1:$1,0)),"&lt;&gt;",
INDEX(Data!$1:$1048576,0,MATCH("Fiscal Year",Data!$1:$1,0)),Outcomes!$B$6))</f>
        <v>20</v>
      </c>
      <c r="G75" s="14"/>
      <c r="H75" s="21">
        <f>IF($F75=0,"0%",$F75/$F$72)</f>
        <v>0.83333333333333337</v>
      </c>
    </row>
    <row r="76" spans="2:8" ht="14.25" customHeight="1" x14ac:dyDescent="0.45">
      <c r="B76" s="15"/>
      <c r="C76" s="11"/>
      <c r="D76" s="11"/>
      <c r="E76" s="16"/>
      <c r="F76" s="15"/>
      <c r="G76" s="16"/>
      <c r="H76" s="22"/>
    </row>
    <row r="77" spans="2:8" ht="14.25" customHeight="1" x14ac:dyDescent="0.45">
      <c r="B77" s="17"/>
      <c r="C77" s="18"/>
      <c r="D77" s="18"/>
      <c r="E77" s="19"/>
      <c r="F77" s="17"/>
      <c r="G77" s="19"/>
      <c r="H77" s="23"/>
    </row>
    <row r="78" spans="2:8" ht="14.25" customHeight="1" x14ac:dyDescent="0.45">
      <c r="B78" s="12" t="s">
        <v>61</v>
      </c>
      <c r="C78" s="13"/>
      <c r="D78" s="13"/>
      <c r="E78" s="14"/>
      <c r="F78" s="12">
        <f>IF(
$B$6="2020-Present",
COUNTIF(
INDEX(Data!$1:$1048576,0,MATCH("Retention Milestone",Data!$1:$1,0)),"&lt;30"),
COUNTIFS(
INDEX(Data!$1:$1048576,0,MATCH("Retention Milestone",Data!$1:$1,0)),"&lt;30",
INDEX(Data!$1:$1048576,0,MATCH("Fiscal Year",Data!$1:$1,0)),Outcomes!$B$6))</f>
        <v>1</v>
      </c>
      <c r="G78" s="14"/>
      <c r="H78" s="21">
        <f>IF($F78=0,"0%",$F78/$F$75)</f>
        <v>0.05</v>
      </c>
    </row>
    <row r="79" spans="2:8" ht="14.25" customHeight="1" x14ac:dyDescent="0.45">
      <c r="B79" s="15"/>
      <c r="C79" s="11"/>
      <c r="D79" s="11"/>
      <c r="E79" s="16"/>
      <c r="F79" s="15"/>
      <c r="G79" s="16"/>
      <c r="H79" s="22"/>
    </row>
    <row r="80" spans="2:8" ht="14.25" customHeight="1" x14ac:dyDescent="0.45">
      <c r="B80" s="17"/>
      <c r="C80" s="18"/>
      <c r="D80" s="18"/>
      <c r="E80" s="19"/>
      <c r="F80" s="17"/>
      <c r="G80" s="19"/>
      <c r="H80" s="23"/>
    </row>
    <row r="81" spans="2:8" ht="14.25" customHeight="1" x14ac:dyDescent="0.45">
      <c r="B81" s="12" t="s">
        <v>62</v>
      </c>
      <c r="C81" s="13"/>
      <c r="D81" s="13"/>
      <c r="E81" s="14"/>
      <c r="F81" s="12">
        <f>IF(
$B$6="2020-Present",
COUNTIF(
INDEX(Data!$1:$1048576,0,MATCH("Retention Milestone",Data!$1:$1,0)),"&gt;=30"),
COUNTIFS(
INDEX(Data!$1:$1048576,0,MATCH("Retention Milestone",Data!$1:$1,0)),"&gt;=30",
INDEX(Data!$1:$1048576,0,MATCH("Fiscal Year",Data!$1:$1,0)),Outcomes!$B$6))</f>
        <v>14</v>
      </c>
      <c r="G81" s="14"/>
      <c r="H81" s="21">
        <f>IF($F81=0,"0%",$F81/$F$75)</f>
        <v>0.7</v>
      </c>
    </row>
    <row r="82" spans="2:8" ht="14.25" customHeight="1" x14ac:dyDescent="0.45">
      <c r="B82" s="15"/>
      <c r="C82" s="11"/>
      <c r="D82" s="11"/>
      <c r="E82" s="16"/>
      <c r="F82" s="15"/>
      <c r="G82" s="16"/>
      <c r="H82" s="22"/>
    </row>
    <row r="83" spans="2:8" ht="14.25" customHeight="1" x14ac:dyDescent="0.45">
      <c r="B83" s="17"/>
      <c r="C83" s="18"/>
      <c r="D83" s="18"/>
      <c r="E83" s="19"/>
      <c r="F83" s="17"/>
      <c r="G83" s="19"/>
      <c r="H83" s="23"/>
    </row>
    <row r="84" spans="2:8" ht="14.25" customHeight="1" x14ac:dyDescent="0.45">
      <c r="B84" s="12" t="s">
        <v>63</v>
      </c>
      <c r="C84" s="13"/>
      <c r="D84" s="13"/>
      <c r="E84" s="14"/>
      <c r="F84" s="12">
        <f>IF(
$B$6="2020-Present",
COUNTIF(
INDEX(Data!$1:$1048576,0,MATCH("Retention Milestone",Data!$1:$1,0)),"&gt;=90"),
COUNTIFS(
INDEX(Data!$1:$1048576,0,MATCH("Retention Milestone",Data!$1:$1,0)),"&gt;=90",
INDEX(Data!$1:$1048576,0,MATCH("Fiscal Year",Data!$1:$1,0)),Outcomes!$B$6))</f>
        <v>11</v>
      </c>
      <c r="G84" s="14"/>
      <c r="H84" s="21">
        <f>IF($F84=0,"0%",$F84/$F$75)</f>
        <v>0.55000000000000004</v>
      </c>
    </row>
    <row r="85" spans="2:8" ht="14.25" customHeight="1" x14ac:dyDescent="0.45">
      <c r="B85" s="15"/>
      <c r="C85" s="11"/>
      <c r="D85" s="11"/>
      <c r="E85" s="16"/>
      <c r="F85" s="15"/>
      <c r="G85" s="16"/>
      <c r="H85" s="22"/>
    </row>
    <row r="86" spans="2:8" ht="14.25" customHeight="1" x14ac:dyDescent="0.45">
      <c r="B86" s="17"/>
      <c r="C86" s="18"/>
      <c r="D86" s="18"/>
      <c r="E86" s="19"/>
      <c r="F86" s="17"/>
      <c r="G86" s="19"/>
      <c r="H86" s="23"/>
    </row>
    <row r="87" spans="2:8" ht="14.25" customHeight="1" x14ac:dyDescent="0.45">
      <c r="B87" s="12" t="s">
        <v>64</v>
      </c>
      <c r="C87" s="13"/>
      <c r="D87" s="13"/>
      <c r="E87" s="14"/>
      <c r="F87" s="12">
        <f>IF(
$B$6="2020-Present",
COUNTIF(
INDEX(Data!$1:$1048576,0,MATCH("Retention Milestone",Data!$1:$1,0)),"&gt;=180"),
COUNTIFS(
INDEX(Data!$1:$1048576,0,MATCH("Retention Milestone",Data!$1:$1,0)),"&gt;=180",
INDEX(Data!$1:$1048576,0,MATCH("Fiscal Year",Data!$1:$1,0)),Outcomes!$B$6))</f>
        <v>8</v>
      </c>
      <c r="G87" s="14"/>
      <c r="H87" s="21">
        <f>IF($F87=0,"0%",$F87/$F$75)</f>
        <v>0.4</v>
      </c>
    </row>
    <row r="88" spans="2:8" ht="14.25" customHeight="1" x14ac:dyDescent="0.45">
      <c r="B88" s="15"/>
      <c r="C88" s="11"/>
      <c r="D88" s="11"/>
      <c r="E88" s="16"/>
      <c r="F88" s="15"/>
      <c r="G88" s="16"/>
      <c r="H88" s="22"/>
    </row>
    <row r="89" spans="2:8" ht="14.25" customHeight="1" x14ac:dyDescent="0.45">
      <c r="B89" s="17"/>
      <c r="C89" s="18"/>
      <c r="D89" s="18"/>
      <c r="E89" s="19"/>
      <c r="F89" s="17"/>
      <c r="G89" s="19"/>
      <c r="H89" s="23"/>
    </row>
    <row r="90" spans="2:8" ht="14.25" customHeight="1" x14ac:dyDescent="0.45">
      <c r="B90" s="12" t="s">
        <v>65</v>
      </c>
      <c r="C90" s="13"/>
      <c r="D90" s="13"/>
      <c r="E90" s="14"/>
      <c r="F90" s="12">
        <f>IF(
$B$6="2020-Present",
COUNTIF(
INDEX(Data!$1:$1048576,0,MATCH("Retention Milestone",Data!$1:$1,0)),"&gt;=360"),
COUNTIFS(
INDEX(Data!$1:$1048576,0,MATCH("Retention Milestone",Data!$1:$1,0)),"&gt;=360",
INDEX(Data!$1:$1048576,0,MATCH("Fiscal Year",Data!$1:$1,0)),Outcomes!$B$6))</f>
        <v>5</v>
      </c>
      <c r="G90" s="14"/>
      <c r="H90" s="21">
        <f>IF($F90=0,"0%",$F90/$F$75)</f>
        <v>0.25</v>
      </c>
    </row>
    <row r="91" spans="2:8" ht="14.25" customHeight="1" x14ac:dyDescent="0.45">
      <c r="B91" s="15"/>
      <c r="C91" s="11"/>
      <c r="D91" s="11"/>
      <c r="E91" s="16"/>
      <c r="F91" s="15"/>
      <c r="G91" s="16"/>
      <c r="H91" s="22"/>
    </row>
    <row r="92" spans="2:8" ht="14.25" customHeight="1" x14ac:dyDescent="0.45">
      <c r="B92" s="17"/>
      <c r="C92" s="18"/>
      <c r="D92" s="18"/>
      <c r="E92" s="19"/>
      <c r="F92" s="17"/>
      <c r="G92" s="19"/>
      <c r="H92" s="23"/>
    </row>
    <row r="93" spans="2:8" ht="14.25" customHeight="1" x14ac:dyDescent="0.45">
      <c r="B93" s="12" t="s">
        <v>66</v>
      </c>
      <c r="C93" s="13"/>
      <c r="D93" s="13"/>
      <c r="E93" s="14"/>
      <c r="F93" s="12">
        <f>IF(
$B$6="2020-Present",
COUNTIF(INDEX(Data!$1:$1048576,0,MATCH("Last Retention Status",Data!$1:$1,0)),"*Job Retained*"),
COUNTIFS(
INDEX(Data!$1:$1048576,0,MATCH("Last Retention Status",Data!$1:$1,0)),"*Job Retained*",
INDEX(Data!$1:$1048576,0,MATCH("Fiscal Year",Data!$1:$1,0)),Outcomes!$B$6))</f>
        <v>11</v>
      </c>
      <c r="G93" s="14"/>
      <c r="H93" s="21">
        <f>IF($F93=0,"0%",$F93/$F$75)</f>
        <v>0.55000000000000004</v>
      </c>
    </row>
    <row r="94" spans="2:8" ht="14.25" customHeight="1" x14ac:dyDescent="0.45">
      <c r="B94" s="15"/>
      <c r="C94" s="11"/>
      <c r="D94" s="11"/>
      <c r="E94" s="16"/>
      <c r="F94" s="15"/>
      <c r="G94" s="16"/>
      <c r="H94" s="22"/>
    </row>
    <row r="95" spans="2:8" ht="14.25" customHeight="1" x14ac:dyDescent="0.45">
      <c r="B95" s="17"/>
      <c r="C95" s="18"/>
      <c r="D95" s="18"/>
      <c r="E95" s="19"/>
      <c r="F95" s="17"/>
      <c r="G95" s="19"/>
      <c r="H95" s="23"/>
    </row>
    <row r="96" spans="2:8" ht="14.25" customHeight="1" x14ac:dyDescent="0.45">
      <c r="B96" s="12" t="s">
        <v>67</v>
      </c>
      <c r="C96" s="13"/>
      <c r="D96" s="13"/>
      <c r="E96" s="14"/>
      <c r="F96" s="12">
        <f>IF(
$B$6="2020-Present",
COUNTIF(
INDEX(Data!$1:$1048576,0,MATCH("Last Retention Status",Data!$1:$1,0)),"*Job Not Retained*"),
COUNTIFS(
INDEX(Data!$1:$1048576,0,MATCH("Last Retention Status",Data!$1:$1,0)),"*Job Not Retained*",
INDEX(Data!$1:$1048576,0,MATCH("Fiscal Year",Data!$1:$1,0)),Outcomes!$B$6))</f>
        <v>8</v>
      </c>
      <c r="G96" s="14"/>
      <c r="H96" s="21">
        <f>IF($F96=0,"0%",$F96/$F$75)</f>
        <v>0.4</v>
      </c>
    </row>
    <row r="97" spans="2:8" ht="14.25" customHeight="1" x14ac:dyDescent="0.45">
      <c r="B97" s="15"/>
      <c r="C97" s="11"/>
      <c r="D97" s="11"/>
      <c r="E97" s="16"/>
      <c r="F97" s="15"/>
      <c r="G97" s="16"/>
      <c r="H97" s="22"/>
    </row>
    <row r="98" spans="2:8" ht="14.25" customHeight="1" x14ac:dyDescent="0.45">
      <c r="B98" s="17"/>
      <c r="C98" s="18"/>
      <c r="D98" s="18"/>
      <c r="E98" s="19"/>
      <c r="F98" s="17"/>
      <c r="G98" s="19"/>
      <c r="H98" s="23"/>
    </row>
    <row r="99" spans="2:8" ht="14.25" customHeight="1" x14ac:dyDescent="0.45">
      <c r="B99" s="12" t="s">
        <v>39</v>
      </c>
      <c r="C99" s="13"/>
      <c r="D99" s="13"/>
      <c r="E99" s="14"/>
      <c r="F99" s="12">
        <f>IF(
$B$6="2020-Present",
COUNTIF(
INDEX(Data!$1:$1048576,0,MATCH("Advancement",Data!$1:$1,0)),"Yes"),
COUNTIFS(
INDEX(Data!$1:$1048576,0,MATCH("Advancement",Data!$1:$1,0)),"Yes",
INDEX(Data!$1:$1048576,0,MATCH("Fiscal Year",Data!$1:$1,0)),Outcomes!$B$6))</f>
        <v>7</v>
      </c>
      <c r="G99" s="14"/>
      <c r="H99" s="21">
        <f>IF($F99=0,"0%",$F99/$F$75)</f>
        <v>0.35</v>
      </c>
    </row>
    <row r="100" spans="2:8" ht="14.25" customHeight="1" x14ac:dyDescent="0.45">
      <c r="B100" s="15"/>
      <c r="C100" s="11"/>
      <c r="D100" s="11"/>
      <c r="E100" s="16"/>
      <c r="F100" s="15"/>
      <c r="G100" s="16"/>
      <c r="H100" s="22"/>
    </row>
    <row r="101" spans="2:8" ht="14.25" customHeight="1" x14ac:dyDescent="0.45">
      <c r="B101" s="17"/>
      <c r="C101" s="18"/>
      <c r="D101" s="18"/>
      <c r="E101" s="19"/>
      <c r="F101" s="17"/>
      <c r="G101" s="19"/>
      <c r="H101" s="23"/>
    </row>
    <row r="102" spans="2:8" ht="14.25" customHeight="1" x14ac:dyDescent="0.45">
      <c r="B102" s="12" t="s">
        <v>68</v>
      </c>
      <c r="C102" s="13"/>
      <c r="D102" s="13"/>
      <c r="E102" s="14"/>
      <c r="F102" s="12">
        <f>IF(
$B$6="2020-Present",
COUNTIF(
INDEX(Data!$1:$1048576,0,MATCH("Call Due",Data!$1:$1,0)),"Yes"),
COUNTIFS(
INDEX(Data!$1:$1048576,0,MATCH("Call Due",Data!$1:$1,0)),"Yes",
INDEX(Data!$1:$1048576,0,MATCH("Fiscal Year",Data!$1:$1,0)),Outcomes!$B$6))</f>
        <v>14</v>
      </c>
      <c r="G102" s="14"/>
      <c r="H102" s="21">
        <f>IF($F102=0,"0%",$F102/$F$72)</f>
        <v>0.58333333333333337</v>
      </c>
    </row>
    <row r="103" spans="2:8" ht="14.25" customHeight="1" x14ac:dyDescent="0.45">
      <c r="B103" s="15"/>
      <c r="C103" s="11"/>
      <c r="D103" s="11"/>
      <c r="E103" s="16"/>
      <c r="F103" s="15"/>
      <c r="G103" s="16"/>
      <c r="H103" s="22"/>
    </row>
    <row r="104" spans="2:8" ht="14.25" customHeight="1" x14ac:dyDescent="0.45">
      <c r="B104" s="17"/>
      <c r="C104" s="18"/>
      <c r="D104" s="18"/>
      <c r="E104" s="19"/>
      <c r="F104" s="17"/>
      <c r="G104" s="19"/>
      <c r="H104" s="23"/>
    </row>
    <row r="105" spans="2:8" x14ac:dyDescent="0.45">
      <c r="B105" s="12" t="s">
        <v>21</v>
      </c>
      <c r="C105" s="13"/>
      <c r="D105" s="13"/>
      <c r="E105" s="14"/>
      <c r="F105" s="20">
        <f>IFERROR(IF(
$B$6="2020-Present",
AVERAGE(
INDEX(Data!$1:$1048576,0,MATCH("Initial Wage",Data!$1:$1,0))),
AVERAGEIFS(
INDEX(Data!$1:$1048576,0,MATCH("Initial Wage",Data!$1:$1,0)),
INDEX(Data!$1:$1048576,0,MATCH("Fiscal Year",Data!$1:$1,0)),Outcomes!$B$6)),"")</f>
        <v>14.462608695652174</v>
      </c>
      <c r="G105" s="13"/>
      <c r="H105" s="14"/>
    </row>
    <row r="106" spans="2:8" x14ac:dyDescent="0.45">
      <c r="B106" s="15"/>
      <c r="C106" s="11"/>
      <c r="D106" s="11"/>
      <c r="E106" s="16"/>
      <c r="F106" s="15"/>
      <c r="G106" s="11"/>
      <c r="H106" s="16"/>
    </row>
    <row r="107" spans="2:8" x14ac:dyDescent="0.45">
      <c r="B107" s="17"/>
      <c r="C107" s="18"/>
      <c r="D107" s="18"/>
      <c r="E107" s="19"/>
      <c r="F107" s="17"/>
      <c r="G107" s="18"/>
      <c r="H107" s="19"/>
    </row>
    <row r="108" spans="2:8" x14ac:dyDescent="0.45">
      <c r="B108" s="12" t="s">
        <v>29</v>
      </c>
      <c r="C108" s="13"/>
      <c r="D108" s="13"/>
      <c r="E108" s="14"/>
      <c r="F108" s="20">
        <f>IFERROR(IF(
$B$6="2020-Present",
AVERAGE(
INDEX(Data!$1:$1048576,0,MATCH("Current Wage",Data!$1:$1,0))),
AVERAGEIFS(
INDEX(Data!$1:$1048576,0,MATCH("Current Wage",Data!$1:$1,0)),
INDEX(Data!$1:$1048576,0,MATCH("Fiscal Year",Data!$1:$1,0)),Outcomes!$B$6)),"")</f>
        <v>15.382173913043477</v>
      </c>
      <c r="G108" s="13"/>
      <c r="H108" s="14"/>
    </row>
    <row r="109" spans="2:8" x14ac:dyDescent="0.45">
      <c r="B109" s="15"/>
      <c r="C109" s="11"/>
      <c r="D109" s="11"/>
      <c r="E109" s="16"/>
      <c r="F109" s="15"/>
      <c r="G109" s="11"/>
      <c r="H109" s="16"/>
    </row>
    <row r="110" spans="2:8" x14ac:dyDescent="0.45">
      <c r="B110" s="17"/>
      <c r="C110" s="18"/>
      <c r="D110" s="18"/>
      <c r="E110" s="19"/>
      <c r="F110" s="17"/>
      <c r="G110" s="18"/>
      <c r="H110" s="19"/>
    </row>
  </sheetData>
  <mergeCells count="84">
    <mergeCell ref="B3:H5"/>
    <mergeCell ref="K3:S8"/>
    <mergeCell ref="B6:H8"/>
    <mergeCell ref="B11:H13"/>
    <mergeCell ref="B16:E18"/>
    <mergeCell ref="F16:H18"/>
    <mergeCell ref="B19:E21"/>
    <mergeCell ref="F19:G21"/>
    <mergeCell ref="H19:H21"/>
    <mergeCell ref="B22:E24"/>
    <mergeCell ref="F22:G24"/>
    <mergeCell ref="H22:H24"/>
    <mergeCell ref="B25:E27"/>
    <mergeCell ref="F25:G27"/>
    <mergeCell ref="H25:H27"/>
    <mergeCell ref="B28:E30"/>
    <mergeCell ref="F28:G30"/>
    <mergeCell ref="H28:H30"/>
    <mergeCell ref="B31:E33"/>
    <mergeCell ref="F31:G33"/>
    <mergeCell ref="H31:H33"/>
    <mergeCell ref="B34:E36"/>
    <mergeCell ref="F34:G36"/>
    <mergeCell ref="H34:H36"/>
    <mergeCell ref="B37:E39"/>
    <mergeCell ref="F37:G39"/>
    <mergeCell ref="H37:H39"/>
    <mergeCell ref="B42:H44"/>
    <mergeCell ref="B47:E49"/>
    <mergeCell ref="F47:G49"/>
    <mergeCell ref="H47:H49"/>
    <mergeCell ref="B50:E52"/>
    <mergeCell ref="F50:G52"/>
    <mergeCell ref="H50:H52"/>
    <mergeCell ref="B53:E55"/>
    <mergeCell ref="F53:G55"/>
    <mergeCell ref="H53:H55"/>
    <mergeCell ref="B56:E58"/>
    <mergeCell ref="F56:G58"/>
    <mergeCell ref="H56:H58"/>
    <mergeCell ref="B61:H63"/>
    <mergeCell ref="B66:E68"/>
    <mergeCell ref="F66:G68"/>
    <mergeCell ref="H66:H68"/>
    <mergeCell ref="B69:E71"/>
    <mergeCell ref="F69:G71"/>
    <mergeCell ref="H69:H71"/>
    <mergeCell ref="B72:E74"/>
    <mergeCell ref="F72:G74"/>
    <mergeCell ref="H72:H74"/>
    <mergeCell ref="B75:E77"/>
    <mergeCell ref="F75:G77"/>
    <mergeCell ref="H75:H77"/>
    <mergeCell ref="B78:E80"/>
    <mergeCell ref="F78:G80"/>
    <mergeCell ref="H78:H80"/>
    <mergeCell ref="B81:E83"/>
    <mergeCell ref="F81:G83"/>
    <mergeCell ref="H81:H83"/>
    <mergeCell ref="B84:E86"/>
    <mergeCell ref="F84:G86"/>
    <mergeCell ref="H84:H86"/>
    <mergeCell ref="B87:E89"/>
    <mergeCell ref="F87:G89"/>
    <mergeCell ref="H87:H89"/>
    <mergeCell ref="B90:E92"/>
    <mergeCell ref="F90:G92"/>
    <mergeCell ref="H90:H92"/>
    <mergeCell ref="B93:E95"/>
    <mergeCell ref="F93:G95"/>
    <mergeCell ref="H93:H95"/>
    <mergeCell ref="B96:E98"/>
    <mergeCell ref="F96:G98"/>
    <mergeCell ref="H96:H98"/>
    <mergeCell ref="B105:E107"/>
    <mergeCell ref="F105:H107"/>
    <mergeCell ref="B108:E110"/>
    <mergeCell ref="F108:H110"/>
    <mergeCell ref="B99:E101"/>
    <mergeCell ref="F99:G101"/>
    <mergeCell ref="H99:H101"/>
    <mergeCell ref="B102:E104"/>
    <mergeCell ref="F102:G104"/>
    <mergeCell ref="H102:H104"/>
  </mergeCells>
  <dataValidations count="1">
    <dataValidation type="list" showInputMessage="1" showErrorMessage="1" sqref="B6:H8" xr:uid="{00000000-0002-0000-0100-000000000000}">
      <formula1>"2023,2022,2021,2020,2020-Present"</formula1>
    </dataValidation>
  </dataValidations>
  <pageMargins left="0.7" right="0.7" top="0.75" bottom="0.75" header="0.3" footer="0.3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K108"/>
  <sheetViews>
    <sheetView zoomScale="70" zoomScaleNormal="70" workbookViewId="0">
      <selection activeCell="B6" sqref="B6:H8"/>
    </sheetView>
  </sheetViews>
  <sheetFormatPr defaultRowHeight="14.25" x14ac:dyDescent="0.45"/>
  <cols>
    <col min="1" max="1" width="4.1328125" style="7" customWidth="1"/>
    <col min="2" max="2" width="12.1328125" style="7" bestFit="1" customWidth="1"/>
    <col min="3" max="3" width="21.06640625" style="7" bestFit="1" customWidth="1"/>
    <col min="4" max="4" width="24.06640625" style="7" bestFit="1" customWidth="1"/>
    <col min="5" max="5" width="12.6640625" style="7" bestFit="1" customWidth="1"/>
    <col min="6" max="6" width="13.06640625" style="7" bestFit="1" customWidth="1"/>
    <col min="7" max="7" width="20.06640625" style="7" bestFit="1" customWidth="1"/>
    <col min="8" max="8" width="19.9296875" style="7" bestFit="1" customWidth="1"/>
    <col min="9" max="9" width="19.46484375" style="7" bestFit="1" customWidth="1"/>
    <col min="10" max="10" width="21.3984375" style="7" bestFit="1" customWidth="1"/>
    <col min="11" max="11" width="20.46484375" style="7" bestFit="1" customWidth="1"/>
    <col min="12" max="12" width="19.06640625" style="7" bestFit="1" customWidth="1"/>
    <col min="13" max="13" width="63.73046875" style="7" bestFit="1" customWidth="1"/>
    <col min="14" max="14" width="16.46484375" style="7" bestFit="1" customWidth="1"/>
    <col min="15" max="15" width="16.73046875" style="7" bestFit="1" customWidth="1"/>
    <col min="16" max="16" width="17.59765625" style="7" bestFit="1" customWidth="1"/>
    <col min="17" max="17" width="19.06640625" style="7" bestFit="1" customWidth="1"/>
    <col min="18" max="18" width="18.1328125" style="7" bestFit="1" customWidth="1"/>
    <col min="19" max="84" width="9.06640625" style="7" customWidth="1"/>
    <col min="85" max="16384" width="9.06640625" style="7"/>
  </cols>
  <sheetData>
    <row r="3" spans="2:11" x14ac:dyDescent="0.45">
      <c r="B3" s="26" t="s">
        <v>69</v>
      </c>
      <c r="C3" s="11"/>
      <c r="D3" s="11"/>
      <c r="E3" s="11"/>
      <c r="F3" s="11"/>
      <c r="G3" s="11"/>
      <c r="H3" s="11"/>
      <c r="J3" s="26" t="s">
        <v>70</v>
      </c>
      <c r="K3" s="11"/>
    </row>
    <row r="4" spans="2:11" x14ac:dyDescent="0.45">
      <c r="B4" s="11"/>
      <c r="C4" s="11"/>
      <c r="D4" s="11"/>
      <c r="E4" s="11"/>
      <c r="F4" s="11"/>
      <c r="G4" s="11"/>
      <c r="H4" s="11"/>
      <c r="J4" s="11"/>
      <c r="K4" s="11"/>
    </row>
    <row r="5" spans="2:11" x14ac:dyDescent="0.45">
      <c r="B5" s="11"/>
      <c r="C5" s="11"/>
      <c r="D5" s="11"/>
      <c r="E5" s="11"/>
      <c r="F5" s="11"/>
      <c r="G5" s="11"/>
      <c r="H5" s="11"/>
      <c r="J5" s="11"/>
      <c r="K5" s="11"/>
    </row>
    <row r="6" spans="2:11" x14ac:dyDescent="0.45">
      <c r="B6" s="27" t="s">
        <v>71</v>
      </c>
      <c r="C6" s="28"/>
      <c r="D6" s="28"/>
      <c r="E6" s="28"/>
      <c r="F6" s="28"/>
      <c r="G6" s="28"/>
      <c r="H6" s="28"/>
      <c r="J6" s="26">
        <f>COUNTIF(C12:C108,"*?")</f>
        <v>0</v>
      </c>
      <c r="K6" s="11"/>
    </row>
    <row r="7" spans="2:11" x14ac:dyDescent="0.45">
      <c r="B7" s="28"/>
      <c r="C7" s="28"/>
      <c r="D7" s="28"/>
      <c r="E7" s="28"/>
      <c r="F7" s="28"/>
      <c r="G7" s="28"/>
      <c r="H7" s="28"/>
      <c r="J7" s="11"/>
      <c r="K7" s="11"/>
    </row>
    <row r="8" spans="2:11" x14ac:dyDescent="0.45">
      <c r="B8" s="28"/>
      <c r="C8" s="28"/>
      <c r="D8" s="28"/>
      <c r="E8" s="28"/>
      <c r="F8" s="28"/>
      <c r="G8" s="28"/>
      <c r="H8" s="28"/>
      <c r="J8" s="11"/>
      <c r="K8" s="11"/>
    </row>
    <row r="11" spans="2:11" x14ac:dyDescent="0.45">
      <c r="B11" s="4" t="s">
        <v>72</v>
      </c>
      <c r="C11" s="4" t="s">
        <v>73</v>
      </c>
      <c r="D11" s="4" t="s">
        <v>0</v>
      </c>
      <c r="E11" s="4" t="str">
        <f t="array" ref="E11">_xlfn.IFS(OR($B$6="Active",$B$6="Inactive",$B$6="Completers Without Employment",$B$6="Gained Certification"),"Grant Fund",$B$6="Enrollment Pending","Original Intake Date", $B$6="Retention Overdue", "Initial Startdate")</f>
        <v>Grant Fund</v>
      </c>
      <c r="F11" s="4" t="str">
        <f t="array" ref="F11">_xlfn.IFS(OR($B$6="Active",$B$6="Inactive",$B$6="Completers Without Employment",$B$6="Gained Certification"),"Cohort Date",$B$6="Enrollment Pending","Scheduledtraining",$B$6="Retention Overdue","Initial Employer")</f>
        <v>Cohort Date</v>
      </c>
      <c r="G11" s="4" t="str">
        <f t="array" ref="G11">_xlfn.IFS(OR($B$6="Active",$B$6="Inactive"),"Program Completion",$B$6="Enrollment Pending","Barriers",$B$6="Retention Overdue", "Current Employer",$B$6="Gained Certification","Forklift",$B$6="Completers Without Employment","Phone")</f>
        <v>Program Completion</v>
      </c>
      <c r="H11" s="4" t="str">
        <f t="array" ref="H11">_xlfn.IFS(OR($B$6="Active",$B$6="Inactive"),"Gained Employment",$B$6="Enrollment Pending","Owifeligible", $B$6="Retention Overdue","Current Wage",$B$6="Completers Without Employment","Incumbent Worker",$B$6="Gained Certification","Dot")</f>
        <v>Gained Employment</v>
      </c>
      <c r="I11" s="4" t="str">
        <f t="array" ref="I11">_xlfn.IFS(OR($B$6="Active",$B$6="Inactive",$B$6="Completers Without Employment"),"Gained Certification",$B$6="Enrollment Pending","Time Unemployed",$B$6="Retention Overdue","Phone",$B$6="Gained Certification","Clp")</f>
        <v>Gained Certification</v>
      </c>
      <c r="J11" s="4" t="str">
        <f t="array" ref="J11">_xlfn.IFS(OR($B$6="Active",$B$6="Inactive",$B$6="Retention Overdue",$B$6="Completers Without Employment"),"Last Retention Update",$B$6="Enrollment Pending","Transitional Home",$B$6="Gained Certification","Cdl-B")</f>
        <v>Last Retention Update</v>
      </c>
      <c r="K11" s="4" t="str">
        <f t="array" ref="K11">_xlfn.IFS(OR($B$6="Active",$B$6="Inactive",$B$6="Retention Overdue",$B$6="Completers Without Employment"),"Last Retention Status",$B$6="Enrollment Pending","Affectedbycovid",$B$6="Gained Certification","Cgsp")</f>
        <v>Last Retention Status</v>
      </c>
    </row>
    <row r="12" spans="2:11" x14ac:dyDescent="0.45">
      <c r="B12" s="5">
        <f t="array" ref="B12">IFERROR(_xlfn.IFS(
$B$6 = "Retention Overdue",
INDEX(Data!$B$2:$EO$956,
SMALL(IF(INDEX(Data!$B$2:$EO$956,,MATCH("Call Due",Data!$1:$1,0)-1,1)="Yes",MATCH(ROW(Data!$CN$2:$CN$956),ROW(Data!$CN$2:$CN$956)),""),ROWS($A$1:A1)),COLUMNS($A$1:A1)),
$B$6 = "OWIF-W",
INDEX(Data!$B$2:$EO$956,
SMALL(IF(INDEX(Data!$B$2:$EO$956,,MATCH("Grant Fund",Data!$1:$1,0)-1,1)="OWIF-W",MATCH(ROW(Data!$AO$2:$AO$956),ROW(Data!$AO$2:$AO$956)),""),ROWS($A$1:A1)),COLUMNS($A$1:A1)),
$B$6 = "G2C",
INDEX(Data!$B$2:$EO$956,
SMALL(IF(INDEX(Data!$B$2:$EO$956,,MATCH("Grant Fund",Data!$1:$1,0)-1,1)="Grads2Careers",MATCH(ROW(Data!$AO$2:$AO$956),ROW(Data!$AO$2:$AO$956)),""),ROWS($A$1:A1)),COLUMNS($A$1:A1)),
$B$6 = "OWIF",
INDEX(Data!$B$2:$EO$956,
SMALL(IF(INDEX(Data!$B$2:$EO$956,,MATCH("Grant Fund",Data!$1:$1,0)-1,1)="OWIF",MATCH(ROW(Data!$AO$2:$AO$956),ROW(Data!$AO$2:$AO$956)),""),ROWS($A$1:A1)),COLUMNS($A$1:A1)),
$B$6 = "WIOA",
INDEX(Data!$B$2:$EO$956,
SMALL(IF(INDEX(Data!$B$2:$EO$956,,MATCH("Grant Fund",Data!$1:$1,0)-1,1)="WIOA",MATCH(ROW(Data!$AO$2:$AO$956),ROW(Data!$AO$2:$AO$956)),""),ROWS($A$1:A1)),COLUMNS($A$1:A1)),
$B$6 = "WIOA II",
INDEX(Data!$B$2:$EO$956,
SMALL(IF(INDEX(Data!$B$2:$EO$956,,MATCH("Grant Fund",Data!$1:$1,0)-1,1)="WIOA II",MATCH(ROW(Data!$AO$2:$AO$956),ROW(Data!$AO$2:$AO$956)),""),ROWS($A$1:A1)),COLUMNS($A$1:A1)),
$B$6 = "WIOA III",
INDEX(Data!$B$2:$EO$956,
SMALL(IF(INDEX(Data!$B$2:$EO$956,,MATCH("Grant Fund",Data!$1:$1,0)-1,1)="WIOA III",MATCH(ROW(Data!$AO$2:$AO$956),ROW(Data!$AO$2:$AO$956)),""),ROWS($A$1:A1)),COLUMNS($A$1:A1)),
$B$6 = "Currently Employed",
INDEX(Data!$B$2:$EO$956,
SMALL(IF(INDEX(Data!$B$2:$EO$956,,MATCH("Currently Employed",Data!$1:$1,0)-1,1)="Yes",MATCH(ROW(Data!$DZ$2:$DZ$956),ROW(Data!$DZ$2:$DZ$956)),""),ROWS($A$1:A1)),COLUMNS($A$1:A1)),
$B$6 = "Inactive",
INDEX(Data!$B$2:$EO$956,
SMALL(IF(INDEX(Data!$B$2:$EO$956,,MATCH("Inactive",Data!$1:$1,0)-1,1)="Yes",MATCH(ROW(Data!$DG$2:$DG$956),ROW(Data!$DG$2:$DG$956)),""),ROWS($A$1:A1)),COLUMNS($A$1:A1)),
$B$6 = "Active",
INDEX(Data!$B$2:$EO$956,
SMALL(IF(INDEX(Data!$B$2:$EO$956,,MATCH("Active",Data!$1:$1,0)-1,1)="Yes",MATCH(ROW(Data!$DZ$2:$DZ$956),ROW(Data!$DZ$2:$DZ$956)),""),ROWS($A$1:A1)),COLUMNS($A$1:A1)),
$B$6 = "Status Unknown",
INDEX(Data!$B$2:$EO$956,
SMALL(IF(INDEX(Data!$B$2:$EO$956,,MATCH("Status Unknown",Data!$1:$1,0)-1,1)="Yes",MATCH(ROW(Data!$EB$2:$EB$956),ROW(Data!$EB$2:$EB$956)),""),ROWS($A$1:A1)),COLUMNS($A$1:A1)),
$B$6 = "Enrollment Pending",
INDEX(Data!$B$2:$EO$956,
SMALL(IF(INDEX(Data!$B$2:$EO$956,,MATCH("Enrollment Pending",Data!$1:$1,0)-1,1)="Yes",MATCH(ROW(Data!$DY$2:$DY$956),ROW(Data!$DY$2:$DY$956)),""),ROWS($A$1:A1)),COLUMNS($A$1:A1)),
$B$6 = "Gained Certification",
INDEX(Data!$B$2:$EO$956,
SMALL(IF(INDEX(Data!$B$2:$EO$956,,MATCH("Gained Certification",Data!$1:$1,0)-1,1)="Yes",MATCH(ROW(Data!$DU$2:$DU$956),ROW(Data!$DU$2:$DU$956)),""),ROWS($A$1:A1)),COLUMNS($A$1:A1)),
$B$6 = "No Certification",
INDEX(Data!$B$2:$EO$956,
SMALL(IF(INDEX(Data!$B$2:$EO$956,,MATCH("Gained Certification",Data!$1:$1,0)-1,1)&lt;&gt;"Yes",MATCH(ROW(Data!$DU$2:$DU$956),ROW(Data!$DU$2:$DU$956)),""),ROWS($A$1:A1)),COLUMNS($A$1:A1)),
$B$6 = "Completers Without Employment",
INDEX(Data!$B$2:$EO$967,
SMALL(IF(INDEX(Data!$B$2:$EO$967,,MATCH("Completed Without Employment",Data!$1:$1,0)-1,1)="Yes",MATCH(ROW(Data!$DZ$2:$DZ$967),ROW(Data!$DZ$2:$DZ$967)),""),ROWS($A$1:A1)),COLUMNS($A$1:A1)),
$B$6 = "CH",
INDEX(Data!$B$2:$EO$956,
SMALL(IF(INDEX(Data!$B$2:$EO$956,,MATCH("Case Manager",Data!$1:$1,0)-1,1)="CH",MATCH(ROW(Data!$DZ$2:$DZ$956),ROW(Data!$DZ$2:$DZ$956)),""),ROWS($A$1:A1)),COLUMNS($A$1:A1)),
$B$6 = "ML",
INDEX(Data!$B$2:$EO$956,
SMALL(IF(INDEX(Data!$B$2:$EO$956,,MATCH("Case Manager",Data!$1:$1,0)-1,1)="ML",MATCH(ROW(Data!$DZ$2:$DZ$956),ROW(Data!$DZ$2:$DZ$956)),""),ROWS($A$1:A1)),COLUMNS($A$1:A1)),
$B$6 = "RB",
INDEX(Data!$B$2:$EO$956,
SMALL(IF(INDEX(Data!$B$2:$EO$956,,MATCH("Case Manager",Data!$1:$1,0)-1,1)="RB",MATCH(ROW(Data!$DZ$2:$DZ$956),ROW(Data!$DZ$2:$DZ$956)),""),ROWS($A$1:A1)),COLUMNS($A$1:A1)),
$B$6 = "RV",
INDEX(Data!$B$2:$EO$956,
SMALL(IF(INDEX(Data!$B$2:$EO$956,,MATCH("Case Manager",Data!$1:$1,0)-1,1)="RV",MATCH(ROW(Data!$DZ$2:$DZ$956),ROW(Data!$DZ$2:$DZ$956)),""),ROWS($A$1:A1)),COLUMNS($A$1:A1)),
$B$6 = "SG",
INDEX(Data!$B$2:$EO$956,
SMALL(IF(INDEX(Data!$B$2:$EO$956,,MATCH("Case Manager",Data!$1:$1,0)-1,1)="SH",MATCH(ROW(Data!$DZ$2:$DZ$956),ROW(Data!$DZ$2:$DZ$956)),""),ROWS($A$1:A1)),COLUMNS($A$1:A1))
),"")</f>
        <v>977265</v>
      </c>
      <c r="C12" s="1" t="str">
        <f>IF(
IFERROR(
INDEX(Data!$1:$1048576,MATCH('Client Lists'!$B12,Data!$B:$B,0),MATCH('Client Lists'!C$11,Data!$1:$1,0)),"")=0,"",
IFERROR(
INDEX(Data!$1:$1048576,MATCH('Client Lists'!$B12,Data!$B:$B,0),MATCH('Client Lists'!C$11,Data!$1:$1,0)),""))</f>
        <v/>
      </c>
      <c r="D12" s="1" t="str">
        <f>IF(
IFERROR(
INDEX(Data!$1:$1048576,MATCH('Client Lists'!$B12,Data!$B:$B,0),MATCH('Client Lists'!D$11,Data!$1:$1,0)),"")=0,"",
IFERROR(
INDEX(Data!$1:$1048576,MATCH('Client Lists'!$B12,Data!$B:$B,0),MATCH('Client Lists'!D$11,Data!$1:$1,0)),""))</f>
        <v>MTDL</v>
      </c>
      <c r="E12" s="1" t="str">
        <f>IF(
IFERROR(
INDEX(Data!$1:$1048576,MATCH('Client Lists'!$B12,Data!$B:$B,0),MATCH('Client Lists'!E$11,Data!$1:$1,0)),"")=0,"",
IFERROR(
INDEX(Data!$1:$1048576,MATCH('Client Lists'!$B12,Data!$B:$B,0),MATCH('Client Lists'!E$11,Data!$1:$1,0)),""))</f>
        <v xml:space="preserve"> EARN</v>
      </c>
      <c r="F12" s="1">
        <f>IF(
IFERROR(
INDEX(Data!$1:$1048576,MATCH('Client Lists'!$B12,Data!$B:$B,0),MATCH('Client Lists'!F$11,Data!$1:$1,0)),"")=0,"",
IFERROR(
INDEX(Data!$1:$1048576,MATCH('Client Lists'!$B12,Data!$B:$B,0),MATCH('Client Lists'!F$11,Data!$1:$1,0)),""))</f>
        <v>44802</v>
      </c>
      <c r="G12" s="1" t="str">
        <f>IF(
IFERROR(
INDEX(Data!$1:$1048576,MATCH('Client Lists'!$B12,Data!$B:$B,0),MATCH('Client Lists'!G$11,Data!$1:$1,0)),"")=0,"",
IFERROR(
INDEX(Data!$1:$1048576,MATCH('Client Lists'!$B12,Data!$B:$B,0),MATCH('Client Lists'!G$11,Data!$1:$1,0)),""))</f>
        <v>Yes</v>
      </c>
      <c r="H12" s="5" t="str">
        <f>IF(
IFERROR(
INDEX(Data!$1:$1048576,MATCH('Client Lists'!$B12,Data!$B:$B,0),MATCH('Client Lists'!H$11,Data!$1:$1,0)),"")=0,"",
IFERROR(
INDEX(Data!$1:$1048576,MATCH('Client Lists'!$B12,Data!$B:$B,0),MATCH('Client Lists'!H$11,Data!$1:$1,0)),""))</f>
        <v>No</v>
      </c>
      <c r="I12" s="2" t="str">
        <f>IF(
IFERROR(
INDEX(Data!$1:$1048576,MATCH('Client Lists'!$B12,Data!$B:$B,0),MATCH('Client Lists'!I$11,Data!$1:$1,0)),"")=0,"",
IFERROR(
INDEX(Data!$1:$1048576,MATCH('Client Lists'!$B12,Data!$B:$B,0),MATCH('Client Lists'!I$11,Data!$1:$1,0)),""))</f>
        <v>Yes</v>
      </c>
      <c r="J12" s="1" t="str">
        <f>IF(
IFERROR(
INDEX(Data!$1:$1048576,MATCH('Client Lists'!$B12,Data!$B:$B,0),MATCH('Client Lists'!J$11,Data!$1:$1,0)),"")=0,"",
IFERROR(
INDEX(Data!$1:$1048576,MATCH('Client Lists'!$B12,Data!$B:$B,0),MATCH('Client Lists'!J$11,Data!$1:$1,0)),""))</f>
        <v/>
      </c>
      <c r="K12" s="1" t="str">
        <f>IF(
IFERROR(
INDEX(Data!$1:$1048576,MATCH('Client Lists'!$B12,Data!$B:$B,0),MATCH('Client Lists'!K$11,Data!$1:$1,0)),"")=0,"",
IFERROR(
INDEX(Data!$1:$1048576,MATCH('Client Lists'!$B12,Data!$B:$B,0),MATCH('Client Lists'!K$11,Data!$1:$1,0)),""))</f>
        <v/>
      </c>
    </row>
    <row r="13" spans="2:11" x14ac:dyDescent="0.45">
      <c r="B13" s="5">
        <f t="array" ref="B13">IFERROR(_xlfn.IFS(
$B$6 = "Retention Overdue",
INDEX(Data!$B$2:$EO$956,
SMALL(IF(INDEX(Data!$B$2:$EO$956,,MATCH("Call Due",Data!$1:$1,0)-1,1)="Yes",MATCH(ROW(Data!$CN$2:$CN$956),ROW(Data!$CN$2:$CN$956)),""),ROWS($A$1:A2)),COLUMNS($A$1:A2)),
$B$6 = "OWIF-W",
INDEX(Data!$B$2:$EO$956,
SMALL(IF(INDEX(Data!$B$2:$EO$956,,MATCH("Grant Fund",Data!$1:$1,0)-1,1)="OWIF-W",MATCH(ROW(Data!$AO$2:$AO$956),ROW(Data!$AO$2:$AO$956)),""),ROWS($A$1:A2)),COLUMNS($A$1:A2)),
$B$6 = "G2C",
INDEX(Data!$B$2:$EO$956,
SMALL(IF(INDEX(Data!$B$2:$EO$956,,MATCH("Grant Fund",Data!$1:$1,0)-1,1)="Grads2Careers",MATCH(ROW(Data!$AO$2:$AO$956),ROW(Data!$AO$2:$AO$956)),""),ROWS($A$1:A2)),COLUMNS($A$1:A2)),
$B$6 = "OWIF",
INDEX(Data!$B$2:$EO$956,
SMALL(IF(INDEX(Data!$B$2:$EO$956,,MATCH("Grant Fund",Data!$1:$1,0)-1,1)="OWIF",MATCH(ROW(Data!$AO$2:$AO$956),ROW(Data!$AO$2:$AO$956)),""),ROWS($A$1:A2)),COLUMNS($A$1:A2)),
$B$6 = "WIOA",
INDEX(Data!$B$2:$EO$956,
SMALL(IF(INDEX(Data!$B$2:$EO$956,,MATCH("Grant Fund",Data!$1:$1,0)-1,1)="WIOA",MATCH(ROW(Data!$AO$2:$AO$956),ROW(Data!$AO$2:$AO$956)),""),ROWS($A$1:A2)),COLUMNS($A$1:A2)),
$B$6 = "WIOA II",
INDEX(Data!$B$2:$EO$956,
SMALL(IF(INDEX(Data!$B$2:$EO$956,,MATCH("Grant Fund",Data!$1:$1,0)-1,1)="WIOA II",MATCH(ROW(Data!$AO$2:$AO$956),ROW(Data!$AO$2:$AO$956)),""),ROWS($A$1:A2)),COLUMNS($A$1:A2)),
$B$6 = "WIOA III",
INDEX(Data!$B$2:$EO$956,
SMALL(IF(INDEX(Data!$B$2:$EO$956,,MATCH("Grant Fund",Data!$1:$1,0)-1,1)="WIOA III",MATCH(ROW(Data!$AO$2:$AO$956),ROW(Data!$AO$2:$AO$956)),""),ROWS($A$1:A2)),COLUMNS($A$1:A2)),
$B$6 = "Currently Employed",
INDEX(Data!$B$2:$EO$956,
SMALL(IF(INDEX(Data!$B$2:$EO$956,,MATCH("Currently Employed",Data!$1:$1,0)-1,1)="Yes",MATCH(ROW(Data!$DZ$2:$DZ$956),ROW(Data!$DZ$2:$DZ$956)),""),ROWS($A$1:A2)),COLUMNS($A$1:A2)),
$B$6 = "Inactive",
INDEX(Data!$B$2:$EO$956,
SMALL(IF(INDEX(Data!$B$2:$EO$956,,MATCH("Inactive",Data!$1:$1,0)-1,1)="Yes",MATCH(ROW(Data!$DG$2:$DG$956),ROW(Data!$DG$2:$DG$956)),""),ROWS($A$1:A2)),COLUMNS($A$1:A2)),
$B$6 = "Active",
INDEX(Data!$B$2:$EO$956,
SMALL(IF(INDEX(Data!$B$2:$EO$956,,MATCH("Active",Data!$1:$1,0)-1,1)="Yes",MATCH(ROW(Data!$DZ$2:$DZ$956),ROW(Data!$DZ$2:$DZ$956)),""),ROWS($A$1:A2)),COLUMNS($A$1:A2)),
$B$6 = "Status Unknown",
INDEX(Data!$B$2:$EO$956,
SMALL(IF(INDEX(Data!$B$2:$EO$956,,MATCH("Status Unknown",Data!$1:$1,0)-1,1)="Yes",MATCH(ROW(Data!$EB$2:$EB$956),ROW(Data!$EB$2:$EB$956)),""),ROWS($A$1:A2)),COLUMNS($A$1:A2)),
$B$6 = "Enrollment Pending",
INDEX(Data!$B$2:$EO$956,
SMALL(IF(INDEX(Data!$B$2:$EO$956,,MATCH("Enrollment Pending",Data!$1:$1,0)-1,1)="Yes",MATCH(ROW(Data!$DY$2:$DY$956),ROW(Data!$DY$2:$DY$956)),""),ROWS($A$1:A2)),COLUMNS($A$1:A2)),
$B$6 = "Gained Certification",
INDEX(Data!$B$2:$EO$956,
SMALL(IF(INDEX(Data!$B$2:$EO$956,,MATCH("Gained Certification",Data!$1:$1,0)-1,1)="Yes",MATCH(ROW(Data!$DU$2:$DU$956),ROW(Data!$DU$2:$DU$956)),""),ROWS($A$1:A2)),COLUMNS($A$1:A2)),
$B$6 = "No Certification",
INDEX(Data!$B$2:$EO$956,
SMALL(IF(INDEX(Data!$B$2:$EO$956,,MATCH("Gained Certification",Data!$1:$1,0)-1,1)&lt;&gt;"Yes",MATCH(ROW(Data!$DU$2:$DU$956),ROW(Data!$DU$2:$DU$956)),""),ROWS($A$1:A2)),COLUMNS($A$1:A2)),
$B$6 = "Completers Without Employment",
INDEX(Data!$B$2:$EO$967,
SMALL(IF(INDEX(Data!$B$2:$EO$967,,MATCH("Completed Without Employment",Data!$1:$1,0)-1,1)="Yes",MATCH(ROW(Data!$DZ$2:$DZ$967),ROW(Data!$DZ$2:$DZ$967)),""),ROWS($A$1:A2)),COLUMNS($A$1:A2)),
$B$6 = "CH",
INDEX(Data!$B$2:$EO$956,
SMALL(IF(INDEX(Data!$B$2:$EO$956,,MATCH("Case Manager",Data!$1:$1,0)-1,1)="CH",MATCH(ROW(Data!$DZ$2:$DZ$956),ROW(Data!$DZ$2:$DZ$956)),""),ROWS($A$1:A2)),COLUMNS($A$1:A2)),
$B$6 = "ML",
INDEX(Data!$B$2:$EO$956,
SMALL(IF(INDEX(Data!$B$2:$EO$956,,MATCH("Case Manager",Data!$1:$1,0)-1,1)="ML",MATCH(ROW(Data!$DZ$2:$DZ$956),ROW(Data!$DZ$2:$DZ$956)),""),ROWS($A$1:A2)),COLUMNS($A$1:A2)),
$B$6 = "RB",
INDEX(Data!$B$2:$EO$956,
SMALL(IF(INDEX(Data!$B$2:$EO$956,,MATCH("Case Manager",Data!$1:$1,0)-1,1)="RB",MATCH(ROW(Data!$DZ$2:$DZ$956),ROW(Data!$DZ$2:$DZ$956)),""),ROWS($A$1:A2)),COLUMNS($A$1:A2)),
$B$6 = "RV",
INDEX(Data!$B$2:$EO$956,
SMALL(IF(INDEX(Data!$B$2:$EO$956,,MATCH("Case Manager",Data!$1:$1,0)-1,1)="RV",MATCH(ROW(Data!$DZ$2:$DZ$956),ROW(Data!$DZ$2:$DZ$956)),""),ROWS($A$1:A2)),COLUMNS($A$1:A2)),
$B$6 = "SG",
INDEX(Data!$B$2:$EO$956,
SMALL(IF(INDEX(Data!$B$2:$EO$956,,MATCH("Case Manager",Data!$1:$1,0)-1,1)="SH",MATCH(ROW(Data!$DZ$2:$DZ$956),ROW(Data!$DZ$2:$DZ$956)),""),ROWS($A$1:A2)),COLUMNS($A$1:A2))
),"")</f>
        <v>977030</v>
      </c>
      <c r="C13" s="1" t="str">
        <f>IF(
IFERROR(
INDEX(Data!$1:$1048576,MATCH('Client Lists'!$B13,Data!$B:$B,0),MATCH('Client Lists'!C$11,Data!$1:$1,0)),"")=0,"",
IFERROR(
INDEX(Data!$1:$1048576,MATCH('Client Lists'!$B13,Data!$B:$B,0),MATCH('Client Lists'!C$11,Data!$1:$1,0)),""))</f>
        <v/>
      </c>
      <c r="D13" s="1" t="str">
        <f>IF(
IFERROR(
INDEX(Data!$1:$1048576,MATCH('Client Lists'!$B13,Data!$B:$B,0),MATCH('Client Lists'!D$11,Data!$1:$1,0)),"")=0,"",
IFERROR(
INDEX(Data!$1:$1048576,MATCH('Client Lists'!$B13,Data!$B:$B,0),MATCH('Client Lists'!D$11,Data!$1:$1,0)),""))</f>
        <v>MTDL</v>
      </c>
      <c r="E13" s="1" t="str">
        <f>IF(
IFERROR(
INDEX(Data!$1:$1048576,MATCH('Client Lists'!$B13,Data!$B:$B,0),MATCH('Client Lists'!E$11,Data!$1:$1,0)),"")=0,"",
IFERROR(
INDEX(Data!$1:$1048576,MATCH('Client Lists'!$B13,Data!$B:$B,0),MATCH('Client Lists'!E$11,Data!$1:$1,0)),""))</f>
        <v/>
      </c>
      <c r="F13" s="1">
        <f>IF(
IFERROR(
INDEX(Data!$1:$1048576,MATCH('Client Lists'!$B13,Data!$B:$B,0),MATCH('Client Lists'!F$11,Data!$1:$1,0)),"")=0,"",
IFERROR(
INDEX(Data!$1:$1048576,MATCH('Client Lists'!$B13,Data!$B:$B,0),MATCH('Client Lists'!F$11,Data!$1:$1,0)),""))</f>
        <v>44655</v>
      </c>
      <c r="G13" s="1" t="str">
        <f>IF(
IFERROR(
INDEX(Data!$1:$1048576,MATCH('Client Lists'!$B13,Data!$B:$B,0),MATCH('Client Lists'!G$11,Data!$1:$1,0)),"")=0,"",
IFERROR(
INDEX(Data!$1:$1048576,MATCH('Client Lists'!$B13,Data!$B:$B,0),MATCH('Client Lists'!G$11,Data!$1:$1,0)),""))</f>
        <v>Yes</v>
      </c>
      <c r="H13" s="5" t="str">
        <f>IF(
IFERROR(
INDEX(Data!$1:$1048576,MATCH('Client Lists'!$B13,Data!$B:$B,0),MATCH('Client Lists'!H$11,Data!$1:$1,0)),"")=0,"",
IFERROR(
INDEX(Data!$1:$1048576,MATCH('Client Lists'!$B13,Data!$B:$B,0),MATCH('Client Lists'!H$11,Data!$1:$1,0)),""))</f>
        <v>No</v>
      </c>
      <c r="I13" s="2" t="str">
        <f>IF(
IFERROR(
INDEX(Data!$1:$1048576,MATCH('Client Lists'!$B13,Data!$B:$B,0),MATCH('Client Lists'!I$11,Data!$1:$1,0)),"")=0,"",
IFERROR(
INDEX(Data!$1:$1048576,MATCH('Client Lists'!$B13,Data!$B:$B,0),MATCH('Client Lists'!I$11,Data!$1:$1,0)),""))</f>
        <v>Yes</v>
      </c>
      <c r="J13" s="1" t="str">
        <f>IF(
IFERROR(
INDEX(Data!$1:$1048576,MATCH('Client Lists'!$B13,Data!$B:$B,0),MATCH('Client Lists'!J$11,Data!$1:$1,0)),"")=0,"",
IFERROR(
INDEX(Data!$1:$1048576,MATCH('Client Lists'!$B13,Data!$B:$B,0),MATCH('Client Lists'!J$11,Data!$1:$1,0)),""))</f>
        <v/>
      </c>
      <c r="K13" s="1" t="str">
        <f>IF(
IFERROR(
INDEX(Data!$1:$1048576,MATCH('Client Lists'!$B13,Data!$B:$B,0),MATCH('Client Lists'!K$11,Data!$1:$1,0)),"")=0,"",
IFERROR(
INDEX(Data!$1:$1048576,MATCH('Client Lists'!$B13,Data!$B:$B,0),MATCH('Client Lists'!K$11,Data!$1:$1,0)),""))</f>
        <v/>
      </c>
    </row>
    <row r="14" spans="2:11" x14ac:dyDescent="0.45">
      <c r="B14" s="5">
        <f t="array" ref="B14">IFERROR(_xlfn.IFS(
$B$6 = "Retention Overdue",
INDEX(Data!$B$2:$EO$956,
SMALL(IF(INDEX(Data!$B$2:$EO$956,,MATCH("Call Due",Data!$1:$1,0)-1,1)="Yes",MATCH(ROW(Data!$CN$2:$CN$956),ROW(Data!$CN$2:$CN$956)),""),ROWS($A$1:A3)),COLUMNS($A$1:A3)),
$B$6 = "OWIF-W",
INDEX(Data!$B$2:$EO$956,
SMALL(IF(INDEX(Data!$B$2:$EO$956,,MATCH("Grant Fund",Data!$1:$1,0)-1,1)="OWIF-W",MATCH(ROW(Data!$AO$2:$AO$956),ROW(Data!$AO$2:$AO$956)),""),ROWS($A$1:A3)),COLUMNS($A$1:A3)),
$B$6 = "G2C",
INDEX(Data!$B$2:$EO$956,
SMALL(IF(INDEX(Data!$B$2:$EO$956,,MATCH("Grant Fund",Data!$1:$1,0)-1,1)="Grads2Careers",MATCH(ROW(Data!$AO$2:$AO$956),ROW(Data!$AO$2:$AO$956)),""),ROWS($A$1:A3)),COLUMNS($A$1:A3)),
$B$6 = "OWIF",
INDEX(Data!$B$2:$EO$956,
SMALL(IF(INDEX(Data!$B$2:$EO$956,,MATCH("Grant Fund",Data!$1:$1,0)-1,1)="OWIF",MATCH(ROW(Data!$AO$2:$AO$956),ROW(Data!$AO$2:$AO$956)),""),ROWS($A$1:A3)),COLUMNS($A$1:A3)),
$B$6 = "WIOA",
INDEX(Data!$B$2:$EO$956,
SMALL(IF(INDEX(Data!$B$2:$EO$956,,MATCH("Grant Fund",Data!$1:$1,0)-1,1)="WIOA",MATCH(ROW(Data!$AO$2:$AO$956),ROW(Data!$AO$2:$AO$956)),""),ROWS($A$1:A3)),COLUMNS($A$1:A3)),
$B$6 = "WIOA II",
INDEX(Data!$B$2:$EO$956,
SMALL(IF(INDEX(Data!$B$2:$EO$956,,MATCH("Grant Fund",Data!$1:$1,0)-1,1)="WIOA II",MATCH(ROW(Data!$AO$2:$AO$956),ROW(Data!$AO$2:$AO$956)),""),ROWS($A$1:A3)),COLUMNS($A$1:A3)),
$B$6 = "WIOA III",
INDEX(Data!$B$2:$EO$956,
SMALL(IF(INDEX(Data!$B$2:$EO$956,,MATCH("Grant Fund",Data!$1:$1,0)-1,1)="WIOA III",MATCH(ROW(Data!$AO$2:$AO$956),ROW(Data!$AO$2:$AO$956)),""),ROWS($A$1:A3)),COLUMNS($A$1:A3)),
$B$6 = "Currently Employed",
INDEX(Data!$B$2:$EO$956,
SMALL(IF(INDEX(Data!$B$2:$EO$956,,MATCH("Currently Employed",Data!$1:$1,0)-1,1)="Yes",MATCH(ROW(Data!$DZ$2:$DZ$956),ROW(Data!$DZ$2:$DZ$956)),""),ROWS($A$1:A3)),COLUMNS($A$1:A3)),
$B$6 = "Inactive",
INDEX(Data!$B$2:$EO$956,
SMALL(IF(INDEX(Data!$B$2:$EO$956,,MATCH("Inactive",Data!$1:$1,0)-1,1)="Yes",MATCH(ROW(Data!$DG$2:$DG$956),ROW(Data!$DG$2:$DG$956)),""),ROWS($A$1:A3)),COLUMNS($A$1:A3)),
$B$6 = "Active",
INDEX(Data!$B$2:$EO$956,
SMALL(IF(INDEX(Data!$B$2:$EO$956,,MATCH("Active",Data!$1:$1,0)-1,1)="Yes",MATCH(ROW(Data!$DZ$2:$DZ$956),ROW(Data!$DZ$2:$DZ$956)),""),ROWS($A$1:A3)),COLUMNS($A$1:A3)),
$B$6 = "Status Unknown",
INDEX(Data!$B$2:$EO$956,
SMALL(IF(INDEX(Data!$B$2:$EO$956,,MATCH("Status Unknown",Data!$1:$1,0)-1,1)="Yes",MATCH(ROW(Data!$EB$2:$EB$956),ROW(Data!$EB$2:$EB$956)),""),ROWS($A$1:A3)),COLUMNS($A$1:A3)),
$B$6 = "Enrollment Pending",
INDEX(Data!$B$2:$EO$956,
SMALL(IF(INDEX(Data!$B$2:$EO$956,,MATCH("Enrollment Pending",Data!$1:$1,0)-1,1)="Yes",MATCH(ROW(Data!$DY$2:$DY$956),ROW(Data!$DY$2:$DY$956)),""),ROWS($A$1:A3)),COLUMNS($A$1:A3)),
$B$6 = "Gained Certification",
INDEX(Data!$B$2:$EO$956,
SMALL(IF(INDEX(Data!$B$2:$EO$956,,MATCH("Gained Certification",Data!$1:$1,0)-1,1)="Yes",MATCH(ROW(Data!$DU$2:$DU$956),ROW(Data!$DU$2:$DU$956)),""),ROWS($A$1:A3)),COLUMNS($A$1:A3)),
$B$6 = "No Certification",
INDEX(Data!$B$2:$EO$956,
SMALL(IF(INDEX(Data!$B$2:$EO$956,,MATCH("Gained Certification",Data!$1:$1,0)-1,1)&lt;&gt;"Yes",MATCH(ROW(Data!$DU$2:$DU$956),ROW(Data!$DU$2:$DU$956)),""),ROWS($A$1:A3)),COLUMNS($A$1:A3)),
$B$6 = "Completers Without Employment",
INDEX(Data!$B$2:$EO$967,
SMALL(IF(INDEX(Data!$B$2:$EO$967,,MATCH("Completed Without Employment",Data!$1:$1,0)-1,1)="Yes",MATCH(ROW(Data!$DZ$2:$DZ$967),ROW(Data!$DZ$2:$DZ$967)),""),ROWS($A$1:A3)),COLUMNS($A$1:A3)),
$B$6 = "CH",
INDEX(Data!$B$2:$EO$956,
SMALL(IF(INDEX(Data!$B$2:$EO$956,,MATCH("Case Manager",Data!$1:$1,0)-1,1)="CH",MATCH(ROW(Data!$DZ$2:$DZ$956),ROW(Data!$DZ$2:$DZ$956)),""),ROWS($A$1:A3)),COLUMNS($A$1:A3)),
$B$6 = "ML",
INDEX(Data!$B$2:$EO$956,
SMALL(IF(INDEX(Data!$B$2:$EO$956,,MATCH("Case Manager",Data!$1:$1,0)-1,1)="ML",MATCH(ROW(Data!$DZ$2:$DZ$956),ROW(Data!$DZ$2:$DZ$956)),""),ROWS($A$1:A3)),COLUMNS($A$1:A3)),
$B$6 = "RB",
INDEX(Data!$B$2:$EO$956,
SMALL(IF(INDEX(Data!$B$2:$EO$956,,MATCH("Case Manager",Data!$1:$1,0)-1,1)="RB",MATCH(ROW(Data!$DZ$2:$DZ$956),ROW(Data!$DZ$2:$DZ$956)),""),ROWS($A$1:A3)),COLUMNS($A$1:A3)),
$B$6 = "RV",
INDEX(Data!$B$2:$EO$956,
SMALL(IF(INDEX(Data!$B$2:$EO$956,,MATCH("Case Manager",Data!$1:$1,0)-1,1)="RV",MATCH(ROW(Data!$DZ$2:$DZ$956),ROW(Data!$DZ$2:$DZ$956)),""),ROWS($A$1:A3)),COLUMNS($A$1:A3)),
$B$6 = "SG",
INDEX(Data!$B$2:$EO$956,
SMALL(IF(INDEX(Data!$B$2:$EO$956,,MATCH("Case Manager",Data!$1:$1,0)-1,1)="SH",MATCH(ROW(Data!$DZ$2:$DZ$956),ROW(Data!$DZ$2:$DZ$956)),""),ROWS($A$1:A3)),COLUMNS($A$1:A3))
),"")</f>
        <v>976831</v>
      </c>
      <c r="C14" s="1" t="str">
        <f>IF(
IFERROR(
INDEX(Data!$1:$1048576,MATCH('Client Lists'!$B14,Data!$B:$B,0),MATCH('Client Lists'!C$11,Data!$1:$1,0)),"")=0,"",
IFERROR(
INDEX(Data!$1:$1048576,MATCH('Client Lists'!$B14,Data!$B:$B,0),MATCH('Client Lists'!C$11,Data!$1:$1,0)),""))</f>
        <v/>
      </c>
      <c r="D14" s="1" t="str">
        <f>IF(
IFERROR(
INDEX(Data!$1:$1048576,MATCH('Client Lists'!$B14,Data!$B:$B,0),MATCH('Client Lists'!D$11,Data!$1:$1,0)),"")=0,"",
IFERROR(
INDEX(Data!$1:$1048576,MATCH('Client Lists'!$B14,Data!$B:$B,0),MATCH('Client Lists'!D$11,Data!$1:$1,0)),""))</f>
        <v>MTDL</v>
      </c>
      <c r="E14" s="1" t="str">
        <f>IF(
IFERROR(
INDEX(Data!$1:$1048576,MATCH('Client Lists'!$B14,Data!$B:$B,0),MATCH('Client Lists'!E$11,Data!$1:$1,0)),"")=0,"",
IFERROR(
INDEX(Data!$1:$1048576,MATCH('Client Lists'!$B14,Data!$B:$B,0),MATCH('Client Lists'!E$11,Data!$1:$1,0)),""))</f>
        <v xml:space="preserve"> CDBG; EARN</v>
      </c>
      <c r="F14" s="1">
        <f>IF(
IFERROR(
INDEX(Data!$1:$1048576,MATCH('Client Lists'!$B14,Data!$B:$B,0),MATCH('Client Lists'!F$11,Data!$1:$1,0)),"")=0,"",
IFERROR(
INDEX(Data!$1:$1048576,MATCH('Client Lists'!$B14,Data!$B:$B,0),MATCH('Client Lists'!F$11,Data!$1:$1,0)),""))</f>
        <v>44627</v>
      </c>
      <c r="G14" s="1" t="str">
        <f>IF(
IFERROR(
INDEX(Data!$1:$1048576,MATCH('Client Lists'!$B14,Data!$B:$B,0),MATCH('Client Lists'!G$11,Data!$1:$1,0)),"")=0,"",
IFERROR(
INDEX(Data!$1:$1048576,MATCH('Client Lists'!$B14,Data!$B:$B,0),MATCH('Client Lists'!G$11,Data!$1:$1,0)),""))</f>
        <v>Yes</v>
      </c>
      <c r="H14" s="5" t="str">
        <f>IF(
IFERROR(
INDEX(Data!$1:$1048576,MATCH('Client Lists'!$B14,Data!$B:$B,0),MATCH('Client Lists'!H$11,Data!$1:$1,0)),"")=0,"",
IFERROR(
INDEX(Data!$1:$1048576,MATCH('Client Lists'!$B14,Data!$B:$B,0),MATCH('Client Lists'!H$11,Data!$1:$1,0)),""))</f>
        <v>No</v>
      </c>
      <c r="I14" s="2" t="str">
        <f>IF(
IFERROR(
INDEX(Data!$1:$1048576,MATCH('Client Lists'!$B14,Data!$B:$B,0),MATCH('Client Lists'!I$11,Data!$1:$1,0)),"")=0,"",
IFERROR(
INDEX(Data!$1:$1048576,MATCH('Client Lists'!$B14,Data!$B:$B,0),MATCH('Client Lists'!I$11,Data!$1:$1,0)),""))</f>
        <v>Yes</v>
      </c>
      <c r="J14" s="1" t="str">
        <f>IF(
IFERROR(
INDEX(Data!$1:$1048576,MATCH('Client Lists'!$B14,Data!$B:$B,0),MATCH('Client Lists'!J$11,Data!$1:$1,0)),"")=0,"",
IFERROR(
INDEX(Data!$1:$1048576,MATCH('Client Lists'!$B14,Data!$B:$B,0),MATCH('Client Lists'!J$11,Data!$1:$1,0)),""))</f>
        <v/>
      </c>
      <c r="K14" s="1" t="str">
        <f>IF(
IFERROR(
INDEX(Data!$1:$1048576,MATCH('Client Lists'!$B14,Data!$B:$B,0),MATCH('Client Lists'!K$11,Data!$1:$1,0)),"")=0,"",
IFERROR(
INDEX(Data!$1:$1048576,MATCH('Client Lists'!$B14,Data!$B:$B,0),MATCH('Client Lists'!K$11,Data!$1:$1,0)),""))</f>
        <v/>
      </c>
    </row>
    <row r="15" spans="2:11" x14ac:dyDescent="0.45">
      <c r="B15" s="5">
        <f t="array" ref="B15">IFERROR(_xlfn.IFS(
$B$6 = "Retention Overdue",
INDEX(Data!$B$2:$EO$956,
SMALL(IF(INDEX(Data!$B$2:$EO$956,,MATCH("Call Due",Data!$1:$1,0)-1,1)="Yes",MATCH(ROW(Data!$CN$2:$CN$956),ROW(Data!$CN$2:$CN$956)),""),ROWS($A$1:A4)),COLUMNS($A$1:A4)),
$B$6 = "OWIF-W",
INDEX(Data!$B$2:$EO$956,
SMALL(IF(INDEX(Data!$B$2:$EO$956,,MATCH("Grant Fund",Data!$1:$1,0)-1,1)="OWIF-W",MATCH(ROW(Data!$AO$2:$AO$956),ROW(Data!$AO$2:$AO$956)),""),ROWS($A$1:A4)),COLUMNS($A$1:A4)),
$B$6 = "G2C",
INDEX(Data!$B$2:$EO$956,
SMALL(IF(INDEX(Data!$B$2:$EO$956,,MATCH("Grant Fund",Data!$1:$1,0)-1,1)="Grads2Careers",MATCH(ROW(Data!$AO$2:$AO$956),ROW(Data!$AO$2:$AO$956)),""),ROWS($A$1:A4)),COLUMNS($A$1:A4)),
$B$6 = "OWIF",
INDEX(Data!$B$2:$EO$956,
SMALL(IF(INDEX(Data!$B$2:$EO$956,,MATCH("Grant Fund",Data!$1:$1,0)-1,1)="OWIF",MATCH(ROW(Data!$AO$2:$AO$956),ROW(Data!$AO$2:$AO$956)),""),ROWS($A$1:A4)),COLUMNS($A$1:A4)),
$B$6 = "WIOA",
INDEX(Data!$B$2:$EO$956,
SMALL(IF(INDEX(Data!$B$2:$EO$956,,MATCH("Grant Fund",Data!$1:$1,0)-1,1)="WIOA",MATCH(ROW(Data!$AO$2:$AO$956),ROW(Data!$AO$2:$AO$956)),""),ROWS($A$1:A4)),COLUMNS($A$1:A4)),
$B$6 = "WIOA II",
INDEX(Data!$B$2:$EO$956,
SMALL(IF(INDEX(Data!$B$2:$EO$956,,MATCH("Grant Fund",Data!$1:$1,0)-1,1)="WIOA II",MATCH(ROW(Data!$AO$2:$AO$956),ROW(Data!$AO$2:$AO$956)),""),ROWS($A$1:A4)),COLUMNS($A$1:A4)),
$B$6 = "WIOA III",
INDEX(Data!$B$2:$EO$956,
SMALL(IF(INDEX(Data!$B$2:$EO$956,,MATCH("Grant Fund",Data!$1:$1,0)-1,1)="WIOA III",MATCH(ROW(Data!$AO$2:$AO$956),ROW(Data!$AO$2:$AO$956)),""),ROWS($A$1:A4)),COLUMNS($A$1:A4)),
$B$6 = "Currently Employed",
INDEX(Data!$B$2:$EO$956,
SMALL(IF(INDEX(Data!$B$2:$EO$956,,MATCH("Currently Employed",Data!$1:$1,0)-1,1)="Yes",MATCH(ROW(Data!$DZ$2:$DZ$956),ROW(Data!$DZ$2:$DZ$956)),""),ROWS($A$1:A4)),COLUMNS($A$1:A4)),
$B$6 = "Inactive",
INDEX(Data!$B$2:$EO$956,
SMALL(IF(INDEX(Data!$B$2:$EO$956,,MATCH("Inactive",Data!$1:$1,0)-1,1)="Yes",MATCH(ROW(Data!$DG$2:$DG$956),ROW(Data!$DG$2:$DG$956)),""),ROWS($A$1:A4)),COLUMNS($A$1:A4)),
$B$6 = "Active",
INDEX(Data!$B$2:$EO$956,
SMALL(IF(INDEX(Data!$B$2:$EO$956,,MATCH("Active",Data!$1:$1,0)-1,1)="Yes",MATCH(ROW(Data!$DZ$2:$DZ$956),ROW(Data!$DZ$2:$DZ$956)),""),ROWS($A$1:A4)),COLUMNS($A$1:A4)),
$B$6 = "Status Unknown",
INDEX(Data!$B$2:$EO$956,
SMALL(IF(INDEX(Data!$B$2:$EO$956,,MATCH("Status Unknown",Data!$1:$1,0)-1,1)="Yes",MATCH(ROW(Data!$EB$2:$EB$956),ROW(Data!$EB$2:$EB$956)),""),ROWS($A$1:A4)),COLUMNS($A$1:A4)),
$B$6 = "Enrollment Pending",
INDEX(Data!$B$2:$EO$956,
SMALL(IF(INDEX(Data!$B$2:$EO$956,,MATCH("Enrollment Pending",Data!$1:$1,0)-1,1)="Yes",MATCH(ROW(Data!$DY$2:$DY$956),ROW(Data!$DY$2:$DY$956)),""),ROWS($A$1:A4)),COLUMNS($A$1:A4)),
$B$6 = "Gained Certification",
INDEX(Data!$B$2:$EO$956,
SMALL(IF(INDEX(Data!$B$2:$EO$956,,MATCH("Gained Certification",Data!$1:$1,0)-1,1)="Yes",MATCH(ROW(Data!$DU$2:$DU$956),ROW(Data!$DU$2:$DU$956)),""),ROWS($A$1:A4)),COLUMNS($A$1:A4)),
$B$6 = "No Certification",
INDEX(Data!$B$2:$EO$956,
SMALL(IF(INDEX(Data!$B$2:$EO$956,,MATCH("Gained Certification",Data!$1:$1,0)-1,1)&lt;&gt;"Yes",MATCH(ROW(Data!$DU$2:$DU$956),ROW(Data!$DU$2:$DU$956)),""),ROWS($A$1:A4)),COLUMNS($A$1:A4)),
$B$6 = "Completers Without Employment",
INDEX(Data!$B$2:$EO$967,
SMALL(IF(INDEX(Data!$B$2:$EO$967,,MATCH("Completed Without Employment",Data!$1:$1,0)-1,1)="Yes",MATCH(ROW(Data!$DZ$2:$DZ$967),ROW(Data!$DZ$2:$DZ$967)),""),ROWS($A$1:A4)),COLUMNS($A$1:A4)),
$B$6 = "CH",
INDEX(Data!$B$2:$EO$956,
SMALL(IF(INDEX(Data!$B$2:$EO$956,,MATCH("Case Manager",Data!$1:$1,0)-1,1)="CH",MATCH(ROW(Data!$DZ$2:$DZ$956),ROW(Data!$DZ$2:$DZ$956)),""),ROWS($A$1:A4)),COLUMNS($A$1:A4)),
$B$6 = "ML",
INDEX(Data!$B$2:$EO$956,
SMALL(IF(INDEX(Data!$B$2:$EO$956,,MATCH("Case Manager",Data!$1:$1,0)-1,1)="ML",MATCH(ROW(Data!$DZ$2:$DZ$956),ROW(Data!$DZ$2:$DZ$956)),""),ROWS($A$1:A4)),COLUMNS($A$1:A4)),
$B$6 = "RB",
INDEX(Data!$B$2:$EO$956,
SMALL(IF(INDEX(Data!$B$2:$EO$956,,MATCH("Case Manager",Data!$1:$1,0)-1,1)="RB",MATCH(ROW(Data!$DZ$2:$DZ$956),ROW(Data!$DZ$2:$DZ$956)),""),ROWS($A$1:A4)),COLUMNS($A$1:A4)),
$B$6 = "RV",
INDEX(Data!$B$2:$EO$956,
SMALL(IF(INDEX(Data!$B$2:$EO$956,,MATCH("Case Manager",Data!$1:$1,0)-1,1)="RV",MATCH(ROW(Data!$DZ$2:$DZ$956),ROW(Data!$DZ$2:$DZ$956)),""),ROWS($A$1:A4)),COLUMNS($A$1:A4)),
$B$6 = "SG",
INDEX(Data!$B$2:$EO$956,
SMALL(IF(INDEX(Data!$B$2:$EO$956,,MATCH("Case Manager",Data!$1:$1,0)-1,1)="SH",MATCH(ROW(Data!$DZ$2:$DZ$956),ROW(Data!$DZ$2:$DZ$956)),""),ROWS($A$1:A4)),COLUMNS($A$1:A4))
),"")</f>
        <v>977108</v>
      </c>
      <c r="C15" s="1" t="str">
        <f>IF(
IFERROR(
INDEX(Data!$1:$1048576,MATCH('Client Lists'!$B15,Data!$B:$B,0),MATCH('Client Lists'!C$11,Data!$1:$1,0)),"")=0,"",
IFERROR(
INDEX(Data!$1:$1048576,MATCH('Client Lists'!$B15,Data!$B:$B,0),MATCH('Client Lists'!C$11,Data!$1:$1,0)),""))</f>
        <v/>
      </c>
      <c r="D15" s="1" t="str">
        <f>IF(
IFERROR(
INDEX(Data!$1:$1048576,MATCH('Client Lists'!$B15,Data!$B:$B,0),MATCH('Client Lists'!D$11,Data!$1:$1,0)),"")=0,"",
IFERROR(
INDEX(Data!$1:$1048576,MATCH('Client Lists'!$B15,Data!$B:$B,0),MATCH('Client Lists'!D$11,Data!$1:$1,0)),""))</f>
        <v>MTDL</v>
      </c>
      <c r="E15" s="1" t="str">
        <f>IF(
IFERROR(
INDEX(Data!$1:$1048576,MATCH('Client Lists'!$B15,Data!$B:$B,0),MATCH('Client Lists'!E$11,Data!$1:$1,0)),"")=0,"",
IFERROR(
INDEX(Data!$1:$1048576,MATCH('Client Lists'!$B15,Data!$B:$B,0),MATCH('Client Lists'!E$11,Data!$1:$1,0)),""))</f>
        <v>MOED Opioid; CDBG</v>
      </c>
      <c r="F15" s="1">
        <f>IF(
IFERROR(
INDEX(Data!$1:$1048576,MATCH('Client Lists'!$B15,Data!$B:$B,0),MATCH('Client Lists'!F$11,Data!$1:$1,0)),"")=0,"",
IFERROR(
INDEX(Data!$1:$1048576,MATCH('Client Lists'!$B15,Data!$B:$B,0),MATCH('Client Lists'!F$11,Data!$1:$1,0)),""))</f>
        <v>44683</v>
      </c>
      <c r="G15" s="1" t="str">
        <f>IF(
IFERROR(
INDEX(Data!$1:$1048576,MATCH('Client Lists'!$B15,Data!$B:$B,0),MATCH('Client Lists'!G$11,Data!$1:$1,0)),"")=0,"",
IFERROR(
INDEX(Data!$1:$1048576,MATCH('Client Lists'!$B15,Data!$B:$B,0),MATCH('Client Lists'!G$11,Data!$1:$1,0)),""))</f>
        <v>Yes</v>
      </c>
      <c r="H15" s="5" t="str">
        <f>IF(
IFERROR(
INDEX(Data!$1:$1048576,MATCH('Client Lists'!$B15,Data!$B:$B,0),MATCH('Client Lists'!H$11,Data!$1:$1,0)),"")=0,"",
IFERROR(
INDEX(Data!$1:$1048576,MATCH('Client Lists'!$B15,Data!$B:$B,0),MATCH('Client Lists'!H$11,Data!$1:$1,0)),""))</f>
        <v>No</v>
      </c>
      <c r="I15" s="2" t="str">
        <f>IF(
IFERROR(
INDEX(Data!$1:$1048576,MATCH('Client Lists'!$B15,Data!$B:$B,0),MATCH('Client Lists'!I$11,Data!$1:$1,0)),"")=0,"",
IFERROR(
INDEX(Data!$1:$1048576,MATCH('Client Lists'!$B15,Data!$B:$B,0),MATCH('Client Lists'!I$11,Data!$1:$1,0)),""))</f>
        <v/>
      </c>
      <c r="J15" s="1" t="str">
        <f>IF(
IFERROR(
INDEX(Data!$1:$1048576,MATCH('Client Lists'!$B15,Data!$B:$B,0),MATCH('Client Lists'!J$11,Data!$1:$1,0)),"")=0,"",
IFERROR(
INDEX(Data!$1:$1048576,MATCH('Client Lists'!$B15,Data!$B:$B,0),MATCH('Client Lists'!J$11,Data!$1:$1,0)),""))</f>
        <v>07/29/2022</v>
      </c>
      <c r="K15" s="1" t="str">
        <f>IF(
IFERROR(
INDEX(Data!$1:$1048576,MATCH('Client Lists'!$B15,Data!$B:$B,0),MATCH('Client Lists'!K$11,Data!$1:$1,0)),"")=0,"",
IFERROR(
INDEX(Data!$1:$1048576,MATCH('Client Lists'!$B15,Data!$B:$B,0),MATCH('Client Lists'!K$11,Data!$1:$1,0)),""))</f>
        <v>Job Not Retained</v>
      </c>
    </row>
    <row r="16" spans="2:11" x14ac:dyDescent="0.45">
      <c r="B16" s="5">
        <f t="array" ref="B16">IFERROR(_xlfn.IFS(
$B$6 = "Retention Overdue",
INDEX(Data!$B$2:$EO$956,
SMALL(IF(INDEX(Data!$B$2:$EO$956,,MATCH("Call Due",Data!$1:$1,0)-1,1)="Yes",MATCH(ROW(Data!$CN$2:$CN$956),ROW(Data!$CN$2:$CN$956)),""),ROWS($A$1:A5)),COLUMNS($A$1:A5)),
$B$6 = "OWIF-W",
INDEX(Data!$B$2:$EO$956,
SMALL(IF(INDEX(Data!$B$2:$EO$956,,MATCH("Grant Fund",Data!$1:$1,0)-1,1)="OWIF-W",MATCH(ROW(Data!$AO$2:$AO$956),ROW(Data!$AO$2:$AO$956)),""),ROWS($A$1:A5)),COLUMNS($A$1:A5)),
$B$6 = "G2C",
INDEX(Data!$B$2:$EO$956,
SMALL(IF(INDEX(Data!$B$2:$EO$956,,MATCH("Grant Fund",Data!$1:$1,0)-1,1)="Grads2Careers",MATCH(ROW(Data!$AO$2:$AO$956),ROW(Data!$AO$2:$AO$956)),""),ROWS($A$1:A5)),COLUMNS($A$1:A5)),
$B$6 = "OWIF",
INDEX(Data!$B$2:$EO$956,
SMALL(IF(INDEX(Data!$B$2:$EO$956,,MATCH("Grant Fund",Data!$1:$1,0)-1,1)="OWIF",MATCH(ROW(Data!$AO$2:$AO$956),ROW(Data!$AO$2:$AO$956)),""),ROWS($A$1:A5)),COLUMNS($A$1:A5)),
$B$6 = "WIOA",
INDEX(Data!$B$2:$EO$956,
SMALL(IF(INDEX(Data!$B$2:$EO$956,,MATCH("Grant Fund",Data!$1:$1,0)-1,1)="WIOA",MATCH(ROW(Data!$AO$2:$AO$956),ROW(Data!$AO$2:$AO$956)),""),ROWS($A$1:A5)),COLUMNS($A$1:A5)),
$B$6 = "WIOA II",
INDEX(Data!$B$2:$EO$956,
SMALL(IF(INDEX(Data!$B$2:$EO$956,,MATCH("Grant Fund",Data!$1:$1,0)-1,1)="WIOA II",MATCH(ROW(Data!$AO$2:$AO$956),ROW(Data!$AO$2:$AO$956)),""),ROWS($A$1:A5)),COLUMNS($A$1:A5)),
$B$6 = "WIOA III",
INDEX(Data!$B$2:$EO$956,
SMALL(IF(INDEX(Data!$B$2:$EO$956,,MATCH("Grant Fund",Data!$1:$1,0)-1,1)="WIOA III",MATCH(ROW(Data!$AO$2:$AO$956),ROW(Data!$AO$2:$AO$956)),""),ROWS($A$1:A5)),COLUMNS($A$1:A5)),
$B$6 = "Currently Employed",
INDEX(Data!$B$2:$EO$956,
SMALL(IF(INDEX(Data!$B$2:$EO$956,,MATCH("Currently Employed",Data!$1:$1,0)-1,1)="Yes",MATCH(ROW(Data!$DZ$2:$DZ$956),ROW(Data!$DZ$2:$DZ$956)),""),ROWS($A$1:A5)),COLUMNS($A$1:A5)),
$B$6 = "Inactive",
INDEX(Data!$B$2:$EO$956,
SMALL(IF(INDEX(Data!$B$2:$EO$956,,MATCH("Inactive",Data!$1:$1,0)-1,1)="Yes",MATCH(ROW(Data!$DG$2:$DG$956),ROW(Data!$DG$2:$DG$956)),""),ROWS($A$1:A5)),COLUMNS($A$1:A5)),
$B$6 = "Active",
INDEX(Data!$B$2:$EO$956,
SMALL(IF(INDEX(Data!$B$2:$EO$956,,MATCH("Active",Data!$1:$1,0)-1,1)="Yes",MATCH(ROW(Data!$DZ$2:$DZ$956),ROW(Data!$DZ$2:$DZ$956)),""),ROWS($A$1:A5)),COLUMNS($A$1:A5)),
$B$6 = "Status Unknown",
INDEX(Data!$B$2:$EO$956,
SMALL(IF(INDEX(Data!$B$2:$EO$956,,MATCH("Status Unknown",Data!$1:$1,0)-1,1)="Yes",MATCH(ROW(Data!$EB$2:$EB$956),ROW(Data!$EB$2:$EB$956)),""),ROWS($A$1:A5)),COLUMNS($A$1:A5)),
$B$6 = "Enrollment Pending",
INDEX(Data!$B$2:$EO$956,
SMALL(IF(INDEX(Data!$B$2:$EO$956,,MATCH("Enrollment Pending",Data!$1:$1,0)-1,1)="Yes",MATCH(ROW(Data!$DY$2:$DY$956),ROW(Data!$DY$2:$DY$956)),""),ROWS($A$1:A5)),COLUMNS($A$1:A5)),
$B$6 = "Gained Certification",
INDEX(Data!$B$2:$EO$956,
SMALL(IF(INDEX(Data!$B$2:$EO$956,,MATCH("Gained Certification",Data!$1:$1,0)-1,1)="Yes",MATCH(ROW(Data!$DU$2:$DU$956),ROW(Data!$DU$2:$DU$956)),""),ROWS($A$1:A5)),COLUMNS($A$1:A5)),
$B$6 = "No Certification",
INDEX(Data!$B$2:$EO$956,
SMALL(IF(INDEX(Data!$B$2:$EO$956,,MATCH("Gained Certification",Data!$1:$1,0)-1,1)&lt;&gt;"Yes",MATCH(ROW(Data!$DU$2:$DU$956),ROW(Data!$DU$2:$DU$956)),""),ROWS($A$1:A5)),COLUMNS($A$1:A5)),
$B$6 = "Completers Without Employment",
INDEX(Data!$B$2:$EO$967,
SMALL(IF(INDEX(Data!$B$2:$EO$967,,MATCH("Completed Without Employment",Data!$1:$1,0)-1,1)="Yes",MATCH(ROW(Data!$DZ$2:$DZ$967),ROW(Data!$DZ$2:$DZ$967)),""),ROWS($A$1:A5)),COLUMNS($A$1:A5)),
$B$6 = "CH",
INDEX(Data!$B$2:$EO$956,
SMALL(IF(INDEX(Data!$B$2:$EO$956,,MATCH("Case Manager",Data!$1:$1,0)-1,1)="CH",MATCH(ROW(Data!$DZ$2:$DZ$956),ROW(Data!$DZ$2:$DZ$956)),""),ROWS($A$1:A5)),COLUMNS($A$1:A5)),
$B$6 = "ML",
INDEX(Data!$B$2:$EO$956,
SMALL(IF(INDEX(Data!$B$2:$EO$956,,MATCH("Case Manager",Data!$1:$1,0)-1,1)="ML",MATCH(ROW(Data!$DZ$2:$DZ$956),ROW(Data!$DZ$2:$DZ$956)),""),ROWS($A$1:A5)),COLUMNS($A$1:A5)),
$B$6 = "RB",
INDEX(Data!$B$2:$EO$956,
SMALL(IF(INDEX(Data!$B$2:$EO$956,,MATCH("Case Manager",Data!$1:$1,0)-1,1)="RB",MATCH(ROW(Data!$DZ$2:$DZ$956),ROW(Data!$DZ$2:$DZ$956)),""),ROWS($A$1:A5)),COLUMNS($A$1:A5)),
$B$6 = "RV",
INDEX(Data!$B$2:$EO$956,
SMALL(IF(INDEX(Data!$B$2:$EO$956,,MATCH("Case Manager",Data!$1:$1,0)-1,1)="RV",MATCH(ROW(Data!$DZ$2:$DZ$956),ROW(Data!$DZ$2:$DZ$956)),""),ROWS($A$1:A5)),COLUMNS($A$1:A5)),
$B$6 = "SG",
INDEX(Data!$B$2:$EO$956,
SMALL(IF(INDEX(Data!$B$2:$EO$956,,MATCH("Case Manager",Data!$1:$1,0)-1,1)="SH",MATCH(ROW(Data!$DZ$2:$DZ$956),ROW(Data!$DZ$2:$DZ$956)),""),ROWS($A$1:A5)),COLUMNS($A$1:A5))
),"")</f>
        <v>977054</v>
      </c>
      <c r="C16" s="1" t="str">
        <f>IF(
IFERROR(
INDEX(Data!$1:$1048576,MATCH('Client Lists'!$B16,Data!$B:$B,0),MATCH('Client Lists'!C$11,Data!$1:$1,0)),"")=0,"",
IFERROR(
INDEX(Data!$1:$1048576,MATCH('Client Lists'!$B16,Data!$B:$B,0),MATCH('Client Lists'!C$11,Data!$1:$1,0)),""))</f>
        <v/>
      </c>
      <c r="D16" s="1" t="str">
        <f>IF(
IFERROR(
INDEX(Data!$1:$1048576,MATCH('Client Lists'!$B16,Data!$B:$B,0),MATCH('Client Lists'!D$11,Data!$1:$1,0)),"")=0,"",
IFERROR(
INDEX(Data!$1:$1048576,MATCH('Client Lists'!$B16,Data!$B:$B,0),MATCH('Client Lists'!D$11,Data!$1:$1,0)),""))</f>
        <v>MTDL</v>
      </c>
      <c r="E16" s="1" t="str">
        <f>IF(
IFERROR(
INDEX(Data!$1:$1048576,MATCH('Client Lists'!$B16,Data!$B:$B,0),MATCH('Client Lists'!E$11,Data!$1:$1,0)),"")=0,"",
IFERROR(
INDEX(Data!$1:$1048576,MATCH('Client Lists'!$B16,Data!$B:$B,0),MATCH('Client Lists'!E$11,Data!$1:$1,0)),""))</f>
        <v/>
      </c>
      <c r="F16" s="1">
        <f>IF(
IFERROR(
INDEX(Data!$1:$1048576,MATCH('Client Lists'!$B16,Data!$B:$B,0),MATCH('Client Lists'!F$11,Data!$1:$1,0)),"")=0,"",
IFERROR(
INDEX(Data!$1:$1048576,MATCH('Client Lists'!$B16,Data!$B:$B,0),MATCH('Client Lists'!F$11,Data!$1:$1,0)),""))</f>
        <v>44655</v>
      </c>
      <c r="G16" s="1" t="str">
        <f>IF(
IFERROR(
INDEX(Data!$1:$1048576,MATCH('Client Lists'!$B16,Data!$B:$B,0),MATCH('Client Lists'!G$11,Data!$1:$1,0)),"")=0,"",
IFERROR(
INDEX(Data!$1:$1048576,MATCH('Client Lists'!$B16,Data!$B:$B,0),MATCH('Client Lists'!G$11,Data!$1:$1,0)),""))</f>
        <v>Yes</v>
      </c>
      <c r="H16" s="5" t="str">
        <f>IF(
IFERROR(
INDEX(Data!$1:$1048576,MATCH('Client Lists'!$B16,Data!$B:$B,0),MATCH('Client Lists'!H$11,Data!$1:$1,0)),"")=0,"",
IFERROR(
INDEX(Data!$1:$1048576,MATCH('Client Lists'!$B16,Data!$B:$B,0),MATCH('Client Lists'!H$11,Data!$1:$1,0)),""))</f>
        <v>No</v>
      </c>
      <c r="I16" s="2" t="str">
        <f>IF(
IFERROR(
INDEX(Data!$1:$1048576,MATCH('Client Lists'!$B16,Data!$B:$B,0),MATCH('Client Lists'!I$11,Data!$1:$1,0)),"")=0,"",
IFERROR(
INDEX(Data!$1:$1048576,MATCH('Client Lists'!$B16,Data!$B:$B,0),MATCH('Client Lists'!I$11,Data!$1:$1,0)),""))</f>
        <v>Yes</v>
      </c>
      <c r="J16" s="1" t="str">
        <f>IF(
IFERROR(
INDEX(Data!$1:$1048576,MATCH('Client Lists'!$B16,Data!$B:$B,0),MATCH('Client Lists'!J$11,Data!$1:$1,0)),"")=0,"",
IFERROR(
INDEX(Data!$1:$1048576,MATCH('Client Lists'!$B16,Data!$B:$B,0),MATCH('Client Lists'!J$11,Data!$1:$1,0)),""))</f>
        <v/>
      </c>
      <c r="K16" s="1" t="str">
        <f>IF(
IFERROR(
INDEX(Data!$1:$1048576,MATCH('Client Lists'!$B16,Data!$B:$B,0),MATCH('Client Lists'!K$11,Data!$1:$1,0)),"")=0,"",
IFERROR(
INDEX(Data!$1:$1048576,MATCH('Client Lists'!$B16,Data!$B:$B,0),MATCH('Client Lists'!K$11,Data!$1:$1,0)),""))</f>
        <v/>
      </c>
    </row>
    <row r="17" spans="2:11" x14ac:dyDescent="0.45">
      <c r="B17" s="5">
        <f t="array" ref="B17">IFERROR(_xlfn.IFS(
$B$6 = "Retention Overdue",
INDEX(Data!$B$2:$EO$956,
SMALL(IF(INDEX(Data!$B$2:$EO$956,,MATCH("Call Due",Data!$1:$1,0)-1,1)="Yes",MATCH(ROW(Data!$CN$2:$CN$956),ROW(Data!$CN$2:$CN$956)),""),ROWS($A$1:A6)),COLUMNS($A$1:A6)),
$B$6 = "OWIF-W",
INDEX(Data!$B$2:$EO$956,
SMALL(IF(INDEX(Data!$B$2:$EO$956,,MATCH("Grant Fund",Data!$1:$1,0)-1,1)="OWIF-W",MATCH(ROW(Data!$AO$2:$AO$956),ROW(Data!$AO$2:$AO$956)),""),ROWS($A$1:A6)),COLUMNS($A$1:A6)),
$B$6 = "G2C",
INDEX(Data!$B$2:$EO$956,
SMALL(IF(INDEX(Data!$B$2:$EO$956,,MATCH("Grant Fund",Data!$1:$1,0)-1,1)="Grads2Careers",MATCH(ROW(Data!$AO$2:$AO$956),ROW(Data!$AO$2:$AO$956)),""),ROWS($A$1:A6)),COLUMNS($A$1:A6)),
$B$6 = "OWIF",
INDEX(Data!$B$2:$EO$956,
SMALL(IF(INDEX(Data!$B$2:$EO$956,,MATCH("Grant Fund",Data!$1:$1,0)-1,1)="OWIF",MATCH(ROW(Data!$AO$2:$AO$956),ROW(Data!$AO$2:$AO$956)),""),ROWS($A$1:A6)),COLUMNS($A$1:A6)),
$B$6 = "WIOA",
INDEX(Data!$B$2:$EO$956,
SMALL(IF(INDEX(Data!$B$2:$EO$956,,MATCH("Grant Fund",Data!$1:$1,0)-1,1)="WIOA",MATCH(ROW(Data!$AO$2:$AO$956),ROW(Data!$AO$2:$AO$956)),""),ROWS($A$1:A6)),COLUMNS($A$1:A6)),
$B$6 = "WIOA II",
INDEX(Data!$B$2:$EO$956,
SMALL(IF(INDEX(Data!$B$2:$EO$956,,MATCH("Grant Fund",Data!$1:$1,0)-1,1)="WIOA II",MATCH(ROW(Data!$AO$2:$AO$956),ROW(Data!$AO$2:$AO$956)),""),ROWS($A$1:A6)),COLUMNS($A$1:A6)),
$B$6 = "WIOA III",
INDEX(Data!$B$2:$EO$956,
SMALL(IF(INDEX(Data!$B$2:$EO$956,,MATCH("Grant Fund",Data!$1:$1,0)-1,1)="WIOA III",MATCH(ROW(Data!$AO$2:$AO$956),ROW(Data!$AO$2:$AO$956)),""),ROWS($A$1:A6)),COLUMNS($A$1:A6)),
$B$6 = "Currently Employed",
INDEX(Data!$B$2:$EO$956,
SMALL(IF(INDEX(Data!$B$2:$EO$956,,MATCH("Currently Employed",Data!$1:$1,0)-1,1)="Yes",MATCH(ROW(Data!$DZ$2:$DZ$956),ROW(Data!$DZ$2:$DZ$956)),""),ROWS($A$1:A6)),COLUMNS($A$1:A6)),
$B$6 = "Inactive",
INDEX(Data!$B$2:$EO$956,
SMALL(IF(INDEX(Data!$B$2:$EO$956,,MATCH("Inactive",Data!$1:$1,0)-1,1)="Yes",MATCH(ROW(Data!$DG$2:$DG$956),ROW(Data!$DG$2:$DG$956)),""),ROWS($A$1:A6)),COLUMNS($A$1:A6)),
$B$6 = "Active",
INDEX(Data!$B$2:$EO$956,
SMALL(IF(INDEX(Data!$B$2:$EO$956,,MATCH("Active",Data!$1:$1,0)-1,1)="Yes",MATCH(ROW(Data!$DZ$2:$DZ$956),ROW(Data!$DZ$2:$DZ$956)),""),ROWS($A$1:A6)),COLUMNS($A$1:A6)),
$B$6 = "Status Unknown",
INDEX(Data!$B$2:$EO$956,
SMALL(IF(INDEX(Data!$B$2:$EO$956,,MATCH("Status Unknown",Data!$1:$1,0)-1,1)="Yes",MATCH(ROW(Data!$EB$2:$EB$956),ROW(Data!$EB$2:$EB$956)),""),ROWS($A$1:A6)),COLUMNS($A$1:A6)),
$B$6 = "Enrollment Pending",
INDEX(Data!$B$2:$EO$956,
SMALL(IF(INDEX(Data!$B$2:$EO$956,,MATCH("Enrollment Pending",Data!$1:$1,0)-1,1)="Yes",MATCH(ROW(Data!$DY$2:$DY$956),ROW(Data!$DY$2:$DY$956)),""),ROWS($A$1:A6)),COLUMNS($A$1:A6)),
$B$6 = "Gained Certification",
INDEX(Data!$B$2:$EO$956,
SMALL(IF(INDEX(Data!$B$2:$EO$956,,MATCH("Gained Certification",Data!$1:$1,0)-1,1)="Yes",MATCH(ROW(Data!$DU$2:$DU$956),ROW(Data!$DU$2:$DU$956)),""),ROWS($A$1:A6)),COLUMNS($A$1:A6)),
$B$6 = "No Certification",
INDEX(Data!$B$2:$EO$956,
SMALL(IF(INDEX(Data!$B$2:$EO$956,,MATCH("Gained Certification",Data!$1:$1,0)-1,1)&lt;&gt;"Yes",MATCH(ROW(Data!$DU$2:$DU$956),ROW(Data!$DU$2:$DU$956)),""),ROWS($A$1:A6)),COLUMNS($A$1:A6)),
$B$6 = "Completers Without Employment",
INDEX(Data!$B$2:$EO$967,
SMALL(IF(INDEX(Data!$B$2:$EO$967,,MATCH("Completed Without Employment",Data!$1:$1,0)-1,1)="Yes",MATCH(ROW(Data!$DZ$2:$DZ$967),ROW(Data!$DZ$2:$DZ$967)),""),ROWS($A$1:A6)),COLUMNS($A$1:A6)),
$B$6 = "CH",
INDEX(Data!$B$2:$EO$956,
SMALL(IF(INDEX(Data!$B$2:$EO$956,,MATCH("Case Manager",Data!$1:$1,0)-1,1)="CH",MATCH(ROW(Data!$DZ$2:$DZ$956),ROW(Data!$DZ$2:$DZ$956)),""),ROWS($A$1:A6)),COLUMNS($A$1:A6)),
$B$6 = "ML",
INDEX(Data!$B$2:$EO$956,
SMALL(IF(INDEX(Data!$B$2:$EO$956,,MATCH("Case Manager",Data!$1:$1,0)-1,1)="ML",MATCH(ROW(Data!$DZ$2:$DZ$956),ROW(Data!$DZ$2:$DZ$956)),""),ROWS($A$1:A6)),COLUMNS($A$1:A6)),
$B$6 = "RB",
INDEX(Data!$B$2:$EO$956,
SMALL(IF(INDEX(Data!$B$2:$EO$956,,MATCH("Case Manager",Data!$1:$1,0)-1,1)="RB",MATCH(ROW(Data!$DZ$2:$DZ$956),ROW(Data!$DZ$2:$DZ$956)),""),ROWS($A$1:A6)),COLUMNS($A$1:A6)),
$B$6 = "RV",
INDEX(Data!$B$2:$EO$956,
SMALL(IF(INDEX(Data!$B$2:$EO$956,,MATCH("Case Manager",Data!$1:$1,0)-1,1)="RV",MATCH(ROW(Data!$DZ$2:$DZ$956),ROW(Data!$DZ$2:$DZ$956)),""),ROWS($A$1:A6)),COLUMNS($A$1:A6)),
$B$6 = "SG",
INDEX(Data!$B$2:$EO$956,
SMALL(IF(INDEX(Data!$B$2:$EO$956,,MATCH("Case Manager",Data!$1:$1,0)-1,1)="SH",MATCH(ROW(Data!$DZ$2:$DZ$956),ROW(Data!$DZ$2:$DZ$956)),""),ROWS($A$1:A6)),COLUMNS($A$1:A6))
),"")</f>
        <v>977165</v>
      </c>
      <c r="C17" s="1" t="str">
        <f>IF(
IFERROR(
INDEX(Data!$1:$1048576,MATCH('Client Lists'!$B17,Data!$B:$B,0),MATCH('Client Lists'!C$11,Data!$1:$1,0)),"")=0,"",
IFERROR(
INDEX(Data!$1:$1048576,MATCH('Client Lists'!$B17,Data!$B:$B,0),MATCH('Client Lists'!C$11,Data!$1:$1,0)),""))</f>
        <v/>
      </c>
      <c r="D17" s="1" t="str">
        <f>IF(
IFERROR(
INDEX(Data!$1:$1048576,MATCH('Client Lists'!$B17,Data!$B:$B,0),MATCH('Client Lists'!D$11,Data!$1:$1,0)),"")=0,"",
IFERROR(
INDEX(Data!$1:$1048576,MATCH('Client Lists'!$B17,Data!$B:$B,0),MATCH('Client Lists'!D$11,Data!$1:$1,0)),""))</f>
        <v>MTDL</v>
      </c>
      <c r="E17" s="1" t="str">
        <f>IF(
IFERROR(
INDEX(Data!$1:$1048576,MATCH('Client Lists'!$B17,Data!$B:$B,0),MATCH('Client Lists'!E$11,Data!$1:$1,0)),"")=0,"",
IFERROR(
INDEX(Data!$1:$1048576,MATCH('Client Lists'!$B17,Data!$B:$B,0),MATCH('Client Lists'!E$11,Data!$1:$1,0)),""))</f>
        <v xml:space="preserve"> CDBG; EARN</v>
      </c>
      <c r="F17" s="1">
        <f>IF(
IFERROR(
INDEX(Data!$1:$1048576,MATCH('Client Lists'!$B17,Data!$B:$B,0),MATCH('Client Lists'!F$11,Data!$1:$1,0)),"")=0,"",
IFERROR(
INDEX(Data!$1:$1048576,MATCH('Client Lists'!$B17,Data!$B:$B,0),MATCH('Client Lists'!F$11,Data!$1:$1,0)),""))</f>
        <v>44712</v>
      </c>
      <c r="G17" s="1" t="str">
        <f>IF(
IFERROR(
INDEX(Data!$1:$1048576,MATCH('Client Lists'!$B17,Data!$B:$B,0),MATCH('Client Lists'!G$11,Data!$1:$1,0)),"")=0,"",
IFERROR(
INDEX(Data!$1:$1048576,MATCH('Client Lists'!$B17,Data!$B:$B,0),MATCH('Client Lists'!G$11,Data!$1:$1,0)),""))</f>
        <v>Yes</v>
      </c>
      <c r="H17" s="5" t="str">
        <f>IF(
IFERROR(
INDEX(Data!$1:$1048576,MATCH('Client Lists'!$B17,Data!$B:$B,0),MATCH('Client Lists'!H$11,Data!$1:$1,0)),"")=0,"",
IFERROR(
INDEX(Data!$1:$1048576,MATCH('Client Lists'!$B17,Data!$B:$B,0),MATCH('Client Lists'!H$11,Data!$1:$1,0)),""))</f>
        <v>No</v>
      </c>
      <c r="I17" s="2" t="str">
        <f>IF(
IFERROR(
INDEX(Data!$1:$1048576,MATCH('Client Lists'!$B17,Data!$B:$B,0),MATCH('Client Lists'!I$11,Data!$1:$1,0)),"")=0,"",
IFERROR(
INDEX(Data!$1:$1048576,MATCH('Client Lists'!$B17,Data!$B:$B,0),MATCH('Client Lists'!I$11,Data!$1:$1,0)),""))</f>
        <v>Yes</v>
      </c>
      <c r="J17" s="1" t="str">
        <f>IF(
IFERROR(
INDEX(Data!$1:$1048576,MATCH('Client Lists'!$B17,Data!$B:$B,0),MATCH('Client Lists'!J$11,Data!$1:$1,0)),"")=0,"",
IFERROR(
INDEX(Data!$1:$1048576,MATCH('Client Lists'!$B17,Data!$B:$B,0),MATCH('Client Lists'!J$11,Data!$1:$1,0)),""))</f>
        <v/>
      </c>
      <c r="K17" s="1" t="str">
        <f>IF(
IFERROR(
INDEX(Data!$1:$1048576,MATCH('Client Lists'!$B17,Data!$B:$B,0),MATCH('Client Lists'!K$11,Data!$1:$1,0)),"")=0,"",
IFERROR(
INDEX(Data!$1:$1048576,MATCH('Client Lists'!$B17,Data!$B:$B,0),MATCH('Client Lists'!K$11,Data!$1:$1,0)),""))</f>
        <v/>
      </c>
    </row>
    <row r="18" spans="2:11" x14ac:dyDescent="0.45">
      <c r="B18" s="5">
        <f t="array" ref="B18">IFERROR(_xlfn.IFS(
$B$6 = "Retention Overdue",
INDEX(Data!$B$2:$EO$956,
SMALL(IF(INDEX(Data!$B$2:$EO$956,,MATCH("Call Due",Data!$1:$1,0)-1,1)="Yes",MATCH(ROW(Data!$CN$2:$CN$956),ROW(Data!$CN$2:$CN$956)),""),ROWS($A$1:A7)),COLUMNS($A$1:A7)),
$B$6 = "OWIF-W",
INDEX(Data!$B$2:$EO$956,
SMALL(IF(INDEX(Data!$B$2:$EO$956,,MATCH("Grant Fund",Data!$1:$1,0)-1,1)="OWIF-W",MATCH(ROW(Data!$AO$2:$AO$956),ROW(Data!$AO$2:$AO$956)),""),ROWS($A$1:A7)),COLUMNS($A$1:A7)),
$B$6 = "G2C",
INDEX(Data!$B$2:$EO$956,
SMALL(IF(INDEX(Data!$B$2:$EO$956,,MATCH("Grant Fund",Data!$1:$1,0)-1,1)="Grads2Careers",MATCH(ROW(Data!$AO$2:$AO$956),ROW(Data!$AO$2:$AO$956)),""),ROWS($A$1:A7)),COLUMNS($A$1:A7)),
$B$6 = "OWIF",
INDEX(Data!$B$2:$EO$956,
SMALL(IF(INDEX(Data!$B$2:$EO$956,,MATCH("Grant Fund",Data!$1:$1,0)-1,1)="OWIF",MATCH(ROW(Data!$AO$2:$AO$956),ROW(Data!$AO$2:$AO$956)),""),ROWS($A$1:A7)),COLUMNS($A$1:A7)),
$B$6 = "WIOA",
INDEX(Data!$B$2:$EO$956,
SMALL(IF(INDEX(Data!$B$2:$EO$956,,MATCH("Grant Fund",Data!$1:$1,0)-1,1)="WIOA",MATCH(ROW(Data!$AO$2:$AO$956),ROW(Data!$AO$2:$AO$956)),""),ROWS($A$1:A7)),COLUMNS($A$1:A7)),
$B$6 = "WIOA II",
INDEX(Data!$B$2:$EO$956,
SMALL(IF(INDEX(Data!$B$2:$EO$956,,MATCH("Grant Fund",Data!$1:$1,0)-1,1)="WIOA II",MATCH(ROW(Data!$AO$2:$AO$956),ROW(Data!$AO$2:$AO$956)),""),ROWS($A$1:A7)),COLUMNS($A$1:A7)),
$B$6 = "WIOA III",
INDEX(Data!$B$2:$EO$956,
SMALL(IF(INDEX(Data!$B$2:$EO$956,,MATCH("Grant Fund",Data!$1:$1,0)-1,1)="WIOA III",MATCH(ROW(Data!$AO$2:$AO$956),ROW(Data!$AO$2:$AO$956)),""),ROWS($A$1:A7)),COLUMNS($A$1:A7)),
$B$6 = "Currently Employed",
INDEX(Data!$B$2:$EO$956,
SMALL(IF(INDEX(Data!$B$2:$EO$956,,MATCH("Currently Employed",Data!$1:$1,0)-1,1)="Yes",MATCH(ROW(Data!$DZ$2:$DZ$956),ROW(Data!$DZ$2:$DZ$956)),""),ROWS($A$1:A7)),COLUMNS($A$1:A7)),
$B$6 = "Inactive",
INDEX(Data!$B$2:$EO$956,
SMALL(IF(INDEX(Data!$B$2:$EO$956,,MATCH("Inactive",Data!$1:$1,0)-1,1)="Yes",MATCH(ROW(Data!$DG$2:$DG$956),ROW(Data!$DG$2:$DG$956)),""),ROWS($A$1:A7)),COLUMNS($A$1:A7)),
$B$6 = "Active",
INDEX(Data!$B$2:$EO$956,
SMALL(IF(INDEX(Data!$B$2:$EO$956,,MATCH("Active",Data!$1:$1,0)-1,1)="Yes",MATCH(ROW(Data!$DZ$2:$DZ$956),ROW(Data!$DZ$2:$DZ$956)),""),ROWS($A$1:A7)),COLUMNS($A$1:A7)),
$B$6 = "Status Unknown",
INDEX(Data!$B$2:$EO$956,
SMALL(IF(INDEX(Data!$B$2:$EO$956,,MATCH("Status Unknown",Data!$1:$1,0)-1,1)="Yes",MATCH(ROW(Data!$EB$2:$EB$956),ROW(Data!$EB$2:$EB$956)),""),ROWS($A$1:A7)),COLUMNS($A$1:A7)),
$B$6 = "Enrollment Pending",
INDEX(Data!$B$2:$EO$956,
SMALL(IF(INDEX(Data!$B$2:$EO$956,,MATCH("Enrollment Pending",Data!$1:$1,0)-1,1)="Yes",MATCH(ROW(Data!$DY$2:$DY$956),ROW(Data!$DY$2:$DY$956)),""),ROWS($A$1:A7)),COLUMNS($A$1:A7)),
$B$6 = "Gained Certification",
INDEX(Data!$B$2:$EO$956,
SMALL(IF(INDEX(Data!$B$2:$EO$956,,MATCH("Gained Certification",Data!$1:$1,0)-1,1)="Yes",MATCH(ROW(Data!$DU$2:$DU$956),ROW(Data!$DU$2:$DU$956)),""),ROWS($A$1:A7)),COLUMNS($A$1:A7)),
$B$6 = "No Certification",
INDEX(Data!$B$2:$EO$956,
SMALL(IF(INDEX(Data!$B$2:$EO$956,,MATCH("Gained Certification",Data!$1:$1,0)-1,1)&lt;&gt;"Yes",MATCH(ROW(Data!$DU$2:$DU$956),ROW(Data!$DU$2:$DU$956)),""),ROWS($A$1:A7)),COLUMNS($A$1:A7)),
$B$6 = "Completers Without Employment",
INDEX(Data!$B$2:$EO$967,
SMALL(IF(INDEX(Data!$B$2:$EO$967,,MATCH("Completed Without Employment",Data!$1:$1,0)-1,1)="Yes",MATCH(ROW(Data!$DZ$2:$DZ$967),ROW(Data!$DZ$2:$DZ$967)),""),ROWS($A$1:A7)),COLUMNS($A$1:A7)),
$B$6 = "CH",
INDEX(Data!$B$2:$EO$956,
SMALL(IF(INDEX(Data!$B$2:$EO$956,,MATCH("Case Manager",Data!$1:$1,0)-1,1)="CH",MATCH(ROW(Data!$DZ$2:$DZ$956),ROW(Data!$DZ$2:$DZ$956)),""),ROWS($A$1:A7)),COLUMNS($A$1:A7)),
$B$6 = "ML",
INDEX(Data!$B$2:$EO$956,
SMALL(IF(INDEX(Data!$B$2:$EO$956,,MATCH("Case Manager",Data!$1:$1,0)-1,1)="ML",MATCH(ROW(Data!$DZ$2:$DZ$956),ROW(Data!$DZ$2:$DZ$956)),""),ROWS($A$1:A7)),COLUMNS($A$1:A7)),
$B$6 = "RB",
INDEX(Data!$B$2:$EO$956,
SMALL(IF(INDEX(Data!$B$2:$EO$956,,MATCH("Case Manager",Data!$1:$1,0)-1,1)="RB",MATCH(ROW(Data!$DZ$2:$DZ$956),ROW(Data!$DZ$2:$DZ$956)),""),ROWS($A$1:A7)),COLUMNS($A$1:A7)),
$B$6 = "RV",
INDEX(Data!$B$2:$EO$956,
SMALL(IF(INDEX(Data!$B$2:$EO$956,,MATCH("Case Manager",Data!$1:$1,0)-1,1)="RV",MATCH(ROW(Data!$DZ$2:$DZ$956),ROW(Data!$DZ$2:$DZ$956)),""),ROWS($A$1:A7)),COLUMNS($A$1:A7)),
$B$6 = "SG",
INDEX(Data!$B$2:$EO$956,
SMALL(IF(INDEX(Data!$B$2:$EO$956,,MATCH("Case Manager",Data!$1:$1,0)-1,1)="SH",MATCH(ROW(Data!$DZ$2:$DZ$956),ROW(Data!$DZ$2:$DZ$956)),""),ROWS($A$1:A7)),COLUMNS($A$1:A7))
),"")</f>
        <v>977053</v>
      </c>
      <c r="C18" s="1" t="str">
        <f>IF(
IFERROR(
INDEX(Data!$1:$1048576,MATCH('Client Lists'!$B18,Data!$B:$B,0),MATCH('Client Lists'!C$11,Data!$1:$1,0)),"")=0,"",
IFERROR(
INDEX(Data!$1:$1048576,MATCH('Client Lists'!$B18,Data!$B:$B,0),MATCH('Client Lists'!C$11,Data!$1:$1,0)),""))</f>
        <v/>
      </c>
      <c r="D18" s="1" t="str">
        <f>IF(
IFERROR(
INDEX(Data!$1:$1048576,MATCH('Client Lists'!$B18,Data!$B:$B,0),MATCH('Client Lists'!D$11,Data!$1:$1,0)),"")=0,"",
IFERROR(
INDEX(Data!$1:$1048576,MATCH('Client Lists'!$B18,Data!$B:$B,0),MATCH('Client Lists'!D$11,Data!$1:$1,0)),""))</f>
        <v>MTDL</v>
      </c>
      <c r="E18" s="1" t="str">
        <f>IF(
IFERROR(
INDEX(Data!$1:$1048576,MATCH('Client Lists'!$B18,Data!$B:$B,0),MATCH('Client Lists'!E$11,Data!$1:$1,0)),"")=0,"",
IFERROR(
INDEX(Data!$1:$1048576,MATCH('Client Lists'!$B18,Data!$B:$B,0),MATCH('Client Lists'!E$11,Data!$1:$1,0)),""))</f>
        <v>MOED Opioid; CDBG</v>
      </c>
      <c r="F18" s="1">
        <f>IF(
IFERROR(
INDEX(Data!$1:$1048576,MATCH('Client Lists'!$B18,Data!$B:$B,0),MATCH('Client Lists'!F$11,Data!$1:$1,0)),"")=0,"",
IFERROR(
INDEX(Data!$1:$1048576,MATCH('Client Lists'!$B18,Data!$B:$B,0),MATCH('Client Lists'!F$11,Data!$1:$1,0)),""))</f>
        <v>44655</v>
      </c>
      <c r="G18" s="1" t="str">
        <f>IF(
IFERROR(
INDEX(Data!$1:$1048576,MATCH('Client Lists'!$B18,Data!$B:$B,0),MATCH('Client Lists'!G$11,Data!$1:$1,0)),"")=0,"",
IFERROR(
INDEX(Data!$1:$1048576,MATCH('Client Lists'!$B18,Data!$B:$B,0),MATCH('Client Lists'!G$11,Data!$1:$1,0)),""))</f>
        <v>Yes</v>
      </c>
      <c r="H18" s="5" t="str">
        <f>IF(
IFERROR(
INDEX(Data!$1:$1048576,MATCH('Client Lists'!$B18,Data!$B:$B,0),MATCH('Client Lists'!H$11,Data!$1:$1,0)),"")=0,"",
IFERROR(
INDEX(Data!$1:$1048576,MATCH('Client Lists'!$B18,Data!$B:$B,0),MATCH('Client Lists'!H$11,Data!$1:$1,0)),""))</f>
        <v>Yes</v>
      </c>
      <c r="I18" s="2" t="str">
        <f>IF(
IFERROR(
INDEX(Data!$1:$1048576,MATCH('Client Lists'!$B18,Data!$B:$B,0),MATCH('Client Lists'!I$11,Data!$1:$1,0)),"")=0,"",
IFERROR(
INDEX(Data!$1:$1048576,MATCH('Client Lists'!$B18,Data!$B:$B,0),MATCH('Client Lists'!I$11,Data!$1:$1,0)),""))</f>
        <v>Yes</v>
      </c>
      <c r="J18" s="1" t="str">
        <f>IF(
IFERROR(
INDEX(Data!$1:$1048576,MATCH('Client Lists'!$B18,Data!$B:$B,0),MATCH('Client Lists'!J$11,Data!$1:$1,0)),"")=0,"",
IFERROR(
INDEX(Data!$1:$1048576,MATCH('Client Lists'!$B18,Data!$B:$B,0),MATCH('Client Lists'!J$11,Data!$1:$1,0)),""))</f>
        <v>07/29/2022</v>
      </c>
      <c r="K18" s="1" t="str">
        <f>IF(
IFERROR(
INDEX(Data!$1:$1048576,MATCH('Client Lists'!$B18,Data!$B:$B,0),MATCH('Client Lists'!K$11,Data!$1:$1,0)),"")=0,"",
IFERROR(
INDEX(Data!$1:$1048576,MATCH('Client Lists'!$B18,Data!$B:$B,0),MATCH('Client Lists'!K$11,Data!$1:$1,0)),""))</f>
        <v>Job Not Retained</v>
      </c>
    </row>
    <row r="19" spans="2:11" x14ac:dyDescent="0.45">
      <c r="B19" s="5">
        <f t="array" ref="B19">IFERROR(_xlfn.IFS(
$B$6 = "Retention Overdue",
INDEX(Data!$B$2:$EO$956,
SMALL(IF(INDEX(Data!$B$2:$EO$956,,MATCH("Call Due",Data!$1:$1,0)-1,1)="Yes",MATCH(ROW(Data!$CN$2:$CN$956),ROW(Data!$CN$2:$CN$956)),""),ROWS($A$1:A8)),COLUMNS($A$1:A8)),
$B$6 = "OWIF-W",
INDEX(Data!$B$2:$EO$956,
SMALL(IF(INDEX(Data!$B$2:$EO$956,,MATCH("Grant Fund",Data!$1:$1,0)-1,1)="OWIF-W",MATCH(ROW(Data!$AO$2:$AO$956),ROW(Data!$AO$2:$AO$956)),""),ROWS($A$1:A8)),COLUMNS($A$1:A8)),
$B$6 = "G2C",
INDEX(Data!$B$2:$EO$956,
SMALL(IF(INDEX(Data!$B$2:$EO$956,,MATCH("Grant Fund",Data!$1:$1,0)-1,1)="Grads2Careers",MATCH(ROW(Data!$AO$2:$AO$956),ROW(Data!$AO$2:$AO$956)),""),ROWS($A$1:A8)),COLUMNS($A$1:A8)),
$B$6 = "OWIF",
INDEX(Data!$B$2:$EO$956,
SMALL(IF(INDEX(Data!$B$2:$EO$956,,MATCH("Grant Fund",Data!$1:$1,0)-1,1)="OWIF",MATCH(ROW(Data!$AO$2:$AO$956),ROW(Data!$AO$2:$AO$956)),""),ROWS($A$1:A8)),COLUMNS($A$1:A8)),
$B$6 = "WIOA",
INDEX(Data!$B$2:$EO$956,
SMALL(IF(INDEX(Data!$B$2:$EO$956,,MATCH("Grant Fund",Data!$1:$1,0)-1,1)="WIOA",MATCH(ROW(Data!$AO$2:$AO$956),ROW(Data!$AO$2:$AO$956)),""),ROWS($A$1:A8)),COLUMNS($A$1:A8)),
$B$6 = "WIOA II",
INDEX(Data!$B$2:$EO$956,
SMALL(IF(INDEX(Data!$B$2:$EO$956,,MATCH("Grant Fund",Data!$1:$1,0)-1,1)="WIOA II",MATCH(ROW(Data!$AO$2:$AO$956),ROW(Data!$AO$2:$AO$956)),""),ROWS($A$1:A8)),COLUMNS($A$1:A8)),
$B$6 = "WIOA III",
INDEX(Data!$B$2:$EO$956,
SMALL(IF(INDEX(Data!$B$2:$EO$956,,MATCH("Grant Fund",Data!$1:$1,0)-1,1)="WIOA III",MATCH(ROW(Data!$AO$2:$AO$956),ROW(Data!$AO$2:$AO$956)),""),ROWS($A$1:A8)),COLUMNS($A$1:A8)),
$B$6 = "Currently Employed",
INDEX(Data!$B$2:$EO$956,
SMALL(IF(INDEX(Data!$B$2:$EO$956,,MATCH("Currently Employed",Data!$1:$1,0)-1,1)="Yes",MATCH(ROW(Data!$DZ$2:$DZ$956),ROW(Data!$DZ$2:$DZ$956)),""),ROWS($A$1:A8)),COLUMNS($A$1:A8)),
$B$6 = "Inactive",
INDEX(Data!$B$2:$EO$956,
SMALL(IF(INDEX(Data!$B$2:$EO$956,,MATCH("Inactive",Data!$1:$1,0)-1,1)="Yes",MATCH(ROW(Data!$DG$2:$DG$956),ROW(Data!$DG$2:$DG$956)),""),ROWS($A$1:A8)),COLUMNS($A$1:A8)),
$B$6 = "Active",
INDEX(Data!$B$2:$EO$956,
SMALL(IF(INDEX(Data!$B$2:$EO$956,,MATCH("Active",Data!$1:$1,0)-1,1)="Yes",MATCH(ROW(Data!$DZ$2:$DZ$956),ROW(Data!$DZ$2:$DZ$956)),""),ROWS($A$1:A8)),COLUMNS($A$1:A8)),
$B$6 = "Status Unknown",
INDEX(Data!$B$2:$EO$956,
SMALL(IF(INDEX(Data!$B$2:$EO$956,,MATCH("Status Unknown",Data!$1:$1,0)-1,1)="Yes",MATCH(ROW(Data!$EB$2:$EB$956),ROW(Data!$EB$2:$EB$956)),""),ROWS($A$1:A8)),COLUMNS($A$1:A8)),
$B$6 = "Enrollment Pending",
INDEX(Data!$B$2:$EO$956,
SMALL(IF(INDEX(Data!$B$2:$EO$956,,MATCH("Enrollment Pending",Data!$1:$1,0)-1,1)="Yes",MATCH(ROW(Data!$DY$2:$DY$956),ROW(Data!$DY$2:$DY$956)),""),ROWS($A$1:A8)),COLUMNS($A$1:A8)),
$B$6 = "Gained Certification",
INDEX(Data!$B$2:$EO$956,
SMALL(IF(INDEX(Data!$B$2:$EO$956,,MATCH("Gained Certification",Data!$1:$1,0)-1,1)="Yes",MATCH(ROW(Data!$DU$2:$DU$956),ROW(Data!$DU$2:$DU$956)),""),ROWS($A$1:A8)),COLUMNS($A$1:A8)),
$B$6 = "No Certification",
INDEX(Data!$B$2:$EO$956,
SMALL(IF(INDEX(Data!$B$2:$EO$956,,MATCH("Gained Certification",Data!$1:$1,0)-1,1)&lt;&gt;"Yes",MATCH(ROW(Data!$DU$2:$DU$956),ROW(Data!$DU$2:$DU$956)),""),ROWS($A$1:A8)),COLUMNS($A$1:A8)),
$B$6 = "Completers Without Employment",
INDEX(Data!$B$2:$EO$967,
SMALL(IF(INDEX(Data!$B$2:$EO$967,,MATCH("Completed Without Employment",Data!$1:$1,0)-1,1)="Yes",MATCH(ROW(Data!$DZ$2:$DZ$967),ROW(Data!$DZ$2:$DZ$967)),""),ROWS($A$1:A8)),COLUMNS($A$1:A8)),
$B$6 = "CH",
INDEX(Data!$B$2:$EO$956,
SMALL(IF(INDEX(Data!$B$2:$EO$956,,MATCH("Case Manager",Data!$1:$1,0)-1,1)="CH",MATCH(ROW(Data!$DZ$2:$DZ$956),ROW(Data!$DZ$2:$DZ$956)),""),ROWS($A$1:A8)),COLUMNS($A$1:A8)),
$B$6 = "ML",
INDEX(Data!$B$2:$EO$956,
SMALL(IF(INDEX(Data!$B$2:$EO$956,,MATCH("Case Manager",Data!$1:$1,0)-1,1)="ML",MATCH(ROW(Data!$DZ$2:$DZ$956),ROW(Data!$DZ$2:$DZ$956)),""),ROWS($A$1:A8)),COLUMNS($A$1:A8)),
$B$6 = "RB",
INDEX(Data!$B$2:$EO$956,
SMALL(IF(INDEX(Data!$B$2:$EO$956,,MATCH("Case Manager",Data!$1:$1,0)-1,1)="RB",MATCH(ROW(Data!$DZ$2:$DZ$956),ROW(Data!$DZ$2:$DZ$956)),""),ROWS($A$1:A8)),COLUMNS($A$1:A8)),
$B$6 = "RV",
INDEX(Data!$B$2:$EO$956,
SMALL(IF(INDEX(Data!$B$2:$EO$956,,MATCH("Case Manager",Data!$1:$1,0)-1,1)="RV",MATCH(ROW(Data!$DZ$2:$DZ$956),ROW(Data!$DZ$2:$DZ$956)),""),ROWS($A$1:A8)),COLUMNS($A$1:A8)),
$B$6 = "SG",
INDEX(Data!$B$2:$EO$956,
SMALL(IF(INDEX(Data!$B$2:$EO$956,,MATCH("Case Manager",Data!$1:$1,0)-1,1)="SH",MATCH(ROW(Data!$DZ$2:$DZ$956),ROW(Data!$DZ$2:$DZ$956)),""),ROWS($A$1:A8)),COLUMNS($A$1:A8))
),"")</f>
        <v>976657</v>
      </c>
      <c r="C19" s="1" t="str">
        <f>IF(
IFERROR(
INDEX(Data!$1:$1048576,MATCH('Client Lists'!$B19,Data!$B:$B,0),MATCH('Client Lists'!C$11,Data!$1:$1,0)),"")=0,"",
IFERROR(
INDEX(Data!$1:$1048576,MATCH('Client Lists'!$B19,Data!$B:$B,0),MATCH('Client Lists'!C$11,Data!$1:$1,0)),""))</f>
        <v/>
      </c>
      <c r="D19" s="1" t="str">
        <f>IF(
IFERROR(
INDEX(Data!$1:$1048576,MATCH('Client Lists'!$B19,Data!$B:$B,0),MATCH('Client Lists'!D$11,Data!$1:$1,0)),"")=0,"",
IFERROR(
INDEX(Data!$1:$1048576,MATCH('Client Lists'!$B19,Data!$B:$B,0),MATCH('Client Lists'!D$11,Data!$1:$1,0)),""))</f>
        <v>MTDL</v>
      </c>
      <c r="E19" s="1" t="str">
        <f>IF(
IFERROR(
INDEX(Data!$1:$1048576,MATCH('Client Lists'!$B19,Data!$B:$B,0),MATCH('Client Lists'!E$11,Data!$1:$1,0)),"")=0,"",
IFERROR(
INDEX(Data!$1:$1048576,MATCH('Client Lists'!$B19,Data!$B:$B,0),MATCH('Client Lists'!E$11,Data!$1:$1,0)),""))</f>
        <v/>
      </c>
      <c r="F19" s="1">
        <f>IF(
IFERROR(
INDEX(Data!$1:$1048576,MATCH('Client Lists'!$B19,Data!$B:$B,0),MATCH('Client Lists'!F$11,Data!$1:$1,0)),"")=0,"",
IFERROR(
INDEX(Data!$1:$1048576,MATCH('Client Lists'!$B19,Data!$B:$B,0),MATCH('Client Lists'!F$11,Data!$1:$1,0)),""))</f>
        <v>44410</v>
      </c>
      <c r="G19" s="1" t="str">
        <f>IF(
IFERROR(
INDEX(Data!$1:$1048576,MATCH('Client Lists'!$B19,Data!$B:$B,0),MATCH('Client Lists'!G$11,Data!$1:$1,0)),"")=0,"",
IFERROR(
INDEX(Data!$1:$1048576,MATCH('Client Lists'!$B19,Data!$B:$B,0),MATCH('Client Lists'!G$11,Data!$1:$1,0)),""))</f>
        <v>Yes</v>
      </c>
      <c r="H19" s="5" t="str">
        <f>IF(
IFERROR(
INDEX(Data!$1:$1048576,MATCH('Client Lists'!$B19,Data!$B:$B,0),MATCH('Client Lists'!H$11,Data!$1:$1,0)),"")=0,"",
IFERROR(
INDEX(Data!$1:$1048576,MATCH('Client Lists'!$B19,Data!$B:$B,0),MATCH('Client Lists'!H$11,Data!$1:$1,0)),""))</f>
        <v>No</v>
      </c>
      <c r="I19" s="2" t="str">
        <f>IF(
IFERROR(
INDEX(Data!$1:$1048576,MATCH('Client Lists'!$B19,Data!$B:$B,0),MATCH('Client Lists'!I$11,Data!$1:$1,0)),"")=0,"",
IFERROR(
INDEX(Data!$1:$1048576,MATCH('Client Lists'!$B19,Data!$B:$B,0),MATCH('Client Lists'!I$11,Data!$1:$1,0)),""))</f>
        <v>Yes</v>
      </c>
      <c r="J19" s="1" t="str">
        <f>IF(
IFERROR(
INDEX(Data!$1:$1048576,MATCH('Client Lists'!$B19,Data!$B:$B,0),MATCH('Client Lists'!J$11,Data!$1:$1,0)),"")=0,"",
IFERROR(
INDEX(Data!$1:$1048576,MATCH('Client Lists'!$B19,Data!$B:$B,0),MATCH('Client Lists'!J$11,Data!$1:$1,0)),""))</f>
        <v/>
      </c>
      <c r="K19" s="1" t="str">
        <f>IF(
IFERROR(
INDEX(Data!$1:$1048576,MATCH('Client Lists'!$B19,Data!$B:$B,0),MATCH('Client Lists'!K$11,Data!$1:$1,0)),"")=0,"",
IFERROR(
INDEX(Data!$1:$1048576,MATCH('Client Lists'!$B19,Data!$B:$B,0),MATCH('Client Lists'!K$11,Data!$1:$1,0)),""))</f>
        <v/>
      </c>
    </row>
    <row r="20" spans="2:11" x14ac:dyDescent="0.45">
      <c r="B20" s="5">
        <f t="array" ref="B20">IFERROR(_xlfn.IFS(
$B$6 = "Retention Overdue",
INDEX(Data!$B$2:$EO$956,
SMALL(IF(INDEX(Data!$B$2:$EO$956,,MATCH("Call Due",Data!$1:$1,0)-1,1)="Yes",MATCH(ROW(Data!$CN$2:$CN$956),ROW(Data!$CN$2:$CN$956)),""),ROWS($A$1:A9)),COLUMNS($A$1:A9)),
$B$6 = "OWIF-W",
INDEX(Data!$B$2:$EO$956,
SMALL(IF(INDEX(Data!$B$2:$EO$956,,MATCH("Grant Fund",Data!$1:$1,0)-1,1)="OWIF-W",MATCH(ROW(Data!$AO$2:$AO$956),ROW(Data!$AO$2:$AO$956)),""),ROWS($A$1:A9)),COLUMNS($A$1:A9)),
$B$6 = "G2C",
INDEX(Data!$B$2:$EO$956,
SMALL(IF(INDEX(Data!$B$2:$EO$956,,MATCH("Grant Fund",Data!$1:$1,0)-1,1)="Grads2Careers",MATCH(ROW(Data!$AO$2:$AO$956),ROW(Data!$AO$2:$AO$956)),""),ROWS($A$1:A9)),COLUMNS($A$1:A9)),
$B$6 = "OWIF",
INDEX(Data!$B$2:$EO$956,
SMALL(IF(INDEX(Data!$B$2:$EO$956,,MATCH("Grant Fund",Data!$1:$1,0)-1,1)="OWIF",MATCH(ROW(Data!$AO$2:$AO$956),ROW(Data!$AO$2:$AO$956)),""),ROWS($A$1:A9)),COLUMNS($A$1:A9)),
$B$6 = "WIOA",
INDEX(Data!$B$2:$EO$956,
SMALL(IF(INDEX(Data!$B$2:$EO$956,,MATCH("Grant Fund",Data!$1:$1,0)-1,1)="WIOA",MATCH(ROW(Data!$AO$2:$AO$956),ROW(Data!$AO$2:$AO$956)),""),ROWS($A$1:A9)),COLUMNS($A$1:A9)),
$B$6 = "WIOA II",
INDEX(Data!$B$2:$EO$956,
SMALL(IF(INDEX(Data!$B$2:$EO$956,,MATCH("Grant Fund",Data!$1:$1,0)-1,1)="WIOA II",MATCH(ROW(Data!$AO$2:$AO$956),ROW(Data!$AO$2:$AO$956)),""),ROWS($A$1:A9)),COLUMNS($A$1:A9)),
$B$6 = "WIOA III",
INDEX(Data!$B$2:$EO$956,
SMALL(IF(INDEX(Data!$B$2:$EO$956,,MATCH("Grant Fund",Data!$1:$1,0)-1,1)="WIOA III",MATCH(ROW(Data!$AO$2:$AO$956),ROW(Data!$AO$2:$AO$956)),""),ROWS($A$1:A9)),COLUMNS($A$1:A9)),
$B$6 = "Currently Employed",
INDEX(Data!$B$2:$EO$956,
SMALL(IF(INDEX(Data!$B$2:$EO$956,,MATCH("Currently Employed",Data!$1:$1,0)-1,1)="Yes",MATCH(ROW(Data!$DZ$2:$DZ$956),ROW(Data!$DZ$2:$DZ$956)),""),ROWS($A$1:A9)),COLUMNS($A$1:A9)),
$B$6 = "Inactive",
INDEX(Data!$B$2:$EO$956,
SMALL(IF(INDEX(Data!$B$2:$EO$956,,MATCH("Inactive",Data!$1:$1,0)-1,1)="Yes",MATCH(ROW(Data!$DG$2:$DG$956),ROW(Data!$DG$2:$DG$956)),""),ROWS($A$1:A9)),COLUMNS($A$1:A9)),
$B$6 = "Active",
INDEX(Data!$B$2:$EO$956,
SMALL(IF(INDEX(Data!$B$2:$EO$956,,MATCH("Active",Data!$1:$1,0)-1,1)="Yes",MATCH(ROW(Data!$DZ$2:$DZ$956),ROW(Data!$DZ$2:$DZ$956)),""),ROWS($A$1:A9)),COLUMNS($A$1:A9)),
$B$6 = "Status Unknown",
INDEX(Data!$B$2:$EO$956,
SMALL(IF(INDEX(Data!$B$2:$EO$956,,MATCH("Status Unknown",Data!$1:$1,0)-1,1)="Yes",MATCH(ROW(Data!$EB$2:$EB$956),ROW(Data!$EB$2:$EB$956)),""),ROWS($A$1:A9)),COLUMNS($A$1:A9)),
$B$6 = "Enrollment Pending",
INDEX(Data!$B$2:$EO$956,
SMALL(IF(INDEX(Data!$B$2:$EO$956,,MATCH("Enrollment Pending",Data!$1:$1,0)-1,1)="Yes",MATCH(ROW(Data!$DY$2:$DY$956),ROW(Data!$DY$2:$DY$956)),""),ROWS($A$1:A9)),COLUMNS($A$1:A9)),
$B$6 = "Gained Certification",
INDEX(Data!$B$2:$EO$956,
SMALL(IF(INDEX(Data!$B$2:$EO$956,,MATCH("Gained Certification",Data!$1:$1,0)-1,1)="Yes",MATCH(ROW(Data!$DU$2:$DU$956),ROW(Data!$DU$2:$DU$956)),""),ROWS($A$1:A9)),COLUMNS($A$1:A9)),
$B$6 = "No Certification",
INDEX(Data!$B$2:$EO$956,
SMALL(IF(INDEX(Data!$B$2:$EO$956,,MATCH("Gained Certification",Data!$1:$1,0)-1,1)&lt;&gt;"Yes",MATCH(ROW(Data!$DU$2:$DU$956),ROW(Data!$DU$2:$DU$956)),""),ROWS($A$1:A9)),COLUMNS($A$1:A9)),
$B$6 = "Completers Without Employment",
INDEX(Data!$B$2:$EO$967,
SMALL(IF(INDEX(Data!$B$2:$EO$967,,MATCH("Completed Without Employment",Data!$1:$1,0)-1,1)="Yes",MATCH(ROW(Data!$DZ$2:$DZ$967),ROW(Data!$DZ$2:$DZ$967)),""),ROWS($A$1:A9)),COLUMNS($A$1:A9)),
$B$6 = "CH",
INDEX(Data!$B$2:$EO$956,
SMALL(IF(INDEX(Data!$B$2:$EO$956,,MATCH("Case Manager",Data!$1:$1,0)-1,1)="CH",MATCH(ROW(Data!$DZ$2:$DZ$956),ROW(Data!$DZ$2:$DZ$956)),""),ROWS($A$1:A9)),COLUMNS($A$1:A9)),
$B$6 = "ML",
INDEX(Data!$B$2:$EO$956,
SMALL(IF(INDEX(Data!$B$2:$EO$956,,MATCH("Case Manager",Data!$1:$1,0)-1,1)="ML",MATCH(ROW(Data!$DZ$2:$DZ$956),ROW(Data!$DZ$2:$DZ$956)),""),ROWS($A$1:A9)),COLUMNS($A$1:A9)),
$B$6 = "RB",
INDEX(Data!$B$2:$EO$956,
SMALL(IF(INDEX(Data!$B$2:$EO$956,,MATCH("Case Manager",Data!$1:$1,0)-1,1)="RB",MATCH(ROW(Data!$DZ$2:$DZ$956),ROW(Data!$DZ$2:$DZ$956)),""),ROWS($A$1:A9)),COLUMNS($A$1:A9)),
$B$6 = "RV",
INDEX(Data!$B$2:$EO$956,
SMALL(IF(INDEX(Data!$B$2:$EO$956,,MATCH("Case Manager",Data!$1:$1,0)-1,1)="RV",MATCH(ROW(Data!$DZ$2:$DZ$956),ROW(Data!$DZ$2:$DZ$956)),""),ROWS($A$1:A9)),COLUMNS($A$1:A9)),
$B$6 = "SG",
INDEX(Data!$B$2:$EO$956,
SMALL(IF(INDEX(Data!$B$2:$EO$956,,MATCH("Case Manager",Data!$1:$1,0)-1,1)="SH",MATCH(ROW(Data!$DZ$2:$DZ$956),ROW(Data!$DZ$2:$DZ$956)),""),ROWS($A$1:A9)),COLUMNS($A$1:A9))
),"")</f>
        <v>976658</v>
      </c>
      <c r="C20" s="1" t="str">
        <f>IF(
IFERROR(
INDEX(Data!$1:$1048576,MATCH('Client Lists'!$B20,Data!$B:$B,0),MATCH('Client Lists'!C$11,Data!$1:$1,0)),"")=0,"",
IFERROR(
INDEX(Data!$1:$1048576,MATCH('Client Lists'!$B20,Data!$B:$B,0),MATCH('Client Lists'!C$11,Data!$1:$1,0)),""))</f>
        <v/>
      </c>
      <c r="D20" s="1" t="str">
        <f>IF(
IFERROR(
INDEX(Data!$1:$1048576,MATCH('Client Lists'!$B20,Data!$B:$B,0),MATCH('Client Lists'!D$11,Data!$1:$1,0)),"")=0,"",
IFERROR(
INDEX(Data!$1:$1048576,MATCH('Client Lists'!$B20,Data!$B:$B,0),MATCH('Client Lists'!D$11,Data!$1:$1,0)),""))</f>
        <v>CF</v>
      </c>
      <c r="E20" s="1" t="str">
        <f>IF(
IFERROR(
INDEX(Data!$1:$1048576,MATCH('Client Lists'!$B20,Data!$B:$B,0),MATCH('Client Lists'!E$11,Data!$1:$1,0)),"")=0,"",
IFERROR(
INDEX(Data!$1:$1048576,MATCH('Client Lists'!$B20,Data!$B:$B,0),MATCH('Client Lists'!E$11,Data!$1:$1,0)),""))</f>
        <v>WIOA III; CDBG</v>
      </c>
      <c r="F20" s="1">
        <f>IF(
IFERROR(
INDEX(Data!$1:$1048576,MATCH('Client Lists'!$B20,Data!$B:$B,0),MATCH('Client Lists'!F$11,Data!$1:$1,0)),"")=0,"",
IFERROR(
INDEX(Data!$1:$1048576,MATCH('Client Lists'!$B20,Data!$B:$B,0),MATCH('Client Lists'!F$11,Data!$1:$1,0)),""))</f>
        <v>44375</v>
      </c>
      <c r="G20" s="1" t="str">
        <f>IF(
IFERROR(
INDEX(Data!$1:$1048576,MATCH('Client Lists'!$B20,Data!$B:$B,0),MATCH('Client Lists'!G$11,Data!$1:$1,0)),"")=0,"",
IFERROR(
INDEX(Data!$1:$1048576,MATCH('Client Lists'!$B20,Data!$B:$B,0),MATCH('Client Lists'!G$11,Data!$1:$1,0)),""))</f>
        <v>Yes</v>
      </c>
      <c r="H20" s="1" t="str">
        <f>IF(
IFERROR(
INDEX(Data!$1:$1048576,MATCH('Client Lists'!$B20,Data!$B:$B,0),MATCH('Client Lists'!H$11,Data!$1:$1,0)),"")=0,"",
IFERROR(
INDEX(Data!$1:$1048576,MATCH('Client Lists'!$B20,Data!$B:$B,0),MATCH('Client Lists'!H$11,Data!$1:$1,0)),""))</f>
        <v>No</v>
      </c>
      <c r="I20" s="2" t="str">
        <f>IF(
IFERROR(
INDEX(Data!$1:$1048576,MATCH('Client Lists'!$B20,Data!$B:$B,0),MATCH('Client Lists'!I$11,Data!$1:$1,0)),"")=0,"",
IFERROR(
INDEX(Data!$1:$1048576,MATCH('Client Lists'!$B20,Data!$B:$B,0),MATCH('Client Lists'!I$11,Data!$1:$1,0)),""))</f>
        <v/>
      </c>
      <c r="J20" s="1" t="str">
        <f>IF(
IFERROR(
INDEX(Data!$1:$1048576,MATCH('Client Lists'!$B20,Data!$B:$B,0),MATCH('Client Lists'!J$11,Data!$1:$1,0)),"")=0,"",
IFERROR(
INDEX(Data!$1:$1048576,MATCH('Client Lists'!$B20,Data!$B:$B,0),MATCH('Client Lists'!J$11,Data!$1:$1,0)),""))</f>
        <v/>
      </c>
      <c r="K20" s="1" t="str">
        <f>IF(
IFERROR(
INDEX(Data!$1:$1048576,MATCH('Client Lists'!$B20,Data!$B:$B,0),MATCH('Client Lists'!K$11,Data!$1:$1,0)),"")=0,"",
IFERROR(
INDEX(Data!$1:$1048576,MATCH('Client Lists'!$B20,Data!$B:$B,0),MATCH('Client Lists'!K$11,Data!$1:$1,0)),""))</f>
        <v/>
      </c>
    </row>
    <row r="21" spans="2:11" x14ac:dyDescent="0.45">
      <c r="B21" s="5">
        <f t="array" ref="B21">IFERROR(_xlfn.IFS(
$B$6 = "Retention Overdue",
INDEX(Data!$B$2:$EO$956,
SMALL(IF(INDEX(Data!$B$2:$EO$956,,MATCH("Call Due",Data!$1:$1,0)-1,1)="Yes",MATCH(ROW(Data!$CN$2:$CN$956),ROW(Data!$CN$2:$CN$956)),""),ROWS($A$1:A10)),COLUMNS($A$1:A10)),
$B$6 = "OWIF-W",
INDEX(Data!$B$2:$EO$956,
SMALL(IF(INDEX(Data!$B$2:$EO$956,,MATCH("Grant Fund",Data!$1:$1,0)-1,1)="OWIF-W",MATCH(ROW(Data!$AO$2:$AO$956),ROW(Data!$AO$2:$AO$956)),""),ROWS($A$1:A10)),COLUMNS($A$1:A10)),
$B$6 = "G2C",
INDEX(Data!$B$2:$EO$956,
SMALL(IF(INDEX(Data!$B$2:$EO$956,,MATCH("Grant Fund",Data!$1:$1,0)-1,1)="Grads2Careers",MATCH(ROW(Data!$AO$2:$AO$956),ROW(Data!$AO$2:$AO$956)),""),ROWS($A$1:A10)),COLUMNS($A$1:A10)),
$B$6 = "OWIF",
INDEX(Data!$B$2:$EO$956,
SMALL(IF(INDEX(Data!$B$2:$EO$956,,MATCH("Grant Fund",Data!$1:$1,0)-1,1)="OWIF",MATCH(ROW(Data!$AO$2:$AO$956),ROW(Data!$AO$2:$AO$956)),""),ROWS($A$1:A10)),COLUMNS($A$1:A10)),
$B$6 = "WIOA",
INDEX(Data!$B$2:$EO$956,
SMALL(IF(INDEX(Data!$B$2:$EO$956,,MATCH("Grant Fund",Data!$1:$1,0)-1,1)="WIOA",MATCH(ROW(Data!$AO$2:$AO$956),ROW(Data!$AO$2:$AO$956)),""),ROWS($A$1:A10)),COLUMNS($A$1:A10)),
$B$6 = "WIOA II",
INDEX(Data!$B$2:$EO$956,
SMALL(IF(INDEX(Data!$B$2:$EO$956,,MATCH("Grant Fund",Data!$1:$1,0)-1,1)="WIOA II",MATCH(ROW(Data!$AO$2:$AO$956),ROW(Data!$AO$2:$AO$956)),""),ROWS($A$1:A10)),COLUMNS($A$1:A10)),
$B$6 = "WIOA III",
INDEX(Data!$B$2:$EO$956,
SMALL(IF(INDEX(Data!$B$2:$EO$956,,MATCH("Grant Fund",Data!$1:$1,0)-1,1)="WIOA III",MATCH(ROW(Data!$AO$2:$AO$956),ROW(Data!$AO$2:$AO$956)),""),ROWS($A$1:A10)),COLUMNS($A$1:A10)),
$B$6 = "Currently Employed",
INDEX(Data!$B$2:$EO$956,
SMALL(IF(INDEX(Data!$B$2:$EO$956,,MATCH("Currently Employed",Data!$1:$1,0)-1,1)="Yes",MATCH(ROW(Data!$DZ$2:$DZ$956),ROW(Data!$DZ$2:$DZ$956)),""),ROWS($A$1:A10)),COLUMNS($A$1:A10)),
$B$6 = "Inactive",
INDEX(Data!$B$2:$EO$956,
SMALL(IF(INDEX(Data!$B$2:$EO$956,,MATCH("Inactive",Data!$1:$1,0)-1,1)="Yes",MATCH(ROW(Data!$DG$2:$DG$956),ROW(Data!$DG$2:$DG$956)),""),ROWS($A$1:A10)),COLUMNS($A$1:A10)),
$B$6 = "Active",
INDEX(Data!$B$2:$EO$956,
SMALL(IF(INDEX(Data!$B$2:$EO$956,,MATCH("Active",Data!$1:$1,0)-1,1)="Yes",MATCH(ROW(Data!$DZ$2:$DZ$956),ROW(Data!$DZ$2:$DZ$956)),""),ROWS($A$1:A10)),COLUMNS($A$1:A10)),
$B$6 = "Status Unknown",
INDEX(Data!$B$2:$EO$956,
SMALL(IF(INDEX(Data!$B$2:$EO$956,,MATCH("Status Unknown",Data!$1:$1,0)-1,1)="Yes",MATCH(ROW(Data!$EB$2:$EB$956),ROW(Data!$EB$2:$EB$956)),""),ROWS($A$1:A10)),COLUMNS($A$1:A10)),
$B$6 = "Enrollment Pending",
INDEX(Data!$B$2:$EO$956,
SMALL(IF(INDEX(Data!$B$2:$EO$956,,MATCH("Enrollment Pending",Data!$1:$1,0)-1,1)="Yes",MATCH(ROW(Data!$DY$2:$DY$956),ROW(Data!$DY$2:$DY$956)),""),ROWS($A$1:A10)),COLUMNS($A$1:A10)),
$B$6 = "Gained Certification",
INDEX(Data!$B$2:$EO$956,
SMALL(IF(INDEX(Data!$B$2:$EO$956,,MATCH("Gained Certification",Data!$1:$1,0)-1,1)="Yes",MATCH(ROW(Data!$DU$2:$DU$956),ROW(Data!$DU$2:$DU$956)),""),ROWS($A$1:A10)),COLUMNS($A$1:A10)),
$B$6 = "No Certification",
INDEX(Data!$B$2:$EO$956,
SMALL(IF(INDEX(Data!$B$2:$EO$956,,MATCH("Gained Certification",Data!$1:$1,0)-1,1)&lt;&gt;"Yes",MATCH(ROW(Data!$DU$2:$DU$956),ROW(Data!$DU$2:$DU$956)),""),ROWS($A$1:A10)),COLUMNS($A$1:A10)),
$B$6 = "Completers Without Employment",
INDEX(Data!$B$2:$EO$967,
SMALL(IF(INDEX(Data!$B$2:$EO$967,,MATCH("Completed Without Employment",Data!$1:$1,0)-1,1)="Yes",MATCH(ROW(Data!$DZ$2:$DZ$967),ROW(Data!$DZ$2:$DZ$967)),""),ROWS($A$1:A10)),COLUMNS($A$1:A10)),
$B$6 = "CH",
INDEX(Data!$B$2:$EO$956,
SMALL(IF(INDEX(Data!$B$2:$EO$956,,MATCH("Case Manager",Data!$1:$1,0)-1,1)="CH",MATCH(ROW(Data!$DZ$2:$DZ$956),ROW(Data!$DZ$2:$DZ$956)),""),ROWS($A$1:A10)),COLUMNS($A$1:A10)),
$B$6 = "ML",
INDEX(Data!$B$2:$EO$956,
SMALL(IF(INDEX(Data!$B$2:$EO$956,,MATCH("Case Manager",Data!$1:$1,0)-1,1)="ML",MATCH(ROW(Data!$DZ$2:$DZ$956),ROW(Data!$DZ$2:$DZ$956)),""),ROWS($A$1:A10)),COLUMNS($A$1:A10)),
$B$6 = "RB",
INDEX(Data!$B$2:$EO$956,
SMALL(IF(INDEX(Data!$B$2:$EO$956,,MATCH("Case Manager",Data!$1:$1,0)-1,1)="RB",MATCH(ROW(Data!$DZ$2:$DZ$956),ROW(Data!$DZ$2:$DZ$956)),""),ROWS($A$1:A10)),COLUMNS($A$1:A10)),
$B$6 = "RV",
INDEX(Data!$B$2:$EO$956,
SMALL(IF(INDEX(Data!$B$2:$EO$956,,MATCH("Case Manager",Data!$1:$1,0)-1,1)="RV",MATCH(ROW(Data!$DZ$2:$DZ$956),ROW(Data!$DZ$2:$DZ$956)),""),ROWS($A$1:A10)),COLUMNS($A$1:A10)),
$B$6 = "SG",
INDEX(Data!$B$2:$EO$956,
SMALL(IF(INDEX(Data!$B$2:$EO$956,,MATCH("Case Manager",Data!$1:$1,0)-1,1)="SH",MATCH(ROW(Data!$DZ$2:$DZ$956),ROW(Data!$DZ$2:$DZ$956)),""),ROWS($A$1:A10)),COLUMNS($A$1:A10))
),"")</f>
        <v>976659</v>
      </c>
      <c r="C21" s="1" t="str">
        <f>IF(
IFERROR(
INDEX(Data!$1:$1048576,MATCH('Client Lists'!$B21,Data!$B:$B,0),MATCH('Client Lists'!C$11,Data!$1:$1,0)),"")=0,"",
IFERROR(
INDEX(Data!$1:$1048576,MATCH('Client Lists'!$B21,Data!$B:$B,0),MATCH('Client Lists'!C$11,Data!$1:$1,0)),""))</f>
        <v/>
      </c>
      <c r="D21" s="1" t="str">
        <f>IF(
IFERROR(
INDEX(Data!$1:$1048576,MATCH('Client Lists'!$B21,Data!$B:$B,0),MATCH('Client Lists'!D$11,Data!$1:$1,0)),"")=0,"",
IFERROR(
INDEX(Data!$1:$1048576,MATCH('Client Lists'!$B21,Data!$B:$B,0),MATCH('Client Lists'!D$11,Data!$1:$1,0)),""))</f>
        <v>CF</v>
      </c>
      <c r="E21" s="1" t="str">
        <f>IF(
IFERROR(
INDEX(Data!$1:$1048576,MATCH('Client Lists'!$B21,Data!$B:$B,0),MATCH('Client Lists'!E$11,Data!$1:$1,0)),"")=0,"",
IFERROR(
INDEX(Data!$1:$1048576,MATCH('Client Lists'!$B21,Data!$B:$B,0),MATCH('Client Lists'!E$11,Data!$1:$1,0)),""))</f>
        <v>WIOA III; CDBG</v>
      </c>
      <c r="F21" s="1">
        <f>IF(
IFERROR(
INDEX(Data!$1:$1048576,MATCH('Client Lists'!$B21,Data!$B:$B,0),MATCH('Client Lists'!F$11,Data!$1:$1,0)),"")=0,"",
IFERROR(
INDEX(Data!$1:$1048576,MATCH('Client Lists'!$B21,Data!$B:$B,0),MATCH('Client Lists'!F$11,Data!$1:$1,0)),""))</f>
        <v>44375</v>
      </c>
      <c r="G21" s="1" t="str">
        <f>IF(
IFERROR(
INDEX(Data!$1:$1048576,MATCH('Client Lists'!$B21,Data!$B:$B,0),MATCH('Client Lists'!G$11,Data!$1:$1,0)),"")=0,"",
IFERROR(
INDEX(Data!$1:$1048576,MATCH('Client Lists'!$B21,Data!$B:$B,0),MATCH('Client Lists'!G$11,Data!$1:$1,0)),""))</f>
        <v>Yes</v>
      </c>
      <c r="H21" s="1" t="str">
        <f>IF(
IFERROR(
INDEX(Data!$1:$1048576,MATCH('Client Lists'!$B21,Data!$B:$B,0),MATCH('Client Lists'!H$11,Data!$1:$1,0)),"")=0,"",
IFERROR(
INDEX(Data!$1:$1048576,MATCH('Client Lists'!$B21,Data!$B:$B,0),MATCH('Client Lists'!H$11,Data!$1:$1,0)),""))</f>
        <v>No</v>
      </c>
      <c r="I21" s="2" t="str">
        <f>IF(
IFERROR(
INDEX(Data!$1:$1048576,MATCH('Client Lists'!$B21,Data!$B:$B,0),MATCH('Client Lists'!I$11,Data!$1:$1,0)),"")=0,"",
IFERROR(
INDEX(Data!$1:$1048576,MATCH('Client Lists'!$B21,Data!$B:$B,0),MATCH('Client Lists'!I$11,Data!$1:$1,0)),""))</f>
        <v/>
      </c>
      <c r="J21" s="1" t="str">
        <f>IF(
IFERROR(
INDEX(Data!$1:$1048576,MATCH('Client Lists'!$B21,Data!$B:$B,0),MATCH('Client Lists'!J$11,Data!$1:$1,0)),"")=0,"",
IFERROR(
INDEX(Data!$1:$1048576,MATCH('Client Lists'!$B21,Data!$B:$B,0),MATCH('Client Lists'!J$11,Data!$1:$1,0)),""))</f>
        <v/>
      </c>
      <c r="K21" s="1" t="str">
        <f>IF(
IFERROR(
INDEX(Data!$1:$1048576,MATCH('Client Lists'!$B21,Data!$B:$B,0),MATCH('Client Lists'!K$11,Data!$1:$1,0)),"")=0,"",
IFERROR(
INDEX(Data!$1:$1048576,MATCH('Client Lists'!$B21,Data!$B:$B,0),MATCH('Client Lists'!K$11,Data!$1:$1,0)),""))</f>
        <v/>
      </c>
    </row>
    <row r="22" spans="2:11" x14ac:dyDescent="0.45">
      <c r="B22" s="5">
        <f t="array" ref="B22">IFERROR(_xlfn.IFS(
$B$6 = "Retention Overdue",
INDEX(Data!$B$2:$EO$956,
SMALL(IF(INDEX(Data!$B$2:$EO$956,,MATCH("Call Due",Data!$1:$1,0)-1,1)="Yes",MATCH(ROW(Data!$CN$2:$CN$956),ROW(Data!$CN$2:$CN$956)),""),ROWS($A$1:A11)),COLUMNS($A$1:A11)),
$B$6 = "OWIF-W",
INDEX(Data!$B$2:$EO$956,
SMALL(IF(INDEX(Data!$B$2:$EO$956,,MATCH("Grant Fund",Data!$1:$1,0)-1,1)="OWIF-W",MATCH(ROW(Data!$AO$2:$AO$956),ROW(Data!$AO$2:$AO$956)),""),ROWS($A$1:A11)),COLUMNS($A$1:A11)),
$B$6 = "G2C",
INDEX(Data!$B$2:$EO$956,
SMALL(IF(INDEX(Data!$B$2:$EO$956,,MATCH("Grant Fund",Data!$1:$1,0)-1,1)="Grads2Careers",MATCH(ROW(Data!$AO$2:$AO$956),ROW(Data!$AO$2:$AO$956)),""),ROWS($A$1:A11)),COLUMNS($A$1:A11)),
$B$6 = "OWIF",
INDEX(Data!$B$2:$EO$956,
SMALL(IF(INDEX(Data!$B$2:$EO$956,,MATCH("Grant Fund",Data!$1:$1,0)-1,1)="OWIF",MATCH(ROW(Data!$AO$2:$AO$956),ROW(Data!$AO$2:$AO$956)),""),ROWS($A$1:A11)),COLUMNS($A$1:A11)),
$B$6 = "WIOA",
INDEX(Data!$B$2:$EO$956,
SMALL(IF(INDEX(Data!$B$2:$EO$956,,MATCH("Grant Fund",Data!$1:$1,0)-1,1)="WIOA",MATCH(ROW(Data!$AO$2:$AO$956),ROW(Data!$AO$2:$AO$956)),""),ROWS($A$1:A11)),COLUMNS($A$1:A11)),
$B$6 = "WIOA II",
INDEX(Data!$B$2:$EO$956,
SMALL(IF(INDEX(Data!$B$2:$EO$956,,MATCH("Grant Fund",Data!$1:$1,0)-1,1)="WIOA II",MATCH(ROW(Data!$AO$2:$AO$956),ROW(Data!$AO$2:$AO$956)),""),ROWS($A$1:A11)),COLUMNS($A$1:A11)),
$B$6 = "WIOA III",
INDEX(Data!$B$2:$EO$956,
SMALL(IF(INDEX(Data!$B$2:$EO$956,,MATCH("Grant Fund",Data!$1:$1,0)-1,1)="WIOA III",MATCH(ROW(Data!$AO$2:$AO$956),ROW(Data!$AO$2:$AO$956)),""),ROWS($A$1:A11)),COLUMNS($A$1:A11)),
$B$6 = "Currently Employed",
INDEX(Data!$B$2:$EO$956,
SMALL(IF(INDEX(Data!$B$2:$EO$956,,MATCH("Currently Employed",Data!$1:$1,0)-1,1)="Yes",MATCH(ROW(Data!$DZ$2:$DZ$956),ROW(Data!$DZ$2:$DZ$956)),""),ROWS($A$1:A11)),COLUMNS($A$1:A11)),
$B$6 = "Inactive",
INDEX(Data!$B$2:$EO$956,
SMALL(IF(INDEX(Data!$B$2:$EO$956,,MATCH("Inactive",Data!$1:$1,0)-1,1)="Yes",MATCH(ROW(Data!$DG$2:$DG$956),ROW(Data!$DG$2:$DG$956)),""),ROWS($A$1:A11)),COLUMNS($A$1:A11)),
$B$6 = "Active",
INDEX(Data!$B$2:$EO$956,
SMALL(IF(INDEX(Data!$B$2:$EO$956,,MATCH("Active",Data!$1:$1,0)-1,1)="Yes",MATCH(ROW(Data!$DZ$2:$DZ$956),ROW(Data!$DZ$2:$DZ$956)),""),ROWS($A$1:A11)),COLUMNS($A$1:A11)),
$B$6 = "Status Unknown",
INDEX(Data!$B$2:$EO$956,
SMALL(IF(INDEX(Data!$B$2:$EO$956,,MATCH("Status Unknown",Data!$1:$1,0)-1,1)="Yes",MATCH(ROW(Data!$EB$2:$EB$956),ROW(Data!$EB$2:$EB$956)),""),ROWS($A$1:A11)),COLUMNS($A$1:A11)),
$B$6 = "Enrollment Pending",
INDEX(Data!$B$2:$EO$956,
SMALL(IF(INDEX(Data!$B$2:$EO$956,,MATCH("Enrollment Pending",Data!$1:$1,0)-1,1)="Yes",MATCH(ROW(Data!$DY$2:$DY$956),ROW(Data!$DY$2:$DY$956)),""),ROWS($A$1:A11)),COLUMNS($A$1:A11)),
$B$6 = "Gained Certification",
INDEX(Data!$B$2:$EO$956,
SMALL(IF(INDEX(Data!$B$2:$EO$956,,MATCH("Gained Certification",Data!$1:$1,0)-1,1)="Yes",MATCH(ROW(Data!$DU$2:$DU$956),ROW(Data!$DU$2:$DU$956)),""),ROWS($A$1:A11)),COLUMNS($A$1:A11)),
$B$6 = "No Certification",
INDEX(Data!$B$2:$EO$956,
SMALL(IF(INDEX(Data!$B$2:$EO$956,,MATCH("Gained Certification",Data!$1:$1,0)-1,1)&lt;&gt;"Yes",MATCH(ROW(Data!$DU$2:$DU$956),ROW(Data!$DU$2:$DU$956)),""),ROWS($A$1:A11)),COLUMNS($A$1:A11)),
$B$6 = "Completers Without Employment",
INDEX(Data!$B$2:$EO$967,
SMALL(IF(INDEX(Data!$B$2:$EO$967,,MATCH("Completed Without Employment",Data!$1:$1,0)-1,1)="Yes",MATCH(ROW(Data!$DZ$2:$DZ$967),ROW(Data!$DZ$2:$DZ$967)),""),ROWS($A$1:A11)),COLUMNS($A$1:A11)),
$B$6 = "CH",
INDEX(Data!$B$2:$EO$956,
SMALL(IF(INDEX(Data!$B$2:$EO$956,,MATCH("Case Manager",Data!$1:$1,0)-1,1)="CH",MATCH(ROW(Data!$DZ$2:$DZ$956),ROW(Data!$DZ$2:$DZ$956)),""),ROWS($A$1:A11)),COLUMNS($A$1:A11)),
$B$6 = "ML",
INDEX(Data!$B$2:$EO$956,
SMALL(IF(INDEX(Data!$B$2:$EO$956,,MATCH("Case Manager",Data!$1:$1,0)-1,1)="ML",MATCH(ROW(Data!$DZ$2:$DZ$956),ROW(Data!$DZ$2:$DZ$956)),""),ROWS($A$1:A11)),COLUMNS($A$1:A11)),
$B$6 = "RB",
INDEX(Data!$B$2:$EO$956,
SMALL(IF(INDEX(Data!$B$2:$EO$956,,MATCH("Case Manager",Data!$1:$1,0)-1,1)="RB",MATCH(ROW(Data!$DZ$2:$DZ$956),ROW(Data!$DZ$2:$DZ$956)),""),ROWS($A$1:A11)),COLUMNS($A$1:A11)),
$B$6 = "RV",
INDEX(Data!$B$2:$EO$956,
SMALL(IF(INDEX(Data!$B$2:$EO$956,,MATCH("Case Manager",Data!$1:$1,0)-1,1)="RV",MATCH(ROW(Data!$DZ$2:$DZ$956),ROW(Data!$DZ$2:$DZ$956)),""),ROWS($A$1:A11)),COLUMNS($A$1:A11)),
$B$6 = "SG",
INDEX(Data!$B$2:$EO$956,
SMALL(IF(INDEX(Data!$B$2:$EO$956,,MATCH("Case Manager",Data!$1:$1,0)-1,1)="SH",MATCH(ROW(Data!$DZ$2:$DZ$956),ROW(Data!$DZ$2:$DZ$956)),""),ROWS($A$1:A11)),COLUMNS($A$1:A11))
),"")</f>
        <v>977171</v>
      </c>
      <c r="C22" s="1" t="str">
        <f>IF(
IFERROR(
INDEX(Data!$1:$1048576,MATCH('Client Lists'!$B22,Data!$B:$B,0),MATCH('Client Lists'!C$11,Data!$1:$1,0)),"")=0,"",
IFERROR(
INDEX(Data!$1:$1048576,MATCH('Client Lists'!$B22,Data!$B:$B,0),MATCH('Client Lists'!C$11,Data!$1:$1,0)),""))</f>
        <v/>
      </c>
      <c r="D22" s="1" t="str">
        <f>IF(
IFERROR(
INDEX(Data!$1:$1048576,MATCH('Client Lists'!$B22,Data!$B:$B,0),MATCH('Client Lists'!D$11,Data!$1:$1,0)),"")=0,"",
IFERROR(
INDEX(Data!$1:$1048576,MATCH('Client Lists'!$B22,Data!$B:$B,0),MATCH('Client Lists'!D$11,Data!$1:$1,0)),""))</f>
        <v>MTDL</v>
      </c>
      <c r="E22" s="1" t="str">
        <f>IF(
IFERROR(
INDEX(Data!$1:$1048576,MATCH('Client Lists'!$B22,Data!$B:$B,0),MATCH('Client Lists'!E$11,Data!$1:$1,0)),"")=0,"",
IFERROR(
INDEX(Data!$1:$1048576,MATCH('Client Lists'!$B22,Data!$B:$B,0),MATCH('Client Lists'!E$11,Data!$1:$1,0)),""))</f>
        <v xml:space="preserve"> CDBG; EARN</v>
      </c>
      <c r="F22" s="1">
        <f>IF(
IFERROR(
INDEX(Data!$1:$1048576,MATCH('Client Lists'!$B22,Data!$B:$B,0),MATCH('Client Lists'!F$11,Data!$1:$1,0)),"")=0,"",
IFERROR(
INDEX(Data!$1:$1048576,MATCH('Client Lists'!$B22,Data!$B:$B,0),MATCH('Client Lists'!F$11,Data!$1:$1,0)),""))</f>
        <v>44712</v>
      </c>
      <c r="G22" s="1" t="str">
        <f>IF(
IFERROR(
INDEX(Data!$1:$1048576,MATCH('Client Lists'!$B22,Data!$B:$B,0),MATCH('Client Lists'!G$11,Data!$1:$1,0)),"")=0,"",
IFERROR(
INDEX(Data!$1:$1048576,MATCH('Client Lists'!$B22,Data!$B:$B,0),MATCH('Client Lists'!G$11,Data!$1:$1,0)),""))</f>
        <v>Yes</v>
      </c>
      <c r="H22" s="1" t="str">
        <f>IF(
IFERROR(
INDEX(Data!$1:$1048576,MATCH('Client Lists'!$B22,Data!$B:$B,0),MATCH('Client Lists'!H$11,Data!$1:$1,0)),"")=0,"",
IFERROR(
INDEX(Data!$1:$1048576,MATCH('Client Lists'!$B22,Data!$B:$B,0),MATCH('Client Lists'!H$11,Data!$1:$1,0)),""))</f>
        <v>No</v>
      </c>
      <c r="I22" s="2" t="str">
        <f>IF(
IFERROR(
INDEX(Data!$1:$1048576,MATCH('Client Lists'!$B22,Data!$B:$B,0),MATCH('Client Lists'!I$11,Data!$1:$1,0)),"")=0,"",
IFERROR(
INDEX(Data!$1:$1048576,MATCH('Client Lists'!$B22,Data!$B:$B,0),MATCH('Client Lists'!I$11,Data!$1:$1,0)),""))</f>
        <v/>
      </c>
      <c r="J22" s="1" t="str">
        <f>IF(
IFERROR(
INDEX(Data!$1:$1048576,MATCH('Client Lists'!$B22,Data!$B:$B,0),MATCH('Client Lists'!J$11,Data!$1:$1,0)),"")=0,"",
IFERROR(
INDEX(Data!$1:$1048576,MATCH('Client Lists'!$B22,Data!$B:$B,0),MATCH('Client Lists'!J$11,Data!$1:$1,0)),""))</f>
        <v/>
      </c>
      <c r="K22" s="1" t="str">
        <f>IF(
IFERROR(
INDEX(Data!$1:$1048576,MATCH('Client Lists'!$B22,Data!$B:$B,0),MATCH('Client Lists'!K$11,Data!$1:$1,0)),"")=0,"",
IFERROR(
INDEX(Data!$1:$1048576,MATCH('Client Lists'!$B22,Data!$B:$B,0),MATCH('Client Lists'!K$11,Data!$1:$1,0)),""))</f>
        <v/>
      </c>
    </row>
    <row r="23" spans="2:11" x14ac:dyDescent="0.45">
      <c r="B23" s="5">
        <f t="array" ref="B23">IFERROR(_xlfn.IFS(
$B$6 = "Retention Overdue",
INDEX(Data!$B$2:$EO$956,
SMALL(IF(INDEX(Data!$B$2:$EO$956,,MATCH("Call Due",Data!$1:$1,0)-1,1)="Yes",MATCH(ROW(Data!$CN$2:$CN$956),ROW(Data!$CN$2:$CN$956)),""),ROWS($A$1:A12)),COLUMNS($A$1:A12)),
$B$6 = "OWIF-W",
INDEX(Data!$B$2:$EO$956,
SMALL(IF(INDEX(Data!$B$2:$EO$956,,MATCH("Grant Fund",Data!$1:$1,0)-1,1)="OWIF-W",MATCH(ROW(Data!$AO$2:$AO$956),ROW(Data!$AO$2:$AO$956)),""),ROWS($A$1:A12)),COLUMNS($A$1:A12)),
$B$6 = "G2C",
INDEX(Data!$B$2:$EO$956,
SMALL(IF(INDEX(Data!$B$2:$EO$956,,MATCH("Grant Fund",Data!$1:$1,0)-1,1)="Grads2Careers",MATCH(ROW(Data!$AO$2:$AO$956),ROW(Data!$AO$2:$AO$956)),""),ROWS($A$1:A12)),COLUMNS($A$1:A12)),
$B$6 = "OWIF",
INDEX(Data!$B$2:$EO$956,
SMALL(IF(INDEX(Data!$B$2:$EO$956,,MATCH("Grant Fund",Data!$1:$1,0)-1,1)="OWIF",MATCH(ROW(Data!$AO$2:$AO$956),ROW(Data!$AO$2:$AO$956)),""),ROWS($A$1:A12)),COLUMNS($A$1:A12)),
$B$6 = "WIOA",
INDEX(Data!$B$2:$EO$956,
SMALL(IF(INDEX(Data!$B$2:$EO$956,,MATCH("Grant Fund",Data!$1:$1,0)-1,1)="WIOA",MATCH(ROW(Data!$AO$2:$AO$956),ROW(Data!$AO$2:$AO$956)),""),ROWS($A$1:A12)),COLUMNS($A$1:A12)),
$B$6 = "WIOA II",
INDEX(Data!$B$2:$EO$956,
SMALL(IF(INDEX(Data!$B$2:$EO$956,,MATCH("Grant Fund",Data!$1:$1,0)-1,1)="WIOA II",MATCH(ROW(Data!$AO$2:$AO$956),ROW(Data!$AO$2:$AO$956)),""),ROWS($A$1:A12)),COLUMNS($A$1:A12)),
$B$6 = "WIOA III",
INDEX(Data!$B$2:$EO$956,
SMALL(IF(INDEX(Data!$B$2:$EO$956,,MATCH("Grant Fund",Data!$1:$1,0)-1,1)="WIOA III",MATCH(ROW(Data!$AO$2:$AO$956),ROW(Data!$AO$2:$AO$956)),""),ROWS($A$1:A12)),COLUMNS($A$1:A12)),
$B$6 = "Currently Employed",
INDEX(Data!$B$2:$EO$956,
SMALL(IF(INDEX(Data!$B$2:$EO$956,,MATCH("Currently Employed",Data!$1:$1,0)-1,1)="Yes",MATCH(ROW(Data!$DZ$2:$DZ$956),ROW(Data!$DZ$2:$DZ$956)),""),ROWS($A$1:A12)),COLUMNS($A$1:A12)),
$B$6 = "Inactive",
INDEX(Data!$B$2:$EO$956,
SMALL(IF(INDEX(Data!$B$2:$EO$956,,MATCH("Inactive",Data!$1:$1,0)-1,1)="Yes",MATCH(ROW(Data!$DG$2:$DG$956),ROW(Data!$DG$2:$DG$956)),""),ROWS($A$1:A12)),COLUMNS($A$1:A12)),
$B$6 = "Active",
INDEX(Data!$B$2:$EO$956,
SMALL(IF(INDEX(Data!$B$2:$EO$956,,MATCH("Active",Data!$1:$1,0)-1,1)="Yes",MATCH(ROW(Data!$DZ$2:$DZ$956),ROW(Data!$DZ$2:$DZ$956)),""),ROWS($A$1:A12)),COLUMNS($A$1:A12)),
$B$6 = "Status Unknown",
INDEX(Data!$B$2:$EO$956,
SMALL(IF(INDEX(Data!$B$2:$EO$956,,MATCH("Status Unknown",Data!$1:$1,0)-1,1)="Yes",MATCH(ROW(Data!$EB$2:$EB$956),ROW(Data!$EB$2:$EB$956)),""),ROWS($A$1:A12)),COLUMNS($A$1:A12)),
$B$6 = "Enrollment Pending",
INDEX(Data!$B$2:$EO$956,
SMALL(IF(INDEX(Data!$B$2:$EO$956,,MATCH("Enrollment Pending",Data!$1:$1,0)-1,1)="Yes",MATCH(ROW(Data!$DY$2:$DY$956),ROW(Data!$DY$2:$DY$956)),""),ROWS($A$1:A12)),COLUMNS($A$1:A12)),
$B$6 = "Gained Certification",
INDEX(Data!$B$2:$EO$956,
SMALL(IF(INDEX(Data!$B$2:$EO$956,,MATCH("Gained Certification",Data!$1:$1,0)-1,1)="Yes",MATCH(ROW(Data!$DU$2:$DU$956),ROW(Data!$DU$2:$DU$956)),""),ROWS($A$1:A12)),COLUMNS($A$1:A12)),
$B$6 = "No Certification",
INDEX(Data!$B$2:$EO$956,
SMALL(IF(INDEX(Data!$B$2:$EO$956,,MATCH("Gained Certification",Data!$1:$1,0)-1,1)&lt;&gt;"Yes",MATCH(ROW(Data!$DU$2:$DU$956),ROW(Data!$DU$2:$DU$956)),""),ROWS($A$1:A12)),COLUMNS($A$1:A12)),
$B$6 = "Completers Without Employment",
INDEX(Data!$B$2:$EO$967,
SMALL(IF(INDEX(Data!$B$2:$EO$967,,MATCH("Completed Without Employment",Data!$1:$1,0)-1,1)="Yes",MATCH(ROW(Data!$DZ$2:$DZ$967),ROW(Data!$DZ$2:$DZ$967)),""),ROWS($A$1:A12)),COLUMNS($A$1:A12)),
$B$6 = "CH",
INDEX(Data!$B$2:$EO$956,
SMALL(IF(INDEX(Data!$B$2:$EO$956,,MATCH("Case Manager",Data!$1:$1,0)-1,1)="CH",MATCH(ROW(Data!$DZ$2:$DZ$956),ROW(Data!$DZ$2:$DZ$956)),""),ROWS($A$1:A12)),COLUMNS($A$1:A12)),
$B$6 = "ML",
INDEX(Data!$B$2:$EO$956,
SMALL(IF(INDEX(Data!$B$2:$EO$956,,MATCH("Case Manager",Data!$1:$1,0)-1,1)="ML",MATCH(ROW(Data!$DZ$2:$DZ$956),ROW(Data!$DZ$2:$DZ$956)),""),ROWS($A$1:A12)),COLUMNS($A$1:A12)),
$B$6 = "RB",
INDEX(Data!$B$2:$EO$956,
SMALL(IF(INDEX(Data!$B$2:$EO$956,,MATCH("Case Manager",Data!$1:$1,0)-1,1)="RB",MATCH(ROW(Data!$DZ$2:$DZ$956),ROW(Data!$DZ$2:$DZ$956)),""),ROWS($A$1:A12)),COLUMNS($A$1:A12)),
$B$6 = "RV",
INDEX(Data!$B$2:$EO$956,
SMALL(IF(INDEX(Data!$B$2:$EO$956,,MATCH("Case Manager",Data!$1:$1,0)-1,1)="RV",MATCH(ROW(Data!$DZ$2:$DZ$956),ROW(Data!$DZ$2:$DZ$956)),""),ROWS($A$1:A12)),COLUMNS($A$1:A12)),
$B$6 = "SG",
INDEX(Data!$B$2:$EO$956,
SMALL(IF(INDEX(Data!$B$2:$EO$956,,MATCH("Case Manager",Data!$1:$1,0)-1,1)="SH",MATCH(ROW(Data!$DZ$2:$DZ$956),ROW(Data!$DZ$2:$DZ$956)),""),ROWS($A$1:A12)),COLUMNS($A$1:A12))
),"")</f>
        <v>976975</v>
      </c>
      <c r="C23" s="1" t="str">
        <f>IF(
IFERROR(
INDEX(Data!$1:$1048576,MATCH('Client Lists'!$B23,Data!$B:$B,0),MATCH('Client Lists'!C$11,Data!$1:$1,0)),"")=0,"",
IFERROR(
INDEX(Data!$1:$1048576,MATCH('Client Lists'!$B23,Data!$B:$B,0),MATCH('Client Lists'!C$11,Data!$1:$1,0)),""))</f>
        <v/>
      </c>
      <c r="D23" s="1" t="str">
        <f>IF(
IFERROR(
INDEX(Data!$1:$1048576,MATCH('Client Lists'!$B23,Data!$B:$B,0),MATCH('Client Lists'!D$11,Data!$1:$1,0)),"")=0,"",
IFERROR(
INDEX(Data!$1:$1048576,MATCH('Client Lists'!$B23,Data!$B:$B,0),MATCH('Client Lists'!D$11,Data!$1:$1,0)),""))</f>
        <v>MTDL</v>
      </c>
      <c r="E23" s="1" t="str">
        <f>IF(
IFERROR(
INDEX(Data!$1:$1048576,MATCH('Client Lists'!$B23,Data!$B:$B,0),MATCH('Client Lists'!E$11,Data!$1:$1,0)),"")=0,"",
IFERROR(
INDEX(Data!$1:$1048576,MATCH('Client Lists'!$B23,Data!$B:$B,0),MATCH('Client Lists'!E$11,Data!$1:$1,0)),""))</f>
        <v>MOED Opioid; CDBG</v>
      </c>
      <c r="F23" s="1">
        <f>IF(
IFERROR(
INDEX(Data!$1:$1048576,MATCH('Client Lists'!$B23,Data!$B:$B,0),MATCH('Client Lists'!F$11,Data!$1:$1,0)),"")=0,"",
IFERROR(
INDEX(Data!$1:$1048576,MATCH('Client Lists'!$B23,Data!$B:$B,0),MATCH('Client Lists'!F$11,Data!$1:$1,0)),""))</f>
        <v>44599</v>
      </c>
      <c r="G23" s="1" t="str">
        <f>IF(
IFERROR(
INDEX(Data!$1:$1048576,MATCH('Client Lists'!$B23,Data!$B:$B,0),MATCH('Client Lists'!G$11,Data!$1:$1,0)),"")=0,"",
IFERROR(
INDEX(Data!$1:$1048576,MATCH('Client Lists'!$B23,Data!$B:$B,0),MATCH('Client Lists'!G$11,Data!$1:$1,0)),""))</f>
        <v>Yes</v>
      </c>
      <c r="H23" s="1" t="str">
        <f>IF(
IFERROR(
INDEX(Data!$1:$1048576,MATCH('Client Lists'!$B23,Data!$B:$B,0),MATCH('Client Lists'!H$11,Data!$1:$1,0)),"")=0,"",
IFERROR(
INDEX(Data!$1:$1048576,MATCH('Client Lists'!$B23,Data!$B:$B,0),MATCH('Client Lists'!H$11,Data!$1:$1,0)),""))</f>
        <v>No</v>
      </c>
      <c r="I23" s="2" t="str">
        <f>IF(
IFERROR(
INDEX(Data!$1:$1048576,MATCH('Client Lists'!$B23,Data!$B:$B,0),MATCH('Client Lists'!I$11,Data!$1:$1,0)),"")=0,"",
IFERROR(
INDEX(Data!$1:$1048576,MATCH('Client Lists'!$B23,Data!$B:$B,0),MATCH('Client Lists'!I$11,Data!$1:$1,0)),""))</f>
        <v>Yes</v>
      </c>
      <c r="J23" s="1" t="str">
        <f>IF(
IFERROR(
INDEX(Data!$1:$1048576,MATCH('Client Lists'!$B23,Data!$B:$B,0),MATCH('Client Lists'!J$11,Data!$1:$1,0)),"")=0,"",
IFERROR(
INDEX(Data!$1:$1048576,MATCH('Client Lists'!$B23,Data!$B:$B,0),MATCH('Client Lists'!J$11,Data!$1:$1,0)),""))</f>
        <v>07/29/2022</v>
      </c>
      <c r="K23" s="1" t="str">
        <f>IF(
IFERROR(
INDEX(Data!$1:$1048576,MATCH('Client Lists'!$B23,Data!$B:$B,0),MATCH('Client Lists'!K$11,Data!$1:$1,0)),"")=0,"",
IFERROR(
INDEX(Data!$1:$1048576,MATCH('Client Lists'!$B23,Data!$B:$B,0),MATCH('Client Lists'!K$11,Data!$1:$1,0)),""))</f>
        <v>Job Not Retained</v>
      </c>
    </row>
    <row r="24" spans="2:11" x14ac:dyDescent="0.45">
      <c r="B24" s="5">
        <f t="array" ref="B24">IFERROR(_xlfn.IFS(
$B$6 = "Retention Overdue",
INDEX(Data!$B$2:$EO$956,
SMALL(IF(INDEX(Data!$B$2:$EO$956,,MATCH("Call Due",Data!$1:$1,0)-1,1)="Yes",MATCH(ROW(Data!$CN$2:$CN$956),ROW(Data!$CN$2:$CN$956)),""),ROWS($A$1:A13)),COLUMNS($A$1:A13)),
$B$6 = "OWIF-W",
INDEX(Data!$B$2:$EO$956,
SMALL(IF(INDEX(Data!$B$2:$EO$956,,MATCH("Grant Fund",Data!$1:$1,0)-1,1)="OWIF-W",MATCH(ROW(Data!$AO$2:$AO$956),ROW(Data!$AO$2:$AO$956)),""),ROWS($A$1:A13)),COLUMNS($A$1:A13)),
$B$6 = "G2C",
INDEX(Data!$B$2:$EO$956,
SMALL(IF(INDEX(Data!$B$2:$EO$956,,MATCH("Grant Fund",Data!$1:$1,0)-1,1)="Grads2Careers",MATCH(ROW(Data!$AO$2:$AO$956),ROW(Data!$AO$2:$AO$956)),""),ROWS($A$1:A13)),COLUMNS($A$1:A13)),
$B$6 = "OWIF",
INDEX(Data!$B$2:$EO$956,
SMALL(IF(INDEX(Data!$B$2:$EO$956,,MATCH("Grant Fund",Data!$1:$1,0)-1,1)="OWIF",MATCH(ROW(Data!$AO$2:$AO$956),ROW(Data!$AO$2:$AO$956)),""),ROWS($A$1:A13)),COLUMNS($A$1:A13)),
$B$6 = "WIOA",
INDEX(Data!$B$2:$EO$956,
SMALL(IF(INDEX(Data!$B$2:$EO$956,,MATCH("Grant Fund",Data!$1:$1,0)-1,1)="WIOA",MATCH(ROW(Data!$AO$2:$AO$956),ROW(Data!$AO$2:$AO$956)),""),ROWS($A$1:A13)),COLUMNS($A$1:A13)),
$B$6 = "WIOA II",
INDEX(Data!$B$2:$EO$956,
SMALL(IF(INDEX(Data!$B$2:$EO$956,,MATCH("Grant Fund",Data!$1:$1,0)-1,1)="WIOA II",MATCH(ROW(Data!$AO$2:$AO$956),ROW(Data!$AO$2:$AO$956)),""),ROWS($A$1:A13)),COLUMNS($A$1:A13)),
$B$6 = "WIOA III",
INDEX(Data!$B$2:$EO$956,
SMALL(IF(INDEX(Data!$B$2:$EO$956,,MATCH("Grant Fund",Data!$1:$1,0)-1,1)="WIOA III",MATCH(ROW(Data!$AO$2:$AO$956),ROW(Data!$AO$2:$AO$956)),""),ROWS($A$1:A13)),COLUMNS($A$1:A13)),
$B$6 = "Currently Employed",
INDEX(Data!$B$2:$EO$956,
SMALL(IF(INDEX(Data!$B$2:$EO$956,,MATCH("Currently Employed",Data!$1:$1,0)-1,1)="Yes",MATCH(ROW(Data!$DZ$2:$DZ$956),ROW(Data!$DZ$2:$DZ$956)),""),ROWS($A$1:A13)),COLUMNS($A$1:A13)),
$B$6 = "Inactive",
INDEX(Data!$B$2:$EO$956,
SMALL(IF(INDEX(Data!$B$2:$EO$956,,MATCH("Inactive",Data!$1:$1,0)-1,1)="Yes",MATCH(ROW(Data!$DG$2:$DG$956),ROW(Data!$DG$2:$DG$956)),""),ROWS($A$1:A13)),COLUMNS($A$1:A13)),
$B$6 = "Active",
INDEX(Data!$B$2:$EO$956,
SMALL(IF(INDEX(Data!$B$2:$EO$956,,MATCH("Active",Data!$1:$1,0)-1,1)="Yes",MATCH(ROW(Data!$DZ$2:$DZ$956),ROW(Data!$DZ$2:$DZ$956)),""),ROWS($A$1:A13)),COLUMNS($A$1:A13)),
$B$6 = "Status Unknown",
INDEX(Data!$B$2:$EO$956,
SMALL(IF(INDEX(Data!$B$2:$EO$956,,MATCH("Status Unknown",Data!$1:$1,0)-1,1)="Yes",MATCH(ROW(Data!$EB$2:$EB$956),ROW(Data!$EB$2:$EB$956)),""),ROWS($A$1:A13)),COLUMNS($A$1:A13)),
$B$6 = "Enrollment Pending",
INDEX(Data!$B$2:$EO$956,
SMALL(IF(INDEX(Data!$B$2:$EO$956,,MATCH("Enrollment Pending",Data!$1:$1,0)-1,1)="Yes",MATCH(ROW(Data!$DY$2:$DY$956),ROW(Data!$DY$2:$DY$956)),""),ROWS($A$1:A13)),COLUMNS($A$1:A13)),
$B$6 = "Gained Certification",
INDEX(Data!$B$2:$EO$956,
SMALL(IF(INDEX(Data!$B$2:$EO$956,,MATCH("Gained Certification",Data!$1:$1,0)-1,1)="Yes",MATCH(ROW(Data!$DU$2:$DU$956),ROW(Data!$DU$2:$DU$956)),""),ROWS($A$1:A13)),COLUMNS($A$1:A13)),
$B$6 = "No Certification",
INDEX(Data!$B$2:$EO$956,
SMALL(IF(INDEX(Data!$B$2:$EO$956,,MATCH("Gained Certification",Data!$1:$1,0)-1,1)&lt;&gt;"Yes",MATCH(ROW(Data!$DU$2:$DU$956),ROW(Data!$DU$2:$DU$956)),""),ROWS($A$1:A13)),COLUMNS($A$1:A13)),
$B$6 = "Completers Without Employment",
INDEX(Data!$B$2:$EO$967,
SMALL(IF(INDEX(Data!$B$2:$EO$967,,MATCH("Completed Without Employment",Data!$1:$1,0)-1,1)="Yes",MATCH(ROW(Data!$DZ$2:$DZ$967),ROW(Data!$DZ$2:$DZ$967)),""),ROWS($A$1:A13)),COLUMNS($A$1:A13)),
$B$6 = "CH",
INDEX(Data!$B$2:$EO$956,
SMALL(IF(INDEX(Data!$B$2:$EO$956,,MATCH("Case Manager",Data!$1:$1,0)-1,1)="CH",MATCH(ROW(Data!$DZ$2:$DZ$956),ROW(Data!$DZ$2:$DZ$956)),""),ROWS($A$1:A13)),COLUMNS($A$1:A13)),
$B$6 = "ML",
INDEX(Data!$B$2:$EO$956,
SMALL(IF(INDEX(Data!$B$2:$EO$956,,MATCH("Case Manager",Data!$1:$1,0)-1,1)="ML",MATCH(ROW(Data!$DZ$2:$DZ$956),ROW(Data!$DZ$2:$DZ$956)),""),ROWS($A$1:A13)),COLUMNS($A$1:A13)),
$B$6 = "RB",
INDEX(Data!$B$2:$EO$956,
SMALL(IF(INDEX(Data!$B$2:$EO$956,,MATCH("Case Manager",Data!$1:$1,0)-1,1)="RB",MATCH(ROW(Data!$DZ$2:$DZ$956),ROW(Data!$DZ$2:$DZ$956)),""),ROWS($A$1:A13)),COLUMNS($A$1:A13)),
$B$6 = "RV",
INDEX(Data!$B$2:$EO$956,
SMALL(IF(INDEX(Data!$B$2:$EO$956,,MATCH("Case Manager",Data!$1:$1,0)-1,1)="RV",MATCH(ROW(Data!$DZ$2:$DZ$956),ROW(Data!$DZ$2:$DZ$956)),""),ROWS($A$1:A13)),COLUMNS($A$1:A13)),
$B$6 = "SG",
INDEX(Data!$B$2:$EO$956,
SMALL(IF(INDEX(Data!$B$2:$EO$956,,MATCH("Case Manager",Data!$1:$1,0)-1,1)="SH",MATCH(ROW(Data!$DZ$2:$DZ$956),ROW(Data!$DZ$2:$DZ$956)),""),ROWS($A$1:A13)),COLUMNS($A$1:A13))
),"")</f>
        <v>977223</v>
      </c>
      <c r="C24" s="1" t="str">
        <f>IF(
IFERROR(
INDEX(Data!$1:$1048576,MATCH('Client Lists'!$B24,Data!$B:$B,0),MATCH('Client Lists'!C$11,Data!$1:$1,0)),"")=0,"",
IFERROR(
INDEX(Data!$1:$1048576,MATCH('Client Lists'!$B24,Data!$B:$B,0),MATCH('Client Lists'!C$11,Data!$1:$1,0)),""))</f>
        <v/>
      </c>
      <c r="D24" s="1" t="str">
        <f>IF(
IFERROR(
INDEX(Data!$1:$1048576,MATCH('Client Lists'!$B24,Data!$B:$B,0),MATCH('Client Lists'!D$11,Data!$1:$1,0)),"")=0,"",
IFERROR(
INDEX(Data!$1:$1048576,MATCH('Client Lists'!$B24,Data!$B:$B,0),MATCH('Client Lists'!D$11,Data!$1:$1,0)),""))</f>
        <v>MTDL</v>
      </c>
      <c r="E24" s="1" t="str">
        <f>IF(
IFERROR(
INDEX(Data!$1:$1048576,MATCH('Client Lists'!$B24,Data!$B:$B,0),MATCH('Client Lists'!E$11,Data!$1:$1,0)),"")=0,"",
IFERROR(
INDEX(Data!$1:$1048576,MATCH('Client Lists'!$B24,Data!$B:$B,0),MATCH('Client Lists'!E$11,Data!$1:$1,0)),""))</f>
        <v>WIOA; CDBG</v>
      </c>
      <c r="F24" s="1">
        <f>IF(
IFERROR(
INDEX(Data!$1:$1048576,MATCH('Client Lists'!$B24,Data!$B:$B,0),MATCH('Client Lists'!F$11,Data!$1:$1,0)),"")=0,"",
IFERROR(
INDEX(Data!$1:$1048576,MATCH('Client Lists'!$B24,Data!$B:$B,0),MATCH('Client Lists'!F$11,Data!$1:$1,0)),""))</f>
        <v>44747</v>
      </c>
      <c r="G24" s="1" t="str">
        <f>IF(
IFERROR(
INDEX(Data!$1:$1048576,MATCH('Client Lists'!$B24,Data!$B:$B,0),MATCH('Client Lists'!G$11,Data!$1:$1,0)),"")=0,"",
IFERROR(
INDEX(Data!$1:$1048576,MATCH('Client Lists'!$B24,Data!$B:$B,0),MATCH('Client Lists'!G$11,Data!$1:$1,0)),""))</f>
        <v>Yes</v>
      </c>
      <c r="H24" s="1" t="str">
        <f>IF(
IFERROR(
INDEX(Data!$1:$1048576,MATCH('Client Lists'!$B24,Data!$B:$B,0),MATCH('Client Lists'!H$11,Data!$1:$1,0)),"")=0,"",
IFERROR(
INDEX(Data!$1:$1048576,MATCH('Client Lists'!$B24,Data!$B:$B,0),MATCH('Client Lists'!H$11,Data!$1:$1,0)),""))</f>
        <v>No</v>
      </c>
      <c r="I24" s="2" t="str">
        <f>IF(
IFERROR(
INDEX(Data!$1:$1048576,MATCH('Client Lists'!$B24,Data!$B:$B,0),MATCH('Client Lists'!I$11,Data!$1:$1,0)),"")=0,"",
IFERROR(
INDEX(Data!$1:$1048576,MATCH('Client Lists'!$B24,Data!$B:$B,0),MATCH('Client Lists'!I$11,Data!$1:$1,0)),""))</f>
        <v>Yes</v>
      </c>
      <c r="J24" s="1" t="str">
        <f>IF(
IFERROR(
INDEX(Data!$1:$1048576,MATCH('Client Lists'!$B24,Data!$B:$B,0),MATCH('Client Lists'!J$11,Data!$1:$1,0)),"")=0,"",
IFERROR(
INDEX(Data!$1:$1048576,MATCH('Client Lists'!$B24,Data!$B:$B,0),MATCH('Client Lists'!J$11,Data!$1:$1,0)),""))</f>
        <v/>
      </c>
      <c r="K24" s="1" t="str">
        <f>IF(
IFERROR(
INDEX(Data!$1:$1048576,MATCH('Client Lists'!$B24,Data!$B:$B,0),MATCH('Client Lists'!K$11,Data!$1:$1,0)),"")=0,"",
IFERROR(
INDEX(Data!$1:$1048576,MATCH('Client Lists'!$B24,Data!$B:$B,0),MATCH('Client Lists'!K$11,Data!$1:$1,0)),""))</f>
        <v/>
      </c>
    </row>
    <row r="25" spans="2:11" x14ac:dyDescent="0.45">
      <c r="B25" s="5">
        <f t="array" ref="B25">IFERROR(_xlfn.IFS(
$B$6 = "Retention Overdue",
INDEX(Data!$B$2:$EO$956,
SMALL(IF(INDEX(Data!$B$2:$EO$956,,MATCH("Call Due",Data!$1:$1,0)-1,1)="Yes",MATCH(ROW(Data!$CN$2:$CN$956),ROW(Data!$CN$2:$CN$956)),""),ROWS($A$1:A14)),COLUMNS($A$1:A14)),
$B$6 = "OWIF-W",
INDEX(Data!$B$2:$EO$956,
SMALL(IF(INDEX(Data!$B$2:$EO$956,,MATCH("Grant Fund",Data!$1:$1,0)-1,1)="OWIF-W",MATCH(ROW(Data!$AO$2:$AO$956),ROW(Data!$AO$2:$AO$956)),""),ROWS($A$1:A14)),COLUMNS($A$1:A14)),
$B$6 = "G2C",
INDEX(Data!$B$2:$EO$956,
SMALL(IF(INDEX(Data!$B$2:$EO$956,,MATCH("Grant Fund",Data!$1:$1,0)-1,1)="Grads2Careers",MATCH(ROW(Data!$AO$2:$AO$956),ROW(Data!$AO$2:$AO$956)),""),ROWS($A$1:A14)),COLUMNS($A$1:A14)),
$B$6 = "OWIF",
INDEX(Data!$B$2:$EO$956,
SMALL(IF(INDEX(Data!$B$2:$EO$956,,MATCH("Grant Fund",Data!$1:$1,0)-1,1)="OWIF",MATCH(ROW(Data!$AO$2:$AO$956),ROW(Data!$AO$2:$AO$956)),""),ROWS($A$1:A14)),COLUMNS($A$1:A14)),
$B$6 = "WIOA",
INDEX(Data!$B$2:$EO$956,
SMALL(IF(INDEX(Data!$B$2:$EO$956,,MATCH("Grant Fund",Data!$1:$1,0)-1,1)="WIOA",MATCH(ROW(Data!$AO$2:$AO$956),ROW(Data!$AO$2:$AO$956)),""),ROWS($A$1:A14)),COLUMNS($A$1:A14)),
$B$6 = "WIOA II",
INDEX(Data!$B$2:$EO$956,
SMALL(IF(INDEX(Data!$B$2:$EO$956,,MATCH("Grant Fund",Data!$1:$1,0)-1,1)="WIOA II",MATCH(ROW(Data!$AO$2:$AO$956),ROW(Data!$AO$2:$AO$956)),""),ROWS($A$1:A14)),COLUMNS($A$1:A14)),
$B$6 = "WIOA III",
INDEX(Data!$B$2:$EO$956,
SMALL(IF(INDEX(Data!$B$2:$EO$956,,MATCH("Grant Fund",Data!$1:$1,0)-1,1)="WIOA III",MATCH(ROW(Data!$AO$2:$AO$956),ROW(Data!$AO$2:$AO$956)),""),ROWS($A$1:A14)),COLUMNS($A$1:A14)),
$B$6 = "Currently Employed",
INDEX(Data!$B$2:$EO$956,
SMALL(IF(INDEX(Data!$B$2:$EO$956,,MATCH("Currently Employed",Data!$1:$1,0)-1,1)="Yes",MATCH(ROW(Data!$DZ$2:$DZ$956),ROW(Data!$DZ$2:$DZ$956)),""),ROWS($A$1:A14)),COLUMNS($A$1:A14)),
$B$6 = "Inactive",
INDEX(Data!$B$2:$EO$956,
SMALL(IF(INDEX(Data!$B$2:$EO$956,,MATCH("Inactive",Data!$1:$1,0)-1,1)="Yes",MATCH(ROW(Data!$DG$2:$DG$956),ROW(Data!$DG$2:$DG$956)),""),ROWS($A$1:A14)),COLUMNS($A$1:A14)),
$B$6 = "Active",
INDEX(Data!$B$2:$EO$956,
SMALL(IF(INDEX(Data!$B$2:$EO$956,,MATCH("Active",Data!$1:$1,0)-1,1)="Yes",MATCH(ROW(Data!$DZ$2:$DZ$956),ROW(Data!$DZ$2:$DZ$956)),""),ROWS($A$1:A14)),COLUMNS($A$1:A14)),
$B$6 = "Status Unknown",
INDEX(Data!$B$2:$EO$956,
SMALL(IF(INDEX(Data!$B$2:$EO$956,,MATCH("Status Unknown",Data!$1:$1,0)-1,1)="Yes",MATCH(ROW(Data!$EB$2:$EB$956),ROW(Data!$EB$2:$EB$956)),""),ROWS($A$1:A14)),COLUMNS($A$1:A14)),
$B$6 = "Enrollment Pending",
INDEX(Data!$B$2:$EO$956,
SMALL(IF(INDEX(Data!$B$2:$EO$956,,MATCH("Enrollment Pending",Data!$1:$1,0)-1,1)="Yes",MATCH(ROW(Data!$DY$2:$DY$956),ROW(Data!$DY$2:$DY$956)),""),ROWS($A$1:A14)),COLUMNS($A$1:A14)),
$B$6 = "Gained Certification",
INDEX(Data!$B$2:$EO$956,
SMALL(IF(INDEX(Data!$B$2:$EO$956,,MATCH("Gained Certification",Data!$1:$1,0)-1,1)="Yes",MATCH(ROW(Data!$DU$2:$DU$956),ROW(Data!$DU$2:$DU$956)),""),ROWS($A$1:A14)),COLUMNS($A$1:A14)),
$B$6 = "No Certification",
INDEX(Data!$B$2:$EO$956,
SMALL(IF(INDEX(Data!$B$2:$EO$956,,MATCH("Gained Certification",Data!$1:$1,0)-1,1)&lt;&gt;"Yes",MATCH(ROW(Data!$DU$2:$DU$956),ROW(Data!$DU$2:$DU$956)),""),ROWS($A$1:A14)),COLUMNS($A$1:A14)),
$B$6 = "Completers Without Employment",
INDEX(Data!$B$2:$EO$967,
SMALL(IF(INDEX(Data!$B$2:$EO$967,,MATCH("Completed Without Employment",Data!$1:$1,0)-1,1)="Yes",MATCH(ROW(Data!$DZ$2:$DZ$967),ROW(Data!$DZ$2:$DZ$967)),""),ROWS($A$1:A14)),COLUMNS($A$1:A14)),
$B$6 = "CH",
INDEX(Data!$B$2:$EO$956,
SMALL(IF(INDEX(Data!$B$2:$EO$956,,MATCH("Case Manager",Data!$1:$1,0)-1,1)="CH",MATCH(ROW(Data!$DZ$2:$DZ$956),ROW(Data!$DZ$2:$DZ$956)),""),ROWS($A$1:A14)),COLUMNS($A$1:A14)),
$B$6 = "ML",
INDEX(Data!$B$2:$EO$956,
SMALL(IF(INDEX(Data!$B$2:$EO$956,,MATCH("Case Manager",Data!$1:$1,0)-1,1)="ML",MATCH(ROW(Data!$DZ$2:$DZ$956),ROW(Data!$DZ$2:$DZ$956)),""),ROWS($A$1:A14)),COLUMNS($A$1:A14)),
$B$6 = "RB",
INDEX(Data!$B$2:$EO$956,
SMALL(IF(INDEX(Data!$B$2:$EO$956,,MATCH("Case Manager",Data!$1:$1,0)-1,1)="RB",MATCH(ROW(Data!$DZ$2:$DZ$956),ROW(Data!$DZ$2:$DZ$956)),""),ROWS($A$1:A14)),COLUMNS($A$1:A14)),
$B$6 = "RV",
INDEX(Data!$B$2:$EO$956,
SMALL(IF(INDEX(Data!$B$2:$EO$956,,MATCH("Case Manager",Data!$1:$1,0)-1,1)="RV",MATCH(ROW(Data!$DZ$2:$DZ$956),ROW(Data!$DZ$2:$DZ$956)),""),ROWS($A$1:A14)),COLUMNS($A$1:A14)),
$B$6 = "SG",
INDEX(Data!$B$2:$EO$956,
SMALL(IF(INDEX(Data!$B$2:$EO$956,,MATCH("Case Manager",Data!$1:$1,0)-1,1)="SH",MATCH(ROW(Data!$DZ$2:$DZ$956),ROW(Data!$DZ$2:$DZ$956)),""),ROWS($A$1:A14)),COLUMNS($A$1:A14))
),"")</f>
        <v>977094</v>
      </c>
      <c r="C25" s="1" t="str">
        <f>IF(
IFERROR(
INDEX(Data!$1:$1048576,MATCH('Client Lists'!$B25,Data!$B:$B,0),MATCH('Client Lists'!C$11,Data!$1:$1,0)),"")=0,"",
IFERROR(
INDEX(Data!$1:$1048576,MATCH('Client Lists'!$B25,Data!$B:$B,0),MATCH('Client Lists'!C$11,Data!$1:$1,0)),""))</f>
        <v/>
      </c>
      <c r="D25" s="1" t="str">
        <f>IF(
IFERROR(
INDEX(Data!$1:$1048576,MATCH('Client Lists'!$B25,Data!$B:$B,0),MATCH('Client Lists'!D$11,Data!$1:$1,0)),"")=0,"",
IFERROR(
INDEX(Data!$1:$1048576,MATCH('Client Lists'!$B25,Data!$B:$B,0),MATCH('Client Lists'!D$11,Data!$1:$1,0)),""))</f>
        <v>MTDL</v>
      </c>
      <c r="E25" s="1" t="str">
        <f>IF(
IFERROR(
INDEX(Data!$1:$1048576,MATCH('Client Lists'!$B25,Data!$B:$B,0),MATCH('Client Lists'!E$11,Data!$1:$1,0)),"")=0,"",
IFERROR(
INDEX(Data!$1:$1048576,MATCH('Client Lists'!$B25,Data!$B:$B,0),MATCH('Client Lists'!E$11,Data!$1:$1,0)),""))</f>
        <v>MOED Opioid; CDBG</v>
      </c>
      <c r="F25" s="1">
        <f>IF(
IFERROR(
INDEX(Data!$1:$1048576,MATCH('Client Lists'!$B25,Data!$B:$B,0),MATCH('Client Lists'!F$11,Data!$1:$1,0)),"")=0,"",
IFERROR(
INDEX(Data!$1:$1048576,MATCH('Client Lists'!$B25,Data!$B:$B,0),MATCH('Client Lists'!F$11,Data!$1:$1,0)),""))</f>
        <v>44683</v>
      </c>
      <c r="G25" s="1" t="str">
        <f>IF(
IFERROR(
INDEX(Data!$1:$1048576,MATCH('Client Lists'!$B25,Data!$B:$B,0),MATCH('Client Lists'!G$11,Data!$1:$1,0)),"")=0,"",
IFERROR(
INDEX(Data!$1:$1048576,MATCH('Client Lists'!$B25,Data!$B:$B,0),MATCH('Client Lists'!G$11,Data!$1:$1,0)),""))</f>
        <v>Yes</v>
      </c>
      <c r="H25" s="1" t="str">
        <f>IF(
IFERROR(
INDEX(Data!$1:$1048576,MATCH('Client Lists'!$B25,Data!$B:$B,0),MATCH('Client Lists'!H$11,Data!$1:$1,0)),"")=0,"",
IFERROR(
INDEX(Data!$1:$1048576,MATCH('Client Lists'!$B25,Data!$B:$B,0),MATCH('Client Lists'!H$11,Data!$1:$1,0)),""))</f>
        <v>No</v>
      </c>
      <c r="I25" s="2" t="str">
        <f>IF(
IFERROR(
INDEX(Data!$1:$1048576,MATCH('Client Lists'!$B25,Data!$B:$B,0),MATCH('Client Lists'!I$11,Data!$1:$1,0)),"")=0,"",
IFERROR(
INDEX(Data!$1:$1048576,MATCH('Client Lists'!$B25,Data!$B:$B,0),MATCH('Client Lists'!I$11,Data!$1:$1,0)),""))</f>
        <v>Yes</v>
      </c>
      <c r="J25" s="1" t="str">
        <f>IF(
IFERROR(
INDEX(Data!$1:$1048576,MATCH('Client Lists'!$B25,Data!$B:$B,0),MATCH('Client Lists'!J$11,Data!$1:$1,0)),"")=0,"",
IFERROR(
INDEX(Data!$1:$1048576,MATCH('Client Lists'!$B25,Data!$B:$B,0),MATCH('Client Lists'!J$11,Data!$1:$1,0)),""))</f>
        <v/>
      </c>
      <c r="K25" s="1" t="str">
        <f>IF(
IFERROR(
INDEX(Data!$1:$1048576,MATCH('Client Lists'!$B25,Data!$B:$B,0),MATCH('Client Lists'!K$11,Data!$1:$1,0)),"")=0,"",
IFERROR(
INDEX(Data!$1:$1048576,MATCH('Client Lists'!$B25,Data!$B:$B,0),MATCH('Client Lists'!K$11,Data!$1:$1,0)),""))</f>
        <v/>
      </c>
    </row>
    <row r="26" spans="2:11" x14ac:dyDescent="0.45">
      <c r="B26" s="5">
        <f t="array" ref="B26">IFERROR(_xlfn.IFS(
$B$6 = "Retention Overdue",
INDEX(Data!$B$2:$EO$956,
SMALL(IF(INDEX(Data!$B$2:$EO$956,,MATCH("Call Due",Data!$1:$1,0)-1,1)="Yes",MATCH(ROW(Data!$CN$2:$CN$956),ROW(Data!$CN$2:$CN$956)),""),ROWS($A$1:A15)),COLUMNS($A$1:A15)),
$B$6 = "OWIF-W",
INDEX(Data!$B$2:$EO$956,
SMALL(IF(INDEX(Data!$B$2:$EO$956,,MATCH("Grant Fund",Data!$1:$1,0)-1,1)="OWIF-W",MATCH(ROW(Data!$AO$2:$AO$956),ROW(Data!$AO$2:$AO$956)),""),ROWS($A$1:A15)),COLUMNS($A$1:A15)),
$B$6 = "G2C",
INDEX(Data!$B$2:$EO$956,
SMALL(IF(INDEX(Data!$B$2:$EO$956,,MATCH("Grant Fund",Data!$1:$1,0)-1,1)="Grads2Careers",MATCH(ROW(Data!$AO$2:$AO$956),ROW(Data!$AO$2:$AO$956)),""),ROWS($A$1:A15)),COLUMNS($A$1:A15)),
$B$6 = "OWIF",
INDEX(Data!$B$2:$EO$956,
SMALL(IF(INDEX(Data!$B$2:$EO$956,,MATCH("Grant Fund",Data!$1:$1,0)-1,1)="OWIF",MATCH(ROW(Data!$AO$2:$AO$956),ROW(Data!$AO$2:$AO$956)),""),ROWS($A$1:A15)),COLUMNS($A$1:A15)),
$B$6 = "WIOA",
INDEX(Data!$B$2:$EO$956,
SMALL(IF(INDEX(Data!$B$2:$EO$956,,MATCH("Grant Fund",Data!$1:$1,0)-1,1)="WIOA",MATCH(ROW(Data!$AO$2:$AO$956),ROW(Data!$AO$2:$AO$956)),""),ROWS($A$1:A15)),COLUMNS($A$1:A15)),
$B$6 = "WIOA II",
INDEX(Data!$B$2:$EO$956,
SMALL(IF(INDEX(Data!$B$2:$EO$956,,MATCH("Grant Fund",Data!$1:$1,0)-1,1)="WIOA II",MATCH(ROW(Data!$AO$2:$AO$956),ROW(Data!$AO$2:$AO$956)),""),ROWS($A$1:A15)),COLUMNS($A$1:A15)),
$B$6 = "WIOA III",
INDEX(Data!$B$2:$EO$956,
SMALL(IF(INDEX(Data!$B$2:$EO$956,,MATCH("Grant Fund",Data!$1:$1,0)-1,1)="WIOA III",MATCH(ROW(Data!$AO$2:$AO$956),ROW(Data!$AO$2:$AO$956)),""),ROWS($A$1:A15)),COLUMNS($A$1:A15)),
$B$6 = "Currently Employed",
INDEX(Data!$B$2:$EO$956,
SMALL(IF(INDEX(Data!$B$2:$EO$956,,MATCH("Currently Employed",Data!$1:$1,0)-1,1)="Yes",MATCH(ROW(Data!$DZ$2:$DZ$956),ROW(Data!$DZ$2:$DZ$956)),""),ROWS($A$1:A15)),COLUMNS($A$1:A15)),
$B$6 = "Inactive",
INDEX(Data!$B$2:$EO$956,
SMALL(IF(INDEX(Data!$B$2:$EO$956,,MATCH("Inactive",Data!$1:$1,0)-1,1)="Yes",MATCH(ROW(Data!$DG$2:$DG$956),ROW(Data!$DG$2:$DG$956)),""),ROWS($A$1:A15)),COLUMNS($A$1:A15)),
$B$6 = "Active",
INDEX(Data!$B$2:$EO$956,
SMALL(IF(INDEX(Data!$B$2:$EO$956,,MATCH("Active",Data!$1:$1,0)-1,1)="Yes",MATCH(ROW(Data!$DZ$2:$DZ$956),ROW(Data!$DZ$2:$DZ$956)),""),ROWS($A$1:A15)),COLUMNS($A$1:A15)),
$B$6 = "Status Unknown",
INDEX(Data!$B$2:$EO$956,
SMALL(IF(INDEX(Data!$B$2:$EO$956,,MATCH("Status Unknown",Data!$1:$1,0)-1,1)="Yes",MATCH(ROW(Data!$EB$2:$EB$956),ROW(Data!$EB$2:$EB$956)),""),ROWS($A$1:A15)),COLUMNS($A$1:A15)),
$B$6 = "Enrollment Pending",
INDEX(Data!$B$2:$EO$956,
SMALL(IF(INDEX(Data!$B$2:$EO$956,,MATCH("Enrollment Pending",Data!$1:$1,0)-1,1)="Yes",MATCH(ROW(Data!$DY$2:$DY$956),ROW(Data!$DY$2:$DY$956)),""),ROWS($A$1:A15)),COLUMNS($A$1:A15)),
$B$6 = "Gained Certification",
INDEX(Data!$B$2:$EO$956,
SMALL(IF(INDEX(Data!$B$2:$EO$956,,MATCH("Gained Certification",Data!$1:$1,0)-1,1)="Yes",MATCH(ROW(Data!$DU$2:$DU$956),ROW(Data!$DU$2:$DU$956)),""),ROWS($A$1:A15)),COLUMNS($A$1:A15)),
$B$6 = "No Certification",
INDEX(Data!$B$2:$EO$956,
SMALL(IF(INDEX(Data!$B$2:$EO$956,,MATCH("Gained Certification",Data!$1:$1,0)-1,1)&lt;&gt;"Yes",MATCH(ROW(Data!$DU$2:$DU$956),ROW(Data!$DU$2:$DU$956)),""),ROWS($A$1:A15)),COLUMNS($A$1:A15)),
$B$6 = "Completers Without Employment",
INDEX(Data!$B$2:$EO$967,
SMALL(IF(INDEX(Data!$B$2:$EO$967,,MATCH("Completed Without Employment",Data!$1:$1,0)-1,1)="Yes",MATCH(ROW(Data!$DZ$2:$DZ$967),ROW(Data!$DZ$2:$DZ$967)),""),ROWS($A$1:A15)),COLUMNS($A$1:A15)),
$B$6 = "CH",
INDEX(Data!$B$2:$EO$956,
SMALL(IF(INDEX(Data!$B$2:$EO$956,,MATCH("Case Manager",Data!$1:$1,0)-1,1)="CH",MATCH(ROW(Data!$DZ$2:$DZ$956),ROW(Data!$DZ$2:$DZ$956)),""),ROWS($A$1:A15)),COLUMNS($A$1:A15)),
$B$6 = "ML",
INDEX(Data!$B$2:$EO$956,
SMALL(IF(INDEX(Data!$B$2:$EO$956,,MATCH("Case Manager",Data!$1:$1,0)-1,1)="ML",MATCH(ROW(Data!$DZ$2:$DZ$956),ROW(Data!$DZ$2:$DZ$956)),""),ROWS($A$1:A15)),COLUMNS($A$1:A15)),
$B$6 = "RB",
INDEX(Data!$B$2:$EO$956,
SMALL(IF(INDEX(Data!$B$2:$EO$956,,MATCH("Case Manager",Data!$1:$1,0)-1,1)="RB",MATCH(ROW(Data!$DZ$2:$DZ$956),ROW(Data!$DZ$2:$DZ$956)),""),ROWS($A$1:A15)),COLUMNS($A$1:A15)),
$B$6 = "RV",
INDEX(Data!$B$2:$EO$956,
SMALL(IF(INDEX(Data!$B$2:$EO$956,,MATCH("Case Manager",Data!$1:$1,0)-1,1)="RV",MATCH(ROW(Data!$DZ$2:$DZ$956),ROW(Data!$DZ$2:$DZ$956)),""),ROWS($A$1:A15)),COLUMNS($A$1:A15)),
$B$6 = "SG",
INDEX(Data!$B$2:$EO$956,
SMALL(IF(INDEX(Data!$B$2:$EO$956,,MATCH("Case Manager",Data!$1:$1,0)-1,1)="SH",MATCH(ROW(Data!$DZ$2:$DZ$956),ROW(Data!$DZ$2:$DZ$956)),""),ROWS($A$1:A15)),COLUMNS($A$1:A15))
),"")</f>
        <v>977162</v>
      </c>
      <c r="C26" s="1" t="str">
        <f>IF(
IFERROR(
INDEX(Data!$1:$1048576,MATCH('Client Lists'!$B26,Data!$B:$B,0),MATCH('Client Lists'!C$11,Data!$1:$1,0)),"")=0,"",
IFERROR(
INDEX(Data!$1:$1048576,MATCH('Client Lists'!$B26,Data!$B:$B,0),MATCH('Client Lists'!C$11,Data!$1:$1,0)),""))</f>
        <v/>
      </c>
      <c r="D26" s="1" t="str">
        <f>IF(
IFERROR(
INDEX(Data!$1:$1048576,MATCH('Client Lists'!$B26,Data!$B:$B,0),MATCH('Client Lists'!D$11,Data!$1:$1,0)),"")=0,"",
IFERROR(
INDEX(Data!$1:$1048576,MATCH('Client Lists'!$B26,Data!$B:$B,0),MATCH('Client Lists'!D$11,Data!$1:$1,0)),""))</f>
        <v>MTDL</v>
      </c>
      <c r="E26" s="1" t="str">
        <f>IF(
IFERROR(
INDEX(Data!$1:$1048576,MATCH('Client Lists'!$B26,Data!$B:$B,0),MATCH('Client Lists'!E$11,Data!$1:$1,0)),"")=0,"",
IFERROR(
INDEX(Data!$1:$1048576,MATCH('Client Lists'!$B26,Data!$B:$B,0),MATCH('Client Lists'!E$11,Data!$1:$1,0)),""))</f>
        <v xml:space="preserve"> CDBG; EARN</v>
      </c>
      <c r="F26" s="1">
        <f>IF(
IFERROR(
INDEX(Data!$1:$1048576,MATCH('Client Lists'!$B26,Data!$B:$B,0),MATCH('Client Lists'!F$11,Data!$1:$1,0)),"")=0,"",
IFERROR(
INDEX(Data!$1:$1048576,MATCH('Client Lists'!$B26,Data!$B:$B,0),MATCH('Client Lists'!F$11,Data!$1:$1,0)),""))</f>
        <v>44712</v>
      </c>
      <c r="G26" s="1" t="str">
        <f>IF(
IFERROR(
INDEX(Data!$1:$1048576,MATCH('Client Lists'!$B26,Data!$B:$B,0),MATCH('Client Lists'!G$11,Data!$1:$1,0)),"")=0,"",
IFERROR(
INDEX(Data!$1:$1048576,MATCH('Client Lists'!$B26,Data!$B:$B,0),MATCH('Client Lists'!G$11,Data!$1:$1,0)),""))</f>
        <v>Yes</v>
      </c>
      <c r="H26" s="1" t="str">
        <f>IF(
IFERROR(
INDEX(Data!$1:$1048576,MATCH('Client Lists'!$B26,Data!$B:$B,0),MATCH('Client Lists'!H$11,Data!$1:$1,0)),"")=0,"",
IFERROR(
INDEX(Data!$1:$1048576,MATCH('Client Lists'!$B26,Data!$B:$B,0),MATCH('Client Lists'!H$11,Data!$1:$1,0)),""))</f>
        <v>No</v>
      </c>
      <c r="I26" s="2" t="str">
        <f>IF(
IFERROR(
INDEX(Data!$1:$1048576,MATCH('Client Lists'!$B26,Data!$B:$B,0),MATCH('Client Lists'!I$11,Data!$1:$1,0)),"")=0,"",
IFERROR(
INDEX(Data!$1:$1048576,MATCH('Client Lists'!$B26,Data!$B:$B,0),MATCH('Client Lists'!I$11,Data!$1:$1,0)),""))</f>
        <v/>
      </c>
      <c r="J26" s="1" t="str">
        <f>IF(
IFERROR(
INDEX(Data!$1:$1048576,MATCH('Client Lists'!$B26,Data!$B:$B,0),MATCH('Client Lists'!J$11,Data!$1:$1,0)),"")=0,"",
IFERROR(
INDEX(Data!$1:$1048576,MATCH('Client Lists'!$B26,Data!$B:$B,0),MATCH('Client Lists'!J$11,Data!$1:$1,0)),""))</f>
        <v/>
      </c>
      <c r="K26" s="1" t="str">
        <f>IF(
IFERROR(
INDEX(Data!$1:$1048576,MATCH('Client Lists'!$B26,Data!$B:$B,0),MATCH('Client Lists'!K$11,Data!$1:$1,0)),"")=0,"",
IFERROR(
INDEX(Data!$1:$1048576,MATCH('Client Lists'!$B26,Data!$B:$B,0),MATCH('Client Lists'!K$11,Data!$1:$1,0)),""))</f>
        <v/>
      </c>
    </row>
    <row r="27" spans="2:11" x14ac:dyDescent="0.45">
      <c r="B27" s="5">
        <f t="array" ref="B27">IFERROR(_xlfn.IFS(
$B$6 = "Retention Overdue",
INDEX(Data!$B$2:$EO$956,
SMALL(IF(INDEX(Data!$B$2:$EO$956,,MATCH("Call Due",Data!$1:$1,0)-1,1)="Yes",MATCH(ROW(Data!$CN$2:$CN$956),ROW(Data!$CN$2:$CN$956)),""),ROWS($A$1:A16)),COLUMNS($A$1:A16)),
$B$6 = "OWIF-W",
INDEX(Data!$B$2:$EO$956,
SMALL(IF(INDEX(Data!$B$2:$EO$956,,MATCH("Grant Fund",Data!$1:$1,0)-1,1)="OWIF-W",MATCH(ROW(Data!$AO$2:$AO$956),ROW(Data!$AO$2:$AO$956)),""),ROWS($A$1:A16)),COLUMNS($A$1:A16)),
$B$6 = "G2C",
INDEX(Data!$B$2:$EO$956,
SMALL(IF(INDEX(Data!$B$2:$EO$956,,MATCH("Grant Fund",Data!$1:$1,0)-1,1)="Grads2Careers",MATCH(ROW(Data!$AO$2:$AO$956),ROW(Data!$AO$2:$AO$956)),""),ROWS($A$1:A16)),COLUMNS($A$1:A16)),
$B$6 = "OWIF",
INDEX(Data!$B$2:$EO$956,
SMALL(IF(INDEX(Data!$B$2:$EO$956,,MATCH("Grant Fund",Data!$1:$1,0)-1,1)="OWIF",MATCH(ROW(Data!$AO$2:$AO$956),ROW(Data!$AO$2:$AO$956)),""),ROWS($A$1:A16)),COLUMNS($A$1:A16)),
$B$6 = "WIOA",
INDEX(Data!$B$2:$EO$956,
SMALL(IF(INDEX(Data!$B$2:$EO$956,,MATCH("Grant Fund",Data!$1:$1,0)-1,1)="WIOA",MATCH(ROW(Data!$AO$2:$AO$956),ROW(Data!$AO$2:$AO$956)),""),ROWS($A$1:A16)),COLUMNS($A$1:A16)),
$B$6 = "WIOA II",
INDEX(Data!$B$2:$EO$956,
SMALL(IF(INDEX(Data!$B$2:$EO$956,,MATCH("Grant Fund",Data!$1:$1,0)-1,1)="WIOA II",MATCH(ROW(Data!$AO$2:$AO$956),ROW(Data!$AO$2:$AO$956)),""),ROWS($A$1:A16)),COLUMNS($A$1:A16)),
$B$6 = "WIOA III",
INDEX(Data!$B$2:$EO$956,
SMALL(IF(INDEX(Data!$B$2:$EO$956,,MATCH("Grant Fund",Data!$1:$1,0)-1,1)="WIOA III",MATCH(ROW(Data!$AO$2:$AO$956),ROW(Data!$AO$2:$AO$956)),""),ROWS($A$1:A16)),COLUMNS($A$1:A16)),
$B$6 = "Currently Employed",
INDEX(Data!$B$2:$EO$956,
SMALL(IF(INDEX(Data!$B$2:$EO$956,,MATCH("Currently Employed",Data!$1:$1,0)-1,1)="Yes",MATCH(ROW(Data!$DZ$2:$DZ$956),ROW(Data!$DZ$2:$DZ$956)),""),ROWS($A$1:A16)),COLUMNS($A$1:A16)),
$B$6 = "Inactive",
INDEX(Data!$B$2:$EO$956,
SMALL(IF(INDEX(Data!$B$2:$EO$956,,MATCH("Inactive",Data!$1:$1,0)-1,1)="Yes",MATCH(ROW(Data!$DG$2:$DG$956),ROW(Data!$DG$2:$DG$956)),""),ROWS($A$1:A16)),COLUMNS($A$1:A16)),
$B$6 = "Active",
INDEX(Data!$B$2:$EO$956,
SMALL(IF(INDEX(Data!$B$2:$EO$956,,MATCH("Active",Data!$1:$1,0)-1,1)="Yes",MATCH(ROW(Data!$DZ$2:$DZ$956),ROW(Data!$DZ$2:$DZ$956)),""),ROWS($A$1:A16)),COLUMNS($A$1:A16)),
$B$6 = "Status Unknown",
INDEX(Data!$B$2:$EO$956,
SMALL(IF(INDEX(Data!$B$2:$EO$956,,MATCH("Status Unknown",Data!$1:$1,0)-1,1)="Yes",MATCH(ROW(Data!$EB$2:$EB$956),ROW(Data!$EB$2:$EB$956)),""),ROWS($A$1:A16)),COLUMNS($A$1:A16)),
$B$6 = "Enrollment Pending",
INDEX(Data!$B$2:$EO$956,
SMALL(IF(INDEX(Data!$B$2:$EO$956,,MATCH("Enrollment Pending",Data!$1:$1,0)-1,1)="Yes",MATCH(ROW(Data!$DY$2:$DY$956),ROW(Data!$DY$2:$DY$956)),""),ROWS($A$1:A16)),COLUMNS($A$1:A16)),
$B$6 = "Gained Certification",
INDEX(Data!$B$2:$EO$956,
SMALL(IF(INDEX(Data!$B$2:$EO$956,,MATCH("Gained Certification",Data!$1:$1,0)-1,1)="Yes",MATCH(ROW(Data!$DU$2:$DU$956),ROW(Data!$DU$2:$DU$956)),""),ROWS($A$1:A16)),COLUMNS($A$1:A16)),
$B$6 = "No Certification",
INDEX(Data!$B$2:$EO$956,
SMALL(IF(INDEX(Data!$B$2:$EO$956,,MATCH("Gained Certification",Data!$1:$1,0)-1,1)&lt;&gt;"Yes",MATCH(ROW(Data!$DU$2:$DU$956),ROW(Data!$DU$2:$DU$956)),""),ROWS($A$1:A16)),COLUMNS($A$1:A16)),
$B$6 = "Completers Without Employment",
INDEX(Data!$B$2:$EO$967,
SMALL(IF(INDEX(Data!$B$2:$EO$967,,MATCH("Completed Without Employment",Data!$1:$1,0)-1,1)="Yes",MATCH(ROW(Data!$DZ$2:$DZ$967),ROW(Data!$DZ$2:$DZ$967)),""),ROWS($A$1:A16)),COLUMNS($A$1:A16)),
$B$6 = "CH",
INDEX(Data!$B$2:$EO$956,
SMALL(IF(INDEX(Data!$B$2:$EO$956,,MATCH("Case Manager",Data!$1:$1,0)-1,1)="CH",MATCH(ROW(Data!$DZ$2:$DZ$956),ROW(Data!$DZ$2:$DZ$956)),""),ROWS($A$1:A16)),COLUMNS($A$1:A16)),
$B$6 = "ML",
INDEX(Data!$B$2:$EO$956,
SMALL(IF(INDEX(Data!$B$2:$EO$956,,MATCH("Case Manager",Data!$1:$1,0)-1,1)="ML",MATCH(ROW(Data!$DZ$2:$DZ$956),ROW(Data!$DZ$2:$DZ$956)),""),ROWS($A$1:A16)),COLUMNS($A$1:A16)),
$B$6 = "RB",
INDEX(Data!$B$2:$EO$956,
SMALL(IF(INDEX(Data!$B$2:$EO$956,,MATCH("Case Manager",Data!$1:$1,0)-1,1)="RB",MATCH(ROW(Data!$DZ$2:$DZ$956),ROW(Data!$DZ$2:$DZ$956)),""),ROWS($A$1:A16)),COLUMNS($A$1:A16)),
$B$6 = "RV",
INDEX(Data!$B$2:$EO$956,
SMALL(IF(INDEX(Data!$B$2:$EO$956,,MATCH("Case Manager",Data!$1:$1,0)-1,1)="RV",MATCH(ROW(Data!$DZ$2:$DZ$956),ROW(Data!$DZ$2:$DZ$956)),""),ROWS($A$1:A16)),COLUMNS($A$1:A16)),
$B$6 = "SG",
INDEX(Data!$B$2:$EO$956,
SMALL(IF(INDEX(Data!$B$2:$EO$956,,MATCH("Case Manager",Data!$1:$1,0)-1,1)="SH",MATCH(ROW(Data!$DZ$2:$DZ$956),ROW(Data!$DZ$2:$DZ$956)),""),ROWS($A$1:A16)),COLUMNS($A$1:A16))
),"")</f>
        <v>977074</v>
      </c>
      <c r="C27" s="1" t="str">
        <f>IF(
IFERROR(
INDEX(Data!$1:$1048576,MATCH('Client Lists'!$B27,Data!$B:$B,0),MATCH('Client Lists'!C$11,Data!$1:$1,0)),"")=0,"",
IFERROR(
INDEX(Data!$1:$1048576,MATCH('Client Lists'!$B27,Data!$B:$B,0),MATCH('Client Lists'!C$11,Data!$1:$1,0)),""))</f>
        <v/>
      </c>
      <c r="D27" s="1" t="str">
        <f>IF(
IFERROR(
INDEX(Data!$1:$1048576,MATCH('Client Lists'!$B27,Data!$B:$B,0),MATCH('Client Lists'!D$11,Data!$1:$1,0)),"")=0,"",
IFERROR(
INDEX(Data!$1:$1048576,MATCH('Client Lists'!$B27,Data!$B:$B,0),MATCH('Client Lists'!D$11,Data!$1:$1,0)),""))</f>
        <v>MTDL</v>
      </c>
      <c r="E27" s="1" t="str">
        <f>IF(
IFERROR(
INDEX(Data!$1:$1048576,MATCH('Client Lists'!$B27,Data!$B:$B,0),MATCH('Client Lists'!E$11,Data!$1:$1,0)),"")=0,"",
IFERROR(
INDEX(Data!$1:$1048576,MATCH('Client Lists'!$B27,Data!$B:$B,0),MATCH('Client Lists'!E$11,Data!$1:$1,0)),""))</f>
        <v xml:space="preserve"> SNAP</v>
      </c>
      <c r="F27" s="1">
        <f>IF(
IFERROR(
INDEX(Data!$1:$1048576,MATCH('Client Lists'!$B27,Data!$B:$B,0),MATCH('Client Lists'!F$11,Data!$1:$1,0)),"")=0,"",
IFERROR(
INDEX(Data!$1:$1048576,MATCH('Client Lists'!$B27,Data!$B:$B,0),MATCH('Client Lists'!F$11,Data!$1:$1,0)),""))</f>
        <v>44655</v>
      </c>
      <c r="G27" s="1" t="str">
        <f>IF(
IFERROR(
INDEX(Data!$1:$1048576,MATCH('Client Lists'!$B27,Data!$B:$B,0),MATCH('Client Lists'!G$11,Data!$1:$1,0)),"")=0,"",
IFERROR(
INDEX(Data!$1:$1048576,MATCH('Client Lists'!$B27,Data!$B:$B,0),MATCH('Client Lists'!G$11,Data!$1:$1,0)),""))</f>
        <v>Yes</v>
      </c>
      <c r="H27" s="1" t="str">
        <f>IF(
IFERROR(
INDEX(Data!$1:$1048576,MATCH('Client Lists'!$B27,Data!$B:$B,0),MATCH('Client Lists'!H$11,Data!$1:$1,0)),"")=0,"",
IFERROR(
INDEX(Data!$1:$1048576,MATCH('Client Lists'!$B27,Data!$B:$B,0),MATCH('Client Lists'!H$11,Data!$1:$1,0)),""))</f>
        <v>No</v>
      </c>
      <c r="I27" s="2" t="str">
        <f>IF(
IFERROR(
INDEX(Data!$1:$1048576,MATCH('Client Lists'!$B27,Data!$B:$B,0),MATCH('Client Lists'!I$11,Data!$1:$1,0)),"")=0,"",
IFERROR(
INDEX(Data!$1:$1048576,MATCH('Client Lists'!$B27,Data!$B:$B,0),MATCH('Client Lists'!I$11,Data!$1:$1,0)),""))</f>
        <v>Yes</v>
      </c>
      <c r="J27" s="1" t="str">
        <f>IF(
IFERROR(
INDEX(Data!$1:$1048576,MATCH('Client Lists'!$B27,Data!$B:$B,0),MATCH('Client Lists'!J$11,Data!$1:$1,0)),"")=0,"",
IFERROR(
INDEX(Data!$1:$1048576,MATCH('Client Lists'!$B27,Data!$B:$B,0),MATCH('Client Lists'!J$11,Data!$1:$1,0)),""))</f>
        <v/>
      </c>
      <c r="K27" s="1" t="str">
        <f>IF(
IFERROR(
INDEX(Data!$1:$1048576,MATCH('Client Lists'!$B27,Data!$B:$B,0),MATCH('Client Lists'!K$11,Data!$1:$1,0)),"")=0,"",
IFERROR(
INDEX(Data!$1:$1048576,MATCH('Client Lists'!$B27,Data!$B:$B,0),MATCH('Client Lists'!K$11,Data!$1:$1,0)),""))</f>
        <v/>
      </c>
    </row>
    <row r="28" spans="2:11" x14ac:dyDescent="0.45">
      <c r="B28" s="5">
        <f t="array" ref="B28">IFERROR(_xlfn.IFS(
$B$6 = "Retention Overdue",
INDEX(Data!$B$2:$EO$956,
SMALL(IF(INDEX(Data!$B$2:$EO$956,,MATCH("Call Due",Data!$1:$1,0)-1,1)="Yes",MATCH(ROW(Data!$CN$2:$CN$956),ROW(Data!$CN$2:$CN$956)),""),ROWS($A$1:A17)),COLUMNS($A$1:A17)),
$B$6 = "OWIF-W",
INDEX(Data!$B$2:$EO$956,
SMALL(IF(INDEX(Data!$B$2:$EO$956,,MATCH("Grant Fund",Data!$1:$1,0)-1,1)="OWIF-W",MATCH(ROW(Data!$AO$2:$AO$956),ROW(Data!$AO$2:$AO$956)),""),ROWS($A$1:A17)),COLUMNS($A$1:A17)),
$B$6 = "G2C",
INDEX(Data!$B$2:$EO$956,
SMALL(IF(INDEX(Data!$B$2:$EO$956,,MATCH("Grant Fund",Data!$1:$1,0)-1,1)="Grads2Careers",MATCH(ROW(Data!$AO$2:$AO$956),ROW(Data!$AO$2:$AO$956)),""),ROWS($A$1:A17)),COLUMNS($A$1:A17)),
$B$6 = "OWIF",
INDEX(Data!$B$2:$EO$956,
SMALL(IF(INDEX(Data!$B$2:$EO$956,,MATCH("Grant Fund",Data!$1:$1,0)-1,1)="OWIF",MATCH(ROW(Data!$AO$2:$AO$956),ROW(Data!$AO$2:$AO$956)),""),ROWS($A$1:A17)),COLUMNS($A$1:A17)),
$B$6 = "WIOA",
INDEX(Data!$B$2:$EO$956,
SMALL(IF(INDEX(Data!$B$2:$EO$956,,MATCH("Grant Fund",Data!$1:$1,0)-1,1)="WIOA",MATCH(ROW(Data!$AO$2:$AO$956),ROW(Data!$AO$2:$AO$956)),""),ROWS($A$1:A17)),COLUMNS($A$1:A17)),
$B$6 = "WIOA II",
INDEX(Data!$B$2:$EO$956,
SMALL(IF(INDEX(Data!$B$2:$EO$956,,MATCH("Grant Fund",Data!$1:$1,0)-1,1)="WIOA II",MATCH(ROW(Data!$AO$2:$AO$956),ROW(Data!$AO$2:$AO$956)),""),ROWS($A$1:A17)),COLUMNS($A$1:A17)),
$B$6 = "WIOA III",
INDEX(Data!$B$2:$EO$956,
SMALL(IF(INDEX(Data!$B$2:$EO$956,,MATCH("Grant Fund",Data!$1:$1,0)-1,1)="WIOA III",MATCH(ROW(Data!$AO$2:$AO$956),ROW(Data!$AO$2:$AO$956)),""),ROWS($A$1:A17)),COLUMNS($A$1:A17)),
$B$6 = "Currently Employed",
INDEX(Data!$B$2:$EO$956,
SMALL(IF(INDEX(Data!$B$2:$EO$956,,MATCH("Currently Employed",Data!$1:$1,0)-1,1)="Yes",MATCH(ROW(Data!$DZ$2:$DZ$956),ROW(Data!$DZ$2:$DZ$956)),""),ROWS($A$1:A17)),COLUMNS($A$1:A17)),
$B$6 = "Inactive",
INDEX(Data!$B$2:$EO$956,
SMALL(IF(INDEX(Data!$B$2:$EO$956,,MATCH("Inactive",Data!$1:$1,0)-1,1)="Yes",MATCH(ROW(Data!$DG$2:$DG$956),ROW(Data!$DG$2:$DG$956)),""),ROWS($A$1:A17)),COLUMNS($A$1:A17)),
$B$6 = "Active",
INDEX(Data!$B$2:$EO$956,
SMALL(IF(INDEX(Data!$B$2:$EO$956,,MATCH("Active",Data!$1:$1,0)-1,1)="Yes",MATCH(ROW(Data!$DZ$2:$DZ$956),ROW(Data!$DZ$2:$DZ$956)),""),ROWS($A$1:A17)),COLUMNS($A$1:A17)),
$B$6 = "Status Unknown",
INDEX(Data!$B$2:$EO$956,
SMALL(IF(INDEX(Data!$B$2:$EO$956,,MATCH("Status Unknown",Data!$1:$1,0)-1,1)="Yes",MATCH(ROW(Data!$EB$2:$EB$956),ROW(Data!$EB$2:$EB$956)),""),ROWS($A$1:A17)),COLUMNS($A$1:A17)),
$B$6 = "Enrollment Pending",
INDEX(Data!$B$2:$EO$956,
SMALL(IF(INDEX(Data!$B$2:$EO$956,,MATCH("Enrollment Pending",Data!$1:$1,0)-1,1)="Yes",MATCH(ROW(Data!$DY$2:$DY$956),ROW(Data!$DY$2:$DY$956)),""),ROWS($A$1:A17)),COLUMNS($A$1:A17)),
$B$6 = "Gained Certification",
INDEX(Data!$B$2:$EO$956,
SMALL(IF(INDEX(Data!$B$2:$EO$956,,MATCH("Gained Certification",Data!$1:$1,0)-1,1)="Yes",MATCH(ROW(Data!$DU$2:$DU$956),ROW(Data!$DU$2:$DU$956)),""),ROWS($A$1:A17)),COLUMNS($A$1:A17)),
$B$6 = "No Certification",
INDEX(Data!$B$2:$EO$956,
SMALL(IF(INDEX(Data!$B$2:$EO$956,,MATCH("Gained Certification",Data!$1:$1,0)-1,1)&lt;&gt;"Yes",MATCH(ROW(Data!$DU$2:$DU$956),ROW(Data!$DU$2:$DU$956)),""),ROWS($A$1:A17)),COLUMNS($A$1:A17)),
$B$6 = "Completers Without Employment",
INDEX(Data!$B$2:$EO$967,
SMALL(IF(INDEX(Data!$B$2:$EO$967,,MATCH("Completed Without Employment",Data!$1:$1,0)-1,1)="Yes",MATCH(ROW(Data!$DZ$2:$DZ$967),ROW(Data!$DZ$2:$DZ$967)),""),ROWS($A$1:A17)),COLUMNS($A$1:A17)),
$B$6 = "CH",
INDEX(Data!$B$2:$EO$956,
SMALL(IF(INDEX(Data!$B$2:$EO$956,,MATCH("Case Manager",Data!$1:$1,0)-1,1)="CH",MATCH(ROW(Data!$DZ$2:$DZ$956),ROW(Data!$DZ$2:$DZ$956)),""),ROWS($A$1:A17)),COLUMNS($A$1:A17)),
$B$6 = "ML",
INDEX(Data!$B$2:$EO$956,
SMALL(IF(INDEX(Data!$B$2:$EO$956,,MATCH("Case Manager",Data!$1:$1,0)-1,1)="ML",MATCH(ROW(Data!$DZ$2:$DZ$956),ROW(Data!$DZ$2:$DZ$956)),""),ROWS($A$1:A17)),COLUMNS($A$1:A17)),
$B$6 = "RB",
INDEX(Data!$B$2:$EO$956,
SMALL(IF(INDEX(Data!$B$2:$EO$956,,MATCH("Case Manager",Data!$1:$1,0)-1,1)="RB",MATCH(ROW(Data!$DZ$2:$DZ$956),ROW(Data!$DZ$2:$DZ$956)),""),ROWS($A$1:A17)),COLUMNS($A$1:A17)),
$B$6 = "RV",
INDEX(Data!$B$2:$EO$956,
SMALL(IF(INDEX(Data!$B$2:$EO$956,,MATCH("Case Manager",Data!$1:$1,0)-1,1)="RV",MATCH(ROW(Data!$DZ$2:$DZ$956),ROW(Data!$DZ$2:$DZ$956)),""),ROWS($A$1:A17)),COLUMNS($A$1:A17)),
$B$6 = "SG",
INDEX(Data!$B$2:$EO$956,
SMALL(IF(INDEX(Data!$B$2:$EO$956,,MATCH("Case Manager",Data!$1:$1,0)-1,1)="SH",MATCH(ROW(Data!$DZ$2:$DZ$956),ROW(Data!$DZ$2:$DZ$956)),""),ROWS($A$1:A17)),COLUMNS($A$1:A17))
),"")</f>
        <v>977125</v>
      </c>
      <c r="C28" s="1" t="str">
        <f>IF(
IFERROR(
INDEX(Data!$1:$1048576,MATCH('Client Lists'!$B28,Data!$B:$B,0),MATCH('Client Lists'!C$11,Data!$1:$1,0)),"")=0,"",
IFERROR(
INDEX(Data!$1:$1048576,MATCH('Client Lists'!$B28,Data!$B:$B,0),MATCH('Client Lists'!C$11,Data!$1:$1,0)),""))</f>
        <v/>
      </c>
      <c r="D28" s="1" t="str">
        <f>IF(
IFERROR(
INDEX(Data!$1:$1048576,MATCH('Client Lists'!$B28,Data!$B:$B,0),MATCH('Client Lists'!D$11,Data!$1:$1,0)),"")=0,"",
IFERROR(
INDEX(Data!$1:$1048576,MATCH('Client Lists'!$B28,Data!$B:$B,0),MATCH('Client Lists'!D$11,Data!$1:$1,0)),""))</f>
        <v>MTDL</v>
      </c>
      <c r="E28" s="1" t="str">
        <f>IF(
IFERROR(
INDEX(Data!$1:$1048576,MATCH('Client Lists'!$B28,Data!$B:$B,0),MATCH('Client Lists'!E$11,Data!$1:$1,0)),"")=0,"",
IFERROR(
INDEX(Data!$1:$1048576,MATCH('Client Lists'!$B28,Data!$B:$B,0),MATCH('Client Lists'!E$11,Data!$1:$1,0)),""))</f>
        <v>WIOA; CDBG</v>
      </c>
      <c r="F28" s="1">
        <f>IF(
IFERROR(
INDEX(Data!$1:$1048576,MATCH('Client Lists'!$B28,Data!$B:$B,0),MATCH('Client Lists'!F$11,Data!$1:$1,0)),"")=0,"",
IFERROR(
INDEX(Data!$1:$1048576,MATCH('Client Lists'!$B28,Data!$B:$B,0),MATCH('Client Lists'!F$11,Data!$1:$1,0)),""))</f>
        <v>44712</v>
      </c>
      <c r="G28" s="1" t="str">
        <f>IF(
IFERROR(
INDEX(Data!$1:$1048576,MATCH('Client Lists'!$B28,Data!$B:$B,0),MATCH('Client Lists'!G$11,Data!$1:$1,0)),"")=0,"",
IFERROR(
INDEX(Data!$1:$1048576,MATCH('Client Lists'!$B28,Data!$B:$B,0),MATCH('Client Lists'!G$11,Data!$1:$1,0)),""))</f>
        <v>No</v>
      </c>
      <c r="H28" s="1" t="str">
        <f>IF(
IFERROR(
INDEX(Data!$1:$1048576,MATCH('Client Lists'!$B28,Data!$B:$B,0),MATCH('Client Lists'!H$11,Data!$1:$1,0)),"")=0,"",
IFERROR(
INDEX(Data!$1:$1048576,MATCH('Client Lists'!$B28,Data!$B:$B,0),MATCH('Client Lists'!H$11,Data!$1:$1,0)),""))</f>
        <v>No</v>
      </c>
      <c r="I28" s="2" t="str">
        <f>IF(
IFERROR(
INDEX(Data!$1:$1048576,MATCH('Client Lists'!$B28,Data!$B:$B,0),MATCH('Client Lists'!I$11,Data!$1:$1,0)),"")=0,"",
IFERROR(
INDEX(Data!$1:$1048576,MATCH('Client Lists'!$B28,Data!$B:$B,0),MATCH('Client Lists'!I$11,Data!$1:$1,0)),""))</f>
        <v/>
      </c>
      <c r="J28" s="1" t="str">
        <f>IF(
IFERROR(
INDEX(Data!$1:$1048576,MATCH('Client Lists'!$B28,Data!$B:$B,0),MATCH('Client Lists'!J$11,Data!$1:$1,0)),"")=0,"",
IFERROR(
INDEX(Data!$1:$1048576,MATCH('Client Lists'!$B28,Data!$B:$B,0),MATCH('Client Lists'!J$11,Data!$1:$1,0)),""))</f>
        <v/>
      </c>
      <c r="K28" s="1" t="str">
        <f>IF(
IFERROR(
INDEX(Data!$1:$1048576,MATCH('Client Lists'!$B28,Data!$B:$B,0),MATCH('Client Lists'!K$11,Data!$1:$1,0)),"")=0,"",
IFERROR(
INDEX(Data!$1:$1048576,MATCH('Client Lists'!$B28,Data!$B:$B,0),MATCH('Client Lists'!K$11,Data!$1:$1,0)),""))</f>
        <v/>
      </c>
    </row>
    <row r="29" spans="2:11" x14ac:dyDescent="0.45">
      <c r="B29" s="5">
        <f t="array" ref="B29">IFERROR(_xlfn.IFS(
$B$6 = "Retention Overdue",
INDEX(Data!$B$2:$EO$956,
SMALL(IF(INDEX(Data!$B$2:$EO$956,,MATCH("Call Due",Data!$1:$1,0)-1,1)="Yes",MATCH(ROW(Data!$CN$2:$CN$956),ROW(Data!$CN$2:$CN$956)),""),ROWS($A$1:A18)),COLUMNS($A$1:A18)),
$B$6 = "OWIF-W",
INDEX(Data!$B$2:$EO$956,
SMALL(IF(INDEX(Data!$B$2:$EO$956,,MATCH("Grant Fund",Data!$1:$1,0)-1,1)="OWIF-W",MATCH(ROW(Data!$AO$2:$AO$956),ROW(Data!$AO$2:$AO$956)),""),ROWS($A$1:A18)),COLUMNS($A$1:A18)),
$B$6 = "G2C",
INDEX(Data!$B$2:$EO$956,
SMALL(IF(INDEX(Data!$B$2:$EO$956,,MATCH("Grant Fund",Data!$1:$1,0)-1,1)="Grads2Careers",MATCH(ROW(Data!$AO$2:$AO$956),ROW(Data!$AO$2:$AO$956)),""),ROWS($A$1:A18)),COLUMNS($A$1:A18)),
$B$6 = "OWIF",
INDEX(Data!$B$2:$EO$956,
SMALL(IF(INDEX(Data!$B$2:$EO$956,,MATCH("Grant Fund",Data!$1:$1,0)-1,1)="OWIF",MATCH(ROW(Data!$AO$2:$AO$956),ROW(Data!$AO$2:$AO$956)),""),ROWS($A$1:A18)),COLUMNS($A$1:A18)),
$B$6 = "WIOA",
INDEX(Data!$B$2:$EO$956,
SMALL(IF(INDEX(Data!$B$2:$EO$956,,MATCH("Grant Fund",Data!$1:$1,0)-1,1)="WIOA",MATCH(ROW(Data!$AO$2:$AO$956),ROW(Data!$AO$2:$AO$956)),""),ROWS($A$1:A18)),COLUMNS($A$1:A18)),
$B$6 = "WIOA II",
INDEX(Data!$B$2:$EO$956,
SMALL(IF(INDEX(Data!$B$2:$EO$956,,MATCH("Grant Fund",Data!$1:$1,0)-1,1)="WIOA II",MATCH(ROW(Data!$AO$2:$AO$956),ROW(Data!$AO$2:$AO$956)),""),ROWS($A$1:A18)),COLUMNS($A$1:A18)),
$B$6 = "WIOA III",
INDEX(Data!$B$2:$EO$956,
SMALL(IF(INDEX(Data!$B$2:$EO$956,,MATCH("Grant Fund",Data!$1:$1,0)-1,1)="WIOA III",MATCH(ROW(Data!$AO$2:$AO$956),ROW(Data!$AO$2:$AO$956)),""),ROWS($A$1:A18)),COLUMNS($A$1:A18)),
$B$6 = "Currently Employed",
INDEX(Data!$B$2:$EO$956,
SMALL(IF(INDEX(Data!$B$2:$EO$956,,MATCH("Currently Employed",Data!$1:$1,0)-1,1)="Yes",MATCH(ROW(Data!$DZ$2:$DZ$956),ROW(Data!$DZ$2:$DZ$956)),""),ROWS($A$1:A18)),COLUMNS($A$1:A18)),
$B$6 = "Inactive",
INDEX(Data!$B$2:$EO$956,
SMALL(IF(INDEX(Data!$B$2:$EO$956,,MATCH("Inactive",Data!$1:$1,0)-1,1)="Yes",MATCH(ROW(Data!$DG$2:$DG$956),ROW(Data!$DG$2:$DG$956)),""),ROWS($A$1:A18)),COLUMNS($A$1:A18)),
$B$6 = "Active",
INDEX(Data!$B$2:$EO$956,
SMALL(IF(INDEX(Data!$B$2:$EO$956,,MATCH("Active",Data!$1:$1,0)-1,1)="Yes",MATCH(ROW(Data!$DZ$2:$DZ$956),ROW(Data!$DZ$2:$DZ$956)),""),ROWS($A$1:A18)),COLUMNS($A$1:A18)),
$B$6 = "Status Unknown",
INDEX(Data!$B$2:$EO$956,
SMALL(IF(INDEX(Data!$B$2:$EO$956,,MATCH("Status Unknown",Data!$1:$1,0)-1,1)="Yes",MATCH(ROW(Data!$EB$2:$EB$956),ROW(Data!$EB$2:$EB$956)),""),ROWS($A$1:A18)),COLUMNS($A$1:A18)),
$B$6 = "Enrollment Pending",
INDEX(Data!$B$2:$EO$956,
SMALL(IF(INDEX(Data!$B$2:$EO$956,,MATCH("Enrollment Pending",Data!$1:$1,0)-1,1)="Yes",MATCH(ROW(Data!$DY$2:$DY$956),ROW(Data!$DY$2:$DY$956)),""),ROWS($A$1:A18)),COLUMNS($A$1:A18)),
$B$6 = "Gained Certification",
INDEX(Data!$B$2:$EO$956,
SMALL(IF(INDEX(Data!$B$2:$EO$956,,MATCH("Gained Certification",Data!$1:$1,0)-1,1)="Yes",MATCH(ROW(Data!$DU$2:$DU$956),ROW(Data!$DU$2:$DU$956)),""),ROWS($A$1:A18)),COLUMNS($A$1:A18)),
$B$6 = "No Certification",
INDEX(Data!$B$2:$EO$956,
SMALL(IF(INDEX(Data!$B$2:$EO$956,,MATCH("Gained Certification",Data!$1:$1,0)-1,1)&lt;&gt;"Yes",MATCH(ROW(Data!$DU$2:$DU$956),ROW(Data!$DU$2:$DU$956)),""),ROWS($A$1:A18)),COLUMNS($A$1:A18)),
$B$6 = "Completers Without Employment",
INDEX(Data!$B$2:$EO$967,
SMALL(IF(INDEX(Data!$B$2:$EO$967,,MATCH("Completed Without Employment",Data!$1:$1,0)-1,1)="Yes",MATCH(ROW(Data!$DZ$2:$DZ$967),ROW(Data!$DZ$2:$DZ$967)),""),ROWS($A$1:A18)),COLUMNS($A$1:A18)),
$B$6 = "CH",
INDEX(Data!$B$2:$EO$956,
SMALL(IF(INDEX(Data!$B$2:$EO$956,,MATCH("Case Manager",Data!$1:$1,0)-1,1)="CH",MATCH(ROW(Data!$DZ$2:$DZ$956),ROW(Data!$DZ$2:$DZ$956)),""),ROWS($A$1:A18)),COLUMNS($A$1:A18)),
$B$6 = "ML",
INDEX(Data!$B$2:$EO$956,
SMALL(IF(INDEX(Data!$B$2:$EO$956,,MATCH("Case Manager",Data!$1:$1,0)-1,1)="ML",MATCH(ROW(Data!$DZ$2:$DZ$956),ROW(Data!$DZ$2:$DZ$956)),""),ROWS($A$1:A18)),COLUMNS($A$1:A18)),
$B$6 = "RB",
INDEX(Data!$B$2:$EO$956,
SMALL(IF(INDEX(Data!$B$2:$EO$956,,MATCH("Case Manager",Data!$1:$1,0)-1,1)="RB",MATCH(ROW(Data!$DZ$2:$DZ$956),ROW(Data!$DZ$2:$DZ$956)),""),ROWS($A$1:A18)),COLUMNS($A$1:A18)),
$B$6 = "RV",
INDEX(Data!$B$2:$EO$956,
SMALL(IF(INDEX(Data!$B$2:$EO$956,,MATCH("Case Manager",Data!$1:$1,0)-1,1)="RV",MATCH(ROW(Data!$DZ$2:$DZ$956),ROW(Data!$DZ$2:$DZ$956)),""),ROWS($A$1:A18)),COLUMNS($A$1:A18)),
$B$6 = "SG",
INDEX(Data!$B$2:$EO$956,
SMALL(IF(INDEX(Data!$B$2:$EO$956,,MATCH("Case Manager",Data!$1:$1,0)-1,1)="SH",MATCH(ROW(Data!$DZ$2:$DZ$956),ROW(Data!$DZ$2:$DZ$956)),""),ROWS($A$1:A18)),COLUMNS($A$1:A18))
),"")</f>
        <v>977018</v>
      </c>
      <c r="C29" s="1" t="str">
        <f>IF(
IFERROR(
INDEX(Data!$1:$1048576,MATCH('Client Lists'!$B29,Data!$B:$B,0),MATCH('Client Lists'!C$11,Data!$1:$1,0)),"")=0,"",
IFERROR(
INDEX(Data!$1:$1048576,MATCH('Client Lists'!$B29,Data!$B:$B,0),MATCH('Client Lists'!C$11,Data!$1:$1,0)),""))</f>
        <v/>
      </c>
      <c r="D29" s="1" t="str">
        <f>IF(
IFERROR(
INDEX(Data!$1:$1048576,MATCH('Client Lists'!$B29,Data!$B:$B,0),MATCH('Client Lists'!D$11,Data!$1:$1,0)),"")=0,"",
IFERROR(
INDEX(Data!$1:$1048576,MATCH('Client Lists'!$B29,Data!$B:$B,0),MATCH('Client Lists'!D$11,Data!$1:$1,0)),""))</f>
        <v>MTDL</v>
      </c>
      <c r="E29" s="1" t="str">
        <f>IF(
IFERROR(
INDEX(Data!$1:$1048576,MATCH('Client Lists'!$B29,Data!$B:$B,0),MATCH('Client Lists'!E$11,Data!$1:$1,0)),"")=0,"",
IFERROR(
INDEX(Data!$1:$1048576,MATCH('Client Lists'!$B29,Data!$B:$B,0),MATCH('Client Lists'!E$11,Data!$1:$1,0)),""))</f>
        <v xml:space="preserve"> CDBG; SNAP; EARN</v>
      </c>
      <c r="F29" s="1">
        <f>IF(
IFERROR(
INDEX(Data!$1:$1048576,MATCH('Client Lists'!$B29,Data!$B:$B,0),MATCH('Client Lists'!F$11,Data!$1:$1,0)),"")=0,"",
IFERROR(
INDEX(Data!$1:$1048576,MATCH('Client Lists'!$B29,Data!$B:$B,0),MATCH('Client Lists'!F$11,Data!$1:$1,0)),""))</f>
        <v>44627</v>
      </c>
      <c r="G29" s="1" t="str">
        <f>IF(
IFERROR(
INDEX(Data!$1:$1048576,MATCH('Client Lists'!$B29,Data!$B:$B,0),MATCH('Client Lists'!G$11,Data!$1:$1,0)),"")=0,"",
IFERROR(
INDEX(Data!$1:$1048576,MATCH('Client Lists'!$B29,Data!$B:$B,0),MATCH('Client Lists'!G$11,Data!$1:$1,0)),""))</f>
        <v>Yes</v>
      </c>
      <c r="H29" s="1" t="str">
        <f>IF(
IFERROR(
INDEX(Data!$1:$1048576,MATCH('Client Lists'!$B29,Data!$B:$B,0),MATCH('Client Lists'!H$11,Data!$1:$1,0)),"")=0,"",
IFERROR(
INDEX(Data!$1:$1048576,MATCH('Client Lists'!$B29,Data!$B:$B,0),MATCH('Client Lists'!H$11,Data!$1:$1,0)),""))</f>
        <v>No</v>
      </c>
      <c r="I29" s="2" t="str">
        <f>IF(
IFERROR(
INDEX(Data!$1:$1048576,MATCH('Client Lists'!$B29,Data!$B:$B,0),MATCH('Client Lists'!I$11,Data!$1:$1,0)),"")=0,"",
IFERROR(
INDEX(Data!$1:$1048576,MATCH('Client Lists'!$B29,Data!$B:$B,0),MATCH('Client Lists'!I$11,Data!$1:$1,0)),""))</f>
        <v>Yes</v>
      </c>
      <c r="J29" s="1" t="str">
        <f>IF(
IFERROR(
INDEX(Data!$1:$1048576,MATCH('Client Lists'!$B29,Data!$B:$B,0),MATCH('Client Lists'!J$11,Data!$1:$1,0)),"")=0,"",
IFERROR(
INDEX(Data!$1:$1048576,MATCH('Client Lists'!$B29,Data!$B:$B,0),MATCH('Client Lists'!J$11,Data!$1:$1,0)),""))</f>
        <v/>
      </c>
      <c r="K29" s="1" t="str">
        <f>IF(
IFERROR(
INDEX(Data!$1:$1048576,MATCH('Client Lists'!$B29,Data!$B:$B,0),MATCH('Client Lists'!K$11,Data!$1:$1,0)),"")=0,"",
IFERROR(
INDEX(Data!$1:$1048576,MATCH('Client Lists'!$B29,Data!$B:$B,0),MATCH('Client Lists'!K$11,Data!$1:$1,0)),""))</f>
        <v/>
      </c>
    </row>
    <row r="30" spans="2:11" x14ac:dyDescent="0.45">
      <c r="B30" s="5">
        <f t="array" ref="B30">IFERROR(_xlfn.IFS(
$B$6 = "Retention Overdue",
INDEX(Data!$B$2:$EO$956,
SMALL(IF(INDEX(Data!$B$2:$EO$956,,MATCH("Call Due",Data!$1:$1,0)-1,1)="Yes",MATCH(ROW(Data!$CN$2:$CN$956),ROW(Data!$CN$2:$CN$956)),""),ROWS($A$1:A19)),COLUMNS($A$1:A19)),
$B$6 = "OWIF-W",
INDEX(Data!$B$2:$EO$956,
SMALL(IF(INDEX(Data!$B$2:$EO$956,,MATCH("Grant Fund",Data!$1:$1,0)-1,1)="OWIF-W",MATCH(ROW(Data!$AO$2:$AO$956),ROW(Data!$AO$2:$AO$956)),""),ROWS($A$1:A19)),COLUMNS($A$1:A19)),
$B$6 = "G2C",
INDEX(Data!$B$2:$EO$956,
SMALL(IF(INDEX(Data!$B$2:$EO$956,,MATCH("Grant Fund",Data!$1:$1,0)-1,1)="Grads2Careers",MATCH(ROW(Data!$AO$2:$AO$956),ROW(Data!$AO$2:$AO$956)),""),ROWS($A$1:A19)),COLUMNS($A$1:A19)),
$B$6 = "OWIF",
INDEX(Data!$B$2:$EO$956,
SMALL(IF(INDEX(Data!$B$2:$EO$956,,MATCH("Grant Fund",Data!$1:$1,0)-1,1)="OWIF",MATCH(ROW(Data!$AO$2:$AO$956),ROW(Data!$AO$2:$AO$956)),""),ROWS($A$1:A19)),COLUMNS($A$1:A19)),
$B$6 = "WIOA",
INDEX(Data!$B$2:$EO$956,
SMALL(IF(INDEX(Data!$B$2:$EO$956,,MATCH("Grant Fund",Data!$1:$1,0)-1,1)="WIOA",MATCH(ROW(Data!$AO$2:$AO$956),ROW(Data!$AO$2:$AO$956)),""),ROWS($A$1:A19)),COLUMNS($A$1:A19)),
$B$6 = "WIOA II",
INDEX(Data!$B$2:$EO$956,
SMALL(IF(INDEX(Data!$B$2:$EO$956,,MATCH("Grant Fund",Data!$1:$1,0)-1,1)="WIOA II",MATCH(ROW(Data!$AO$2:$AO$956),ROW(Data!$AO$2:$AO$956)),""),ROWS($A$1:A19)),COLUMNS($A$1:A19)),
$B$6 = "WIOA III",
INDEX(Data!$B$2:$EO$956,
SMALL(IF(INDEX(Data!$B$2:$EO$956,,MATCH("Grant Fund",Data!$1:$1,0)-1,1)="WIOA III",MATCH(ROW(Data!$AO$2:$AO$956),ROW(Data!$AO$2:$AO$956)),""),ROWS($A$1:A19)),COLUMNS($A$1:A19)),
$B$6 = "Currently Employed",
INDEX(Data!$B$2:$EO$956,
SMALL(IF(INDEX(Data!$B$2:$EO$956,,MATCH("Currently Employed",Data!$1:$1,0)-1,1)="Yes",MATCH(ROW(Data!$DZ$2:$DZ$956),ROW(Data!$DZ$2:$DZ$956)),""),ROWS($A$1:A19)),COLUMNS($A$1:A19)),
$B$6 = "Inactive",
INDEX(Data!$B$2:$EO$956,
SMALL(IF(INDEX(Data!$B$2:$EO$956,,MATCH("Inactive",Data!$1:$1,0)-1,1)="Yes",MATCH(ROW(Data!$DG$2:$DG$956),ROW(Data!$DG$2:$DG$956)),""),ROWS($A$1:A19)),COLUMNS($A$1:A19)),
$B$6 = "Active",
INDEX(Data!$B$2:$EO$956,
SMALL(IF(INDEX(Data!$B$2:$EO$956,,MATCH("Active",Data!$1:$1,0)-1,1)="Yes",MATCH(ROW(Data!$DZ$2:$DZ$956),ROW(Data!$DZ$2:$DZ$956)),""),ROWS($A$1:A19)),COLUMNS($A$1:A19)),
$B$6 = "Status Unknown",
INDEX(Data!$B$2:$EO$956,
SMALL(IF(INDEX(Data!$B$2:$EO$956,,MATCH("Status Unknown",Data!$1:$1,0)-1,1)="Yes",MATCH(ROW(Data!$EB$2:$EB$956),ROW(Data!$EB$2:$EB$956)),""),ROWS($A$1:A19)),COLUMNS($A$1:A19)),
$B$6 = "Enrollment Pending",
INDEX(Data!$B$2:$EO$956,
SMALL(IF(INDEX(Data!$B$2:$EO$956,,MATCH("Enrollment Pending",Data!$1:$1,0)-1,1)="Yes",MATCH(ROW(Data!$DY$2:$DY$956),ROW(Data!$DY$2:$DY$956)),""),ROWS($A$1:A19)),COLUMNS($A$1:A19)),
$B$6 = "Gained Certification",
INDEX(Data!$B$2:$EO$956,
SMALL(IF(INDEX(Data!$B$2:$EO$956,,MATCH("Gained Certification",Data!$1:$1,0)-1,1)="Yes",MATCH(ROW(Data!$DU$2:$DU$956),ROW(Data!$DU$2:$DU$956)),""),ROWS($A$1:A19)),COLUMNS($A$1:A19)),
$B$6 = "No Certification",
INDEX(Data!$B$2:$EO$956,
SMALL(IF(INDEX(Data!$B$2:$EO$956,,MATCH("Gained Certification",Data!$1:$1,0)-1,1)&lt;&gt;"Yes",MATCH(ROW(Data!$DU$2:$DU$956),ROW(Data!$DU$2:$DU$956)),""),ROWS($A$1:A19)),COLUMNS($A$1:A19)),
$B$6 = "Completers Without Employment",
INDEX(Data!$B$2:$EO$967,
SMALL(IF(INDEX(Data!$B$2:$EO$967,,MATCH("Completed Without Employment",Data!$1:$1,0)-1,1)="Yes",MATCH(ROW(Data!$DZ$2:$DZ$967),ROW(Data!$DZ$2:$DZ$967)),""),ROWS($A$1:A19)),COLUMNS($A$1:A19)),
$B$6 = "CH",
INDEX(Data!$B$2:$EO$956,
SMALL(IF(INDEX(Data!$B$2:$EO$956,,MATCH("Case Manager",Data!$1:$1,0)-1,1)="CH",MATCH(ROW(Data!$DZ$2:$DZ$956),ROW(Data!$DZ$2:$DZ$956)),""),ROWS($A$1:A19)),COLUMNS($A$1:A19)),
$B$6 = "ML",
INDEX(Data!$B$2:$EO$956,
SMALL(IF(INDEX(Data!$B$2:$EO$956,,MATCH("Case Manager",Data!$1:$1,0)-1,1)="ML",MATCH(ROW(Data!$DZ$2:$DZ$956),ROW(Data!$DZ$2:$DZ$956)),""),ROWS($A$1:A19)),COLUMNS($A$1:A19)),
$B$6 = "RB",
INDEX(Data!$B$2:$EO$956,
SMALL(IF(INDEX(Data!$B$2:$EO$956,,MATCH("Case Manager",Data!$1:$1,0)-1,1)="RB",MATCH(ROW(Data!$DZ$2:$DZ$956),ROW(Data!$DZ$2:$DZ$956)),""),ROWS($A$1:A19)),COLUMNS($A$1:A19)),
$B$6 = "RV",
INDEX(Data!$B$2:$EO$956,
SMALL(IF(INDEX(Data!$B$2:$EO$956,,MATCH("Case Manager",Data!$1:$1,0)-1,1)="RV",MATCH(ROW(Data!$DZ$2:$DZ$956),ROW(Data!$DZ$2:$DZ$956)),""),ROWS($A$1:A19)),COLUMNS($A$1:A19)),
$B$6 = "SG",
INDEX(Data!$B$2:$EO$956,
SMALL(IF(INDEX(Data!$B$2:$EO$956,,MATCH("Case Manager",Data!$1:$1,0)-1,1)="SH",MATCH(ROW(Data!$DZ$2:$DZ$956),ROW(Data!$DZ$2:$DZ$956)),""),ROWS($A$1:A19)),COLUMNS($A$1:A19))
),"")</f>
        <v>976557</v>
      </c>
      <c r="C30" s="1" t="str">
        <f>IF(
IFERROR(
INDEX(Data!$1:$1048576,MATCH('Client Lists'!$B30,Data!$B:$B,0),MATCH('Client Lists'!C$11,Data!$1:$1,0)),"")=0,"",
IFERROR(
INDEX(Data!$1:$1048576,MATCH('Client Lists'!$B30,Data!$B:$B,0),MATCH('Client Lists'!C$11,Data!$1:$1,0)),""))</f>
        <v/>
      </c>
      <c r="D30" s="1" t="str">
        <f>IF(
IFERROR(
INDEX(Data!$1:$1048576,MATCH('Client Lists'!$B30,Data!$B:$B,0),MATCH('Client Lists'!D$11,Data!$1:$1,0)),"")=0,"",
IFERROR(
INDEX(Data!$1:$1048576,MATCH('Client Lists'!$B30,Data!$B:$B,0),MATCH('Client Lists'!D$11,Data!$1:$1,0)),""))</f>
        <v>MTDL</v>
      </c>
      <c r="E30" s="1" t="str">
        <f>IF(
IFERROR(
INDEX(Data!$1:$1048576,MATCH('Client Lists'!$B30,Data!$B:$B,0),MATCH('Client Lists'!E$11,Data!$1:$1,0)),"")=0,"",
IFERROR(
INDEX(Data!$1:$1048576,MATCH('Client Lists'!$B30,Data!$B:$B,0),MATCH('Client Lists'!E$11,Data!$1:$1,0)),""))</f>
        <v xml:space="preserve"> CDBG; EARN</v>
      </c>
      <c r="F30" s="1">
        <f>IF(
IFERROR(
INDEX(Data!$1:$1048576,MATCH('Client Lists'!$B30,Data!$B:$B,0),MATCH('Client Lists'!F$11,Data!$1:$1,0)),"")=0,"",
IFERROR(
INDEX(Data!$1:$1048576,MATCH('Client Lists'!$B30,Data!$B:$B,0),MATCH('Client Lists'!F$11,Data!$1:$1,0)),""))</f>
        <v>44305</v>
      </c>
      <c r="G30" s="1" t="str">
        <f>IF(
IFERROR(
INDEX(Data!$1:$1048576,MATCH('Client Lists'!$B30,Data!$B:$B,0),MATCH('Client Lists'!G$11,Data!$1:$1,0)),"")=0,"",
IFERROR(
INDEX(Data!$1:$1048576,MATCH('Client Lists'!$B30,Data!$B:$B,0),MATCH('Client Lists'!G$11,Data!$1:$1,0)),""))</f>
        <v>Yes</v>
      </c>
      <c r="H30" s="1" t="str">
        <f>IF(
IFERROR(
INDEX(Data!$1:$1048576,MATCH('Client Lists'!$B30,Data!$B:$B,0),MATCH('Client Lists'!H$11,Data!$1:$1,0)),"")=0,"",
IFERROR(
INDEX(Data!$1:$1048576,MATCH('Client Lists'!$B30,Data!$B:$B,0),MATCH('Client Lists'!H$11,Data!$1:$1,0)),""))</f>
        <v>Yes</v>
      </c>
      <c r="I30" s="1" t="str">
        <f>IF(
IFERROR(
INDEX(Data!$1:$1048576,MATCH('Client Lists'!$B30,Data!$B:$B,0),MATCH('Client Lists'!I$11,Data!$1:$1,0)),"")=0,"",
IFERROR(
INDEX(Data!$1:$1048576,MATCH('Client Lists'!$B30,Data!$B:$B,0),MATCH('Client Lists'!I$11,Data!$1:$1,0)),""))</f>
        <v>Yes</v>
      </c>
      <c r="J30" s="1" t="str">
        <f>IF(
IFERROR(
INDEX(Data!$1:$1048576,MATCH('Client Lists'!$B30,Data!$B:$B,0),MATCH('Client Lists'!J$11,Data!$1:$1,0)),"")=0,"",
IFERROR(
INDEX(Data!$1:$1048576,MATCH('Client Lists'!$B30,Data!$B:$B,0),MATCH('Client Lists'!J$11,Data!$1:$1,0)),""))</f>
        <v>07/29/2022</v>
      </c>
      <c r="K30" s="1" t="str">
        <f>IF(
IFERROR(
INDEX(Data!$1:$1048576,MATCH('Client Lists'!$B30,Data!$B:$B,0),MATCH('Client Lists'!K$11,Data!$1:$1,0)),"")=0,"",
IFERROR(
INDEX(Data!$1:$1048576,MATCH('Client Lists'!$B30,Data!$B:$B,0),MATCH('Client Lists'!K$11,Data!$1:$1,0)),""))</f>
        <v>Job Not Retained</v>
      </c>
    </row>
    <row r="31" spans="2:11" x14ac:dyDescent="0.45">
      <c r="B31" s="5">
        <f t="array" ref="B31">IFERROR(_xlfn.IFS(
$B$6 = "Retention Overdue",
INDEX(Data!$B$2:$EO$956,
SMALL(IF(INDEX(Data!$B$2:$EO$956,,MATCH("Call Due",Data!$1:$1,0)-1,1)="Yes",MATCH(ROW(Data!$CN$2:$CN$956),ROW(Data!$CN$2:$CN$956)),""),ROWS($A$1:A20)),COLUMNS($A$1:A20)),
$B$6 = "OWIF-W",
INDEX(Data!$B$2:$EO$956,
SMALL(IF(INDEX(Data!$B$2:$EO$956,,MATCH("Grant Fund",Data!$1:$1,0)-1,1)="OWIF-W",MATCH(ROW(Data!$AO$2:$AO$956),ROW(Data!$AO$2:$AO$956)),""),ROWS($A$1:A20)),COLUMNS($A$1:A20)),
$B$6 = "G2C",
INDEX(Data!$B$2:$EO$956,
SMALL(IF(INDEX(Data!$B$2:$EO$956,,MATCH("Grant Fund",Data!$1:$1,0)-1,1)="Grads2Careers",MATCH(ROW(Data!$AO$2:$AO$956),ROW(Data!$AO$2:$AO$956)),""),ROWS($A$1:A20)),COLUMNS($A$1:A20)),
$B$6 = "OWIF",
INDEX(Data!$B$2:$EO$956,
SMALL(IF(INDEX(Data!$B$2:$EO$956,,MATCH("Grant Fund",Data!$1:$1,0)-1,1)="OWIF",MATCH(ROW(Data!$AO$2:$AO$956),ROW(Data!$AO$2:$AO$956)),""),ROWS($A$1:A20)),COLUMNS($A$1:A20)),
$B$6 = "WIOA",
INDEX(Data!$B$2:$EO$956,
SMALL(IF(INDEX(Data!$B$2:$EO$956,,MATCH("Grant Fund",Data!$1:$1,0)-1,1)="WIOA",MATCH(ROW(Data!$AO$2:$AO$956),ROW(Data!$AO$2:$AO$956)),""),ROWS($A$1:A20)),COLUMNS($A$1:A20)),
$B$6 = "WIOA II",
INDEX(Data!$B$2:$EO$956,
SMALL(IF(INDEX(Data!$B$2:$EO$956,,MATCH("Grant Fund",Data!$1:$1,0)-1,1)="WIOA II",MATCH(ROW(Data!$AO$2:$AO$956),ROW(Data!$AO$2:$AO$956)),""),ROWS($A$1:A20)),COLUMNS($A$1:A20)),
$B$6 = "WIOA III",
INDEX(Data!$B$2:$EO$956,
SMALL(IF(INDEX(Data!$B$2:$EO$956,,MATCH("Grant Fund",Data!$1:$1,0)-1,1)="WIOA III",MATCH(ROW(Data!$AO$2:$AO$956),ROW(Data!$AO$2:$AO$956)),""),ROWS($A$1:A20)),COLUMNS($A$1:A20)),
$B$6 = "Currently Employed",
INDEX(Data!$B$2:$EO$956,
SMALL(IF(INDEX(Data!$B$2:$EO$956,,MATCH("Currently Employed",Data!$1:$1,0)-1,1)="Yes",MATCH(ROW(Data!$DZ$2:$DZ$956),ROW(Data!$DZ$2:$DZ$956)),""),ROWS($A$1:A20)),COLUMNS($A$1:A20)),
$B$6 = "Inactive",
INDEX(Data!$B$2:$EO$956,
SMALL(IF(INDEX(Data!$B$2:$EO$956,,MATCH("Inactive",Data!$1:$1,0)-1,1)="Yes",MATCH(ROW(Data!$DG$2:$DG$956),ROW(Data!$DG$2:$DG$956)),""),ROWS($A$1:A20)),COLUMNS($A$1:A20)),
$B$6 = "Active",
INDEX(Data!$B$2:$EO$956,
SMALL(IF(INDEX(Data!$B$2:$EO$956,,MATCH("Active",Data!$1:$1,0)-1,1)="Yes",MATCH(ROW(Data!$DZ$2:$DZ$956),ROW(Data!$DZ$2:$DZ$956)),""),ROWS($A$1:A20)),COLUMNS($A$1:A20)),
$B$6 = "Status Unknown",
INDEX(Data!$B$2:$EO$956,
SMALL(IF(INDEX(Data!$B$2:$EO$956,,MATCH("Status Unknown",Data!$1:$1,0)-1,1)="Yes",MATCH(ROW(Data!$EB$2:$EB$956),ROW(Data!$EB$2:$EB$956)),""),ROWS($A$1:A20)),COLUMNS($A$1:A20)),
$B$6 = "Enrollment Pending",
INDEX(Data!$B$2:$EO$956,
SMALL(IF(INDEX(Data!$B$2:$EO$956,,MATCH("Enrollment Pending",Data!$1:$1,0)-1,1)="Yes",MATCH(ROW(Data!$DY$2:$DY$956),ROW(Data!$DY$2:$DY$956)),""),ROWS($A$1:A20)),COLUMNS($A$1:A20)),
$B$6 = "Gained Certification",
INDEX(Data!$B$2:$EO$956,
SMALL(IF(INDEX(Data!$B$2:$EO$956,,MATCH("Gained Certification",Data!$1:$1,0)-1,1)="Yes",MATCH(ROW(Data!$DU$2:$DU$956),ROW(Data!$DU$2:$DU$956)),""),ROWS($A$1:A20)),COLUMNS($A$1:A20)),
$B$6 = "No Certification",
INDEX(Data!$B$2:$EO$956,
SMALL(IF(INDEX(Data!$B$2:$EO$956,,MATCH("Gained Certification",Data!$1:$1,0)-1,1)&lt;&gt;"Yes",MATCH(ROW(Data!$DU$2:$DU$956),ROW(Data!$DU$2:$DU$956)),""),ROWS($A$1:A20)),COLUMNS($A$1:A20)),
$B$6 = "Completers Without Employment",
INDEX(Data!$B$2:$EO$967,
SMALL(IF(INDEX(Data!$B$2:$EO$967,,MATCH("Completed Without Employment",Data!$1:$1,0)-1,1)="Yes",MATCH(ROW(Data!$DZ$2:$DZ$967),ROW(Data!$DZ$2:$DZ$967)),""),ROWS($A$1:A20)),COLUMNS($A$1:A20)),
$B$6 = "CH",
INDEX(Data!$B$2:$EO$956,
SMALL(IF(INDEX(Data!$B$2:$EO$956,,MATCH("Case Manager",Data!$1:$1,0)-1,1)="CH",MATCH(ROW(Data!$DZ$2:$DZ$956),ROW(Data!$DZ$2:$DZ$956)),""),ROWS($A$1:A20)),COLUMNS($A$1:A20)),
$B$6 = "ML",
INDEX(Data!$B$2:$EO$956,
SMALL(IF(INDEX(Data!$B$2:$EO$956,,MATCH("Case Manager",Data!$1:$1,0)-1,1)="ML",MATCH(ROW(Data!$DZ$2:$DZ$956),ROW(Data!$DZ$2:$DZ$956)),""),ROWS($A$1:A20)),COLUMNS($A$1:A20)),
$B$6 = "RB",
INDEX(Data!$B$2:$EO$956,
SMALL(IF(INDEX(Data!$B$2:$EO$956,,MATCH("Case Manager",Data!$1:$1,0)-1,1)="RB",MATCH(ROW(Data!$DZ$2:$DZ$956),ROW(Data!$DZ$2:$DZ$956)),""),ROWS($A$1:A20)),COLUMNS($A$1:A20)),
$B$6 = "RV",
INDEX(Data!$B$2:$EO$956,
SMALL(IF(INDEX(Data!$B$2:$EO$956,,MATCH("Case Manager",Data!$1:$1,0)-1,1)="RV",MATCH(ROW(Data!$DZ$2:$DZ$956),ROW(Data!$DZ$2:$DZ$956)),""),ROWS($A$1:A20)),COLUMNS($A$1:A20)),
$B$6 = "SG",
INDEX(Data!$B$2:$EO$956,
SMALL(IF(INDEX(Data!$B$2:$EO$956,,MATCH("Case Manager",Data!$1:$1,0)-1,1)="SH",MATCH(ROW(Data!$DZ$2:$DZ$956),ROW(Data!$DZ$2:$DZ$956)),""),ROWS($A$1:A20)),COLUMNS($A$1:A20))
),"")</f>
        <v>976649</v>
      </c>
      <c r="C31" s="1" t="str">
        <f>IF(
IFERROR(
INDEX(Data!$1:$1048576,MATCH('Client Lists'!$B31,Data!$B:$B,0),MATCH('Client Lists'!C$11,Data!$1:$1,0)),"")=0,"",
IFERROR(
INDEX(Data!$1:$1048576,MATCH('Client Lists'!$B31,Data!$B:$B,0),MATCH('Client Lists'!C$11,Data!$1:$1,0)),""))</f>
        <v/>
      </c>
      <c r="D31" s="1" t="str">
        <f>IF(
IFERROR(
INDEX(Data!$1:$1048576,MATCH('Client Lists'!$B31,Data!$B:$B,0),MATCH('Client Lists'!D$11,Data!$1:$1,0)),"")=0,"",
IFERROR(
INDEX(Data!$1:$1048576,MATCH('Client Lists'!$B31,Data!$B:$B,0),MATCH('Client Lists'!D$11,Data!$1:$1,0)),""))</f>
        <v>MTDL</v>
      </c>
      <c r="E31" s="1" t="str">
        <f>IF(
IFERROR(
INDEX(Data!$1:$1048576,MATCH('Client Lists'!$B31,Data!$B:$B,0),MATCH('Client Lists'!E$11,Data!$1:$1,0)),"")=0,"",
IFERROR(
INDEX(Data!$1:$1048576,MATCH('Client Lists'!$B31,Data!$B:$B,0),MATCH('Client Lists'!E$11,Data!$1:$1,0)),""))</f>
        <v/>
      </c>
      <c r="F31" s="1">
        <f>IF(
IFERROR(
INDEX(Data!$1:$1048576,MATCH('Client Lists'!$B31,Data!$B:$B,0),MATCH('Client Lists'!F$11,Data!$1:$1,0)),"")=0,"",
IFERROR(
INDEX(Data!$1:$1048576,MATCH('Client Lists'!$B31,Data!$B:$B,0),MATCH('Client Lists'!F$11,Data!$1:$1,0)),""))</f>
        <v>44410</v>
      </c>
      <c r="G31" s="1" t="str">
        <f>IF(
IFERROR(
INDEX(Data!$1:$1048576,MATCH('Client Lists'!$B31,Data!$B:$B,0),MATCH('Client Lists'!G$11,Data!$1:$1,0)),"")=0,"",
IFERROR(
INDEX(Data!$1:$1048576,MATCH('Client Lists'!$B31,Data!$B:$B,0),MATCH('Client Lists'!G$11,Data!$1:$1,0)),""))</f>
        <v>Yes</v>
      </c>
      <c r="H31" s="1" t="str">
        <f>IF(
IFERROR(
INDEX(Data!$1:$1048576,MATCH('Client Lists'!$B31,Data!$B:$B,0),MATCH('Client Lists'!H$11,Data!$1:$1,0)),"")=0,"",
IFERROR(
INDEX(Data!$1:$1048576,MATCH('Client Lists'!$B31,Data!$B:$B,0),MATCH('Client Lists'!H$11,Data!$1:$1,0)),""))</f>
        <v>No</v>
      </c>
      <c r="I31" s="1" t="str">
        <f>IF(
IFERROR(
INDEX(Data!$1:$1048576,MATCH('Client Lists'!$B31,Data!$B:$B,0),MATCH('Client Lists'!I$11,Data!$1:$1,0)),"")=0,"",
IFERROR(
INDEX(Data!$1:$1048576,MATCH('Client Lists'!$B31,Data!$B:$B,0),MATCH('Client Lists'!I$11,Data!$1:$1,0)),""))</f>
        <v>Yes</v>
      </c>
      <c r="J31" s="1" t="str">
        <f>IF(
IFERROR(
INDEX(Data!$1:$1048576,MATCH('Client Lists'!$B31,Data!$B:$B,0),MATCH('Client Lists'!J$11,Data!$1:$1,0)),"")=0,"",
IFERROR(
INDEX(Data!$1:$1048576,MATCH('Client Lists'!$B31,Data!$B:$B,0),MATCH('Client Lists'!J$11,Data!$1:$1,0)),""))</f>
        <v/>
      </c>
      <c r="K31" s="1" t="str">
        <f>IF(
IFERROR(
INDEX(Data!$1:$1048576,MATCH('Client Lists'!$B31,Data!$B:$B,0),MATCH('Client Lists'!K$11,Data!$1:$1,0)),"")=0,"",
IFERROR(
INDEX(Data!$1:$1048576,MATCH('Client Lists'!$B31,Data!$B:$B,0),MATCH('Client Lists'!K$11,Data!$1:$1,0)),""))</f>
        <v/>
      </c>
    </row>
    <row r="32" spans="2:11" x14ac:dyDescent="0.45">
      <c r="B32" s="5">
        <f t="array" ref="B32">IFERROR(_xlfn.IFS(
$B$6 = "Retention Overdue",
INDEX(Data!$B$2:$EO$956,
SMALL(IF(INDEX(Data!$B$2:$EO$956,,MATCH("Call Due",Data!$1:$1,0)-1,1)="Yes",MATCH(ROW(Data!$CN$2:$CN$956),ROW(Data!$CN$2:$CN$956)),""),ROWS($A$1:A21)),COLUMNS($A$1:A21)),
$B$6 = "OWIF-W",
INDEX(Data!$B$2:$EO$956,
SMALL(IF(INDEX(Data!$B$2:$EO$956,,MATCH("Grant Fund",Data!$1:$1,0)-1,1)="OWIF-W",MATCH(ROW(Data!$AO$2:$AO$956),ROW(Data!$AO$2:$AO$956)),""),ROWS($A$1:A21)),COLUMNS($A$1:A21)),
$B$6 = "G2C",
INDEX(Data!$B$2:$EO$956,
SMALL(IF(INDEX(Data!$B$2:$EO$956,,MATCH("Grant Fund",Data!$1:$1,0)-1,1)="Grads2Careers",MATCH(ROW(Data!$AO$2:$AO$956),ROW(Data!$AO$2:$AO$956)),""),ROWS($A$1:A21)),COLUMNS($A$1:A21)),
$B$6 = "OWIF",
INDEX(Data!$B$2:$EO$956,
SMALL(IF(INDEX(Data!$B$2:$EO$956,,MATCH("Grant Fund",Data!$1:$1,0)-1,1)="OWIF",MATCH(ROW(Data!$AO$2:$AO$956),ROW(Data!$AO$2:$AO$956)),""),ROWS($A$1:A21)),COLUMNS($A$1:A21)),
$B$6 = "WIOA",
INDEX(Data!$B$2:$EO$956,
SMALL(IF(INDEX(Data!$B$2:$EO$956,,MATCH("Grant Fund",Data!$1:$1,0)-1,1)="WIOA",MATCH(ROW(Data!$AO$2:$AO$956),ROW(Data!$AO$2:$AO$956)),""),ROWS($A$1:A21)),COLUMNS($A$1:A21)),
$B$6 = "WIOA II",
INDEX(Data!$B$2:$EO$956,
SMALL(IF(INDEX(Data!$B$2:$EO$956,,MATCH("Grant Fund",Data!$1:$1,0)-1,1)="WIOA II",MATCH(ROW(Data!$AO$2:$AO$956),ROW(Data!$AO$2:$AO$956)),""),ROWS($A$1:A21)),COLUMNS($A$1:A21)),
$B$6 = "WIOA III",
INDEX(Data!$B$2:$EO$956,
SMALL(IF(INDEX(Data!$B$2:$EO$956,,MATCH("Grant Fund",Data!$1:$1,0)-1,1)="WIOA III",MATCH(ROW(Data!$AO$2:$AO$956),ROW(Data!$AO$2:$AO$956)),""),ROWS($A$1:A21)),COLUMNS($A$1:A21)),
$B$6 = "Currently Employed",
INDEX(Data!$B$2:$EO$956,
SMALL(IF(INDEX(Data!$B$2:$EO$956,,MATCH("Currently Employed",Data!$1:$1,0)-1,1)="Yes",MATCH(ROW(Data!$DZ$2:$DZ$956),ROW(Data!$DZ$2:$DZ$956)),""),ROWS($A$1:A21)),COLUMNS($A$1:A21)),
$B$6 = "Inactive",
INDEX(Data!$B$2:$EO$956,
SMALL(IF(INDEX(Data!$B$2:$EO$956,,MATCH("Inactive",Data!$1:$1,0)-1,1)="Yes",MATCH(ROW(Data!$DG$2:$DG$956),ROW(Data!$DG$2:$DG$956)),""),ROWS($A$1:A21)),COLUMNS($A$1:A21)),
$B$6 = "Active",
INDEX(Data!$B$2:$EO$956,
SMALL(IF(INDEX(Data!$B$2:$EO$956,,MATCH("Active",Data!$1:$1,0)-1,1)="Yes",MATCH(ROW(Data!$DZ$2:$DZ$956),ROW(Data!$DZ$2:$DZ$956)),""),ROWS($A$1:A21)),COLUMNS($A$1:A21)),
$B$6 = "Status Unknown",
INDEX(Data!$B$2:$EO$956,
SMALL(IF(INDEX(Data!$B$2:$EO$956,,MATCH("Status Unknown",Data!$1:$1,0)-1,1)="Yes",MATCH(ROW(Data!$EB$2:$EB$956),ROW(Data!$EB$2:$EB$956)),""),ROWS($A$1:A21)),COLUMNS($A$1:A21)),
$B$6 = "Enrollment Pending",
INDEX(Data!$B$2:$EO$956,
SMALL(IF(INDEX(Data!$B$2:$EO$956,,MATCH("Enrollment Pending",Data!$1:$1,0)-1,1)="Yes",MATCH(ROW(Data!$DY$2:$DY$956),ROW(Data!$DY$2:$DY$956)),""),ROWS($A$1:A21)),COLUMNS($A$1:A21)),
$B$6 = "Gained Certification",
INDEX(Data!$B$2:$EO$956,
SMALL(IF(INDEX(Data!$B$2:$EO$956,,MATCH("Gained Certification",Data!$1:$1,0)-1,1)="Yes",MATCH(ROW(Data!$DU$2:$DU$956),ROW(Data!$DU$2:$DU$956)),""),ROWS($A$1:A21)),COLUMNS($A$1:A21)),
$B$6 = "No Certification",
INDEX(Data!$B$2:$EO$956,
SMALL(IF(INDEX(Data!$B$2:$EO$956,,MATCH("Gained Certification",Data!$1:$1,0)-1,1)&lt;&gt;"Yes",MATCH(ROW(Data!$DU$2:$DU$956),ROW(Data!$DU$2:$DU$956)),""),ROWS($A$1:A21)),COLUMNS($A$1:A21)),
$B$6 = "Completers Without Employment",
INDEX(Data!$B$2:$EO$967,
SMALL(IF(INDEX(Data!$B$2:$EO$967,,MATCH("Completed Without Employment",Data!$1:$1,0)-1,1)="Yes",MATCH(ROW(Data!$DZ$2:$DZ$967),ROW(Data!$DZ$2:$DZ$967)),""),ROWS($A$1:A21)),COLUMNS($A$1:A21)),
$B$6 = "CH",
INDEX(Data!$B$2:$EO$956,
SMALL(IF(INDEX(Data!$B$2:$EO$956,,MATCH("Case Manager",Data!$1:$1,0)-1,1)="CH",MATCH(ROW(Data!$DZ$2:$DZ$956),ROW(Data!$DZ$2:$DZ$956)),""),ROWS($A$1:A21)),COLUMNS($A$1:A21)),
$B$6 = "ML",
INDEX(Data!$B$2:$EO$956,
SMALL(IF(INDEX(Data!$B$2:$EO$956,,MATCH("Case Manager",Data!$1:$1,0)-1,1)="ML",MATCH(ROW(Data!$DZ$2:$DZ$956),ROW(Data!$DZ$2:$DZ$956)),""),ROWS($A$1:A21)),COLUMNS($A$1:A21)),
$B$6 = "RB",
INDEX(Data!$B$2:$EO$956,
SMALL(IF(INDEX(Data!$B$2:$EO$956,,MATCH("Case Manager",Data!$1:$1,0)-1,1)="RB",MATCH(ROW(Data!$DZ$2:$DZ$956),ROW(Data!$DZ$2:$DZ$956)),""),ROWS($A$1:A21)),COLUMNS($A$1:A21)),
$B$6 = "RV",
INDEX(Data!$B$2:$EO$956,
SMALL(IF(INDEX(Data!$B$2:$EO$956,,MATCH("Case Manager",Data!$1:$1,0)-1,1)="RV",MATCH(ROW(Data!$DZ$2:$DZ$956),ROW(Data!$DZ$2:$DZ$956)),""),ROWS($A$1:A21)),COLUMNS($A$1:A21)),
$B$6 = "SG",
INDEX(Data!$B$2:$EO$956,
SMALL(IF(INDEX(Data!$B$2:$EO$956,,MATCH("Case Manager",Data!$1:$1,0)-1,1)="SH",MATCH(ROW(Data!$DZ$2:$DZ$956),ROW(Data!$DZ$2:$DZ$956)),""),ROWS($A$1:A21)),COLUMNS($A$1:A21))
),"")</f>
        <v>976993</v>
      </c>
      <c r="C32" s="1" t="str">
        <f>IF(
IFERROR(
INDEX(Data!$1:$1048576,MATCH('Client Lists'!$B32,Data!$B:$B,0),MATCH('Client Lists'!C$11,Data!$1:$1,0)),"")=0,"",
IFERROR(
INDEX(Data!$1:$1048576,MATCH('Client Lists'!$B32,Data!$B:$B,0),MATCH('Client Lists'!C$11,Data!$1:$1,0)),""))</f>
        <v/>
      </c>
      <c r="D32" s="1" t="str">
        <f>IF(
IFERROR(
INDEX(Data!$1:$1048576,MATCH('Client Lists'!$B32,Data!$B:$B,0),MATCH('Client Lists'!D$11,Data!$1:$1,0)),"")=0,"",
IFERROR(
INDEX(Data!$1:$1048576,MATCH('Client Lists'!$B32,Data!$B:$B,0),MATCH('Client Lists'!D$11,Data!$1:$1,0)),""))</f>
        <v>OOO</v>
      </c>
      <c r="E32" s="1" t="str">
        <f>IF(
IFERROR(
INDEX(Data!$1:$1048576,MATCH('Client Lists'!$B32,Data!$B:$B,0),MATCH('Client Lists'!E$11,Data!$1:$1,0)),"")=0,"",
IFERROR(
INDEX(Data!$1:$1048576,MATCH('Client Lists'!$B32,Data!$B:$B,0),MATCH('Client Lists'!E$11,Data!$1:$1,0)),""))</f>
        <v>WIOA; CDBG</v>
      </c>
      <c r="F32" s="1" t="str">
        <f>IF(
IFERROR(
INDEX(Data!$1:$1048576,MATCH('Client Lists'!$B32,Data!$B:$B,0),MATCH('Client Lists'!F$11,Data!$1:$1,0)),"")=0,"",
IFERROR(
INDEX(Data!$1:$1048576,MATCH('Client Lists'!$B32,Data!$B:$B,0),MATCH('Client Lists'!F$11,Data!$1:$1,0)),""))</f>
        <v/>
      </c>
      <c r="G32" s="1" t="str">
        <f>IF(
IFERROR(
INDEX(Data!$1:$1048576,MATCH('Client Lists'!$B32,Data!$B:$B,0),MATCH('Client Lists'!G$11,Data!$1:$1,0)),"")=0,"",
IFERROR(
INDEX(Data!$1:$1048576,MATCH('Client Lists'!$B32,Data!$B:$B,0),MATCH('Client Lists'!G$11,Data!$1:$1,0)),""))</f>
        <v>Yes</v>
      </c>
      <c r="H32" s="1" t="str">
        <f>IF(
IFERROR(
INDEX(Data!$1:$1048576,MATCH('Client Lists'!$B32,Data!$B:$B,0),MATCH('Client Lists'!H$11,Data!$1:$1,0)),"")=0,"",
IFERROR(
INDEX(Data!$1:$1048576,MATCH('Client Lists'!$B32,Data!$B:$B,0),MATCH('Client Lists'!H$11,Data!$1:$1,0)),""))</f>
        <v>Yes</v>
      </c>
      <c r="I32" s="1" t="str">
        <f>IF(
IFERROR(
INDEX(Data!$1:$1048576,MATCH('Client Lists'!$B32,Data!$B:$B,0),MATCH('Client Lists'!I$11,Data!$1:$1,0)),"")=0,"",
IFERROR(
INDEX(Data!$1:$1048576,MATCH('Client Lists'!$B32,Data!$B:$B,0),MATCH('Client Lists'!I$11,Data!$1:$1,0)),""))</f>
        <v/>
      </c>
      <c r="J32" s="1" t="str">
        <f>IF(
IFERROR(
INDEX(Data!$1:$1048576,MATCH('Client Lists'!$B32,Data!$B:$B,0),MATCH('Client Lists'!J$11,Data!$1:$1,0)),"")=0,"",
IFERROR(
INDEX(Data!$1:$1048576,MATCH('Client Lists'!$B32,Data!$B:$B,0),MATCH('Client Lists'!J$11,Data!$1:$1,0)),""))</f>
        <v>09/22/2022</v>
      </c>
      <c r="K32" s="1" t="str">
        <f>IF(
IFERROR(
INDEX(Data!$1:$1048576,MATCH('Client Lists'!$B32,Data!$B:$B,0),MATCH('Client Lists'!K$11,Data!$1:$1,0)),"")=0,"",
IFERROR(
INDEX(Data!$1:$1048576,MATCH('Client Lists'!$B32,Data!$B:$B,0),MATCH('Client Lists'!K$11,Data!$1:$1,0)),""))</f>
        <v>Job Not Retained</v>
      </c>
    </row>
    <row r="33" spans="2:11" x14ac:dyDescent="0.45">
      <c r="B33" s="5">
        <f t="array" ref="B33">IFERROR(_xlfn.IFS(
$B$6 = "Retention Overdue",
INDEX(Data!$B$2:$EO$956,
SMALL(IF(INDEX(Data!$B$2:$EO$956,,MATCH("Call Due",Data!$1:$1,0)-1,1)="Yes",MATCH(ROW(Data!$CN$2:$CN$956),ROW(Data!$CN$2:$CN$956)),""),ROWS($A$1:A22)),COLUMNS($A$1:A22)),
$B$6 = "OWIF-W",
INDEX(Data!$B$2:$EO$956,
SMALL(IF(INDEX(Data!$B$2:$EO$956,,MATCH("Grant Fund",Data!$1:$1,0)-1,1)="OWIF-W",MATCH(ROW(Data!$AO$2:$AO$956),ROW(Data!$AO$2:$AO$956)),""),ROWS($A$1:A22)),COLUMNS($A$1:A22)),
$B$6 = "G2C",
INDEX(Data!$B$2:$EO$956,
SMALL(IF(INDEX(Data!$B$2:$EO$956,,MATCH("Grant Fund",Data!$1:$1,0)-1,1)="Grads2Careers",MATCH(ROW(Data!$AO$2:$AO$956),ROW(Data!$AO$2:$AO$956)),""),ROWS($A$1:A22)),COLUMNS($A$1:A22)),
$B$6 = "OWIF",
INDEX(Data!$B$2:$EO$956,
SMALL(IF(INDEX(Data!$B$2:$EO$956,,MATCH("Grant Fund",Data!$1:$1,0)-1,1)="OWIF",MATCH(ROW(Data!$AO$2:$AO$956),ROW(Data!$AO$2:$AO$956)),""),ROWS($A$1:A22)),COLUMNS($A$1:A22)),
$B$6 = "WIOA",
INDEX(Data!$B$2:$EO$956,
SMALL(IF(INDEX(Data!$B$2:$EO$956,,MATCH("Grant Fund",Data!$1:$1,0)-1,1)="WIOA",MATCH(ROW(Data!$AO$2:$AO$956),ROW(Data!$AO$2:$AO$956)),""),ROWS($A$1:A22)),COLUMNS($A$1:A22)),
$B$6 = "WIOA II",
INDEX(Data!$B$2:$EO$956,
SMALL(IF(INDEX(Data!$B$2:$EO$956,,MATCH("Grant Fund",Data!$1:$1,0)-1,1)="WIOA II",MATCH(ROW(Data!$AO$2:$AO$956),ROW(Data!$AO$2:$AO$956)),""),ROWS($A$1:A22)),COLUMNS($A$1:A22)),
$B$6 = "WIOA III",
INDEX(Data!$B$2:$EO$956,
SMALL(IF(INDEX(Data!$B$2:$EO$956,,MATCH("Grant Fund",Data!$1:$1,0)-1,1)="WIOA III",MATCH(ROW(Data!$AO$2:$AO$956),ROW(Data!$AO$2:$AO$956)),""),ROWS($A$1:A22)),COLUMNS($A$1:A22)),
$B$6 = "Currently Employed",
INDEX(Data!$B$2:$EO$956,
SMALL(IF(INDEX(Data!$B$2:$EO$956,,MATCH("Currently Employed",Data!$1:$1,0)-1,1)="Yes",MATCH(ROW(Data!$DZ$2:$DZ$956),ROW(Data!$DZ$2:$DZ$956)),""),ROWS($A$1:A22)),COLUMNS($A$1:A22)),
$B$6 = "Inactive",
INDEX(Data!$B$2:$EO$956,
SMALL(IF(INDEX(Data!$B$2:$EO$956,,MATCH("Inactive",Data!$1:$1,0)-1,1)="Yes",MATCH(ROW(Data!$DG$2:$DG$956),ROW(Data!$DG$2:$DG$956)),""),ROWS($A$1:A22)),COLUMNS($A$1:A22)),
$B$6 = "Active",
INDEX(Data!$B$2:$EO$956,
SMALL(IF(INDEX(Data!$B$2:$EO$956,,MATCH("Active",Data!$1:$1,0)-1,1)="Yes",MATCH(ROW(Data!$DZ$2:$DZ$956),ROW(Data!$DZ$2:$DZ$956)),""),ROWS($A$1:A22)),COLUMNS($A$1:A22)),
$B$6 = "Status Unknown",
INDEX(Data!$B$2:$EO$956,
SMALL(IF(INDEX(Data!$B$2:$EO$956,,MATCH("Status Unknown",Data!$1:$1,0)-1,1)="Yes",MATCH(ROW(Data!$EB$2:$EB$956),ROW(Data!$EB$2:$EB$956)),""),ROWS($A$1:A22)),COLUMNS($A$1:A22)),
$B$6 = "Enrollment Pending",
INDEX(Data!$B$2:$EO$956,
SMALL(IF(INDEX(Data!$B$2:$EO$956,,MATCH("Enrollment Pending",Data!$1:$1,0)-1,1)="Yes",MATCH(ROW(Data!$DY$2:$DY$956),ROW(Data!$DY$2:$DY$956)),""),ROWS($A$1:A22)),COLUMNS($A$1:A22)),
$B$6 = "Gained Certification",
INDEX(Data!$B$2:$EO$956,
SMALL(IF(INDEX(Data!$B$2:$EO$956,,MATCH("Gained Certification",Data!$1:$1,0)-1,1)="Yes",MATCH(ROW(Data!$DU$2:$DU$956),ROW(Data!$DU$2:$DU$956)),""),ROWS($A$1:A22)),COLUMNS($A$1:A22)),
$B$6 = "No Certification",
INDEX(Data!$B$2:$EO$956,
SMALL(IF(INDEX(Data!$B$2:$EO$956,,MATCH("Gained Certification",Data!$1:$1,0)-1,1)&lt;&gt;"Yes",MATCH(ROW(Data!$DU$2:$DU$956),ROW(Data!$DU$2:$DU$956)),""),ROWS($A$1:A22)),COLUMNS($A$1:A22)),
$B$6 = "Completers Without Employment",
INDEX(Data!$B$2:$EO$967,
SMALL(IF(INDEX(Data!$B$2:$EO$967,,MATCH("Completed Without Employment",Data!$1:$1,0)-1,1)="Yes",MATCH(ROW(Data!$DZ$2:$DZ$967),ROW(Data!$DZ$2:$DZ$967)),""),ROWS($A$1:A22)),COLUMNS($A$1:A22)),
$B$6 = "CH",
INDEX(Data!$B$2:$EO$956,
SMALL(IF(INDEX(Data!$B$2:$EO$956,,MATCH("Case Manager",Data!$1:$1,0)-1,1)="CH",MATCH(ROW(Data!$DZ$2:$DZ$956),ROW(Data!$DZ$2:$DZ$956)),""),ROWS($A$1:A22)),COLUMNS($A$1:A22)),
$B$6 = "ML",
INDEX(Data!$B$2:$EO$956,
SMALL(IF(INDEX(Data!$B$2:$EO$956,,MATCH("Case Manager",Data!$1:$1,0)-1,1)="ML",MATCH(ROW(Data!$DZ$2:$DZ$956),ROW(Data!$DZ$2:$DZ$956)),""),ROWS($A$1:A22)),COLUMNS($A$1:A22)),
$B$6 = "RB",
INDEX(Data!$B$2:$EO$956,
SMALL(IF(INDEX(Data!$B$2:$EO$956,,MATCH("Case Manager",Data!$1:$1,0)-1,1)="RB",MATCH(ROW(Data!$DZ$2:$DZ$956),ROW(Data!$DZ$2:$DZ$956)),""),ROWS($A$1:A22)),COLUMNS($A$1:A22)),
$B$6 = "RV",
INDEX(Data!$B$2:$EO$956,
SMALL(IF(INDEX(Data!$B$2:$EO$956,,MATCH("Case Manager",Data!$1:$1,0)-1,1)="RV",MATCH(ROW(Data!$DZ$2:$DZ$956),ROW(Data!$DZ$2:$DZ$956)),""),ROWS($A$1:A22)),COLUMNS($A$1:A22)),
$B$6 = "SG",
INDEX(Data!$B$2:$EO$956,
SMALL(IF(INDEX(Data!$B$2:$EO$956,,MATCH("Case Manager",Data!$1:$1,0)-1,1)="SH",MATCH(ROW(Data!$DZ$2:$DZ$956),ROW(Data!$DZ$2:$DZ$956)),""),ROWS($A$1:A22)),COLUMNS($A$1:A22))
),"")</f>
        <v>977353</v>
      </c>
      <c r="C33" s="1" t="str">
        <f>IF(
IFERROR(
INDEX(Data!$1:$1048576,MATCH('Client Lists'!$B33,Data!$B:$B,0),MATCH('Client Lists'!C$11,Data!$1:$1,0)),"")=0,"",
IFERROR(
INDEX(Data!$1:$1048576,MATCH('Client Lists'!$B33,Data!$B:$B,0),MATCH('Client Lists'!C$11,Data!$1:$1,0)),""))</f>
        <v/>
      </c>
      <c r="D33" s="1" t="str">
        <f>IF(
IFERROR(
INDEX(Data!$1:$1048576,MATCH('Client Lists'!$B33,Data!$B:$B,0),MATCH('Client Lists'!D$11,Data!$1:$1,0)),"")=0,"",
IFERROR(
INDEX(Data!$1:$1048576,MATCH('Client Lists'!$B33,Data!$B:$B,0),MATCH('Client Lists'!D$11,Data!$1:$1,0)),""))</f>
        <v>MTDL</v>
      </c>
      <c r="E33" s="1" t="str">
        <f>IF(
IFERROR(
INDEX(Data!$1:$1048576,MATCH('Client Lists'!$B33,Data!$B:$B,0),MATCH('Client Lists'!E$11,Data!$1:$1,0)),"")=0,"",
IFERROR(
INDEX(Data!$1:$1048576,MATCH('Client Lists'!$B33,Data!$B:$B,0),MATCH('Client Lists'!E$11,Data!$1:$1,0)),""))</f>
        <v>Train Up; CDBG</v>
      </c>
      <c r="F33" s="1">
        <f>IF(
IFERROR(
INDEX(Data!$1:$1048576,MATCH('Client Lists'!$B33,Data!$B:$B,0),MATCH('Client Lists'!F$11,Data!$1:$1,0)),"")=0,"",
IFERROR(
INDEX(Data!$1:$1048576,MATCH('Client Lists'!$B33,Data!$B:$B,0),MATCH('Client Lists'!F$11,Data!$1:$1,0)),""))</f>
        <v>44858</v>
      </c>
      <c r="G33" s="1" t="str">
        <f>IF(
IFERROR(
INDEX(Data!$1:$1048576,MATCH('Client Lists'!$B33,Data!$B:$B,0),MATCH('Client Lists'!G$11,Data!$1:$1,0)),"")=0,"",
IFERROR(
INDEX(Data!$1:$1048576,MATCH('Client Lists'!$B33,Data!$B:$B,0),MATCH('Client Lists'!G$11,Data!$1:$1,0)),""))</f>
        <v>No</v>
      </c>
      <c r="H33" s="1" t="str">
        <f>IF(
IFERROR(
INDEX(Data!$1:$1048576,MATCH('Client Lists'!$B33,Data!$B:$B,0),MATCH('Client Lists'!H$11,Data!$1:$1,0)),"")=0,"",
IFERROR(
INDEX(Data!$1:$1048576,MATCH('Client Lists'!$B33,Data!$B:$B,0),MATCH('Client Lists'!H$11,Data!$1:$1,0)),""))</f>
        <v>No</v>
      </c>
      <c r="I33" s="1" t="str">
        <f>IF(
IFERROR(
INDEX(Data!$1:$1048576,MATCH('Client Lists'!$B33,Data!$B:$B,0),MATCH('Client Lists'!I$11,Data!$1:$1,0)),"")=0,"",
IFERROR(
INDEX(Data!$1:$1048576,MATCH('Client Lists'!$B33,Data!$B:$B,0),MATCH('Client Lists'!I$11,Data!$1:$1,0)),""))</f>
        <v/>
      </c>
      <c r="J33" s="1" t="str">
        <f>IF(
IFERROR(
INDEX(Data!$1:$1048576,MATCH('Client Lists'!$B33,Data!$B:$B,0),MATCH('Client Lists'!J$11,Data!$1:$1,0)),"")=0,"",
IFERROR(
INDEX(Data!$1:$1048576,MATCH('Client Lists'!$B33,Data!$B:$B,0),MATCH('Client Lists'!J$11,Data!$1:$1,0)),""))</f>
        <v/>
      </c>
      <c r="K33" s="1" t="str">
        <f>IF(
IFERROR(
INDEX(Data!$1:$1048576,MATCH('Client Lists'!$B33,Data!$B:$B,0),MATCH('Client Lists'!K$11,Data!$1:$1,0)),"")=0,"",
IFERROR(
INDEX(Data!$1:$1048576,MATCH('Client Lists'!$B33,Data!$B:$B,0),MATCH('Client Lists'!K$11,Data!$1:$1,0)),""))</f>
        <v/>
      </c>
    </row>
    <row r="34" spans="2:11" x14ac:dyDescent="0.45">
      <c r="B34" s="5">
        <f t="array" ref="B34">IFERROR(_xlfn.IFS(
$B$6 = "Retention Overdue",
INDEX(Data!$B$2:$EO$956,
SMALL(IF(INDEX(Data!$B$2:$EO$956,,MATCH("Call Due",Data!$1:$1,0)-1,1)="Yes",MATCH(ROW(Data!$CN$2:$CN$956),ROW(Data!$CN$2:$CN$956)),""),ROWS($A$1:A23)),COLUMNS($A$1:A23)),
$B$6 = "OWIF-W",
INDEX(Data!$B$2:$EO$956,
SMALL(IF(INDEX(Data!$B$2:$EO$956,,MATCH("Grant Fund",Data!$1:$1,0)-1,1)="OWIF-W",MATCH(ROW(Data!$AO$2:$AO$956),ROW(Data!$AO$2:$AO$956)),""),ROWS($A$1:A23)),COLUMNS($A$1:A23)),
$B$6 = "G2C",
INDEX(Data!$B$2:$EO$956,
SMALL(IF(INDEX(Data!$B$2:$EO$956,,MATCH("Grant Fund",Data!$1:$1,0)-1,1)="Grads2Careers",MATCH(ROW(Data!$AO$2:$AO$956),ROW(Data!$AO$2:$AO$956)),""),ROWS($A$1:A23)),COLUMNS($A$1:A23)),
$B$6 = "OWIF",
INDEX(Data!$B$2:$EO$956,
SMALL(IF(INDEX(Data!$B$2:$EO$956,,MATCH("Grant Fund",Data!$1:$1,0)-1,1)="OWIF",MATCH(ROW(Data!$AO$2:$AO$956),ROW(Data!$AO$2:$AO$956)),""),ROWS($A$1:A23)),COLUMNS($A$1:A23)),
$B$6 = "WIOA",
INDEX(Data!$B$2:$EO$956,
SMALL(IF(INDEX(Data!$B$2:$EO$956,,MATCH("Grant Fund",Data!$1:$1,0)-1,1)="WIOA",MATCH(ROW(Data!$AO$2:$AO$956),ROW(Data!$AO$2:$AO$956)),""),ROWS($A$1:A23)),COLUMNS($A$1:A23)),
$B$6 = "WIOA II",
INDEX(Data!$B$2:$EO$956,
SMALL(IF(INDEX(Data!$B$2:$EO$956,,MATCH("Grant Fund",Data!$1:$1,0)-1,1)="WIOA II",MATCH(ROW(Data!$AO$2:$AO$956),ROW(Data!$AO$2:$AO$956)),""),ROWS($A$1:A23)),COLUMNS($A$1:A23)),
$B$6 = "WIOA III",
INDEX(Data!$B$2:$EO$956,
SMALL(IF(INDEX(Data!$B$2:$EO$956,,MATCH("Grant Fund",Data!$1:$1,0)-1,1)="WIOA III",MATCH(ROW(Data!$AO$2:$AO$956),ROW(Data!$AO$2:$AO$956)),""),ROWS($A$1:A23)),COLUMNS($A$1:A23)),
$B$6 = "Currently Employed",
INDEX(Data!$B$2:$EO$956,
SMALL(IF(INDEX(Data!$B$2:$EO$956,,MATCH("Currently Employed",Data!$1:$1,0)-1,1)="Yes",MATCH(ROW(Data!$DZ$2:$DZ$956),ROW(Data!$DZ$2:$DZ$956)),""),ROWS($A$1:A23)),COLUMNS($A$1:A23)),
$B$6 = "Inactive",
INDEX(Data!$B$2:$EO$956,
SMALL(IF(INDEX(Data!$B$2:$EO$956,,MATCH("Inactive",Data!$1:$1,0)-1,1)="Yes",MATCH(ROW(Data!$DG$2:$DG$956),ROW(Data!$DG$2:$DG$956)),""),ROWS($A$1:A23)),COLUMNS($A$1:A23)),
$B$6 = "Active",
INDEX(Data!$B$2:$EO$956,
SMALL(IF(INDEX(Data!$B$2:$EO$956,,MATCH("Active",Data!$1:$1,0)-1,1)="Yes",MATCH(ROW(Data!$DZ$2:$DZ$956),ROW(Data!$DZ$2:$DZ$956)),""),ROWS($A$1:A23)),COLUMNS($A$1:A23)),
$B$6 = "Status Unknown",
INDEX(Data!$B$2:$EO$956,
SMALL(IF(INDEX(Data!$B$2:$EO$956,,MATCH("Status Unknown",Data!$1:$1,0)-1,1)="Yes",MATCH(ROW(Data!$EB$2:$EB$956),ROW(Data!$EB$2:$EB$956)),""),ROWS($A$1:A23)),COLUMNS($A$1:A23)),
$B$6 = "Enrollment Pending",
INDEX(Data!$B$2:$EO$956,
SMALL(IF(INDEX(Data!$B$2:$EO$956,,MATCH("Enrollment Pending",Data!$1:$1,0)-1,1)="Yes",MATCH(ROW(Data!$DY$2:$DY$956),ROW(Data!$DY$2:$DY$956)),""),ROWS($A$1:A23)),COLUMNS($A$1:A23)),
$B$6 = "Gained Certification",
INDEX(Data!$B$2:$EO$956,
SMALL(IF(INDEX(Data!$B$2:$EO$956,,MATCH("Gained Certification",Data!$1:$1,0)-1,1)="Yes",MATCH(ROW(Data!$DU$2:$DU$956),ROW(Data!$DU$2:$DU$956)),""),ROWS($A$1:A23)),COLUMNS($A$1:A23)),
$B$6 = "No Certification",
INDEX(Data!$B$2:$EO$956,
SMALL(IF(INDEX(Data!$B$2:$EO$956,,MATCH("Gained Certification",Data!$1:$1,0)-1,1)&lt;&gt;"Yes",MATCH(ROW(Data!$DU$2:$DU$956),ROW(Data!$DU$2:$DU$956)),""),ROWS($A$1:A23)),COLUMNS($A$1:A23)),
$B$6 = "Completers Without Employment",
INDEX(Data!$B$2:$EO$967,
SMALL(IF(INDEX(Data!$B$2:$EO$967,,MATCH("Completed Without Employment",Data!$1:$1,0)-1,1)="Yes",MATCH(ROW(Data!$DZ$2:$DZ$967),ROW(Data!$DZ$2:$DZ$967)),""),ROWS($A$1:A23)),COLUMNS($A$1:A23)),
$B$6 = "CH",
INDEX(Data!$B$2:$EO$956,
SMALL(IF(INDEX(Data!$B$2:$EO$956,,MATCH("Case Manager",Data!$1:$1,0)-1,1)="CH",MATCH(ROW(Data!$DZ$2:$DZ$956),ROW(Data!$DZ$2:$DZ$956)),""),ROWS($A$1:A23)),COLUMNS($A$1:A23)),
$B$6 = "ML",
INDEX(Data!$B$2:$EO$956,
SMALL(IF(INDEX(Data!$B$2:$EO$956,,MATCH("Case Manager",Data!$1:$1,0)-1,1)="ML",MATCH(ROW(Data!$DZ$2:$DZ$956),ROW(Data!$DZ$2:$DZ$956)),""),ROWS($A$1:A23)),COLUMNS($A$1:A23)),
$B$6 = "RB",
INDEX(Data!$B$2:$EO$956,
SMALL(IF(INDEX(Data!$B$2:$EO$956,,MATCH("Case Manager",Data!$1:$1,0)-1,1)="RB",MATCH(ROW(Data!$DZ$2:$DZ$956),ROW(Data!$DZ$2:$DZ$956)),""),ROWS($A$1:A23)),COLUMNS($A$1:A23)),
$B$6 = "RV",
INDEX(Data!$B$2:$EO$956,
SMALL(IF(INDEX(Data!$B$2:$EO$956,,MATCH("Case Manager",Data!$1:$1,0)-1,1)="RV",MATCH(ROW(Data!$DZ$2:$DZ$956),ROW(Data!$DZ$2:$DZ$956)),""),ROWS($A$1:A23)),COLUMNS($A$1:A23)),
$B$6 = "SG",
INDEX(Data!$B$2:$EO$956,
SMALL(IF(INDEX(Data!$B$2:$EO$956,,MATCH("Case Manager",Data!$1:$1,0)-1,1)="SH",MATCH(ROW(Data!$DZ$2:$DZ$956),ROW(Data!$DZ$2:$DZ$956)),""),ROWS($A$1:A23)),COLUMNS($A$1:A23))
),"")</f>
        <v>977213</v>
      </c>
      <c r="C34" s="1" t="str">
        <f>IF(
IFERROR(
INDEX(Data!$1:$1048576,MATCH('Client Lists'!$B34,Data!$B:$B,0),MATCH('Client Lists'!C$11,Data!$1:$1,0)),"")=0,"",
IFERROR(
INDEX(Data!$1:$1048576,MATCH('Client Lists'!$B34,Data!$B:$B,0),MATCH('Client Lists'!C$11,Data!$1:$1,0)),""))</f>
        <v/>
      </c>
      <c r="D34" s="1" t="str">
        <f>IF(
IFERROR(
INDEX(Data!$1:$1048576,MATCH('Client Lists'!$B34,Data!$B:$B,0),MATCH('Client Lists'!D$11,Data!$1:$1,0)),"")=0,"",
IFERROR(
INDEX(Data!$1:$1048576,MATCH('Client Lists'!$B34,Data!$B:$B,0),MATCH('Client Lists'!D$11,Data!$1:$1,0)),""))</f>
        <v>MTDL</v>
      </c>
      <c r="E34" s="1" t="str">
        <f>IF(
IFERROR(
INDEX(Data!$1:$1048576,MATCH('Client Lists'!$B34,Data!$B:$B,0),MATCH('Client Lists'!E$11,Data!$1:$1,0)),"")=0,"",
IFERROR(
INDEX(Data!$1:$1048576,MATCH('Client Lists'!$B34,Data!$B:$B,0),MATCH('Client Lists'!E$11,Data!$1:$1,0)),""))</f>
        <v>WIOA</v>
      </c>
      <c r="F34" s="1">
        <f>IF(
IFERROR(
INDEX(Data!$1:$1048576,MATCH('Client Lists'!$B34,Data!$B:$B,0),MATCH('Client Lists'!F$11,Data!$1:$1,0)),"")=0,"",
IFERROR(
INDEX(Data!$1:$1048576,MATCH('Client Lists'!$B34,Data!$B:$B,0),MATCH('Client Lists'!F$11,Data!$1:$1,0)),""))</f>
        <v>44747</v>
      </c>
      <c r="G34" s="1" t="str">
        <f>IF(
IFERROR(
INDEX(Data!$1:$1048576,MATCH('Client Lists'!$B34,Data!$B:$B,0),MATCH('Client Lists'!G$11,Data!$1:$1,0)),"")=0,"",
IFERROR(
INDEX(Data!$1:$1048576,MATCH('Client Lists'!$B34,Data!$B:$B,0),MATCH('Client Lists'!G$11,Data!$1:$1,0)),""))</f>
        <v>Yes</v>
      </c>
      <c r="H34" s="1" t="str">
        <f>IF(
IFERROR(
INDEX(Data!$1:$1048576,MATCH('Client Lists'!$B34,Data!$B:$B,0),MATCH('Client Lists'!H$11,Data!$1:$1,0)),"")=0,"",
IFERROR(
INDEX(Data!$1:$1048576,MATCH('Client Lists'!$B34,Data!$B:$B,0),MATCH('Client Lists'!H$11,Data!$1:$1,0)),""))</f>
        <v>Yes</v>
      </c>
      <c r="I34" s="1" t="str">
        <f>IF(
IFERROR(
INDEX(Data!$1:$1048576,MATCH('Client Lists'!$B34,Data!$B:$B,0),MATCH('Client Lists'!I$11,Data!$1:$1,0)),"")=0,"",
IFERROR(
INDEX(Data!$1:$1048576,MATCH('Client Lists'!$B34,Data!$B:$B,0),MATCH('Client Lists'!I$11,Data!$1:$1,0)),""))</f>
        <v>Yes</v>
      </c>
      <c r="J34" s="1" t="str">
        <f>IF(
IFERROR(
INDEX(Data!$1:$1048576,MATCH('Client Lists'!$B34,Data!$B:$B,0),MATCH('Client Lists'!J$11,Data!$1:$1,0)),"")=0,"",
IFERROR(
INDEX(Data!$1:$1048576,MATCH('Client Lists'!$B34,Data!$B:$B,0),MATCH('Client Lists'!J$11,Data!$1:$1,0)),""))</f>
        <v>09/09/2022</v>
      </c>
      <c r="K34" s="1" t="str">
        <f>IF(
IFERROR(
INDEX(Data!$1:$1048576,MATCH('Client Lists'!$B34,Data!$B:$B,0),MATCH('Client Lists'!K$11,Data!$1:$1,0)),"")=0,"",
IFERROR(
INDEX(Data!$1:$1048576,MATCH('Client Lists'!$B34,Data!$B:$B,0),MATCH('Client Lists'!K$11,Data!$1:$1,0)),""))</f>
        <v>Job Not Retained</v>
      </c>
    </row>
    <row r="35" spans="2:11" x14ac:dyDescent="0.45">
      <c r="B35" s="5">
        <f t="array" ref="B35">IFERROR(_xlfn.IFS(
$B$6 = "Retention Overdue",
INDEX(Data!$B$2:$EO$956,
SMALL(IF(INDEX(Data!$B$2:$EO$956,,MATCH("Call Due",Data!$1:$1,0)-1,1)="Yes",MATCH(ROW(Data!$CN$2:$CN$956),ROW(Data!$CN$2:$CN$956)),""),ROWS($A$1:A24)),COLUMNS($A$1:A24)),
$B$6 = "OWIF-W",
INDEX(Data!$B$2:$EO$956,
SMALL(IF(INDEX(Data!$B$2:$EO$956,,MATCH("Grant Fund",Data!$1:$1,0)-1,1)="OWIF-W",MATCH(ROW(Data!$AO$2:$AO$956),ROW(Data!$AO$2:$AO$956)),""),ROWS($A$1:A24)),COLUMNS($A$1:A24)),
$B$6 = "G2C",
INDEX(Data!$B$2:$EO$956,
SMALL(IF(INDEX(Data!$B$2:$EO$956,,MATCH("Grant Fund",Data!$1:$1,0)-1,1)="Grads2Careers",MATCH(ROW(Data!$AO$2:$AO$956),ROW(Data!$AO$2:$AO$956)),""),ROWS($A$1:A24)),COLUMNS($A$1:A24)),
$B$6 = "OWIF",
INDEX(Data!$B$2:$EO$956,
SMALL(IF(INDEX(Data!$B$2:$EO$956,,MATCH("Grant Fund",Data!$1:$1,0)-1,1)="OWIF",MATCH(ROW(Data!$AO$2:$AO$956),ROW(Data!$AO$2:$AO$956)),""),ROWS($A$1:A24)),COLUMNS($A$1:A24)),
$B$6 = "WIOA",
INDEX(Data!$B$2:$EO$956,
SMALL(IF(INDEX(Data!$B$2:$EO$956,,MATCH("Grant Fund",Data!$1:$1,0)-1,1)="WIOA",MATCH(ROW(Data!$AO$2:$AO$956),ROW(Data!$AO$2:$AO$956)),""),ROWS($A$1:A24)),COLUMNS($A$1:A24)),
$B$6 = "WIOA II",
INDEX(Data!$B$2:$EO$956,
SMALL(IF(INDEX(Data!$B$2:$EO$956,,MATCH("Grant Fund",Data!$1:$1,0)-1,1)="WIOA II",MATCH(ROW(Data!$AO$2:$AO$956),ROW(Data!$AO$2:$AO$956)),""),ROWS($A$1:A24)),COLUMNS($A$1:A24)),
$B$6 = "WIOA III",
INDEX(Data!$B$2:$EO$956,
SMALL(IF(INDEX(Data!$B$2:$EO$956,,MATCH("Grant Fund",Data!$1:$1,0)-1,1)="WIOA III",MATCH(ROW(Data!$AO$2:$AO$956),ROW(Data!$AO$2:$AO$956)),""),ROWS($A$1:A24)),COLUMNS($A$1:A24)),
$B$6 = "Currently Employed",
INDEX(Data!$B$2:$EO$956,
SMALL(IF(INDEX(Data!$B$2:$EO$956,,MATCH("Currently Employed",Data!$1:$1,0)-1,1)="Yes",MATCH(ROW(Data!$DZ$2:$DZ$956),ROW(Data!$DZ$2:$DZ$956)),""),ROWS($A$1:A24)),COLUMNS($A$1:A24)),
$B$6 = "Inactive",
INDEX(Data!$B$2:$EO$956,
SMALL(IF(INDEX(Data!$B$2:$EO$956,,MATCH("Inactive",Data!$1:$1,0)-1,1)="Yes",MATCH(ROW(Data!$DG$2:$DG$956),ROW(Data!$DG$2:$DG$956)),""),ROWS($A$1:A24)),COLUMNS($A$1:A24)),
$B$6 = "Active",
INDEX(Data!$B$2:$EO$956,
SMALL(IF(INDEX(Data!$B$2:$EO$956,,MATCH("Active",Data!$1:$1,0)-1,1)="Yes",MATCH(ROW(Data!$DZ$2:$DZ$956),ROW(Data!$DZ$2:$DZ$956)),""),ROWS($A$1:A24)),COLUMNS($A$1:A24)),
$B$6 = "Status Unknown",
INDEX(Data!$B$2:$EO$956,
SMALL(IF(INDEX(Data!$B$2:$EO$956,,MATCH("Status Unknown",Data!$1:$1,0)-1,1)="Yes",MATCH(ROW(Data!$EB$2:$EB$956),ROW(Data!$EB$2:$EB$956)),""),ROWS($A$1:A24)),COLUMNS($A$1:A24)),
$B$6 = "Enrollment Pending",
INDEX(Data!$B$2:$EO$956,
SMALL(IF(INDEX(Data!$B$2:$EO$956,,MATCH("Enrollment Pending",Data!$1:$1,0)-1,1)="Yes",MATCH(ROW(Data!$DY$2:$DY$956),ROW(Data!$DY$2:$DY$956)),""),ROWS($A$1:A24)),COLUMNS($A$1:A24)),
$B$6 = "Gained Certification",
INDEX(Data!$B$2:$EO$956,
SMALL(IF(INDEX(Data!$B$2:$EO$956,,MATCH("Gained Certification",Data!$1:$1,0)-1,1)="Yes",MATCH(ROW(Data!$DU$2:$DU$956),ROW(Data!$DU$2:$DU$956)),""),ROWS($A$1:A24)),COLUMNS($A$1:A24)),
$B$6 = "No Certification",
INDEX(Data!$B$2:$EO$956,
SMALL(IF(INDEX(Data!$B$2:$EO$956,,MATCH("Gained Certification",Data!$1:$1,0)-1,1)&lt;&gt;"Yes",MATCH(ROW(Data!$DU$2:$DU$956),ROW(Data!$DU$2:$DU$956)),""),ROWS($A$1:A24)),COLUMNS($A$1:A24)),
$B$6 = "Completers Without Employment",
INDEX(Data!$B$2:$EO$967,
SMALL(IF(INDEX(Data!$B$2:$EO$967,,MATCH("Completed Without Employment",Data!$1:$1,0)-1,1)="Yes",MATCH(ROW(Data!$DZ$2:$DZ$967),ROW(Data!$DZ$2:$DZ$967)),""),ROWS($A$1:A24)),COLUMNS($A$1:A24)),
$B$6 = "CH",
INDEX(Data!$B$2:$EO$956,
SMALL(IF(INDEX(Data!$B$2:$EO$956,,MATCH("Case Manager",Data!$1:$1,0)-1,1)="CH",MATCH(ROW(Data!$DZ$2:$DZ$956),ROW(Data!$DZ$2:$DZ$956)),""),ROWS($A$1:A24)),COLUMNS($A$1:A24)),
$B$6 = "ML",
INDEX(Data!$B$2:$EO$956,
SMALL(IF(INDEX(Data!$B$2:$EO$956,,MATCH("Case Manager",Data!$1:$1,0)-1,1)="ML",MATCH(ROW(Data!$DZ$2:$DZ$956),ROW(Data!$DZ$2:$DZ$956)),""),ROWS($A$1:A24)),COLUMNS($A$1:A24)),
$B$6 = "RB",
INDEX(Data!$B$2:$EO$956,
SMALL(IF(INDEX(Data!$B$2:$EO$956,,MATCH("Case Manager",Data!$1:$1,0)-1,1)="RB",MATCH(ROW(Data!$DZ$2:$DZ$956),ROW(Data!$DZ$2:$DZ$956)),""),ROWS($A$1:A24)),COLUMNS($A$1:A24)),
$B$6 = "RV",
INDEX(Data!$B$2:$EO$956,
SMALL(IF(INDEX(Data!$B$2:$EO$956,,MATCH("Case Manager",Data!$1:$1,0)-1,1)="RV",MATCH(ROW(Data!$DZ$2:$DZ$956),ROW(Data!$DZ$2:$DZ$956)),""),ROWS($A$1:A24)),COLUMNS($A$1:A24)),
$B$6 = "SG",
INDEX(Data!$B$2:$EO$956,
SMALL(IF(INDEX(Data!$B$2:$EO$956,,MATCH("Case Manager",Data!$1:$1,0)-1,1)="SH",MATCH(ROW(Data!$DZ$2:$DZ$956),ROW(Data!$DZ$2:$DZ$956)),""),ROWS($A$1:A24)),COLUMNS($A$1:A24))
),"")</f>
        <v>977238</v>
      </c>
      <c r="C35" s="1" t="str">
        <f>IF(
IFERROR(
INDEX(Data!$1:$1048576,MATCH('Client Lists'!$B35,Data!$B:$B,0),MATCH('Client Lists'!C$11,Data!$1:$1,0)),"")=0,"",
IFERROR(
INDEX(Data!$1:$1048576,MATCH('Client Lists'!$B35,Data!$B:$B,0),MATCH('Client Lists'!C$11,Data!$1:$1,0)),""))</f>
        <v/>
      </c>
      <c r="D35" s="1" t="str">
        <f>IF(
IFERROR(
INDEX(Data!$1:$1048576,MATCH('Client Lists'!$B35,Data!$B:$B,0),MATCH('Client Lists'!D$11,Data!$1:$1,0)),"")=0,"",
IFERROR(
INDEX(Data!$1:$1048576,MATCH('Client Lists'!$B35,Data!$B:$B,0),MATCH('Client Lists'!D$11,Data!$1:$1,0)),""))</f>
        <v>MTDL</v>
      </c>
      <c r="E35" s="1" t="str">
        <f>IF(
IFERROR(
INDEX(Data!$1:$1048576,MATCH('Client Lists'!$B35,Data!$B:$B,0),MATCH('Client Lists'!E$11,Data!$1:$1,0)),"")=0,"",
IFERROR(
INDEX(Data!$1:$1048576,MATCH('Client Lists'!$B35,Data!$B:$B,0),MATCH('Client Lists'!E$11,Data!$1:$1,0)),""))</f>
        <v xml:space="preserve"> EARN</v>
      </c>
      <c r="F35" s="1">
        <f>IF(
IFERROR(
INDEX(Data!$1:$1048576,MATCH('Client Lists'!$B35,Data!$B:$B,0),MATCH('Client Lists'!F$11,Data!$1:$1,0)),"")=0,"",
IFERROR(
INDEX(Data!$1:$1048576,MATCH('Client Lists'!$B35,Data!$B:$B,0),MATCH('Client Lists'!F$11,Data!$1:$1,0)),""))</f>
        <v>44802</v>
      </c>
      <c r="G35" s="1" t="str">
        <f>IF(
IFERROR(
INDEX(Data!$1:$1048576,MATCH('Client Lists'!$B35,Data!$B:$B,0),MATCH('Client Lists'!G$11,Data!$1:$1,0)),"")=0,"",
IFERROR(
INDEX(Data!$1:$1048576,MATCH('Client Lists'!$B35,Data!$B:$B,0),MATCH('Client Lists'!G$11,Data!$1:$1,0)),""))</f>
        <v>Yes</v>
      </c>
      <c r="H35" s="1" t="str">
        <f>IF(
IFERROR(
INDEX(Data!$1:$1048576,MATCH('Client Lists'!$B35,Data!$B:$B,0),MATCH('Client Lists'!H$11,Data!$1:$1,0)),"")=0,"",
IFERROR(
INDEX(Data!$1:$1048576,MATCH('Client Lists'!$B35,Data!$B:$B,0),MATCH('Client Lists'!H$11,Data!$1:$1,0)),""))</f>
        <v>No</v>
      </c>
      <c r="I35" s="1" t="str">
        <f>IF(
IFERROR(
INDEX(Data!$1:$1048576,MATCH('Client Lists'!$B35,Data!$B:$B,0),MATCH('Client Lists'!I$11,Data!$1:$1,0)),"")=0,"",
IFERROR(
INDEX(Data!$1:$1048576,MATCH('Client Lists'!$B35,Data!$B:$B,0),MATCH('Client Lists'!I$11,Data!$1:$1,0)),""))</f>
        <v>Yes</v>
      </c>
      <c r="J35" s="1" t="str">
        <f>IF(
IFERROR(
INDEX(Data!$1:$1048576,MATCH('Client Lists'!$B35,Data!$B:$B,0),MATCH('Client Lists'!J$11,Data!$1:$1,0)),"")=0,"",
IFERROR(
INDEX(Data!$1:$1048576,MATCH('Client Lists'!$B35,Data!$B:$B,0),MATCH('Client Lists'!J$11,Data!$1:$1,0)),""))</f>
        <v/>
      </c>
      <c r="K35" s="1" t="str">
        <f>IF(
IFERROR(
INDEX(Data!$1:$1048576,MATCH('Client Lists'!$B35,Data!$B:$B,0),MATCH('Client Lists'!K$11,Data!$1:$1,0)),"")=0,"",
IFERROR(
INDEX(Data!$1:$1048576,MATCH('Client Lists'!$B35,Data!$B:$B,0),MATCH('Client Lists'!K$11,Data!$1:$1,0)),""))</f>
        <v/>
      </c>
    </row>
    <row r="36" spans="2:11" x14ac:dyDescent="0.45">
      <c r="B36" s="5">
        <f t="array" ref="B36">IFERROR(_xlfn.IFS(
$B$6 = "Retention Overdue",
INDEX(Data!$B$2:$EO$956,
SMALL(IF(INDEX(Data!$B$2:$EO$956,,MATCH("Call Due",Data!$1:$1,0)-1,1)="Yes",MATCH(ROW(Data!$CN$2:$CN$956),ROW(Data!$CN$2:$CN$956)),""),ROWS($A$1:A25)),COLUMNS($A$1:A25)),
$B$6 = "OWIF-W",
INDEX(Data!$B$2:$EO$956,
SMALL(IF(INDEX(Data!$B$2:$EO$956,,MATCH("Grant Fund",Data!$1:$1,0)-1,1)="OWIF-W",MATCH(ROW(Data!$AO$2:$AO$956),ROW(Data!$AO$2:$AO$956)),""),ROWS($A$1:A25)),COLUMNS($A$1:A25)),
$B$6 = "G2C",
INDEX(Data!$B$2:$EO$956,
SMALL(IF(INDEX(Data!$B$2:$EO$956,,MATCH("Grant Fund",Data!$1:$1,0)-1,1)="Grads2Careers",MATCH(ROW(Data!$AO$2:$AO$956),ROW(Data!$AO$2:$AO$956)),""),ROWS($A$1:A25)),COLUMNS($A$1:A25)),
$B$6 = "OWIF",
INDEX(Data!$B$2:$EO$956,
SMALL(IF(INDEX(Data!$B$2:$EO$956,,MATCH("Grant Fund",Data!$1:$1,0)-1,1)="OWIF",MATCH(ROW(Data!$AO$2:$AO$956),ROW(Data!$AO$2:$AO$956)),""),ROWS($A$1:A25)),COLUMNS($A$1:A25)),
$B$6 = "WIOA",
INDEX(Data!$B$2:$EO$956,
SMALL(IF(INDEX(Data!$B$2:$EO$956,,MATCH("Grant Fund",Data!$1:$1,0)-1,1)="WIOA",MATCH(ROW(Data!$AO$2:$AO$956),ROW(Data!$AO$2:$AO$956)),""),ROWS($A$1:A25)),COLUMNS($A$1:A25)),
$B$6 = "WIOA II",
INDEX(Data!$B$2:$EO$956,
SMALL(IF(INDEX(Data!$B$2:$EO$956,,MATCH("Grant Fund",Data!$1:$1,0)-1,1)="WIOA II",MATCH(ROW(Data!$AO$2:$AO$956),ROW(Data!$AO$2:$AO$956)),""),ROWS($A$1:A25)),COLUMNS($A$1:A25)),
$B$6 = "WIOA III",
INDEX(Data!$B$2:$EO$956,
SMALL(IF(INDEX(Data!$B$2:$EO$956,,MATCH("Grant Fund",Data!$1:$1,0)-1,1)="WIOA III",MATCH(ROW(Data!$AO$2:$AO$956),ROW(Data!$AO$2:$AO$956)),""),ROWS($A$1:A25)),COLUMNS($A$1:A25)),
$B$6 = "Currently Employed",
INDEX(Data!$B$2:$EO$956,
SMALL(IF(INDEX(Data!$B$2:$EO$956,,MATCH("Currently Employed",Data!$1:$1,0)-1,1)="Yes",MATCH(ROW(Data!$DZ$2:$DZ$956),ROW(Data!$DZ$2:$DZ$956)),""),ROWS($A$1:A25)),COLUMNS($A$1:A25)),
$B$6 = "Inactive",
INDEX(Data!$B$2:$EO$956,
SMALL(IF(INDEX(Data!$B$2:$EO$956,,MATCH("Inactive",Data!$1:$1,0)-1,1)="Yes",MATCH(ROW(Data!$DG$2:$DG$956),ROW(Data!$DG$2:$DG$956)),""),ROWS($A$1:A25)),COLUMNS($A$1:A25)),
$B$6 = "Active",
INDEX(Data!$B$2:$EO$956,
SMALL(IF(INDEX(Data!$B$2:$EO$956,,MATCH("Active",Data!$1:$1,0)-1,1)="Yes",MATCH(ROW(Data!$DZ$2:$DZ$956),ROW(Data!$DZ$2:$DZ$956)),""),ROWS($A$1:A25)),COLUMNS($A$1:A25)),
$B$6 = "Status Unknown",
INDEX(Data!$B$2:$EO$956,
SMALL(IF(INDEX(Data!$B$2:$EO$956,,MATCH("Status Unknown",Data!$1:$1,0)-1,1)="Yes",MATCH(ROW(Data!$EB$2:$EB$956),ROW(Data!$EB$2:$EB$956)),""),ROWS($A$1:A25)),COLUMNS($A$1:A25)),
$B$6 = "Enrollment Pending",
INDEX(Data!$B$2:$EO$956,
SMALL(IF(INDEX(Data!$B$2:$EO$956,,MATCH("Enrollment Pending",Data!$1:$1,0)-1,1)="Yes",MATCH(ROW(Data!$DY$2:$DY$956),ROW(Data!$DY$2:$DY$956)),""),ROWS($A$1:A25)),COLUMNS($A$1:A25)),
$B$6 = "Gained Certification",
INDEX(Data!$B$2:$EO$956,
SMALL(IF(INDEX(Data!$B$2:$EO$956,,MATCH("Gained Certification",Data!$1:$1,0)-1,1)="Yes",MATCH(ROW(Data!$DU$2:$DU$956),ROW(Data!$DU$2:$DU$956)),""),ROWS($A$1:A25)),COLUMNS($A$1:A25)),
$B$6 = "No Certification",
INDEX(Data!$B$2:$EO$956,
SMALL(IF(INDEX(Data!$B$2:$EO$956,,MATCH("Gained Certification",Data!$1:$1,0)-1,1)&lt;&gt;"Yes",MATCH(ROW(Data!$DU$2:$DU$956),ROW(Data!$DU$2:$DU$956)),""),ROWS($A$1:A25)),COLUMNS($A$1:A25)),
$B$6 = "Completers Without Employment",
INDEX(Data!$B$2:$EO$967,
SMALL(IF(INDEX(Data!$B$2:$EO$967,,MATCH("Completed Without Employment",Data!$1:$1,0)-1,1)="Yes",MATCH(ROW(Data!$DZ$2:$DZ$967),ROW(Data!$DZ$2:$DZ$967)),""),ROWS($A$1:A25)),COLUMNS($A$1:A25)),
$B$6 = "CH",
INDEX(Data!$B$2:$EO$956,
SMALL(IF(INDEX(Data!$B$2:$EO$956,,MATCH("Case Manager",Data!$1:$1,0)-1,1)="CH",MATCH(ROW(Data!$DZ$2:$DZ$956),ROW(Data!$DZ$2:$DZ$956)),""),ROWS($A$1:A25)),COLUMNS($A$1:A25)),
$B$6 = "ML",
INDEX(Data!$B$2:$EO$956,
SMALL(IF(INDEX(Data!$B$2:$EO$956,,MATCH("Case Manager",Data!$1:$1,0)-1,1)="ML",MATCH(ROW(Data!$DZ$2:$DZ$956),ROW(Data!$DZ$2:$DZ$956)),""),ROWS($A$1:A25)),COLUMNS($A$1:A25)),
$B$6 = "RB",
INDEX(Data!$B$2:$EO$956,
SMALL(IF(INDEX(Data!$B$2:$EO$956,,MATCH("Case Manager",Data!$1:$1,0)-1,1)="RB",MATCH(ROW(Data!$DZ$2:$DZ$956),ROW(Data!$DZ$2:$DZ$956)),""),ROWS($A$1:A25)),COLUMNS($A$1:A25)),
$B$6 = "RV",
INDEX(Data!$B$2:$EO$956,
SMALL(IF(INDEX(Data!$B$2:$EO$956,,MATCH("Case Manager",Data!$1:$1,0)-1,1)="RV",MATCH(ROW(Data!$DZ$2:$DZ$956),ROW(Data!$DZ$2:$DZ$956)),""),ROWS($A$1:A25)),COLUMNS($A$1:A25)),
$B$6 = "SG",
INDEX(Data!$B$2:$EO$956,
SMALL(IF(INDEX(Data!$B$2:$EO$956,,MATCH("Case Manager",Data!$1:$1,0)-1,1)="SH",MATCH(ROW(Data!$DZ$2:$DZ$956),ROW(Data!$DZ$2:$DZ$956)),""),ROWS($A$1:A25)),COLUMNS($A$1:A25))
),"")</f>
        <v>977236</v>
      </c>
      <c r="C36" s="1" t="str">
        <f>IF(
IFERROR(
INDEX(Data!$1:$1048576,MATCH('Client Lists'!$B36,Data!$B:$B,0),MATCH('Client Lists'!C$11,Data!$1:$1,0)),"")=0,"",
IFERROR(
INDEX(Data!$1:$1048576,MATCH('Client Lists'!$B36,Data!$B:$B,0),MATCH('Client Lists'!C$11,Data!$1:$1,0)),""))</f>
        <v/>
      </c>
      <c r="D36" s="1" t="str">
        <f>IF(
IFERROR(
INDEX(Data!$1:$1048576,MATCH('Client Lists'!$B36,Data!$B:$B,0),MATCH('Client Lists'!D$11,Data!$1:$1,0)),"")=0,"",
IFERROR(
INDEX(Data!$1:$1048576,MATCH('Client Lists'!$B36,Data!$B:$B,0),MATCH('Client Lists'!D$11,Data!$1:$1,0)),""))</f>
        <v>MTDL</v>
      </c>
      <c r="E36" s="1" t="str">
        <f>IF(
IFERROR(
INDEX(Data!$1:$1048576,MATCH('Client Lists'!$B36,Data!$B:$B,0),MATCH('Client Lists'!E$11,Data!$1:$1,0)),"")=0,"",
IFERROR(
INDEX(Data!$1:$1048576,MATCH('Client Lists'!$B36,Data!$B:$B,0),MATCH('Client Lists'!E$11,Data!$1:$1,0)),""))</f>
        <v xml:space="preserve"> CDBG; EARN</v>
      </c>
      <c r="F36" s="1">
        <f>IF(
IFERROR(
INDEX(Data!$1:$1048576,MATCH('Client Lists'!$B36,Data!$B:$B,0),MATCH('Client Lists'!F$11,Data!$1:$1,0)),"")=0,"",
IFERROR(
INDEX(Data!$1:$1048576,MATCH('Client Lists'!$B36,Data!$B:$B,0),MATCH('Client Lists'!F$11,Data!$1:$1,0)),""))</f>
        <v>44747</v>
      </c>
      <c r="G36" s="1" t="str">
        <f>IF(
IFERROR(
INDEX(Data!$1:$1048576,MATCH('Client Lists'!$B36,Data!$B:$B,0),MATCH('Client Lists'!G$11,Data!$1:$1,0)),"")=0,"",
IFERROR(
INDEX(Data!$1:$1048576,MATCH('Client Lists'!$B36,Data!$B:$B,0),MATCH('Client Lists'!G$11,Data!$1:$1,0)),""))</f>
        <v>Yes</v>
      </c>
      <c r="H36" s="1" t="str">
        <f>IF(
IFERROR(
INDEX(Data!$1:$1048576,MATCH('Client Lists'!$B36,Data!$B:$B,0),MATCH('Client Lists'!H$11,Data!$1:$1,0)),"")=0,"",
IFERROR(
INDEX(Data!$1:$1048576,MATCH('Client Lists'!$B36,Data!$B:$B,0),MATCH('Client Lists'!H$11,Data!$1:$1,0)),""))</f>
        <v>No</v>
      </c>
      <c r="I36" s="1" t="str">
        <f>IF(
IFERROR(
INDEX(Data!$1:$1048576,MATCH('Client Lists'!$B36,Data!$B:$B,0),MATCH('Client Lists'!I$11,Data!$1:$1,0)),"")=0,"",
IFERROR(
INDEX(Data!$1:$1048576,MATCH('Client Lists'!$B36,Data!$B:$B,0),MATCH('Client Lists'!I$11,Data!$1:$1,0)),""))</f>
        <v>Yes</v>
      </c>
      <c r="J36" s="1" t="str">
        <f>IF(
IFERROR(
INDEX(Data!$1:$1048576,MATCH('Client Lists'!$B36,Data!$B:$B,0),MATCH('Client Lists'!J$11,Data!$1:$1,0)),"")=0,"",
IFERROR(
INDEX(Data!$1:$1048576,MATCH('Client Lists'!$B36,Data!$B:$B,0),MATCH('Client Lists'!J$11,Data!$1:$1,0)),""))</f>
        <v/>
      </c>
      <c r="K36" s="1" t="str">
        <f>IF(
IFERROR(
INDEX(Data!$1:$1048576,MATCH('Client Lists'!$B36,Data!$B:$B,0),MATCH('Client Lists'!K$11,Data!$1:$1,0)),"")=0,"",
IFERROR(
INDEX(Data!$1:$1048576,MATCH('Client Lists'!$B36,Data!$B:$B,0),MATCH('Client Lists'!K$11,Data!$1:$1,0)),""))</f>
        <v/>
      </c>
    </row>
    <row r="37" spans="2:11" x14ac:dyDescent="0.45">
      <c r="B37" s="5">
        <f t="array" ref="B37">IFERROR(_xlfn.IFS(
$B$6 = "Retention Overdue",
INDEX(Data!$B$2:$EO$956,
SMALL(IF(INDEX(Data!$B$2:$EO$956,,MATCH("Call Due",Data!$1:$1,0)-1,1)="Yes",MATCH(ROW(Data!$CN$2:$CN$956),ROW(Data!$CN$2:$CN$956)),""),ROWS($A$1:A26)),COLUMNS($A$1:A26)),
$B$6 = "OWIF-W",
INDEX(Data!$B$2:$EO$956,
SMALL(IF(INDEX(Data!$B$2:$EO$956,,MATCH("Grant Fund",Data!$1:$1,0)-1,1)="OWIF-W",MATCH(ROW(Data!$AO$2:$AO$956),ROW(Data!$AO$2:$AO$956)),""),ROWS($A$1:A26)),COLUMNS($A$1:A26)),
$B$6 = "G2C",
INDEX(Data!$B$2:$EO$956,
SMALL(IF(INDEX(Data!$B$2:$EO$956,,MATCH("Grant Fund",Data!$1:$1,0)-1,1)="Grads2Careers",MATCH(ROW(Data!$AO$2:$AO$956),ROW(Data!$AO$2:$AO$956)),""),ROWS($A$1:A26)),COLUMNS($A$1:A26)),
$B$6 = "OWIF",
INDEX(Data!$B$2:$EO$956,
SMALL(IF(INDEX(Data!$B$2:$EO$956,,MATCH("Grant Fund",Data!$1:$1,0)-1,1)="OWIF",MATCH(ROW(Data!$AO$2:$AO$956),ROW(Data!$AO$2:$AO$956)),""),ROWS($A$1:A26)),COLUMNS($A$1:A26)),
$B$6 = "WIOA",
INDEX(Data!$B$2:$EO$956,
SMALL(IF(INDEX(Data!$B$2:$EO$956,,MATCH("Grant Fund",Data!$1:$1,0)-1,1)="WIOA",MATCH(ROW(Data!$AO$2:$AO$956),ROW(Data!$AO$2:$AO$956)),""),ROWS($A$1:A26)),COLUMNS($A$1:A26)),
$B$6 = "WIOA II",
INDEX(Data!$B$2:$EO$956,
SMALL(IF(INDEX(Data!$B$2:$EO$956,,MATCH("Grant Fund",Data!$1:$1,0)-1,1)="WIOA II",MATCH(ROW(Data!$AO$2:$AO$956),ROW(Data!$AO$2:$AO$956)),""),ROWS($A$1:A26)),COLUMNS($A$1:A26)),
$B$6 = "WIOA III",
INDEX(Data!$B$2:$EO$956,
SMALL(IF(INDEX(Data!$B$2:$EO$956,,MATCH("Grant Fund",Data!$1:$1,0)-1,1)="WIOA III",MATCH(ROW(Data!$AO$2:$AO$956),ROW(Data!$AO$2:$AO$956)),""),ROWS($A$1:A26)),COLUMNS($A$1:A26)),
$B$6 = "Currently Employed",
INDEX(Data!$B$2:$EO$956,
SMALL(IF(INDEX(Data!$B$2:$EO$956,,MATCH("Currently Employed",Data!$1:$1,0)-1,1)="Yes",MATCH(ROW(Data!$DZ$2:$DZ$956),ROW(Data!$DZ$2:$DZ$956)),""),ROWS($A$1:A26)),COLUMNS($A$1:A26)),
$B$6 = "Inactive",
INDEX(Data!$B$2:$EO$956,
SMALL(IF(INDEX(Data!$B$2:$EO$956,,MATCH("Inactive",Data!$1:$1,0)-1,1)="Yes",MATCH(ROW(Data!$DG$2:$DG$956),ROW(Data!$DG$2:$DG$956)),""),ROWS($A$1:A26)),COLUMNS($A$1:A26)),
$B$6 = "Active",
INDEX(Data!$B$2:$EO$956,
SMALL(IF(INDEX(Data!$B$2:$EO$956,,MATCH("Active",Data!$1:$1,0)-1,1)="Yes",MATCH(ROW(Data!$DZ$2:$DZ$956),ROW(Data!$DZ$2:$DZ$956)),""),ROWS($A$1:A26)),COLUMNS($A$1:A26)),
$B$6 = "Status Unknown",
INDEX(Data!$B$2:$EO$956,
SMALL(IF(INDEX(Data!$B$2:$EO$956,,MATCH("Status Unknown",Data!$1:$1,0)-1,1)="Yes",MATCH(ROW(Data!$EB$2:$EB$956),ROW(Data!$EB$2:$EB$956)),""),ROWS($A$1:A26)),COLUMNS($A$1:A26)),
$B$6 = "Enrollment Pending",
INDEX(Data!$B$2:$EO$956,
SMALL(IF(INDEX(Data!$B$2:$EO$956,,MATCH("Enrollment Pending",Data!$1:$1,0)-1,1)="Yes",MATCH(ROW(Data!$DY$2:$DY$956),ROW(Data!$DY$2:$DY$956)),""),ROWS($A$1:A26)),COLUMNS($A$1:A26)),
$B$6 = "Gained Certification",
INDEX(Data!$B$2:$EO$956,
SMALL(IF(INDEX(Data!$B$2:$EO$956,,MATCH("Gained Certification",Data!$1:$1,0)-1,1)="Yes",MATCH(ROW(Data!$DU$2:$DU$956),ROW(Data!$DU$2:$DU$956)),""),ROWS($A$1:A26)),COLUMNS($A$1:A26)),
$B$6 = "No Certification",
INDEX(Data!$B$2:$EO$956,
SMALL(IF(INDEX(Data!$B$2:$EO$956,,MATCH("Gained Certification",Data!$1:$1,0)-1,1)&lt;&gt;"Yes",MATCH(ROW(Data!$DU$2:$DU$956),ROW(Data!$DU$2:$DU$956)),""),ROWS($A$1:A26)),COLUMNS($A$1:A26)),
$B$6 = "Completers Without Employment",
INDEX(Data!$B$2:$EO$967,
SMALL(IF(INDEX(Data!$B$2:$EO$967,,MATCH("Completed Without Employment",Data!$1:$1,0)-1,1)="Yes",MATCH(ROW(Data!$DZ$2:$DZ$967),ROW(Data!$DZ$2:$DZ$967)),""),ROWS($A$1:A26)),COLUMNS($A$1:A26)),
$B$6 = "CH",
INDEX(Data!$B$2:$EO$956,
SMALL(IF(INDEX(Data!$B$2:$EO$956,,MATCH("Case Manager",Data!$1:$1,0)-1,1)="CH",MATCH(ROW(Data!$DZ$2:$DZ$956),ROW(Data!$DZ$2:$DZ$956)),""),ROWS($A$1:A26)),COLUMNS($A$1:A26)),
$B$6 = "ML",
INDEX(Data!$B$2:$EO$956,
SMALL(IF(INDEX(Data!$B$2:$EO$956,,MATCH("Case Manager",Data!$1:$1,0)-1,1)="ML",MATCH(ROW(Data!$DZ$2:$DZ$956),ROW(Data!$DZ$2:$DZ$956)),""),ROWS($A$1:A26)),COLUMNS($A$1:A26)),
$B$6 = "RB",
INDEX(Data!$B$2:$EO$956,
SMALL(IF(INDEX(Data!$B$2:$EO$956,,MATCH("Case Manager",Data!$1:$1,0)-1,1)="RB",MATCH(ROW(Data!$DZ$2:$DZ$956),ROW(Data!$DZ$2:$DZ$956)),""),ROWS($A$1:A26)),COLUMNS($A$1:A26)),
$B$6 = "RV",
INDEX(Data!$B$2:$EO$956,
SMALL(IF(INDEX(Data!$B$2:$EO$956,,MATCH("Case Manager",Data!$1:$1,0)-1,1)="RV",MATCH(ROW(Data!$DZ$2:$DZ$956),ROW(Data!$DZ$2:$DZ$956)),""),ROWS($A$1:A26)),COLUMNS($A$1:A26)),
$B$6 = "SG",
INDEX(Data!$B$2:$EO$956,
SMALL(IF(INDEX(Data!$B$2:$EO$956,,MATCH("Case Manager",Data!$1:$1,0)-1,1)="SH",MATCH(ROW(Data!$DZ$2:$DZ$956),ROW(Data!$DZ$2:$DZ$956)),""),ROWS($A$1:A26)),COLUMNS($A$1:A26))
),"")</f>
        <v>977295</v>
      </c>
      <c r="C37" s="1" t="str">
        <f>IF(
IFERROR(
INDEX(Data!$1:$1048576,MATCH('Client Lists'!$B37,Data!$B:$B,0),MATCH('Client Lists'!C$11,Data!$1:$1,0)),"")=0,"",
IFERROR(
INDEX(Data!$1:$1048576,MATCH('Client Lists'!$B37,Data!$B:$B,0),MATCH('Client Lists'!C$11,Data!$1:$1,0)),""))</f>
        <v/>
      </c>
      <c r="D37" s="1" t="str">
        <f>IF(
IFERROR(
INDEX(Data!$1:$1048576,MATCH('Client Lists'!$B37,Data!$B:$B,0),MATCH('Client Lists'!D$11,Data!$1:$1,0)),"")=0,"",
IFERROR(
INDEX(Data!$1:$1048576,MATCH('Client Lists'!$B37,Data!$B:$B,0),MATCH('Client Lists'!D$11,Data!$1:$1,0)),""))</f>
        <v>MTDL</v>
      </c>
      <c r="E37" s="1" t="str">
        <f>IF(
IFERROR(
INDEX(Data!$1:$1048576,MATCH('Client Lists'!$B37,Data!$B:$B,0),MATCH('Client Lists'!E$11,Data!$1:$1,0)),"")=0,"",
IFERROR(
INDEX(Data!$1:$1048576,MATCH('Client Lists'!$B37,Data!$B:$B,0),MATCH('Client Lists'!E$11,Data!$1:$1,0)),""))</f>
        <v xml:space="preserve"> CDBG</v>
      </c>
      <c r="F37" s="1">
        <f>IF(
IFERROR(
INDEX(Data!$1:$1048576,MATCH('Client Lists'!$B37,Data!$B:$B,0),MATCH('Client Lists'!F$11,Data!$1:$1,0)),"")=0,"",
IFERROR(
INDEX(Data!$1:$1048576,MATCH('Client Lists'!$B37,Data!$B:$B,0),MATCH('Client Lists'!F$11,Data!$1:$1,0)),""))</f>
        <v>44802</v>
      </c>
      <c r="G37" s="1" t="str">
        <f>IF(
IFERROR(
INDEX(Data!$1:$1048576,MATCH('Client Lists'!$B37,Data!$B:$B,0),MATCH('Client Lists'!G$11,Data!$1:$1,0)),"")=0,"",
IFERROR(
INDEX(Data!$1:$1048576,MATCH('Client Lists'!$B37,Data!$B:$B,0),MATCH('Client Lists'!G$11,Data!$1:$1,0)),""))</f>
        <v>Yes</v>
      </c>
      <c r="H37" s="1" t="str">
        <f>IF(
IFERROR(
INDEX(Data!$1:$1048576,MATCH('Client Lists'!$B37,Data!$B:$B,0),MATCH('Client Lists'!H$11,Data!$1:$1,0)),"")=0,"",
IFERROR(
INDEX(Data!$1:$1048576,MATCH('Client Lists'!$B37,Data!$B:$B,0),MATCH('Client Lists'!H$11,Data!$1:$1,0)),""))</f>
        <v>No</v>
      </c>
      <c r="I37" s="1" t="str">
        <f>IF(
IFERROR(
INDEX(Data!$1:$1048576,MATCH('Client Lists'!$B37,Data!$B:$B,0),MATCH('Client Lists'!I$11,Data!$1:$1,0)),"")=0,"",
IFERROR(
INDEX(Data!$1:$1048576,MATCH('Client Lists'!$B37,Data!$B:$B,0),MATCH('Client Lists'!I$11,Data!$1:$1,0)),""))</f>
        <v>Yes</v>
      </c>
      <c r="J37" s="1" t="str">
        <f>IF(
IFERROR(
INDEX(Data!$1:$1048576,MATCH('Client Lists'!$B37,Data!$B:$B,0),MATCH('Client Lists'!J$11,Data!$1:$1,0)),"")=0,"",
IFERROR(
INDEX(Data!$1:$1048576,MATCH('Client Lists'!$B37,Data!$B:$B,0),MATCH('Client Lists'!J$11,Data!$1:$1,0)),""))</f>
        <v/>
      </c>
      <c r="K37" s="1" t="str">
        <f>IF(
IFERROR(
INDEX(Data!$1:$1048576,MATCH('Client Lists'!$B37,Data!$B:$B,0),MATCH('Client Lists'!K$11,Data!$1:$1,0)),"")=0,"",
IFERROR(
INDEX(Data!$1:$1048576,MATCH('Client Lists'!$B37,Data!$B:$B,0),MATCH('Client Lists'!K$11,Data!$1:$1,0)),""))</f>
        <v/>
      </c>
    </row>
    <row r="38" spans="2:11" x14ac:dyDescent="0.45">
      <c r="B38" s="5">
        <f t="array" ref="B38">IFERROR(_xlfn.IFS(
$B$6 = "Retention Overdue",
INDEX(Data!$B$2:$EO$956,
SMALL(IF(INDEX(Data!$B$2:$EO$956,,MATCH("Call Due",Data!$1:$1,0)-1,1)="Yes",MATCH(ROW(Data!$CN$2:$CN$956),ROW(Data!$CN$2:$CN$956)),""),ROWS($A$1:A27)),COLUMNS($A$1:A27)),
$B$6 = "OWIF-W",
INDEX(Data!$B$2:$EO$956,
SMALL(IF(INDEX(Data!$B$2:$EO$956,,MATCH("Grant Fund",Data!$1:$1,0)-1,1)="OWIF-W",MATCH(ROW(Data!$AO$2:$AO$956),ROW(Data!$AO$2:$AO$956)),""),ROWS($A$1:A27)),COLUMNS($A$1:A27)),
$B$6 = "G2C",
INDEX(Data!$B$2:$EO$956,
SMALL(IF(INDEX(Data!$B$2:$EO$956,,MATCH("Grant Fund",Data!$1:$1,0)-1,1)="Grads2Careers",MATCH(ROW(Data!$AO$2:$AO$956),ROW(Data!$AO$2:$AO$956)),""),ROWS($A$1:A27)),COLUMNS($A$1:A27)),
$B$6 = "OWIF",
INDEX(Data!$B$2:$EO$956,
SMALL(IF(INDEX(Data!$B$2:$EO$956,,MATCH("Grant Fund",Data!$1:$1,0)-1,1)="OWIF",MATCH(ROW(Data!$AO$2:$AO$956),ROW(Data!$AO$2:$AO$956)),""),ROWS($A$1:A27)),COLUMNS($A$1:A27)),
$B$6 = "WIOA",
INDEX(Data!$B$2:$EO$956,
SMALL(IF(INDEX(Data!$B$2:$EO$956,,MATCH("Grant Fund",Data!$1:$1,0)-1,1)="WIOA",MATCH(ROW(Data!$AO$2:$AO$956),ROW(Data!$AO$2:$AO$956)),""),ROWS($A$1:A27)),COLUMNS($A$1:A27)),
$B$6 = "WIOA II",
INDEX(Data!$B$2:$EO$956,
SMALL(IF(INDEX(Data!$B$2:$EO$956,,MATCH("Grant Fund",Data!$1:$1,0)-1,1)="WIOA II",MATCH(ROW(Data!$AO$2:$AO$956),ROW(Data!$AO$2:$AO$956)),""),ROWS($A$1:A27)),COLUMNS($A$1:A27)),
$B$6 = "WIOA III",
INDEX(Data!$B$2:$EO$956,
SMALL(IF(INDEX(Data!$B$2:$EO$956,,MATCH("Grant Fund",Data!$1:$1,0)-1,1)="WIOA III",MATCH(ROW(Data!$AO$2:$AO$956),ROW(Data!$AO$2:$AO$956)),""),ROWS($A$1:A27)),COLUMNS($A$1:A27)),
$B$6 = "Currently Employed",
INDEX(Data!$B$2:$EO$956,
SMALL(IF(INDEX(Data!$B$2:$EO$956,,MATCH("Currently Employed",Data!$1:$1,0)-1,1)="Yes",MATCH(ROW(Data!$DZ$2:$DZ$956),ROW(Data!$DZ$2:$DZ$956)),""),ROWS($A$1:A27)),COLUMNS($A$1:A27)),
$B$6 = "Inactive",
INDEX(Data!$B$2:$EO$956,
SMALL(IF(INDEX(Data!$B$2:$EO$956,,MATCH("Inactive",Data!$1:$1,0)-1,1)="Yes",MATCH(ROW(Data!$DG$2:$DG$956),ROW(Data!$DG$2:$DG$956)),""),ROWS($A$1:A27)),COLUMNS($A$1:A27)),
$B$6 = "Active",
INDEX(Data!$B$2:$EO$956,
SMALL(IF(INDEX(Data!$B$2:$EO$956,,MATCH("Active",Data!$1:$1,0)-1,1)="Yes",MATCH(ROW(Data!$DZ$2:$DZ$956),ROW(Data!$DZ$2:$DZ$956)),""),ROWS($A$1:A27)),COLUMNS($A$1:A27)),
$B$6 = "Status Unknown",
INDEX(Data!$B$2:$EO$956,
SMALL(IF(INDEX(Data!$B$2:$EO$956,,MATCH("Status Unknown",Data!$1:$1,0)-1,1)="Yes",MATCH(ROW(Data!$EB$2:$EB$956),ROW(Data!$EB$2:$EB$956)),""),ROWS($A$1:A27)),COLUMNS($A$1:A27)),
$B$6 = "Enrollment Pending",
INDEX(Data!$B$2:$EO$956,
SMALL(IF(INDEX(Data!$B$2:$EO$956,,MATCH("Enrollment Pending",Data!$1:$1,0)-1,1)="Yes",MATCH(ROW(Data!$DY$2:$DY$956),ROW(Data!$DY$2:$DY$956)),""),ROWS($A$1:A27)),COLUMNS($A$1:A27)),
$B$6 = "Gained Certification",
INDEX(Data!$B$2:$EO$956,
SMALL(IF(INDEX(Data!$B$2:$EO$956,,MATCH("Gained Certification",Data!$1:$1,0)-1,1)="Yes",MATCH(ROW(Data!$DU$2:$DU$956),ROW(Data!$DU$2:$DU$956)),""),ROWS($A$1:A27)),COLUMNS($A$1:A27)),
$B$6 = "No Certification",
INDEX(Data!$B$2:$EO$956,
SMALL(IF(INDEX(Data!$B$2:$EO$956,,MATCH("Gained Certification",Data!$1:$1,0)-1,1)&lt;&gt;"Yes",MATCH(ROW(Data!$DU$2:$DU$956),ROW(Data!$DU$2:$DU$956)),""),ROWS($A$1:A27)),COLUMNS($A$1:A27)),
$B$6 = "Completers Without Employment",
INDEX(Data!$B$2:$EO$967,
SMALL(IF(INDEX(Data!$B$2:$EO$967,,MATCH("Completed Without Employment",Data!$1:$1,0)-1,1)="Yes",MATCH(ROW(Data!$DZ$2:$DZ$967),ROW(Data!$DZ$2:$DZ$967)),""),ROWS($A$1:A27)),COLUMNS($A$1:A27)),
$B$6 = "CH",
INDEX(Data!$B$2:$EO$956,
SMALL(IF(INDEX(Data!$B$2:$EO$956,,MATCH("Case Manager",Data!$1:$1,0)-1,1)="CH",MATCH(ROW(Data!$DZ$2:$DZ$956),ROW(Data!$DZ$2:$DZ$956)),""),ROWS($A$1:A27)),COLUMNS($A$1:A27)),
$B$6 = "ML",
INDEX(Data!$B$2:$EO$956,
SMALL(IF(INDEX(Data!$B$2:$EO$956,,MATCH("Case Manager",Data!$1:$1,0)-1,1)="ML",MATCH(ROW(Data!$DZ$2:$DZ$956),ROW(Data!$DZ$2:$DZ$956)),""),ROWS($A$1:A27)),COLUMNS($A$1:A27)),
$B$6 = "RB",
INDEX(Data!$B$2:$EO$956,
SMALL(IF(INDEX(Data!$B$2:$EO$956,,MATCH("Case Manager",Data!$1:$1,0)-1,1)="RB",MATCH(ROW(Data!$DZ$2:$DZ$956),ROW(Data!$DZ$2:$DZ$956)),""),ROWS($A$1:A27)),COLUMNS($A$1:A27)),
$B$6 = "RV",
INDEX(Data!$B$2:$EO$956,
SMALL(IF(INDEX(Data!$B$2:$EO$956,,MATCH("Case Manager",Data!$1:$1,0)-1,1)="RV",MATCH(ROW(Data!$DZ$2:$DZ$956),ROW(Data!$DZ$2:$DZ$956)),""),ROWS($A$1:A27)),COLUMNS($A$1:A27)),
$B$6 = "SG",
INDEX(Data!$B$2:$EO$956,
SMALL(IF(INDEX(Data!$B$2:$EO$956,,MATCH("Case Manager",Data!$1:$1,0)-1,1)="SH",MATCH(ROW(Data!$DZ$2:$DZ$956),ROW(Data!$DZ$2:$DZ$956)),""),ROWS($A$1:A27)),COLUMNS($A$1:A27))
),"")</f>
        <v>977258</v>
      </c>
      <c r="C38" s="1" t="str">
        <f>IF(
IFERROR(
INDEX(Data!$1:$1048576,MATCH('Client Lists'!$B38,Data!$B:$B,0),MATCH('Client Lists'!C$11,Data!$1:$1,0)),"")=0,"",
IFERROR(
INDEX(Data!$1:$1048576,MATCH('Client Lists'!$B38,Data!$B:$B,0),MATCH('Client Lists'!C$11,Data!$1:$1,0)),""))</f>
        <v/>
      </c>
      <c r="D38" s="1" t="str">
        <f>IF(
IFERROR(
INDEX(Data!$1:$1048576,MATCH('Client Lists'!$B38,Data!$B:$B,0),MATCH('Client Lists'!D$11,Data!$1:$1,0)),"")=0,"",
IFERROR(
INDEX(Data!$1:$1048576,MATCH('Client Lists'!$B38,Data!$B:$B,0),MATCH('Client Lists'!D$11,Data!$1:$1,0)),""))</f>
        <v>MTDL</v>
      </c>
      <c r="E38" s="1" t="str">
        <f>IF(
IFERROR(
INDEX(Data!$1:$1048576,MATCH('Client Lists'!$B38,Data!$B:$B,0),MATCH('Client Lists'!E$11,Data!$1:$1,0)),"")=0,"",
IFERROR(
INDEX(Data!$1:$1048576,MATCH('Client Lists'!$B38,Data!$B:$B,0),MATCH('Client Lists'!E$11,Data!$1:$1,0)),""))</f>
        <v xml:space="preserve"> EARN</v>
      </c>
      <c r="F38" s="1">
        <f>IF(
IFERROR(
INDEX(Data!$1:$1048576,MATCH('Client Lists'!$B38,Data!$B:$B,0),MATCH('Client Lists'!F$11,Data!$1:$1,0)),"")=0,"",
IFERROR(
INDEX(Data!$1:$1048576,MATCH('Client Lists'!$B38,Data!$B:$B,0),MATCH('Client Lists'!F$11,Data!$1:$1,0)),""))</f>
        <v>44802</v>
      </c>
      <c r="G38" s="1" t="str">
        <f>IF(
IFERROR(
INDEX(Data!$1:$1048576,MATCH('Client Lists'!$B38,Data!$B:$B,0),MATCH('Client Lists'!G$11,Data!$1:$1,0)),"")=0,"",
IFERROR(
INDEX(Data!$1:$1048576,MATCH('Client Lists'!$B38,Data!$B:$B,0),MATCH('Client Lists'!G$11,Data!$1:$1,0)),""))</f>
        <v>Yes</v>
      </c>
      <c r="H38" s="1" t="str">
        <f>IF(
IFERROR(
INDEX(Data!$1:$1048576,MATCH('Client Lists'!$B38,Data!$B:$B,0),MATCH('Client Lists'!H$11,Data!$1:$1,0)),"")=0,"",
IFERROR(
INDEX(Data!$1:$1048576,MATCH('Client Lists'!$B38,Data!$B:$B,0),MATCH('Client Lists'!H$11,Data!$1:$1,0)),""))</f>
        <v>No</v>
      </c>
      <c r="I38" s="1" t="str">
        <f>IF(
IFERROR(
INDEX(Data!$1:$1048576,MATCH('Client Lists'!$B38,Data!$B:$B,0),MATCH('Client Lists'!I$11,Data!$1:$1,0)),"")=0,"",
IFERROR(
INDEX(Data!$1:$1048576,MATCH('Client Lists'!$B38,Data!$B:$B,0),MATCH('Client Lists'!I$11,Data!$1:$1,0)),""))</f>
        <v>Yes</v>
      </c>
      <c r="J38" s="1" t="str">
        <f>IF(
IFERROR(
INDEX(Data!$1:$1048576,MATCH('Client Lists'!$B38,Data!$B:$B,0),MATCH('Client Lists'!J$11,Data!$1:$1,0)),"")=0,"",
IFERROR(
INDEX(Data!$1:$1048576,MATCH('Client Lists'!$B38,Data!$B:$B,0),MATCH('Client Lists'!J$11,Data!$1:$1,0)),""))</f>
        <v/>
      </c>
      <c r="K38" s="1" t="str">
        <f>IF(
IFERROR(
INDEX(Data!$1:$1048576,MATCH('Client Lists'!$B38,Data!$B:$B,0),MATCH('Client Lists'!K$11,Data!$1:$1,0)),"")=0,"",
IFERROR(
INDEX(Data!$1:$1048576,MATCH('Client Lists'!$B38,Data!$B:$B,0),MATCH('Client Lists'!K$11,Data!$1:$1,0)),""))</f>
        <v/>
      </c>
    </row>
    <row r="39" spans="2:11" x14ac:dyDescent="0.45">
      <c r="B39" s="5">
        <f t="array" ref="B39">IFERROR(_xlfn.IFS(
$B$6 = "Retention Overdue",
INDEX(Data!$B$2:$EO$956,
SMALL(IF(INDEX(Data!$B$2:$EO$956,,MATCH("Call Due",Data!$1:$1,0)-1,1)="Yes",MATCH(ROW(Data!$CN$2:$CN$956),ROW(Data!$CN$2:$CN$956)),""),ROWS($A$1:A28)),COLUMNS($A$1:A28)),
$B$6 = "OWIF-W",
INDEX(Data!$B$2:$EO$956,
SMALL(IF(INDEX(Data!$B$2:$EO$956,,MATCH("Grant Fund",Data!$1:$1,0)-1,1)="OWIF-W",MATCH(ROW(Data!$AO$2:$AO$956),ROW(Data!$AO$2:$AO$956)),""),ROWS($A$1:A28)),COLUMNS($A$1:A28)),
$B$6 = "G2C",
INDEX(Data!$B$2:$EO$956,
SMALL(IF(INDEX(Data!$B$2:$EO$956,,MATCH("Grant Fund",Data!$1:$1,0)-1,1)="Grads2Careers",MATCH(ROW(Data!$AO$2:$AO$956),ROW(Data!$AO$2:$AO$956)),""),ROWS($A$1:A28)),COLUMNS($A$1:A28)),
$B$6 = "OWIF",
INDEX(Data!$B$2:$EO$956,
SMALL(IF(INDEX(Data!$B$2:$EO$956,,MATCH("Grant Fund",Data!$1:$1,0)-1,1)="OWIF",MATCH(ROW(Data!$AO$2:$AO$956),ROW(Data!$AO$2:$AO$956)),""),ROWS($A$1:A28)),COLUMNS($A$1:A28)),
$B$6 = "WIOA",
INDEX(Data!$B$2:$EO$956,
SMALL(IF(INDEX(Data!$B$2:$EO$956,,MATCH("Grant Fund",Data!$1:$1,0)-1,1)="WIOA",MATCH(ROW(Data!$AO$2:$AO$956),ROW(Data!$AO$2:$AO$956)),""),ROWS($A$1:A28)),COLUMNS($A$1:A28)),
$B$6 = "WIOA II",
INDEX(Data!$B$2:$EO$956,
SMALL(IF(INDEX(Data!$B$2:$EO$956,,MATCH("Grant Fund",Data!$1:$1,0)-1,1)="WIOA II",MATCH(ROW(Data!$AO$2:$AO$956),ROW(Data!$AO$2:$AO$956)),""),ROWS($A$1:A28)),COLUMNS($A$1:A28)),
$B$6 = "WIOA III",
INDEX(Data!$B$2:$EO$956,
SMALL(IF(INDEX(Data!$B$2:$EO$956,,MATCH("Grant Fund",Data!$1:$1,0)-1,1)="WIOA III",MATCH(ROW(Data!$AO$2:$AO$956),ROW(Data!$AO$2:$AO$956)),""),ROWS($A$1:A28)),COLUMNS($A$1:A28)),
$B$6 = "Currently Employed",
INDEX(Data!$B$2:$EO$956,
SMALL(IF(INDEX(Data!$B$2:$EO$956,,MATCH("Currently Employed",Data!$1:$1,0)-1,1)="Yes",MATCH(ROW(Data!$DZ$2:$DZ$956),ROW(Data!$DZ$2:$DZ$956)),""),ROWS($A$1:A28)),COLUMNS($A$1:A28)),
$B$6 = "Inactive",
INDEX(Data!$B$2:$EO$956,
SMALL(IF(INDEX(Data!$B$2:$EO$956,,MATCH("Inactive",Data!$1:$1,0)-1,1)="Yes",MATCH(ROW(Data!$DG$2:$DG$956),ROW(Data!$DG$2:$DG$956)),""),ROWS($A$1:A28)),COLUMNS($A$1:A28)),
$B$6 = "Active",
INDEX(Data!$B$2:$EO$956,
SMALL(IF(INDEX(Data!$B$2:$EO$956,,MATCH("Active",Data!$1:$1,0)-1,1)="Yes",MATCH(ROW(Data!$DZ$2:$DZ$956),ROW(Data!$DZ$2:$DZ$956)),""),ROWS($A$1:A28)),COLUMNS($A$1:A28)),
$B$6 = "Status Unknown",
INDEX(Data!$B$2:$EO$956,
SMALL(IF(INDEX(Data!$B$2:$EO$956,,MATCH("Status Unknown",Data!$1:$1,0)-1,1)="Yes",MATCH(ROW(Data!$EB$2:$EB$956),ROW(Data!$EB$2:$EB$956)),""),ROWS($A$1:A28)),COLUMNS($A$1:A28)),
$B$6 = "Enrollment Pending",
INDEX(Data!$B$2:$EO$956,
SMALL(IF(INDEX(Data!$B$2:$EO$956,,MATCH("Enrollment Pending",Data!$1:$1,0)-1,1)="Yes",MATCH(ROW(Data!$DY$2:$DY$956),ROW(Data!$DY$2:$DY$956)),""),ROWS($A$1:A28)),COLUMNS($A$1:A28)),
$B$6 = "Gained Certification",
INDEX(Data!$B$2:$EO$956,
SMALL(IF(INDEX(Data!$B$2:$EO$956,,MATCH("Gained Certification",Data!$1:$1,0)-1,1)="Yes",MATCH(ROW(Data!$DU$2:$DU$956),ROW(Data!$DU$2:$DU$956)),""),ROWS($A$1:A28)),COLUMNS($A$1:A28)),
$B$6 = "No Certification",
INDEX(Data!$B$2:$EO$956,
SMALL(IF(INDEX(Data!$B$2:$EO$956,,MATCH("Gained Certification",Data!$1:$1,0)-1,1)&lt;&gt;"Yes",MATCH(ROW(Data!$DU$2:$DU$956),ROW(Data!$DU$2:$DU$956)),""),ROWS($A$1:A28)),COLUMNS($A$1:A28)),
$B$6 = "Completers Without Employment",
INDEX(Data!$B$2:$EO$967,
SMALL(IF(INDEX(Data!$B$2:$EO$967,,MATCH("Completed Without Employment",Data!$1:$1,0)-1,1)="Yes",MATCH(ROW(Data!$DZ$2:$DZ$967),ROW(Data!$DZ$2:$DZ$967)),""),ROWS($A$1:A28)),COLUMNS($A$1:A28)),
$B$6 = "CH",
INDEX(Data!$B$2:$EO$956,
SMALL(IF(INDEX(Data!$B$2:$EO$956,,MATCH("Case Manager",Data!$1:$1,0)-1,1)="CH",MATCH(ROW(Data!$DZ$2:$DZ$956),ROW(Data!$DZ$2:$DZ$956)),""),ROWS($A$1:A28)),COLUMNS($A$1:A28)),
$B$6 = "ML",
INDEX(Data!$B$2:$EO$956,
SMALL(IF(INDEX(Data!$B$2:$EO$956,,MATCH("Case Manager",Data!$1:$1,0)-1,1)="ML",MATCH(ROW(Data!$DZ$2:$DZ$956),ROW(Data!$DZ$2:$DZ$956)),""),ROWS($A$1:A28)),COLUMNS($A$1:A28)),
$B$6 = "RB",
INDEX(Data!$B$2:$EO$956,
SMALL(IF(INDEX(Data!$B$2:$EO$956,,MATCH("Case Manager",Data!$1:$1,0)-1,1)="RB",MATCH(ROW(Data!$DZ$2:$DZ$956),ROW(Data!$DZ$2:$DZ$956)),""),ROWS($A$1:A28)),COLUMNS($A$1:A28)),
$B$6 = "RV",
INDEX(Data!$B$2:$EO$956,
SMALL(IF(INDEX(Data!$B$2:$EO$956,,MATCH("Case Manager",Data!$1:$1,0)-1,1)="RV",MATCH(ROW(Data!$DZ$2:$DZ$956),ROW(Data!$DZ$2:$DZ$956)),""),ROWS($A$1:A28)),COLUMNS($A$1:A28)),
$B$6 = "SG",
INDEX(Data!$B$2:$EO$956,
SMALL(IF(INDEX(Data!$B$2:$EO$956,,MATCH("Case Manager",Data!$1:$1,0)-1,1)="SH",MATCH(ROW(Data!$DZ$2:$DZ$956),ROW(Data!$DZ$2:$DZ$956)),""),ROWS($A$1:A28)),COLUMNS($A$1:A28))
),"")</f>
        <v>976936</v>
      </c>
      <c r="C39" s="1" t="str">
        <f>IF(
IFERROR(
INDEX(Data!$1:$1048576,MATCH('Client Lists'!$B39,Data!$B:$B,0),MATCH('Client Lists'!C$11,Data!$1:$1,0)),"")=0,"",
IFERROR(
INDEX(Data!$1:$1048576,MATCH('Client Lists'!$B39,Data!$B:$B,0),MATCH('Client Lists'!C$11,Data!$1:$1,0)),""))</f>
        <v/>
      </c>
      <c r="D39" s="1" t="str">
        <f>IF(
IFERROR(
INDEX(Data!$1:$1048576,MATCH('Client Lists'!$B39,Data!$B:$B,0),MATCH('Client Lists'!D$11,Data!$1:$1,0)),"")=0,"",
IFERROR(
INDEX(Data!$1:$1048576,MATCH('Client Lists'!$B39,Data!$B:$B,0),MATCH('Client Lists'!D$11,Data!$1:$1,0)),""))</f>
        <v>MTDL</v>
      </c>
      <c r="E39" s="1" t="str">
        <f>IF(
IFERROR(
INDEX(Data!$1:$1048576,MATCH('Client Lists'!$B39,Data!$B:$B,0),MATCH('Client Lists'!E$11,Data!$1:$1,0)),"")=0,"",
IFERROR(
INDEX(Data!$1:$1048576,MATCH('Client Lists'!$B39,Data!$B:$B,0),MATCH('Client Lists'!E$11,Data!$1:$1,0)),""))</f>
        <v xml:space="preserve"> CDBG; EARN</v>
      </c>
      <c r="F39" s="1">
        <f>IF(
IFERROR(
INDEX(Data!$1:$1048576,MATCH('Client Lists'!$B39,Data!$B:$B,0),MATCH('Client Lists'!F$11,Data!$1:$1,0)),"")=0,"",
IFERROR(
INDEX(Data!$1:$1048576,MATCH('Client Lists'!$B39,Data!$B:$B,0),MATCH('Client Lists'!F$11,Data!$1:$1,0)),""))</f>
        <v>44571</v>
      </c>
      <c r="G39" s="1" t="str">
        <f>IF(
IFERROR(
INDEX(Data!$1:$1048576,MATCH('Client Lists'!$B39,Data!$B:$B,0),MATCH('Client Lists'!G$11,Data!$1:$1,0)),"")=0,"",
IFERROR(
INDEX(Data!$1:$1048576,MATCH('Client Lists'!$B39,Data!$B:$B,0),MATCH('Client Lists'!G$11,Data!$1:$1,0)),""))</f>
        <v>Yes</v>
      </c>
      <c r="H39" s="1" t="str">
        <f>IF(
IFERROR(
INDEX(Data!$1:$1048576,MATCH('Client Lists'!$B39,Data!$B:$B,0),MATCH('Client Lists'!H$11,Data!$1:$1,0)),"")=0,"",
IFERROR(
INDEX(Data!$1:$1048576,MATCH('Client Lists'!$B39,Data!$B:$B,0),MATCH('Client Lists'!H$11,Data!$1:$1,0)),""))</f>
        <v>No</v>
      </c>
      <c r="I39" s="1" t="str">
        <f>IF(
IFERROR(
INDEX(Data!$1:$1048576,MATCH('Client Lists'!$B39,Data!$B:$B,0),MATCH('Client Lists'!I$11,Data!$1:$1,0)),"")=0,"",
IFERROR(
INDEX(Data!$1:$1048576,MATCH('Client Lists'!$B39,Data!$B:$B,0),MATCH('Client Lists'!I$11,Data!$1:$1,0)),""))</f>
        <v>Yes</v>
      </c>
      <c r="J39" s="1" t="str">
        <f>IF(
IFERROR(
INDEX(Data!$1:$1048576,MATCH('Client Lists'!$B39,Data!$B:$B,0),MATCH('Client Lists'!J$11,Data!$1:$1,0)),"")=0,"",
IFERROR(
INDEX(Data!$1:$1048576,MATCH('Client Lists'!$B39,Data!$B:$B,0),MATCH('Client Lists'!J$11,Data!$1:$1,0)),""))</f>
        <v/>
      </c>
      <c r="K39" s="1" t="str">
        <f>IF(
IFERROR(
INDEX(Data!$1:$1048576,MATCH('Client Lists'!$B39,Data!$B:$B,0),MATCH('Client Lists'!K$11,Data!$1:$1,0)),"")=0,"",
IFERROR(
INDEX(Data!$1:$1048576,MATCH('Client Lists'!$B39,Data!$B:$B,0),MATCH('Client Lists'!K$11,Data!$1:$1,0)),""))</f>
        <v/>
      </c>
    </row>
    <row r="40" spans="2:11" x14ac:dyDescent="0.45">
      <c r="B40" s="5">
        <f t="array" ref="B40">IFERROR(_xlfn.IFS(
$B$6 = "Retention Overdue",
INDEX(Data!$B$2:$EO$956,
SMALL(IF(INDEX(Data!$B$2:$EO$956,,MATCH("Call Due",Data!$1:$1,0)-1,1)="Yes",MATCH(ROW(Data!$CN$2:$CN$956),ROW(Data!$CN$2:$CN$956)),""),ROWS($A$1:A29)),COLUMNS($A$1:A29)),
$B$6 = "OWIF-W",
INDEX(Data!$B$2:$EO$956,
SMALL(IF(INDEX(Data!$B$2:$EO$956,,MATCH("Grant Fund",Data!$1:$1,0)-1,1)="OWIF-W",MATCH(ROW(Data!$AO$2:$AO$956),ROW(Data!$AO$2:$AO$956)),""),ROWS($A$1:A29)),COLUMNS($A$1:A29)),
$B$6 = "G2C",
INDEX(Data!$B$2:$EO$956,
SMALL(IF(INDEX(Data!$B$2:$EO$956,,MATCH("Grant Fund",Data!$1:$1,0)-1,1)="Grads2Careers",MATCH(ROW(Data!$AO$2:$AO$956),ROW(Data!$AO$2:$AO$956)),""),ROWS($A$1:A29)),COLUMNS($A$1:A29)),
$B$6 = "OWIF",
INDEX(Data!$B$2:$EO$956,
SMALL(IF(INDEX(Data!$B$2:$EO$956,,MATCH("Grant Fund",Data!$1:$1,0)-1,1)="OWIF",MATCH(ROW(Data!$AO$2:$AO$956),ROW(Data!$AO$2:$AO$956)),""),ROWS($A$1:A29)),COLUMNS($A$1:A29)),
$B$6 = "WIOA",
INDEX(Data!$B$2:$EO$956,
SMALL(IF(INDEX(Data!$B$2:$EO$956,,MATCH("Grant Fund",Data!$1:$1,0)-1,1)="WIOA",MATCH(ROW(Data!$AO$2:$AO$956),ROW(Data!$AO$2:$AO$956)),""),ROWS($A$1:A29)),COLUMNS($A$1:A29)),
$B$6 = "WIOA II",
INDEX(Data!$B$2:$EO$956,
SMALL(IF(INDEX(Data!$B$2:$EO$956,,MATCH("Grant Fund",Data!$1:$1,0)-1,1)="WIOA II",MATCH(ROW(Data!$AO$2:$AO$956),ROW(Data!$AO$2:$AO$956)),""),ROWS($A$1:A29)),COLUMNS($A$1:A29)),
$B$6 = "WIOA III",
INDEX(Data!$B$2:$EO$956,
SMALL(IF(INDEX(Data!$B$2:$EO$956,,MATCH("Grant Fund",Data!$1:$1,0)-1,1)="WIOA III",MATCH(ROW(Data!$AO$2:$AO$956),ROW(Data!$AO$2:$AO$956)),""),ROWS($A$1:A29)),COLUMNS($A$1:A29)),
$B$6 = "Currently Employed",
INDEX(Data!$B$2:$EO$956,
SMALL(IF(INDEX(Data!$B$2:$EO$956,,MATCH("Currently Employed",Data!$1:$1,0)-1,1)="Yes",MATCH(ROW(Data!$DZ$2:$DZ$956),ROW(Data!$DZ$2:$DZ$956)),""),ROWS($A$1:A29)),COLUMNS($A$1:A29)),
$B$6 = "Inactive",
INDEX(Data!$B$2:$EO$956,
SMALL(IF(INDEX(Data!$B$2:$EO$956,,MATCH("Inactive",Data!$1:$1,0)-1,1)="Yes",MATCH(ROW(Data!$DG$2:$DG$956),ROW(Data!$DG$2:$DG$956)),""),ROWS($A$1:A29)),COLUMNS($A$1:A29)),
$B$6 = "Active",
INDEX(Data!$B$2:$EO$956,
SMALL(IF(INDEX(Data!$B$2:$EO$956,,MATCH("Active",Data!$1:$1,0)-1,1)="Yes",MATCH(ROW(Data!$DZ$2:$DZ$956),ROW(Data!$DZ$2:$DZ$956)),""),ROWS($A$1:A29)),COLUMNS($A$1:A29)),
$B$6 = "Status Unknown",
INDEX(Data!$B$2:$EO$956,
SMALL(IF(INDEX(Data!$B$2:$EO$956,,MATCH("Status Unknown",Data!$1:$1,0)-1,1)="Yes",MATCH(ROW(Data!$EB$2:$EB$956),ROW(Data!$EB$2:$EB$956)),""),ROWS($A$1:A29)),COLUMNS($A$1:A29)),
$B$6 = "Enrollment Pending",
INDEX(Data!$B$2:$EO$956,
SMALL(IF(INDEX(Data!$B$2:$EO$956,,MATCH("Enrollment Pending",Data!$1:$1,0)-1,1)="Yes",MATCH(ROW(Data!$DY$2:$DY$956),ROW(Data!$DY$2:$DY$956)),""),ROWS($A$1:A29)),COLUMNS($A$1:A29)),
$B$6 = "Gained Certification",
INDEX(Data!$B$2:$EO$956,
SMALL(IF(INDEX(Data!$B$2:$EO$956,,MATCH("Gained Certification",Data!$1:$1,0)-1,1)="Yes",MATCH(ROW(Data!$DU$2:$DU$956),ROW(Data!$DU$2:$DU$956)),""),ROWS($A$1:A29)),COLUMNS($A$1:A29)),
$B$6 = "No Certification",
INDEX(Data!$B$2:$EO$956,
SMALL(IF(INDEX(Data!$B$2:$EO$956,,MATCH("Gained Certification",Data!$1:$1,0)-1,1)&lt;&gt;"Yes",MATCH(ROW(Data!$DU$2:$DU$956),ROW(Data!$DU$2:$DU$956)),""),ROWS($A$1:A29)),COLUMNS($A$1:A29)),
$B$6 = "Completers Without Employment",
INDEX(Data!$B$2:$EO$967,
SMALL(IF(INDEX(Data!$B$2:$EO$967,,MATCH("Completed Without Employment",Data!$1:$1,0)-1,1)="Yes",MATCH(ROW(Data!$DZ$2:$DZ$967),ROW(Data!$DZ$2:$DZ$967)),""),ROWS($A$1:A29)),COLUMNS($A$1:A29)),
$B$6 = "CH",
INDEX(Data!$B$2:$EO$956,
SMALL(IF(INDEX(Data!$B$2:$EO$956,,MATCH("Case Manager",Data!$1:$1,0)-1,1)="CH",MATCH(ROW(Data!$DZ$2:$DZ$956),ROW(Data!$DZ$2:$DZ$956)),""),ROWS($A$1:A29)),COLUMNS($A$1:A29)),
$B$6 = "ML",
INDEX(Data!$B$2:$EO$956,
SMALL(IF(INDEX(Data!$B$2:$EO$956,,MATCH("Case Manager",Data!$1:$1,0)-1,1)="ML",MATCH(ROW(Data!$DZ$2:$DZ$956),ROW(Data!$DZ$2:$DZ$956)),""),ROWS($A$1:A29)),COLUMNS($A$1:A29)),
$B$6 = "RB",
INDEX(Data!$B$2:$EO$956,
SMALL(IF(INDEX(Data!$B$2:$EO$956,,MATCH("Case Manager",Data!$1:$1,0)-1,1)="RB",MATCH(ROW(Data!$DZ$2:$DZ$956),ROW(Data!$DZ$2:$DZ$956)),""),ROWS($A$1:A29)),COLUMNS($A$1:A29)),
$B$6 = "RV",
INDEX(Data!$B$2:$EO$956,
SMALL(IF(INDEX(Data!$B$2:$EO$956,,MATCH("Case Manager",Data!$1:$1,0)-1,1)="RV",MATCH(ROW(Data!$DZ$2:$DZ$956),ROW(Data!$DZ$2:$DZ$956)),""),ROWS($A$1:A29)),COLUMNS($A$1:A29)),
$B$6 = "SG",
INDEX(Data!$B$2:$EO$956,
SMALL(IF(INDEX(Data!$B$2:$EO$956,,MATCH("Case Manager",Data!$1:$1,0)-1,1)="SH",MATCH(ROW(Data!$DZ$2:$DZ$956),ROW(Data!$DZ$2:$DZ$956)),""),ROWS($A$1:A29)),COLUMNS($A$1:A29))
),"")</f>
        <v>976797</v>
      </c>
      <c r="C40" s="1" t="str">
        <f>IF(
IFERROR(
INDEX(Data!$1:$1048576,MATCH('Client Lists'!$B40,Data!$B:$B,0),MATCH('Client Lists'!C$11,Data!$1:$1,0)),"")=0,"",
IFERROR(
INDEX(Data!$1:$1048576,MATCH('Client Lists'!$B40,Data!$B:$B,0),MATCH('Client Lists'!C$11,Data!$1:$1,0)),""))</f>
        <v/>
      </c>
      <c r="D40" s="1" t="str">
        <f>IF(
IFERROR(
INDEX(Data!$1:$1048576,MATCH('Client Lists'!$B40,Data!$B:$B,0),MATCH('Client Lists'!D$11,Data!$1:$1,0)),"")=0,"",
IFERROR(
INDEX(Data!$1:$1048576,MATCH('Client Lists'!$B40,Data!$B:$B,0),MATCH('Client Lists'!D$11,Data!$1:$1,0)),""))</f>
        <v>CTC</v>
      </c>
      <c r="E40" s="1" t="str">
        <f>IF(
IFERROR(
INDEX(Data!$1:$1048576,MATCH('Client Lists'!$B40,Data!$B:$B,0),MATCH('Client Lists'!E$11,Data!$1:$1,0)),"")=0,"",
IFERROR(
INDEX(Data!$1:$1048576,MATCH('Client Lists'!$B40,Data!$B:$B,0),MATCH('Client Lists'!E$11,Data!$1:$1,0)),""))</f>
        <v xml:space="preserve"> CDBG</v>
      </c>
      <c r="F40" s="1">
        <f>IF(
IFERROR(
INDEX(Data!$1:$1048576,MATCH('Client Lists'!$B40,Data!$B:$B,0),MATCH('Client Lists'!F$11,Data!$1:$1,0)),"")=0,"",
IFERROR(
INDEX(Data!$1:$1048576,MATCH('Client Lists'!$B40,Data!$B:$B,0),MATCH('Client Lists'!F$11,Data!$1:$1,0)),""))</f>
        <v>44446</v>
      </c>
      <c r="G40" s="1" t="str">
        <f>IF(
IFERROR(
INDEX(Data!$1:$1048576,MATCH('Client Lists'!$B40,Data!$B:$B,0),MATCH('Client Lists'!G$11,Data!$1:$1,0)),"")=0,"",
IFERROR(
INDEX(Data!$1:$1048576,MATCH('Client Lists'!$B40,Data!$B:$B,0),MATCH('Client Lists'!G$11,Data!$1:$1,0)),""))</f>
        <v>No</v>
      </c>
      <c r="H40" s="1" t="str">
        <f>IF(
IFERROR(
INDEX(Data!$1:$1048576,MATCH('Client Lists'!$B40,Data!$B:$B,0),MATCH('Client Lists'!H$11,Data!$1:$1,0)),"")=0,"",
IFERROR(
INDEX(Data!$1:$1048576,MATCH('Client Lists'!$B40,Data!$B:$B,0),MATCH('Client Lists'!H$11,Data!$1:$1,0)),""))</f>
        <v>No</v>
      </c>
      <c r="I40" s="1" t="str">
        <f>IF(
IFERROR(
INDEX(Data!$1:$1048576,MATCH('Client Lists'!$B40,Data!$B:$B,0),MATCH('Client Lists'!I$11,Data!$1:$1,0)),"")=0,"",
IFERROR(
INDEX(Data!$1:$1048576,MATCH('Client Lists'!$B40,Data!$B:$B,0),MATCH('Client Lists'!I$11,Data!$1:$1,0)),""))</f>
        <v/>
      </c>
      <c r="J40" s="1" t="str">
        <f>IF(
IFERROR(
INDEX(Data!$1:$1048576,MATCH('Client Lists'!$B40,Data!$B:$B,0),MATCH('Client Lists'!J$11,Data!$1:$1,0)),"")=0,"",
IFERROR(
INDEX(Data!$1:$1048576,MATCH('Client Lists'!$B40,Data!$B:$B,0),MATCH('Client Lists'!J$11,Data!$1:$1,0)),""))</f>
        <v/>
      </c>
      <c r="K40" s="1" t="str">
        <f>IF(
IFERROR(
INDEX(Data!$1:$1048576,MATCH('Client Lists'!$B40,Data!$B:$B,0),MATCH('Client Lists'!K$11,Data!$1:$1,0)),"")=0,"",
IFERROR(
INDEX(Data!$1:$1048576,MATCH('Client Lists'!$B40,Data!$B:$B,0),MATCH('Client Lists'!K$11,Data!$1:$1,0)),""))</f>
        <v/>
      </c>
    </row>
    <row r="41" spans="2:11" x14ac:dyDescent="0.45">
      <c r="B41" s="5">
        <f t="array" ref="B41">IFERROR(_xlfn.IFS(
$B$6 = "Retention Overdue",
INDEX(Data!$B$2:$EO$956,
SMALL(IF(INDEX(Data!$B$2:$EO$956,,MATCH("Call Due",Data!$1:$1,0)-1,1)="Yes",MATCH(ROW(Data!$CN$2:$CN$956),ROW(Data!$CN$2:$CN$956)),""),ROWS($A$1:A30)),COLUMNS($A$1:A30)),
$B$6 = "OWIF-W",
INDEX(Data!$B$2:$EO$956,
SMALL(IF(INDEX(Data!$B$2:$EO$956,,MATCH("Grant Fund",Data!$1:$1,0)-1,1)="OWIF-W",MATCH(ROW(Data!$AO$2:$AO$956),ROW(Data!$AO$2:$AO$956)),""),ROWS($A$1:A30)),COLUMNS($A$1:A30)),
$B$6 = "G2C",
INDEX(Data!$B$2:$EO$956,
SMALL(IF(INDEX(Data!$B$2:$EO$956,,MATCH("Grant Fund",Data!$1:$1,0)-1,1)="Grads2Careers",MATCH(ROW(Data!$AO$2:$AO$956),ROW(Data!$AO$2:$AO$956)),""),ROWS($A$1:A30)),COLUMNS($A$1:A30)),
$B$6 = "OWIF",
INDEX(Data!$B$2:$EO$956,
SMALL(IF(INDEX(Data!$B$2:$EO$956,,MATCH("Grant Fund",Data!$1:$1,0)-1,1)="OWIF",MATCH(ROW(Data!$AO$2:$AO$956),ROW(Data!$AO$2:$AO$956)),""),ROWS($A$1:A30)),COLUMNS($A$1:A30)),
$B$6 = "WIOA",
INDEX(Data!$B$2:$EO$956,
SMALL(IF(INDEX(Data!$B$2:$EO$956,,MATCH("Grant Fund",Data!$1:$1,0)-1,1)="WIOA",MATCH(ROW(Data!$AO$2:$AO$956),ROW(Data!$AO$2:$AO$956)),""),ROWS($A$1:A30)),COLUMNS($A$1:A30)),
$B$6 = "WIOA II",
INDEX(Data!$B$2:$EO$956,
SMALL(IF(INDEX(Data!$B$2:$EO$956,,MATCH("Grant Fund",Data!$1:$1,0)-1,1)="WIOA II",MATCH(ROW(Data!$AO$2:$AO$956),ROW(Data!$AO$2:$AO$956)),""),ROWS($A$1:A30)),COLUMNS($A$1:A30)),
$B$6 = "WIOA III",
INDEX(Data!$B$2:$EO$956,
SMALL(IF(INDEX(Data!$B$2:$EO$956,,MATCH("Grant Fund",Data!$1:$1,0)-1,1)="WIOA III",MATCH(ROW(Data!$AO$2:$AO$956),ROW(Data!$AO$2:$AO$956)),""),ROWS($A$1:A30)),COLUMNS($A$1:A30)),
$B$6 = "Currently Employed",
INDEX(Data!$B$2:$EO$956,
SMALL(IF(INDEX(Data!$B$2:$EO$956,,MATCH("Currently Employed",Data!$1:$1,0)-1,1)="Yes",MATCH(ROW(Data!$DZ$2:$DZ$956),ROW(Data!$DZ$2:$DZ$956)),""),ROWS($A$1:A30)),COLUMNS($A$1:A30)),
$B$6 = "Inactive",
INDEX(Data!$B$2:$EO$956,
SMALL(IF(INDEX(Data!$B$2:$EO$956,,MATCH("Inactive",Data!$1:$1,0)-1,1)="Yes",MATCH(ROW(Data!$DG$2:$DG$956),ROW(Data!$DG$2:$DG$956)),""),ROWS($A$1:A30)),COLUMNS($A$1:A30)),
$B$6 = "Active",
INDEX(Data!$B$2:$EO$956,
SMALL(IF(INDEX(Data!$B$2:$EO$956,,MATCH("Active",Data!$1:$1,0)-1,1)="Yes",MATCH(ROW(Data!$DZ$2:$DZ$956),ROW(Data!$DZ$2:$DZ$956)),""),ROWS($A$1:A30)),COLUMNS($A$1:A30)),
$B$6 = "Status Unknown",
INDEX(Data!$B$2:$EO$956,
SMALL(IF(INDEX(Data!$B$2:$EO$956,,MATCH("Status Unknown",Data!$1:$1,0)-1,1)="Yes",MATCH(ROW(Data!$EB$2:$EB$956),ROW(Data!$EB$2:$EB$956)),""),ROWS($A$1:A30)),COLUMNS($A$1:A30)),
$B$6 = "Enrollment Pending",
INDEX(Data!$B$2:$EO$956,
SMALL(IF(INDEX(Data!$B$2:$EO$956,,MATCH("Enrollment Pending",Data!$1:$1,0)-1,1)="Yes",MATCH(ROW(Data!$DY$2:$DY$956),ROW(Data!$DY$2:$DY$956)),""),ROWS($A$1:A30)),COLUMNS($A$1:A30)),
$B$6 = "Gained Certification",
INDEX(Data!$B$2:$EO$956,
SMALL(IF(INDEX(Data!$B$2:$EO$956,,MATCH("Gained Certification",Data!$1:$1,0)-1,1)="Yes",MATCH(ROW(Data!$DU$2:$DU$956),ROW(Data!$DU$2:$DU$956)),""),ROWS($A$1:A30)),COLUMNS($A$1:A30)),
$B$6 = "No Certification",
INDEX(Data!$B$2:$EO$956,
SMALL(IF(INDEX(Data!$B$2:$EO$956,,MATCH("Gained Certification",Data!$1:$1,0)-1,1)&lt;&gt;"Yes",MATCH(ROW(Data!$DU$2:$DU$956),ROW(Data!$DU$2:$DU$956)),""),ROWS($A$1:A30)),COLUMNS($A$1:A30)),
$B$6 = "Completers Without Employment",
INDEX(Data!$B$2:$EO$967,
SMALL(IF(INDEX(Data!$B$2:$EO$967,,MATCH("Completed Without Employment",Data!$1:$1,0)-1,1)="Yes",MATCH(ROW(Data!$DZ$2:$DZ$967),ROW(Data!$DZ$2:$DZ$967)),""),ROWS($A$1:A30)),COLUMNS($A$1:A30)),
$B$6 = "CH",
INDEX(Data!$B$2:$EO$956,
SMALL(IF(INDEX(Data!$B$2:$EO$956,,MATCH("Case Manager",Data!$1:$1,0)-1,1)="CH",MATCH(ROW(Data!$DZ$2:$DZ$956),ROW(Data!$DZ$2:$DZ$956)),""),ROWS($A$1:A30)),COLUMNS($A$1:A30)),
$B$6 = "ML",
INDEX(Data!$B$2:$EO$956,
SMALL(IF(INDEX(Data!$B$2:$EO$956,,MATCH("Case Manager",Data!$1:$1,0)-1,1)="ML",MATCH(ROW(Data!$DZ$2:$DZ$956),ROW(Data!$DZ$2:$DZ$956)),""),ROWS($A$1:A30)),COLUMNS($A$1:A30)),
$B$6 = "RB",
INDEX(Data!$B$2:$EO$956,
SMALL(IF(INDEX(Data!$B$2:$EO$956,,MATCH("Case Manager",Data!$1:$1,0)-1,1)="RB",MATCH(ROW(Data!$DZ$2:$DZ$956),ROW(Data!$DZ$2:$DZ$956)),""),ROWS($A$1:A30)),COLUMNS($A$1:A30)),
$B$6 = "RV",
INDEX(Data!$B$2:$EO$956,
SMALL(IF(INDEX(Data!$B$2:$EO$956,,MATCH("Case Manager",Data!$1:$1,0)-1,1)="RV",MATCH(ROW(Data!$DZ$2:$DZ$956),ROW(Data!$DZ$2:$DZ$956)),""),ROWS($A$1:A30)),COLUMNS($A$1:A30)),
$B$6 = "SG",
INDEX(Data!$B$2:$EO$956,
SMALL(IF(INDEX(Data!$B$2:$EO$956,,MATCH("Case Manager",Data!$1:$1,0)-1,1)="SH",MATCH(ROW(Data!$DZ$2:$DZ$956),ROW(Data!$DZ$2:$DZ$956)),""),ROWS($A$1:A30)),COLUMNS($A$1:A30))
),"")</f>
        <v>976739</v>
      </c>
      <c r="C41" s="1" t="str">
        <f>IF(
IFERROR(
INDEX(Data!$1:$1048576,MATCH('Client Lists'!$B41,Data!$B:$B,0),MATCH('Client Lists'!C$11,Data!$1:$1,0)),"")=0,"",
IFERROR(
INDEX(Data!$1:$1048576,MATCH('Client Lists'!$B41,Data!$B:$B,0),MATCH('Client Lists'!C$11,Data!$1:$1,0)),""))</f>
        <v/>
      </c>
      <c r="D41" s="1" t="str">
        <f>IF(
IFERROR(
INDEX(Data!$1:$1048576,MATCH('Client Lists'!$B41,Data!$B:$B,0),MATCH('Client Lists'!D$11,Data!$1:$1,0)),"")=0,"",
IFERROR(
INDEX(Data!$1:$1048576,MATCH('Client Lists'!$B41,Data!$B:$B,0),MATCH('Client Lists'!D$11,Data!$1:$1,0)),""))</f>
        <v>OOO</v>
      </c>
      <c r="E41" s="1" t="str">
        <f>IF(
IFERROR(
INDEX(Data!$1:$1048576,MATCH('Client Lists'!$B41,Data!$B:$B,0),MATCH('Client Lists'!E$11,Data!$1:$1,0)),"")=0,"",
IFERROR(
INDEX(Data!$1:$1048576,MATCH('Client Lists'!$B41,Data!$B:$B,0),MATCH('Client Lists'!E$11,Data!$1:$1,0)),""))</f>
        <v xml:space="preserve"> CDBG; SNAP</v>
      </c>
      <c r="F41" s="1" t="str">
        <f>IF(
IFERROR(
INDEX(Data!$1:$1048576,MATCH('Client Lists'!$B41,Data!$B:$B,0),MATCH('Client Lists'!F$11,Data!$1:$1,0)),"")=0,"",
IFERROR(
INDEX(Data!$1:$1048576,MATCH('Client Lists'!$B41,Data!$B:$B,0),MATCH('Client Lists'!F$11,Data!$1:$1,0)),""))</f>
        <v/>
      </c>
      <c r="G41" s="1" t="str">
        <f>IF(
IFERROR(
INDEX(Data!$1:$1048576,MATCH('Client Lists'!$B41,Data!$B:$B,0),MATCH('Client Lists'!G$11,Data!$1:$1,0)),"")=0,"",
IFERROR(
INDEX(Data!$1:$1048576,MATCH('Client Lists'!$B41,Data!$B:$B,0),MATCH('Client Lists'!G$11,Data!$1:$1,0)),""))</f>
        <v>Yes</v>
      </c>
      <c r="H41" s="1" t="str">
        <f>IF(
IFERROR(
INDEX(Data!$1:$1048576,MATCH('Client Lists'!$B41,Data!$B:$B,0),MATCH('Client Lists'!H$11,Data!$1:$1,0)),"")=0,"",
IFERROR(
INDEX(Data!$1:$1048576,MATCH('Client Lists'!$B41,Data!$B:$B,0),MATCH('Client Lists'!H$11,Data!$1:$1,0)),""))</f>
        <v>Yes</v>
      </c>
      <c r="I41" s="1" t="str">
        <f>IF(
IFERROR(
INDEX(Data!$1:$1048576,MATCH('Client Lists'!$B41,Data!$B:$B,0),MATCH('Client Lists'!I$11,Data!$1:$1,0)),"")=0,"",
IFERROR(
INDEX(Data!$1:$1048576,MATCH('Client Lists'!$B41,Data!$B:$B,0),MATCH('Client Lists'!I$11,Data!$1:$1,0)),""))</f>
        <v/>
      </c>
      <c r="J41" s="1" t="str">
        <f>IF(
IFERROR(
INDEX(Data!$1:$1048576,MATCH('Client Lists'!$B41,Data!$B:$B,0),MATCH('Client Lists'!J$11,Data!$1:$1,0)),"")=0,"",
IFERROR(
INDEX(Data!$1:$1048576,MATCH('Client Lists'!$B41,Data!$B:$B,0),MATCH('Client Lists'!J$11,Data!$1:$1,0)),""))</f>
        <v>03/25/2022</v>
      </c>
      <c r="K41" s="1" t="str">
        <f>IF(
IFERROR(
INDEX(Data!$1:$1048576,MATCH('Client Lists'!$B41,Data!$B:$B,0),MATCH('Client Lists'!K$11,Data!$1:$1,0)),"")=0,"",
IFERROR(
INDEX(Data!$1:$1048576,MATCH('Client Lists'!$B41,Data!$B:$B,0),MATCH('Client Lists'!K$11,Data!$1:$1,0)),""))</f>
        <v>Job Not Retained</v>
      </c>
    </row>
    <row r="42" spans="2:11" x14ac:dyDescent="0.45">
      <c r="B42" s="5">
        <f t="array" ref="B42">IFERROR(_xlfn.IFS(
$B$6 = "Retention Overdue",
INDEX(Data!$B$2:$EO$956,
SMALL(IF(INDEX(Data!$B$2:$EO$956,,MATCH("Call Due",Data!$1:$1,0)-1,1)="Yes",MATCH(ROW(Data!$CN$2:$CN$956),ROW(Data!$CN$2:$CN$956)),""),ROWS($A$1:A31)),COLUMNS($A$1:A31)),
$B$6 = "OWIF-W",
INDEX(Data!$B$2:$EO$956,
SMALL(IF(INDEX(Data!$B$2:$EO$956,,MATCH("Grant Fund",Data!$1:$1,0)-1,1)="OWIF-W",MATCH(ROW(Data!$AO$2:$AO$956),ROW(Data!$AO$2:$AO$956)),""),ROWS($A$1:A31)),COLUMNS($A$1:A31)),
$B$6 = "G2C",
INDEX(Data!$B$2:$EO$956,
SMALL(IF(INDEX(Data!$B$2:$EO$956,,MATCH("Grant Fund",Data!$1:$1,0)-1,1)="Grads2Careers",MATCH(ROW(Data!$AO$2:$AO$956),ROW(Data!$AO$2:$AO$956)),""),ROWS($A$1:A31)),COLUMNS($A$1:A31)),
$B$6 = "OWIF",
INDEX(Data!$B$2:$EO$956,
SMALL(IF(INDEX(Data!$B$2:$EO$956,,MATCH("Grant Fund",Data!$1:$1,0)-1,1)="OWIF",MATCH(ROW(Data!$AO$2:$AO$956),ROW(Data!$AO$2:$AO$956)),""),ROWS($A$1:A31)),COLUMNS($A$1:A31)),
$B$6 = "WIOA",
INDEX(Data!$B$2:$EO$956,
SMALL(IF(INDEX(Data!$B$2:$EO$956,,MATCH("Grant Fund",Data!$1:$1,0)-1,1)="WIOA",MATCH(ROW(Data!$AO$2:$AO$956),ROW(Data!$AO$2:$AO$956)),""),ROWS($A$1:A31)),COLUMNS($A$1:A31)),
$B$6 = "WIOA II",
INDEX(Data!$B$2:$EO$956,
SMALL(IF(INDEX(Data!$B$2:$EO$956,,MATCH("Grant Fund",Data!$1:$1,0)-1,1)="WIOA II",MATCH(ROW(Data!$AO$2:$AO$956),ROW(Data!$AO$2:$AO$956)),""),ROWS($A$1:A31)),COLUMNS($A$1:A31)),
$B$6 = "WIOA III",
INDEX(Data!$B$2:$EO$956,
SMALL(IF(INDEX(Data!$B$2:$EO$956,,MATCH("Grant Fund",Data!$1:$1,0)-1,1)="WIOA III",MATCH(ROW(Data!$AO$2:$AO$956),ROW(Data!$AO$2:$AO$956)),""),ROWS($A$1:A31)),COLUMNS($A$1:A31)),
$B$6 = "Currently Employed",
INDEX(Data!$B$2:$EO$956,
SMALL(IF(INDEX(Data!$B$2:$EO$956,,MATCH("Currently Employed",Data!$1:$1,0)-1,1)="Yes",MATCH(ROW(Data!$DZ$2:$DZ$956),ROW(Data!$DZ$2:$DZ$956)),""),ROWS($A$1:A31)),COLUMNS($A$1:A31)),
$B$6 = "Inactive",
INDEX(Data!$B$2:$EO$956,
SMALL(IF(INDEX(Data!$B$2:$EO$956,,MATCH("Inactive",Data!$1:$1,0)-1,1)="Yes",MATCH(ROW(Data!$DG$2:$DG$956),ROW(Data!$DG$2:$DG$956)),""),ROWS($A$1:A31)),COLUMNS($A$1:A31)),
$B$6 = "Active",
INDEX(Data!$B$2:$EO$956,
SMALL(IF(INDEX(Data!$B$2:$EO$956,,MATCH("Active",Data!$1:$1,0)-1,1)="Yes",MATCH(ROW(Data!$DZ$2:$DZ$956),ROW(Data!$DZ$2:$DZ$956)),""),ROWS($A$1:A31)),COLUMNS($A$1:A31)),
$B$6 = "Status Unknown",
INDEX(Data!$B$2:$EO$956,
SMALL(IF(INDEX(Data!$B$2:$EO$956,,MATCH("Status Unknown",Data!$1:$1,0)-1,1)="Yes",MATCH(ROW(Data!$EB$2:$EB$956),ROW(Data!$EB$2:$EB$956)),""),ROWS($A$1:A31)),COLUMNS($A$1:A31)),
$B$6 = "Enrollment Pending",
INDEX(Data!$B$2:$EO$956,
SMALL(IF(INDEX(Data!$B$2:$EO$956,,MATCH("Enrollment Pending",Data!$1:$1,0)-1,1)="Yes",MATCH(ROW(Data!$DY$2:$DY$956),ROW(Data!$DY$2:$DY$956)),""),ROWS($A$1:A31)),COLUMNS($A$1:A31)),
$B$6 = "Gained Certification",
INDEX(Data!$B$2:$EO$956,
SMALL(IF(INDEX(Data!$B$2:$EO$956,,MATCH("Gained Certification",Data!$1:$1,0)-1,1)="Yes",MATCH(ROW(Data!$DU$2:$DU$956),ROW(Data!$DU$2:$DU$956)),""),ROWS($A$1:A31)),COLUMNS($A$1:A31)),
$B$6 = "No Certification",
INDEX(Data!$B$2:$EO$956,
SMALL(IF(INDEX(Data!$B$2:$EO$956,,MATCH("Gained Certification",Data!$1:$1,0)-1,1)&lt;&gt;"Yes",MATCH(ROW(Data!$DU$2:$DU$956),ROW(Data!$DU$2:$DU$956)),""),ROWS($A$1:A31)),COLUMNS($A$1:A31)),
$B$6 = "Completers Without Employment",
INDEX(Data!$B$2:$EO$967,
SMALL(IF(INDEX(Data!$B$2:$EO$967,,MATCH("Completed Without Employment",Data!$1:$1,0)-1,1)="Yes",MATCH(ROW(Data!$DZ$2:$DZ$967),ROW(Data!$DZ$2:$DZ$967)),""),ROWS($A$1:A31)),COLUMNS($A$1:A31)),
$B$6 = "CH",
INDEX(Data!$B$2:$EO$956,
SMALL(IF(INDEX(Data!$B$2:$EO$956,,MATCH("Case Manager",Data!$1:$1,0)-1,1)="CH",MATCH(ROW(Data!$DZ$2:$DZ$956),ROW(Data!$DZ$2:$DZ$956)),""),ROWS($A$1:A31)),COLUMNS($A$1:A31)),
$B$6 = "ML",
INDEX(Data!$B$2:$EO$956,
SMALL(IF(INDEX(Data!$B$2:$EO$956,,MATCH("Case Manager",Data!$1:$1,0)-1,1)="ML",MATCH(ROW(Data!$DZ$2:$DZ$956),ROW(Data!$DZ$2:$DZ$956)),""),ROWS($A$1:A31)),COLUMNS($A$1:A31)),
$B$6 = "RB",
INDEX(Data!$B$2:$EO$956,
SMALL(IF(INDEX(Data!$B$2:$EO$956,,MATCH("Case Manager",Data!$1:$1,0)-1,1)="RB",MATCH(ROW(Data!$DZ$2:$DZ$956),ROW(Data!$DZ$2:$DZ$956)),""),ROWS($A$1:A31)),COLUMNS($A$1:A31)),
$B$6 = "RV",
INDEX(Data!$B$2:$EO$956,
SMALL(IF(INDEX(Data!$B$2:$EO$956,,MATCH("Case Manager",Data!$1:$1,0)-1,1)="RV",MATCH(ROW(Data!$DZ$2:$DZ$956),ROW(Data!$DZ$2:$DZ$956)),""),ROWS($A$1:A31)),COLUMNS($A$1:A31)),
$B$6 = "SG",
INDEX(Data!$B$2:$EO$956,
SMALL(IF(INDEX(Data!$B$2:$EO$956,,MATCH("Case Manager",Data!$1:$1,0)-1,1)="SH",MATCH(ROW(Data!$DZ$2:$DZ$956),ROW(Data!$DZ$2:$DZ$956)),""),ROWS($A$1:A31)),COLUMNS($A$1:A31))
),"")</f>
        <v>977300</v>
      </c>
      <c r="C42" s="1" t="str">
        <f>IF(
IFERROR(
INDEX(Data!$1:$1048576,MATCH('Client Lists'!$B42,Data!$B:$B,0),MATCH('Client Lists'!C$11,Data!$1:$1,0)),"")=0,"",
IFERROR(
INDEX(Data!$1:$1048576,MATCH('Client Lists'!$B42,Data!$B:$B,0),MATCH('Client Lists'!C$11,Data!$1:$1,0)),""))</f>
        <v/>
      </c>
      <c r="D42" s="1" t="str">
        <f>IF(
IFERROR(
INDEX(Data!$1:$1048576,MATCH('Client Lists'!$B42,Data!$B:$B,0),MATCH('Client Lists'!D$11,Data!$1:$1,0)),"")=0,"",
IFERROR(
INDEX(Data!$1:$1048576,MATCH('Client Lists'!$B42,Data!$B:$B,0),MATCH('Client Lists'!D$11,Data!$1:$1,0)),""))</f>
        <v>MTDL</v>
      </c>
      <c r="E42" s="1" t="str">
        <f>IF(
IFERROR(
INDEX(Data!$1:$1048576,MATCH('Client Lists'!$B42,Data!$B:$B,0),MATCH('Client Lists'!E$11,Data!$1:$1,0)),"")=0,"",
IFERROR(
INDEX(Data!$1:$1048576,MATCH('Client Lists'!$B42,Data!$B:$B,0),MATCH('Client Lists'!E$11,Data!$1:$1,0)),""))</f>
        <v xml:space="preserve"> EARN</v>
      </c>
      <c r="F42" s="1">
        <f>IF(
IFERROR(
INDEX(Data!$1:$1048576,MATCH('Client Lists'!$B42,Data!$B:$B,0),MATCH('Client Lists'!F$11,Data!$1:$1,0)),"")=0,"",
IFERROR(
INDEX(Data!$1:$1048576,MATCH('Client Lists'!$B42,Data!$B:$B,0),MATCH('Client Lists'!F$11,Data!$1:$1,0)),""))</f>
        <v>44802</v>
      </c>
      <c r="G42" s="1" t="str">
        <f>IF(
IFERROR(
INDEX(Data!$1:$1048576,MATCH('Client Lists'!$B42,Data!$B:$B,0),MATCH('Client Lists'!G$11,Data!$1:$1,0)),"")=0,"",
IFERROR(
INDEX(Data!$1:$1048576,MATCH('Client Lists'!$B42,Data!$B:$B,0),MATCH('Client Lists'!G$11,Data!$1:$1,0)),""))</f>
        <v>Yes</v>
      </c>
      <c r="H42" s="1" t="str">
        <f>IF(
IFERROR(
INDEX(Data!$1:$1048576,MATCH('Client Lists'!$B42,Data!$B:$B,0),MATCH('Client Lists'!H$11,Data!$1:$1,0)),"")=0,"",
IFERROR(
INDEX(Data!$1:$1048576,MATCH('Client Lists'!$B42,Data!$B:$B,0),MATCH('Client Lists'!H$11,Data!$1:$1,0)),""))</f>
        <v>No</v>
      </c>
      <c r="I42" s="1" t="str">
        <f>IF(
IFERROR(
INDEX(Data!$1:$1048576,MATCH('Client Lists'!$B42,Data!$B:$B,0),MATCH('Client Lists'!I$11,Data!$1:$1,0)),"")=0,"",
IFERROR(
INDEX(Data!$1:$1048576,MATCH('Client Lists'!$B42,Data!$B:$B,0),MATCH('Client Lists'!I$11,Data!$1:$1,0)),""))</f>
        <v>Yes</v>
      </c>
      <c r="J42" s="1" t="str">
        <f>IF(
IFERROR(
INDEX(Data!$1:$1048576,MATCH('Client Lists'!$B42,Data!$B:$B,0),MATCH('Client Lists'!J$11,Data!$1:$1,0)),"")=0,"",
IFERROR(
INDEX(Data!$1:$1048576,MATCH('Client Lists'!$B42,Data!$B:$B,0),MATCH('Client Lists'!J$11,Data!$1:$1,0)),""))</f>
        <v/>
      </c>
      <c r="K42" s="1" t="str">
        <f>IF(
IFERROR(
INDEX(Data!$1:$1048576,MATCH('Client Lists'!$B42,Data!$B:$B,0),MATCH('Client Lists'!K$11,Data!$1:$1,0)),"")=0,"",
IFERROR(
INDEX(Data!$1:$1048576,MATCH('Client Lists'!$B42,Data!$B:$B,0),MATCH('Client Lists'!K$11,Data!$1:$1,0)),""))</f>
        <v/>
      </c>
    </row>
    <row r="43" spans="2:11" x14ac:dyDescent="0.45">
      <c r="B43" s="5">
        <f t="array" ref="B43">IFERROR(_xlfn.IFS(
$B$6 = "Retention Overdue",
INDEX(Data!$B$2:$EO$956,
SMALL(IF(INDEX(Data!$B$2:$EO$956,,MATCH("Call Due",Data!$1:$1,0)-1,1)="Yes",MATCH(ROW(Data!$CN$2:$CN$956),ROW(Data!$CN$2:$CN$956)),""),ROWS($A$1:A32)),COLUMNS($A$1:A32)),
$B$6 = "OWIF-W",
INDEX(Data!$B$2:$EO$956,
SMALL(IF(INDEX(Data!$B$2:$EO$956,,MATCH("Grant Fund",Data!$1:$1,0)-1,1)="OWIF-W",MATCH(ROW(Data!$AO$2:$AO$956),ROW(Data!$AO$2:$AO$956)),""),ROWS($A$1:A32)),COLUMNS($A$1:A32)),
$B$6 = "G2C",
INDEX(Data!$B$2:$EO$956,
SMALL(IF(INDEX(Data!$B$2:$EO$956,,MATCH("Grant Fund",Data!$1:$1,0)-1,1)="Grads2Careers",MATCH(ROW(Data!$AO$2:$AO$956),ROW(Data!$AO$2:$AO$956)),""),ROWS($A$1:A32)),COLUMNS($A$1:A32)),
$B$6 = "OWIF",
INDEX(Data!$B$2:$EO$956,
SMALL(IF(INDEX(Data!$B$2:$EO$956,,MATCH("Grant Fund",Data!$1:$1,0)-1,1)="OWIF",MATCH(ROW(Data!$AO$2:$AO$956),ROW(Data!$AO$2:$AO$956)),""),ROWS($A$1:A32)),COLUMNS($A$1:A32)),
$B$6 = "WIOA",
INDEX(Data!$B$2:$EO$956,
SMALL(IF(INDEX(Data!$B$2:$EO$956,,MATCH("Grant Fund",Data!$1:$1,0)-1,1)="WIOA",MATCH(ROW(Data!$AO$2:$AO$956),ROW(Data!$AO$2:$AO$956)),""),ROWS($A$1:A32)),COLUMNS($A$1:A32)),
$B$6 = "WIOA II",
INDEX(Data!$B$2:$EO$956,
SMALL(IF(INDEX(Data!$B$2:$EO$956,,MATCH("Grant Fund",Data!$1:$1,0)-1,1)="WIOA II",MATCH(ROW(Data!$AO$2:$AO$956),ROW(Data!$AO$2:$AO$956)),""),ROWS($A$1:A32)),COLUMNS($A$1:A32)),
$B$6 = "WIOA III",
INDEX(Data!$B$2:$EO$956,
SMALL(IF(INDEX(Data!$B$2:$EO$956,,MATCH("Grant Fund",Data!$1:$1,0)-1,1)="WIOA III",MATCH(ROW(Data!$AO$2:$AO$956),ROW(Data!$AO$2:$AO$956)),""),ROWS($A$1:A32)),COLUMNS($A$1:A32)),
$B$6 = "Currently Employed",
INDEX(Data!$B$2:$EO$956,
SMALL(IF(INDEX(Data!$B$2:$EO$956,,MATCH("Currently Employed",Data!$1:$1,0)-1,1)="Yes",MATCH(ROW(Data!$DZ$2:$DZ$956),ROW(Data!$DZ$2:$DZ$956)),""),ROWS($A$1:A32)),COLUMNS($A$1:A32)),
$B$6 = "Inactive",
INDEX(Data!$B$2:$EO$956,
SMALL(IF(INDEX(Data!$B$2:$EO$956,,MATCH("Inactive",Data!$1:$1,0)-1,1)="Yes",MATCH(ROW(Data!$DG$2:$DG$956),ROW(Data!$DG$2:$DG$956)),""),ROWS($A$1:A32)),COLUMNS($A$1:A32)),
$B$6 = "Active",
INDEX(Data!$B$2:$EO$956,
SMALL(IF(INDEX(Data!$B$2:$EO$956,,MATCH("Active",Data!$1:$1,0)-1,1)="Yes",MATCH(ROW(Data!$DZ$2:$DZ$956),ROW(Data!$DZ$2:$DZ$956)),""),ROWS($A$1:A32)),COLUMNS($A$1:A32)),
$B$6 = "Status Unknown",
INDEX(Data!$B$2:$EO$956,
SMALL(IF(INDEX(Data!$B$2:$EO$956,,MATCH("Status Unknown",Data!$1:$1,0)-1,1)="Yes",MATCH(ROW(Data!$EB$2:$EB$956),ROW(Data!$EB$2:$EB$956)),""),ROWS($A$1:A32)),COLUMNS($A$1:A32)),
$B$6 = "Enrollment Pending",
INDEX(Data!$B$2:$EO$956,
SMALL(IF(INDEX(Data!$B$2:$EO$956,,MATCH("Enrollment Pending",Data!$1:$1,0)-1,1)="Yes",MATCH(ROW(Data!$DY$2:$DY$956),ROW(Data!$DY$2:$DY$956)),""),ROWS($A$1:A32)),COLUMNS($A$1:A32)),
$B$6 = "Gained Certification",
INDEX(Data!$B$2:$EO$956,
SMALL(IF(INDEX(Data!$B$2:$EO$956,,MATCH("Gained Certification",Data!$1:$1,0)-1,1)="Yes",MATCH(ROW(Data!$DU$2:$DU$956),ROW(Data!$DU$2:$DU$956)),""),ROWS($A$1:A32)),COLUMNS($A$1:A32)),
$B$6 = "No Certification",
INDEX(Data!$B$2:$EO$956,
SMALL(IF(INDEX(Data!$B$2:$EO$956,,MATCH("Gained Certification",Data!$1:$1,0)-1,1)&lt;&gt;"Yes",MATCH(ROW(Data!$DU$2:$DU$956),ROW(Data!$DU$2:$DU$956)),""),ROWS($A$1:A32)),COLUMNS($A$1:A32)),
$B$6 = "Completers Without Employment",
INDEX(Data!$B$2:$EO$967,
SMALL(IF(INDEX(Data!$B$2:$EO$967,,MATCH("Completed Without Employment",Data!$1:$1,0)-1,1)="Yes",MATCH(ROW(Data!$DZ$2:$DZ$967),ROW(Data!$DZ$2:$DZ$967)),""),ROWS($A$1:A32)),COLUMNS($A$1:A32)),
$B$6 = "CH",
INDEX(Data!$B$2:$EO$956,
SMALL(IF(INDEX(Data!$B$2:$EO$956,,MATCH("Case Manager",Data!$1:$1,0)-1,1)="CH",MATCH(ROW(Data!$DZ$2:$DZ$956),ROW(Data!$DZ$2:$DZ$956)),""),ROWS($A$1:A32)),COLUMNS($A$1:A32)),
$B$6 = "ML",
INDEX(Data!$B$2:$EO$956,
SMALL(IF(INDEX(Data!$B$2:$EO$956,,MATCH("Case Manager",Data!$1:$1,0)-1,1)="ML",MATCH(ROW(Data!$DZ$2:$DZ$956),ROW(Data!$DZ$2:$DZ$956)),""),ROWS($A$1:A32)),COLUMNS($A$1:A32)),
$B$6 = "RB",
INDEX(Data!$B$2:$EO$956,
SMALL(IF(INDEX(Data!$B$2:$EO$956,,MATCH("Case Manager",Data!$1:$1,0)-1,1)="RB",MATCH(ROW(Data!$DZ$2:$DZ$956),ROW(Data!$DZ$2:$DZ$956)),""),ROWS($A$1:A32)),COLUMNS($A$1:A32)),
$B$6 = "RV",
INDEX(Data!$B$2:$EO$956,
SMALL(IF(INDEX(Data!$B$2:$EO$956,,MATCH("Case Manager",Data!$1:$1,0)-1,1)="RV",MATCH(ROW(Data!$DZ$2:$DZ$956),ROW(Data!$DZ$2:$DZ$956)),""),ROWS($A$1:A32)),COLUMNS($A$1:A32)),
$B$6 = "SG",
INDEX(Data!$B$2:$EO$956,
SMALL(IF(INDEX(Data!$B$2:$EO$956,,MATCH("Case Manager",Data!$1:$1,0)-1,1)="SH",MATCH(ROW(Data!$DZ$2:$DZ$956),ROW(Data!$DZ$2:$DZ$956)),""),ROWS($A$1:A32)),COLUMNS($A$1:A32))
),"")</f>
        <v>977109</v>
      </c>
      <c r="C43" s="1" t="str">
        <f>IF(
IFERROR(
INDEX(Data!$1:$1048576,MATCH('Client Lists'!$B43,Data!$B:$B,0),MATCH('Client Lists'!C$11,Data!$1:$1,0)),"")=0,"",
IFERROR(
INDEX(Data!$1:$1048576,MATCH('Client Lists'!$B43,Data!$B:$B,0),MATCH('Client Lists'!C$11,Data!$1:$1,0)),""))</f>
        <v/>
      </c>
      <c r="D43" s="1" t="str">
        <f>IF(
IFERROR(
INDEX(Data!$1:$1048576,MATCH('Client Lists'!$B43,Data!$B:$B,0),MATCH('Client Lists'!D$11,Data!$1:$1,0)),"")=0,"",
IFERROR(
INDEX(Data!$1:$1048576,MATCH('Client Lists'!$B43,Data!$B:$B,0),MATCH('Client Lists'!D$11,Data!$1:$1,0)),""))</f>
        <v>MTDL</v>
      </c>
      <c r="E43" s="1" t="str">
        <f>IF(
IFERROR(
INDEX(Data!$1:$1048576,MATCH('Client Lists'!$B43,Data!$B:$B,0),MATCH('Client Lists'!E$11,Data!$1:$1,0)),"")=0,"",
IFERROR(
INDEX(Data!$1:$1048576,MATCH('Client Lists'!$B43,Data!$B:$B,0),MATCH('Client Lists'!E$11,Data!$1:$1,0)),""))</f>
        <v>MOED Opioid; CDBG</v>
      </c>
      <c r="F43" s="1">
        <f>IF(
IFERROR(
INDEX(Data!$1:$1048576,MATCH('Client Lists'!$B43,Data!$B:$B,0),MATCH('Client Lists'!F$11,Data!$1:$1,0)),"")=0,"",
IFERROR(
INDEX(Data!$1:$1048576,MATCH('Client Lists'!$B43,Data!$B:$B,0),MATCH('Client Lists'!F$11,Data!$1:$1,0)),""))</f>
        <v>44683</v>
      </c>
      <c r="G43" s="1" t="str">
        <f>IF(
IFERROR(
INDEX(Data!$1:$1048576,MATCH('Client Lists'!$B43,Data!$B:$B,0),MATCH('Client Lists'!G$11,Data!$1:$1,0)),"")=0,"",
IFERROR(
INDEX(Data!$1:$1048576,MATCH('Client Lists'!$B43,Data!$B:$B,0),MATCH('Client Lists'!G$11,Data!$1:$1,0)),""))</f>
        <v>Yes</v>
      </c>
      <c r="H43" s="1" t="str">
        <f>IF(
IFERROR(
INDEX(Data!$1:$1048576,MATCH('Client Lists'!$B43,Data!$B:$B,0),MATCH('Client Lists'!H$11,Data!$1:$1,0)),"")=0,"",
IFERROR(
INDEX(Data!$1:$1048576,MATCH('Client Lists'!$B43,Data!$B:$B,0),MATCH('Client Lists'!H$11,Data!$1:$1,0)),""))</f>
        <v>No</v>
      </c>
      <c r="I43" s="1" t="str">
        <f>IF(
IFERROR(
INDEX(Data!$1:$1048576,MATCH('Client Lists'!$B43,Data!$B:$B,0),MATCH('Client Lists'!I$11,Data!$1:$1,0)),"")=0,"",
IFERROR(
INDEX(Data!$1:$1048576,MATCH('Client Lists'!$B43,Data!$B:$B,0),MATCH('Client Lists'!I$11,Data!$1:$1,0)),""))</f>
        <v/>
      </c>
      <c r="J43" s="1" t="str">
        <f>IF(
IFERROR(
INDEX(Data!$1:$1048576,MATCH('Client Lists'!$B43,Data!$B:$B,0),MATCH('Client Lists'!J$11,Data!$1:$1,0)),"")=0,"",
IFERROR(
INDEX(Data!$1:$1048576,MATCH('Client Lists'!$B43,Data!$B:$B,0),MATCH('Client Lists'!J$11,Data!$1:$1,0)),""))</f>
        <v/>
      </c>
      <c r="K43" s="1" t="str">
        <f>IF(
IFERROR(
INDEX(Data!$1:$1048576,MATCH('Client Lists'!$B43,Data!$B:$B,0),MATCH('Client Lists'!K$11,Data!$1:$1,0)),"")=0,"",
IFERROR(
INDEX(Data!$1:$1048576,MATCH('Client Lists'!$B43,Data!$B:$B,0),MATCH('Client Lists'!K$11,Data!$1:$1,0)),""))</f>
        <v/>
      </c>
    </row>
    <row r="44" spans="2:11" x14ac:dyDescent="0.45">
      <c r="B44" s="5">
        <f t="array" ref="B44">IFERROR(_xlfn.IFS(
$B$6 = "Retention Overdue",
INDEX(Data!$B$2:$EO$956,
SMALL(IF(INDEX(Data!$B$2:$EO$956,,MATCH("Call Due",Data!$1:$1,0)-1,1)="Yes",MATCH(ROW(Data!$CN$2:$CN$956),ROW(Data!$CN$2:$CN$956)),""),ROWS($A$1:A33)),COLUMNS($A$1:A33)),
$B$6 = "OWIF-W",
INDEX(Data!$B$2:$EO$956,
SMALL(IF(INDEX(Data!$B$2:$EO$956,,MATCH("Grant Fund",Data!$1:$1,0)-1,1)="OWIF-W",MATCH(ROW(Data!$AO$2:$AO$956),ROW(Data!$AO$2:$AO$956)),""),ROWS($A$1:A33)),COLUMNS($A$1:A33)),
$B$6 = "G2C",
INDEX(Data!$B$2:$EO$956,
SMALL(IF(INDEX(Data!$B$2:$EO$956,,MATCH("Grant Fund",Data!$1:$1,0)-1,1)="Grads2Careers",MATCH(ROW(Data!$AO$2:$AO$956),ROW(Data!$AO$2:$AO$956)),""),ROWS($A$1:A33)),COLUMNS($A$1:A33)),
$B$6 = "OWIF",
INDEX(Data!$B$2:$EO$956,
SMALL(IF(INDEX(Data!$B$2:$EO$956,,MATCH("Grant Fund",Data!$1:$1,0)-1,1)="OWIF",MATCH(ROW(Data!$AO$2:$AO$956),ROW(Data!$AO$2:$AO$956)),""),ROWS($A$1:A33)),COLUMNS($A$1:A33)),
$B$6 = "WIOA",
INDEX(Data!$B$2:$EO$956,
SMALL(IF(INDEX(Data!$B$2:$EO$956,,MATCH("Grant Fund",Data!$1:$1,0)-1,1)="WIOA",MATCH(ROW(Data!$AO$2:$AO$956),ROW(Data!$AO$2:$AO$956)),""),ROWS($A$1:A33)),COLUMNS($A$1:A33)),
$B$6 = "WIOA II",
INDEX(Data!$B$2:$EO$956,
SMALL(IF(INDEX(Data!$B$2:$EO$956,,MATCH("Grant Fund",Data!$1:$1,0)-1,1)="WIOA II",MATCH(ROW(Data!$AO$2:$AO$956),ROW(Data!$AO$2:$AO$956)),""),ROWS($A$1:A33)),COLUMNS($A$1:A33)),
$B$6 = "WIOA III",
INDEX(Data!$B$2:$EO$956,
SMALL(IF(INDEX(Data!$B$2:$EO$956,,MATCH("Grant Fund",Data!$1:$1,0)-1,1)="WIOA III",MATCH(ROW(Data!$AO$2:$AO$956),ROW(Data!$AO$2:$AO$956)),""),ROWS($A$1:A33)),COLUMNS($A$1:A33)),
$B$6 = "Currently Employed",
INDEX(Data!$B$2:$EO$956,
SMALL(IF(INDEX(Data!$B$2:$EO$956,,MATCH("Currently Employed",Data!$1:$1,0)-1,1)="Yes",MATCH(ROW(Data!$DZ$2:$DZ$956),ROW(Data!$DZ$2:$DZ$956)),""),ROWS($A$1:A33)),COLUMNS($A$1:A33)),
$B$6 = "Inactive",
INDEX(Data!$B$2:$EO$956,
SMALL(IF(INDEX(Data!$B$2:$EO$956,,MATCH("Inactive",Data!$1:$1,0)-1,1)="Yes",MATCH(ROW(Data!$DG$2:$DG$956),ROW(Data!$DG$2:$DG$956)),""),ROWS($A$1:A33)),COLUMNS($A$1:A33)),
$B$6 = "Active",
INDEX(Data!$B$2:$EO$956,
SMALL(IF(INDEX(Data!$B$2:$EO$956,,MATCH("Active",Data!$1:$1,0)-1,1)="Yes",MATCH(ROW(Data!$DZ$2:$DZ$956),ROW(Data!$DZ$2:$DZ$956)),""),ROWS($A$1:A33)),COLUMNS($A$1:A33)),
$B$6 = "Status Unknown",
INDEX(Data!$B$2:$EO$956,
SMALL(IF(INDEX(Data!$B$2:$EO$956,,MATCH("Status Unknown",Data!$1:$1,0)-1,1)="Yes",MATCH(ROW(Data!$EB$2:$EB$956),ROW(Data!$EB$2:$EB$956)),""),ROWS($A$1:A33)),COLUMNS($A$1:A33)),
$B$6 = "Enrollment Pending",
INDEX(Data!$B$2:$EO$956,
SMALL(IF(INDEX(Data!$B$2:$EO$956,,MATCH("Enrollment Pending",Data!$1:$1,0)-1,1)="Yes",MATCH(ROW(Data!$DY$2:$DY$956),ROW(Data!$DY$2:$DY$956)),""),ROWS($A$1:A33)),COLUMNS($A$1:A33)),
$B$6 = "Gained Certification",
INDEX(Data!$B$2:$EO$956,
SMALL(IF(INDEX(Data!$B$2:$EO$956,,MATCH("Gained Certification",Data!$1:$1,0)-1,1)="Yes",MATCH(ROW(Data!$DU$2:$DU$956),ROW(Data!$DU$2:$DU$956)),""),ROWS($A$1:A33)),COLUMNS($A$1:A33)),
$B$6 = "No Certification",
INDEX(Data!$B$2:$EO$956,
SMALL(IF(INDEX(Data!$B$2:$EO$956,,MATCH("Gained Certification",Data!$1:$1,0)-1,1)&lt;&gt;"Yes",MATCH(ROW(Data!$DU$2:$DU$956),ROW(Data!$DU$2:$DU$956)),""),ROWS($A$1:A33)),COLUMNS($A$1:A33)),
$B$6 = "Completers Without Employment",
INDEX(Data!$B$2:$EO$967,
SMALL(IF(INDEX(Data!$B$2:$EO$967,,MATCH("Completed Without Employment",Data!$1:$1,0)-1,1)="Yes",MATCH(ROW(Data!$DZ$2:$DZ$967),ROW(Data!$DZ$2:$DZ$967)),""),ROWS($A$1:A33)),COLUMNS($A$1:A33)),
$B$6 = "CH",
INDEX(Data!$B$2:$EO$956,
SMALL(IF(INDEX(Data!$B$2:$EO$956,,MATCH("Case Manager",Data!$1:$1,0)-1,1)="CH",MATCH(ROW(Data!$DZ$2:$DZ$956),ROW(Data!$DZ$2:$DZ$956)),""),ROWS($A$1:A33)),COLUMNS($A$1:A33)),
$B$6 = "ML",
INDEX(Data!$B$2:$EO$956,
SMALL(IF(INDEX(Data!$B$2:$EO$956,,MATCH("Case Manager",Data!$1:$1,0)-1,1)="ML",MATCH(ROW(Data!$DZ$2:$DZ$956),ROW(Data!$DZ$2:$DZ$956)),""),ROWS($A$1:A33)),COLUMNS($A$1:A33)),
$B$6 = "RB",
INDEX(Data!$B$2:$EO$956,
SMALL(IF(INDEX(Data!$B$2:$EO$956,,MATCH("Case Manager",Data!$1:$1,0)-1,1)="RB",MATCH(ROW(Data!$DZ$2:$DZ$956),ROW(Data!$DZ$2:$DZ$956)),""),ROWS($A$1:A33)),COLUMNS($A$1:A33)),
$B$6 = "RV",
INDEX(Data!$B$2:$EO$956,
SMALL(IF(INDEX(Data!$B$2:$EO$956,,MATCH("Case Manager",Data!$1:$1,0)-1,1)="RV",MATCH(ROW(Data!$DZ$2:$DZ$956),ROW(Data!$DZ$2:$DZ$956)),""),ROWS($A$1:A33)),COLUMNS($A$1:A33)),
$B$6 = "SG",
INDEX(Data!$B$2:$EO$956,
SMALL(IF(INDEX(Data!$B$2:$EO$956,,MATCH("Case Manager",Data!$1:$1,0)-1,1)="SH",MATCH(ROW(Data!$DZ$2:$DZ$956),ROW(Data!$DZ$2:$DZ$956)),""),ROWS($A$1:A33)),COLUMNS($A$1:A33))
),"")</f>
        <v>976581</v>
      </c>
      <c r="C44" s="1" t="str">
        <f>IF(
IFERROR(
INDEX(Data!$1:$1048576,MATCH('Client Lists'!$B44,Data!$B:$B,0),MATCH('Client Lists'!C$11,Data!$1:$1,0)),"")=0,"",
IFERROR(
INDEX(Data!$1:$1048576,MATCH('Client Lists'!$B44,Data!$B:$B,0),MATCH('Client Lists'!C$11,Data!$1:$1,0)),""))</f>
        <v/>
      </c>
      <c r="D44" s="1" t="str">
        <f>IF(
IFERROR(
INDEX(Data!$1:$1048576,MATCH('Client Lists'!$B44,Data!$B:$B,0),MATCH('Client Lists'!D$11,Data!$1:$1,0)),"")=0,"",
IFERROR(
INDEX(Data!$1:$1048576,MATCH('Client Lists'!$B44,Data!$B:$B,0),MATCH('Client Lists'!D$11,Data!$1:$1,0)),""))</f>
        <v>CF</v>
      </c>
      <c r="E44" s="1" t="str">
        <f>IF(
IFERROR(
INDEX(Data!$1:$1048576,MATCH('Client Lists'!$B44,Data!$B:$B,0),MATCH('Client Lists'!E$11,Data!$1:$1,0)),"")=0,"",
IFERROR(
INDEX(Data!$1:$1048576,MATCH('Client Lists'!$B44,Data!$B:$B,0),MATCH('Client Lists'!E$11,Data!$1:$1,0)),""))</f>
        <v>OWIF-W; CDBG</v>
      </c>
      <c r="F44" s="1">
        <f>IF(
IFERROR(
INDEX(Data!$1:$1048576,MATCH('Client Lists'!$B44,Data!$B:$B,0),MATCH('Client Lists'!F$11,Data!$1:$1,0)),"")=0,"",
IFERROR(
INDEX(Data!$1:$1048576,MATCH('Client Lists'!$B44,Data!$B:$B,0),MATCH('Client Lists'!F$11,Data!$1:$1,0)),""))</f>
        <v>44305</v>
      </c>
      <c r="G44" s="1" t="str">
        <f>IF(
IFERROR(
INDEX(Data!$1:$1048576,MATCH('Client Lists'!$B44,Data!$B:$B,0),MATCH('Client Lists'!G$11,Data!$1:$1,0)),"")=0,"",
IFERROR(
INDEX(Data!$1:$1048576,MATCH('Client Lists'!$B44,Data!$B:$B,0),MATCH('Client Lists'!G$11,Data!$1:$1,0)),""))</f>
        <v>Yes</v>
      </c>
      <c r="H44" s="1" t="str">
        <f>IF(
IFERROR(
INDEX(Data!$1:$1048576,MATCH('Client Lists'!$B44,Data!$B:$B,0),MATCH('Client Lists'!H$11,Data!$1:$1,0)),"")=0,"",
IFERROR(
INDEX(Data!$1:$1048576,MATCH('Client Lists'!$B44,Data!$B:$B,0),MATCH('Client Lists'!H$11,Data!$1:$1,0)),""))</f>
        <v>No</v>
      </c>
      <c r="I44" s="1" t="str">
        <f>IF(
IFERROR(
INDEX(Data!$1:$1048576,MATCH('Client Lists'!$B44,Data!$B:$B,0),MATCH('Client Lists'!I$11,Data!$1:$1,0)),"")=0,"",
IFERROR(
INDEX(Data!$1:$1048576,MATCH('Client Lists'!$B44,Data!$B:$B,0),MATCH('Client Lists'!I$11,Data!$1:$1,0)),""))</f>
        <v>Yes</v>
      </c>
      <c r="J44" s="1" t="str">
        <f>IF(
IFERROR(
INDEX(Data!$1:$1048576,MATCH('Client Lists'!$B44,Data!$B:$B,0),MATCH('Client Lists'!J$11,Data!$1:$1,0)),"")=0,"",
IFERROR(
INDEX(Data!$1:$1048576,MATCH('Client Lists'!$B44,Data!$B:$B,0),MATCH('Client Lists'!J$11,Data!$1:$1,0)),""))</f>
        <v/>
      </c>
      <c r="K44" s="1" t="str">
        <f>IF(
IFERROR(
INDEX(Data!$1:$1048576,MATCH('Client Lists'!$B44,Data!$B:$B,0),MATCH('Client Lists'!K$11,Data!$1:$1,0)),"")=0,"",
IFERROR(
INDEX(Data!$1:$1048576,MATCH('Client Lists'!$B44,Data!$B:$B,0),MATCH('Client Lists'!K$11,Data!$1:$1,0)),""))</f>
        <v/>
      </c>
    </row>
    <row r="45" spans="2:11" x14ac:dyDescent="0.45">
      <c r="B45" s="5">
        <f t="array" ref="B45">IFERROR(_xlfn.IFS(
$B$6 = "Retention Overdue",
INDEX(Data!$B$2:$EO$956,
SMALL(IF(INDEX(Data!$B$2:$EO$956,,MATCH("Call Due",Data!$1:$1,0)-1,1)="Yes",MATCH(ROW(Data!$CN$2:$CN$956),ROW(Data!$CN$2:$CN$956)),""),ROWS($A$1:A34)),COLUMNS($A$1:A34)),
$B$6 = "OWIF-W",
INDEX(Data!$B$2:$EO$956,
SMALL(IF(INDEX(Data!$B$2:$EO$956,,MATCH("Grant Fund",Data!$1:$1,0)-1,1)="OWIF-W",MATCH(ROW(Data!$AO$2:$AO$956),ROW(Data!$AO$2:$AO$956)),""),ROWS($A$1:A34)),COLUMNS($A$1:A34)),
$B$6 = "G2C",
INDEX(Data!$B$2:$EO$956,
SMALL(IF(INDEX(Data!$B$2:$EO$956,,MATCH("Grant Fund",Data!$1:$1,0)-1,1)="Grads2Careers",MATCH(ROW(Data!$AO$2:$AO$956),ROW(Data!$AO$2:$AO$956)),""),ROWS($A$1:A34)),COLUMNS($A$1:A34)),
$B$6 = "OWIF",
INDEX(Data!$B$2:$EO$956,
SMALL(IF(INDEX(Data!$B$2:$EO$956,,MATCH("Grant Fund",Data!$1:$1,0)-1,1)="OWIF",MATCH(ROW(Data!$AO$2:$AO$956),ROW(Data!$AO$2:$AO$956)),""),ROWS($A$1:A34)),COLUMNS($A$1:A34)),
$B$6 = "WIOA",
INDEX(Data!$B$2:$EO$956,
SMALL(IF(INDEX(Data!$B$2:$EO$956,,MATCH("Grant Fund",Data!$1:$1,0)-1,1)="WIOA",MATCH(ROW(Data!$AO$2:$AO$956),ROW(Data!$AO$2:$AO$956)),""),ROWS($A$1:A34)),COLUMNS($A$1:A34)),
$B$6 = "WIOA II",
INDEX(Data!$B$2:$EO$956,
SMALL(IF(INDEX(Data!$B$2:$EO$956,,MATCH("Grant Fund",Data!$1:$1,0)-1,1)="WIOA II",MATCH(ROW(Data!$AO$2:$AO$956),ROW(Data!$AO$2:$AO$956)),""),ROWS($A$1:A34)),COLUMNS($A$1:A34)),
$B$6 = "WIOA III",
INDEX(Data!$B$2:$EO$956,
SMALL(IF(INDEX(Data!$B$2:$EO$956,,MATCH("Grant Fund",Data!$1:$1,0)-1,1)="WIOA III",MATCH(ROW(Data!$AO$2:$AO$956),ROW(Data!$AO$2:$AO$956)),""),ROWS($A$1:A34)),COLUMNS($A$1:A34)),
$B$6 = "Currently Employed",
INDEX(Data!$B$2:$EO$956,
SMALL(IF(INDEX(Data!$B$2:$EO$956,,MATCH("Currently Employed",Data!$1:$1,0)-1,1)="Yes",MATCH(ROW(Data!$DZ$2:$DZ$956),ROW(Data!$DZ$2:$DZ$956)),""),ROWS($A$1:A34)),COLUMNS($A$1:A34)),
$B$6 = "Inactive",
INDEX(Data!$B$2:$EO$956,
SMALL(IF(INDEX(Data!$B$2:$EO$956,,MATCH("Inactive",Data!$1:$1,0)-1,1)="Yes",MATCH(ROW(Data!$DG$2:$DG$956),ROW(Data!$DG$2:$DG$956)),""),ROWS($A$1:A34)),COLUMNS($A$1:A34)),
$B$6 = "Active",
INDEX(Data!$B$2:$EO$956,
SMALL(IF(INDEX(Data!$B$2:$EO$956,,MATCH("Active",Data!$1:$1,0)-1,1)="Yes",MATCH(ROW(Data!$DZ$2:$DZ$956),ROW(Data!$DZ$2:$DZ$956)),""),ROWS($A$1:A34)),COLUMNS($A$1:A34)),
$B$6 = "Status Unknown",
INDEX(Data!$B$2:$EO$956,
SMALL(IF(INDEX(Data!$B$2:$EO$956,,MATCH("Status Unknown",Data!$1:$1,0)-1,1)="Yes",MATCH(ROW(Data!$EB$2:$EB$956),ROW(Data!$EB$2:$EB$956)),""),ROWS($A$1:A34)),COLUMNS($A$1:A34)),
$B$6 = "Enrollment Pending",
INDEX(Data!$B$2:$EO$956,
SMALL(IF(INDEX(Data!$B$2:$EO$956,,MATCH("Enrollment Pending",Data!$1:$1,0)-1,1)="Yes",MATCH(ROW(Data!$DY$2:$DY$956),ROW(Data!$DY$2:$DY$956)),""),ROWS($A$1:A34)),COLUMNS($A$1:A34)),
$B$6 = "Gained Certification",
INDEX(Data!$B$2:$EO$956,
SMALL(IF(INDEX(Data!$B$2:$EO$956,,MATCH("Gained Certification",Data!$1:$1,0)-1,1)="Yes",MATCH(ROW(Data!$DU$2:$DU$956),ROW(Data!$DU$2:$DU$956)),""),ROWS($A$1:A34)),COLUMNS($A$1:A34)),
$B$6 = "No Certification",
INDEX(Data!$B$2:$EO$956,
SMALL(IF(INDEX(Data!$B$2:$EO$956,,MATCH("Gained Certification",Data!$1:$1,0)-1,1)&lt;&gt;"Yes",MATCH(ROW(Data!$DU$2:$DU$956),ROW(Data!$DU$2:$DU$956)),""),ROWS($A$1:A34)),COLUMNS($A$1:A34)),
$B$6 = "Completers Without Employment",
INDEX(Data!$B$2:$EO$967,
SMALL(IF(INDEX(Data!$B$2:$EO$967,,MATCH("Completed Without Employment",Data!$1:$1,0)-1,1)="Yes",MATCH(ROW(Data!$DZ$2:$DZ$967),ROW(Data!$DZ$2:$DZ$967)),""),ROWS($A$1:A34)),COLUMNS($A$1:A34)),
$B$6 = "CH",
INDEX(Data!$B$2:$EO$956,
SMALL(IF(INDEX(Data!$B$2:$EO$956,,MATCH("Case Manager",Data!$1:$1,0)-1,1)="CH",MATCH(ROW(Data!$DZ$2:$DZ$956),ROW(Data!$DZ$2:$DZ$956)),""),ROWS($A$1:A34)),COLUMNS($A$1:A34)),
$B$6 = "ML",
INDEX(Data!$B$2:$EO$956,
SMALL(IF(INDEX(Data!$B$2:$EO$956,,MATCH("Case Manager",Data!$1:$1,0)-1,1)="ML",MATCH(ROW(Data!$DZ$2:$DZ$956),ROW(Data!$DZ$2:$DZ$956)),""),ROWS($A$1:A34)),COLUMNS($A$1:A34)),
$B$6 = "RB",
INDEX(Data!$B$2:$EO$956,
SMALL(IF(INDEX(Data!$B$2:$EO$956,,MATCH("Case Manager",Data!$1:$1,0)-1,1)="RB",MATCH(ROW(Data!$DZ$2:$DZ$956),ROW(Data!$DZ$2:$DZ$956)),""),ROWS($A$1:A34)),COLUMNS($A$1:A34)),
$B$6 = "RV",
INDEX(Data!$B$2:$EO$956,
SMALL(IF(INDEX(Data!$B$2:$EO$956,,MATCH("Case Manager",Data!$1:$1,0)-1,1)="RV",MATCH(ROW(Data!$DZ$2:$DZ$956),ROW(Data!$DZ$2:$DZ$956)),""),ROWS($A$1:A34)),COLUMNS($A$1:A34)),
$B$6 = "SG",
INDEX(Data!$B$2:$EO$956,
SMALL(IF(INDEX(Data!$B$2:$EO$956,,MATCH("Case Manager",Data!$1:$1,0)-1,1)="SH",MATCH(ROW(Data!$DZ$2:$DZ$956),ROW(Data!$DZ$2:$DZ$956)),""),ROWS($A$1:A34)),COLUMNS($A$1:A34))
),"")</f>
        <v>976799</v>
      </c>
      <c r="C45" s="1" t="str">
        <f>IF(
IFERROR(
INDEX(Data!$1:$1048576,MATCH('Client Lists'!$B45,Data!$B:$B,0),MATCH('Client Lists'!C$11,Data!$1:$1,0)),"")=0,"",
IFERROR(
INDEX(Data!$1:$1048576,MATCH('Client Lists'!$B45,Data!$B:$B,0),MATCH('Client Lists'!C$11,Data!$1:$1,0)),""))</f>
        <v/>
      </c>
      <c r="D45" s="1" t="str">
        <f>IF(
IFERROR(
INDEX(Data!$1:$1048576,MATCH('Client Lists'!$B45,Data!$B:$B,0),MATCH('Client Lists'!D$11,Data!$1:$1,0)),"")=0,"",
IFERROR(
INDEX(Data!$1:$1048576,MATCH('Client Lists'!$B45,Data!$B:$B,0),MATCH('Client Lists'!D$11,Data!$1:$1,0)),""))</f>
        <v>CTC</v>
      </c>
      <c r="E45" s="1" t="str">
        <f>IF(
IFERROR(
INDEX(Data!$1:$1048576,MATCH('Client Lists'!$B45,Data!$B:$B,0),MATCH('Client Lists'!E$11,Data!$1:$1,0)),"")=0,"",
IFERROR(
INDEX(Data!$1:$1048576,MATCH('Client Lists'!$B45,Data!$B:$B,0),MATCH('Client Lists'!E$11,Data!$1:$1,0)),""))</f>
        <v xml:space="preserve"> CDBG</v>
      </c>
      <c r="F45" s="1">
        <f>IF(
IFERROR(
INDEX(Data!$1:$1048576,MATCH('Client Lists'!$B45,Data!$B:$B,0),MATCH('Client Lists'!F$11,Data!$1:$1,0)),"")=0,"",
IFERROR(
INDEX(Data!$1:$1048576,MATCH('Client Lists'!$B45,Data!$B:$B,0),MATCH('Client Lists'!F$11,Data!$1:$1,0)),""))</f>
        <v>44446</v>
      </c>
      <c r="G45" s="1" t="str">
        <f>IF(
IFERROR(
INDEX(Data!$1:$1048576,MATCH('Client Lists'!$B45,Data!$B:$B,0),MATCH('Client Lists'!G$11,Data!$1:$1,0)),"")=0,"",
IFERROR(
INDEX(Data!$1:$1048576,MATCH('Client Lists'!$B45,Data!$B:$B,0),MATCH('Client Lists'!G$11,Data!$1:$1,0)),""))</f>
        <v>No</v>
      </c>
      <c r="H45" s="1" t="str">
        <f>IF(
IFERROR(
INDEX(Data!$1:$1048576,MATCH('Client Lists'!$B45,Data!$B:$B,0),MATCH('Client Lists'!H$11,Data!$1:$1,0)),"")=0,"",
IFERROR(
INDEX(Data!$1:$1048576,MATCH('Client Lists'!$B45,Data!$B:$B,0),MATCH('Client Lists'!H$11,Data!$1:$1,0)),""))</f>
        <v>No</v>
      </c>
      <c r="I45" s="1" t="str">
        <f>IF(
IFERROR(
INDEX(Data!$1:$1048576,MATCH('Client Lists'!$B45,Data!$B:$B,0),MATCH('Client Lists'!I$11,Data!$1:$1,0)),"")=0,"",
IFERROR(
INDEX(Data!$1:$1048576,MATCH('Client Lists'!$B45,Data!$B:$B,0),MATCH('Client Lists'!I$11,Data!$1:$1,0)),""))</f>
        <v/>
      </c>
      <c r="J45" s="1" t="str">
        <f>IF(
IFERROR(
INDEX(Data!$1:$1048576,MATCH('Client Lists'!$B45,Data!$B:$B,0),MATCH('Client Lists'!J$11,Data!$1:$1,0)),"")=0,"",
IFERROR(
INDEX(Data!$1:$1048576,MATCH('Client Lists'!$B45,Data!$B:$B,0),MATCH('Client Lists'!J$11,Data!$1:$1,0)),""))</f>
        <v/>
      </c>
      <c r="K45" s="1" t="str">
        <f>IF(
IFERROR(
INDEX(Data!$1:$1048576,MATCH('Client Lists'!$B45,Data!$B:$B,0),MATCH('Client Lists'!K$11,Data!$1:$1,0)),"")=0,"",
IFERROR(
INDEX(Data!$1:$1048576,MATCH('Client Lists'!$B45,Data!$B:$B,0),MATCH('Client Lists'!K$11,Data!$1:$1,0)),""))</f>
        <v/>
      </c>
    </row>
    <row r="46" spans="2:11" x14ac:dyDescent="0.45">
      <c r="B46" s="5">
        <f t="array" ref="B46">IFERROR(_xlfn.IFS(
$B$6 = "Retention Overdue",
INDEX(Data!$B$2:$EO$956,
SMALL(IF(INDEX(Data!$B$2:$EO$956,,MATCH("Call Due",Data!$1:$1,0)-1,1)="Yes",MATCH(ROW(Data!$CN$2:$CN$956),ROW(Data!$CN$2:$CN$956)),""),ROWS($A$1:A35)),COLUMNS($A$1:A35)),
$B$6 = "OWIF-W",
INDEX(Data!$B$2:$EO$956,
SMALL(IF(INDEX(Data!$B$2:$EO$956,,MATCH("Grant Fund",Data!$1:$1,0)-1,1)="OWIF-W",MATCH(ROW(Data!$AO$2:$AO$956),ROW(Data!$AO$2:$AO$956)),""),ROWS($A$1:A35)),COLUMNS($A$1:A35)),
$B$6 = "G2C",
INDEX(Data!$B$2:$EO$956,
SMALL(IF(INDEX(Data!$B$2:$EO$956,,MATCH("Grant Fund",Data!$1:$1,0)-1,1)="Grads2Careers",MATCH(ROW(Data!$AO$2:$AO$956),ROW(Data!$AO$2:$AO$956)),""),ROWS($A$1:A35)),COLUMNS($A$1:A35)),
$B$6 = "OWIF",
INDEX(Data!$B$2:$EO$956,
SMALL(IF(INDEX(Data!$B$2:$EO$956,,MATCH("Grant Fund",Data!$1:$1,0)-1,1)="OWIF",MATCH(ROW(Data!$AO$2:$AO$956),ROW(Data!$AO$2:$AO$956)),""),ROWS($A$1:A35)),COLUMNS($A$1:A35)),
$B$6 = "WIOA",
INDEX(Data!$B$2:$EO$956,
SMALL(IF(INDEX(Data!$B$2:$EO$956,,MATCH("Grant Fund",Data!$1:$1,0)-1,1)="WIOA",MATCH(ROW(Data!$AO$2:$AO$956),ROW(Data!$AO$2:$AO$956)),""),ROWS($A$1:A35)),COLUMNS($A$1:A35)),
$B$6 = "WIOA II",
INDEX(Data!$B$2:$EO$956,
SMALL(IF(INDEX(Data!$B$2:$EO$956,,MATCH("Grant Fund",Data!$1:$1,0)-1,1)="WIOA II",MATCH(ROW(Data!$AO$2:$AO$956),ROW(Data!$AO$2:$AO$956)),""),ROWS($A$1:A35)),COLUMNS($A$1:A35)),
$B$6 = "WIOA III",
INDEX(Data!$B$2:$EO$956,
SMALL(IF(INDEX(Data!$B$2:$EO$956,,MATCH("Grant Fund",Data!$1:$1,0)-1,1)="WIOA III",MATCH(ROW(Data!$AO$2:$AO$956),ROW(Data!$AO$2:$AO$956)),""),ROWS($A$1:A35)),COLUMNS($A$1:A35)),
$B$6 = "Currently Employed",
INDEX(Data!$B$2:$EO$956,
SMALL(IF(INDEX(Data!$B$2:$EO$956,,MATCH("Currently Employed",Data!$1:$1,0)-1,1)="Yes",MATCH(ROW(Data!$DZ$2:$DZ$956),ROW(Data!$DZ$2:$DZ$956)),""),ROWS($A$1:A35)),COLUMNS($A$1:A35)),
$B$6 = "Inactive",
INDEX(Data!$B$2:$EO$956,
SMALL(IF(INDEX(Data!$B$2:$EO$956,,MATCH("Inactive",Data!$1:$1,0)-1,1)="Yes",MATCH(ROW(Data!$DG$2:$DG$956),ROW(Data!$DG$2:$DG$956)),""),ROWS($A$1:A35)),COLUMNS($A$1:A35)),
$B$6 = "Active",
INDEX(Data!$B$2:$EO$956,
SMALL(IF(INDEX(Data!$B$2:$EO$956,,MATCH("Active",Data!$1:$1,0)-1,1)="Yes",MATCH(ROW(Data!$DZ$2:$DZ$956),ROW(Data!$DZ$2:$DZ$956)),""),ROWS($A$1:A35)),COLUMNS($A$1:A35)),
$B$6 = "Status Unknown",
INDEX(Data!$B$2:$EO$956,
SMALL(IF(INDEX(Data!$B$2:$EO$956,,MATCH("Status Unknown",Data!$1:$1,0)-1,1)="Yes",MATCH(ROW(Data!$EB$2:$EB$956),ROW(Data!$EB$2:$EB$956)),""),ROWS($A$1:A35)),COLUMNS($A$1:A35)),
$B$6 = "Enrollment Pending",
INDEX(Data!$B$2:$EO$956,
SMALL(IF(INDEX(Data!$B$2:$EO$956,,MATCH("Enrollment Pending",Data!$1:$1,0)-1,1)="Yes",MATCH(ROW(Data!$DY$2:$DY$956),ROW(Data!$DY$2:$DY$956)),""),ROWS($A$1:A35)),COLUMNS($A$1:A35)),
$B$6 = "Gained Certification",
INDEX(Data!$B$2:$EO$956,
SMALL(IF(INDEX(Data!$B$2:$EO$956,,MATCH("Gained Certification",Data!$1:$1,0)-1,1)="Yes",MATCH(ROW(Data!$DU$2:$DU$956),ROW(Data!$DU$2:$DU$956)),""),ROWS($A$1:A35)),COLUMNS($A$1:A35)),
$B$6 = "No Certification",
INDEX(Data!$B$2:$EO$956,
SMALL(IF(INDEX(Data!$B$2:$EO$956,,MATCH("Gained Certification",Data!$1:$1,0)-1,1)&lt;&gt;"Yes",MATCH(ROW(Data!$DU$2:$DU$956),ROW(Data!$DU$2:$DU$956)),""),ROWS($A$1:A35)),COLUMNS($A$1:A35)),
$B$6 = "Completers Without Employment",
INDEX(Data!$B$2:$EO$967,
SMALL(IF(INDEX(Data!$B$2:$EO$967,,MATCH("Completed Without Employment",Data!$1:$1,0)-1,1)="Yes",MATCH(ROW(Data!$DZ$2:$DZ$967),ROW(Data!$DZ$2:$DZ$967)),""),ROWS($A$1:A35)),COLUMNS($A$1:A35)),
$B$6 = "CH",
INDEX(Data!$B$2:$EO$956,
SMALL(IF(INDEX(Data!$B$2:$EO$956,,MATCH("Case Manager",Data!$1:$1,0)-1,1)="CH",MATCH(ROW(Data!$DZ$2:$DZ$956),ROW(Data!$DZ$2:$DZ$956)),""),ROWS($A$1:A35)),COLUMNS($A$1:A35)),
$B$6 = "ML",
INDEX(Data!$B$2:$EO$956,
SMALL(IF(INDEX(Data!$B$2:$EO$956,,MATCH("Case Manager",Data!$1:$1,0)-1,1)="ML",MATCH(ROW(Data!$DZ$2:$DZ$956),ROW(Data!$DZ$2:$DZ$956)),""),ROWS($A$1:A35)),COLUMNS($A$1:A35)),
$B$6 = "RB",
INDEX(Data!$B$2:$EO$956,
SMALL(IF(INDEX(Data!$B$2:$EO$956,,MATCH("Case Manager",Data!$1:$1,0)-1,1)="RB",MATCH(ROW(Data!$DZ$2:$DZ$956),ROW(Data!$DZ$2:$DZ$956)),""),ROWS($A$1:A35)),COLUMNS($A$1:A35)),
$B$6 = "RV",
INDEX(Data!$B$2:$EO$956,
SMALL(IF(INDEX(Data!$B$2:$EO$956,,MATCH("Case Manager",Data!$1:$1,0)-1,1)="RV",MATCH(ROW(Data!$DZ$2:$DZ$956),ROW(Data!$DZ$2:$DZ$956)),""),ROWS($A$1:A35)),COLUMNS($A$1:A35)),
$B$6 = "SG",
INDEX(Data!$B$2:$EO$956,
SMALL(IF(INDEX(Data!$B$2:$EO$956,,MATCH("Case Manager",Data!$1:$1,0)-1,1)="SH",MATCH(ROW(Data!$DZ$2:$DZ$956),ROW(Data!$DZ$2:$DZ$956)),""),ROWS($A$1:A35)),COLUMNS($A$1:A35))
),"")</f>
        <v>976983</v>
      </c>
      <c r="C46" s="1" t="str">
        <f>IF(
IFERROR(
INDEX(Data!$1:$1048576,MATCH('Client Lists'!$B46,Data!$B:$B,0),MATCH('Client Lists'!C$11,Data!$1:$1,0)),"")=0,"",
IFERROR(
INDEX(Data!$1:$1048576,MATCH('Client Lists'!$B46,Data!$B:$B,0),MATCH('Client Lists'!C$11,Data!$1:$1,0)),""))</f>
        <v/>
      </c>
      <c r="D46" s="1" t="str">
        <f>IF(
IFERROR(
INDEX(Data!$1:$1048576,MATCH('Client Lists'!$B46,Data!$B:$B,0),MATCH('Client Lists'!D$11,Data!$1:$1,0)),"")=0,"",
IFERROR(
INDEX(Data!$1:$1048576,MATCH('Client Lists'!$B46,Data!$B:$B,0),MATCH('Client Lists'!D$11,Data!$1:$1,0)),""))</f>
        <v>MTDL</v>
      </c>
      <c r="E46" s="1" t="str">
        <f>IF(
IFERROR(
INDEX(Data!$1:$1048576,MATCH('Client Lists'!$B46,Data!$B:$B,0),MATCH('Client Lists'!E$11,Data!$1:$1,0)),"")=0,"",
IFERROR(
INDEX(Data!$1:$1048576,MATCH('Client Lists'!$B46,Data!$B:$B,0),MATCH('Client Lists'!E$11,Data!$1:$1,0)),""))</f>
        <v xml:space="preserve"> CDBG</v>
      </c>
      <c r="F46" s="1">
        <f>IF(
IFERROR(
INDEX(Data!$1:$1048576,MATCH('Client Lists'!$B46,Data!$B:$B,0),MATCH('Client Lists'!F$11,Data!$1:$1,0)),"")=0,"",
IFERROR(
INDEX(Data!$1:$1048576,MATCH('Client Lists'!$B46,Data!$B:$B,0),MATCH('Client Lists'!F$11,Data!$1:$1,0)),""))</f>
        <v>44599</v>
      </c>
      <c r="G46" s="1" t="str">
        <f>IF(
IFERROR(
INDEX(Data!$1:$1048576,MATCH('Client Lists'!$B46,Data!$B:$B,0),MATCH('Client Lists'!G$11,Data!$1:$1,0)),"")=0,"",
IFERROR(
INDEX(Data!$1:$1048576,MATCH('Client Lists'!$B46,Data!$B:$B,0),MATCH('Client Lists'!G$11,Data!$1:$1,0)),""))</f>
        <v>No</v>
      </c>
      <c r="H46" s="1" t="str">
        <f>IF(
IFERROR(
INDEX(Data!$1:$1048576,MATCH('Client Lists'!$B46,Data!$B:$B,0),MATCH('Client Lists'!H$11,Data!$1:$1,0)),"")=0,"",
IFERROR(
INDEX(Data!$1:$1048576,MATCH('Client Lists'!$B46,Data!$B:$B,0),MATCH('Client Lists'!H$11,Data!$1:$1,0)),""))</f>
        <v>No</v>
      </c>
      <c r="I46" s="1" t="str">
        <f>IF(
IFERROR(
INDEX(Data!$1:$1048576,MATCH('Client Lists'!$B46,Data!$B:$B,0),MATCH('Client Lists'!I$11,Data!$1:$1,0)),"")=0,"",
IFERROR(
INDEX(Data!$1:$1048576,MATCH('Client Lists'!$B46,Data!$B:$B,0),MATCH('Client Lists'!I$11,Data!$1:$1,0)),""))</f>
        <v/>
      </c>
      <c r="J46" s="1" t="str">
        <f>IF(
IFERROR(
INDEX(Data!$1:$1048576,MATCH('Client Lists'!$B46,Data!$B:$B,0),MATCH('Client Lists'!J$11,Data!$1:$1,0)),"")=0,"",
IFERROR(
INDEX(Data!$1:$1048576,MATCH('Client Lists'!$B46,Data!$B:$B,0),MATCH('Client Lists'!J$11,Data!$1:$1,0)),""))</f>
        <v/>
      </c>
      <c r="K46" s="1" t="str">
        <f>IF(
IFERROR(
INDEX(Data!$1:$1048576,MATCH('Client Lists'!$B46,Data!$B:$B,0),MATCH('Client Lists'!K$11,Data!$1:$1,0)),"")=0,"",
IFERROR(
INDEX(Data!$1:$1048576,MATCH('Client Lists'!$B46,Data!$B:$B,0),MATCH('Client Lists'!K$11,Data!$1:$1,0)),""))</f>
        <v/>
      </c>
    </row>
    <row r="47" spans="2:11" x14ac:dyDescent="0.45">
      <c r="B47" s="5">
        <f t="array" ref="B47">IFERROR(_xlfn.IFS(
$B$6 = "Retention Overdue",
INDEX(Data!$B$2:$EO$956,
SMALL(IF(INDEX(Data!$B$2:$EO$956,,MATCH("Call Due",Data!$1:$1,0)-1,1)="Yes",MATCH(ROW(Data!$CN$2:$CN$956),ROW(Data!$CN$2:$CN$956)),""),ROWS($A$1:A36)),COLUMNS($A$1:A36)),
$B$6 = "OWIF-W",
INDEX(Data!$B$2:$EO$956,
SMALL(IF(INDEX(Data!$B$2:$EO$956,,MATCH("Grant Fund",Data!$1:$1,0)-1,1)="OWIF-W",MATCH(ROW(Data!$AO$2:$AO$956),ROW(Data!$AO$2:$AO$956)),""),ROWS($A$1:A36)),COLUMNS($A$1:A36)),
$B$6 = "G2C",
INDEX(Data!$B$2:$EO$956,
SMALL(IF(INDEX(Data!$B$2:$EO$956,,MATCH("Grant Fund",Data!$1:$1,0)-1,1)="Grads2Careers",MATCH(ROW(Data!$AO$2:$AO$956),ROW(Data!$AO$2:$AO$956)),""),ROWS($A$1:A36)),COLUMNS($A$1:A36)),
$B$6 = "OWIF",
INDEX(Data!$B$2:$EO$956,
SMALL(IF(INDEX(Data!$B$2:$EO$956,,MATCH("Grant Fund",Data!$1:$1,0)-1,1)="OWIF",MATCH(ROW(Data!$AO$2:$AO$956),ROW(Data!$AO$2:$AO$956)),""),ROWS($A$1:A36)),COLUMNS($A$1:A36)),
$B$6 = "WIOA",
INDEX(Data!$B$2:$EO$956,
SMALL(IF(INDEX(Data!$B$2:$EO$956,,MATCH("Grant Fund",Data!$1:$1,0)-1,1)="WIOA",MATCH(ROW(Data!$AO$2:$AO$956),ROW(Data!$AO$2:$AO$956)),""),ROWS($A$1:A36)),COLUMNS($A$1:A36)),
$B$6 = "WIOA II",
INDEX(Data!$B$2:$EO$956,
SMALL(IF(INDEX(Data!$B$2:$EO$956,,MATCH("Grant Fund",Data!$1:$1,0)-1,1)="WIOA II",MATCH(ROW(Data!$AO$2:$AO$956),ROW(Data!$AO$2:$AO$956)),""),ROWS($A$1:A36)),COLUMNS($A$1:A36)),
$B$6 = "WIOA III",
INDEX(Data!$B$2:$EO$956,
SMALL(IF(INDEX(Data!$B$2:$EO$956,,MATCH("Grant Fund",Data!$1:$1,0)-1,1)="WIOA III",MATCH(ROW(Data!$AO$2:$AO$956),ROW(Data!$AO$2:$AO$956)),""),ROWS($A$1:A36)),COLUMNS($A$1:A36)),
$B$6 = "Currently Employed",
INDEX(Data!$B$2:$EO$956,
SMALL(IF(INDEX(Data!$B$2:$EO$956,,MATCH("Currently Employed",Data!$1:$1,0)-1,1)="Yes",MATCH(ROW(Data!$DZ$2:$DZ$956),ROW(Data!$DZ$2:$DZ$956)),""),ROWS($A$1:A36)),COLUMNS($A$1:A36)),
$B$6 = "Inactive",
INDEX(Data!$B$2:$EO$956,
SMALL(IF(INDEX(Data!$B$2:$EO$956,,MATCH("Inactive",Data!$1:$1,0)-1,1)="Yes",MATCH(ROW(Data!$DG$2:$DG$956),ROW(Data!$DG$2:$DG$956)),""),ROWS($A$1:A36)),COLUMNS($A$1:A36)),
$B$6 = "Active",
INDEX(Data!$B$2:$EO$956,
SMALL(IF(INDEX(Data!$B$2:$EO$956,,MATCH("Active",Data!$1:$1,0)-1,1)="Yes",MATCH(ROW(Data!$DZ$2:$DZ$956),ROW(Data!$DZ$2:$DZ$956)),""),ROWS($A$1:A36)),COLUMNS($A$1:A36)),
$B$6 = "Status Unknown",
INDEX(Data!$B$2:$EO$956,
SMALL(IF(INDEX(Data!$B$2:$EO$956,,MATCH("Status Unknown",Data!$1:$1,0)-1,1)="Yes",MATCH(ROW(Data!$EB$2:$EB$956),ROW(Data!$EB$2:$EB$956)),""),ROWS($A$1:A36)),COLUMNS($A$1:A36)),
$B$6 = "Enrollment Pending",
INDEX(Data!$B$2:$EO$956,
SMALL(IF(INDEX(Data!$B$2:$EO$956,,MATCH("Enrollment Pending",Data!$1:$1,0)-1,1)="Yes",MATCH(ROW(Data!$DY$2:$DY$956),ROW(Data!$DY$2:$DY$956)),""),ROWS($A$1:A36)),COLUMNS($A$1:A36)),
$B$6 = "Gained Certification",
INDEX(Data!$B$2:$EO$956,
SMALL(IF(INDEX(Data!$B$2:$EO$956,,MATCH("Gained Certification",Data!$1:$1,0)-1,1)="Yes",MATCH(ROW(Data!$DU$2:$DU$956),ROW(Data!$DU$2:$DU$956)),""),ROWS($A$1:A36)),COLUMNS($A$1:A36)),
$B$6 = "No Certification",
INDEX(Data!$B$2:$EO$956,
SMALL(IF(INDEX(Data!$B$2:$EO$956,,MATCH("Gained Certification",Data!$1:$1,0)-1,1)&lt;&gt;"Yes",MATCH(ROW(Data!$DU$2:$DU$956),ROW(Data!$DU$2:$DU$956)),""),ROWS($A$1:A36)),COLUMNS($A$1:A36)),
$B$6 = "Completers Without Employment",
INDEX(Data!$B$2:$EO$967,
SMALL(IF(INDEX(Data!$B$2:$EO$967,,MATCH("Completed Without Employment",Data!$1:$1,0)-1,1)="Yes",MATCH(ROW(Data!$DZ$2:$DZ$967),ROW(Data!$DZ$2:$DZ$967)),""),ROWS($A$1:A36)),COLUMNS($A$1:A36)),
$B$6 = "CH",
INDEX(Data!$B$2:$EO$956,
SMALL(IF(INDEX(Data!$B$2:$EO$956,,MATCH("Case Manager",Data!$1:$1,0)-1,1)="CH",MATCH(ROW(Data!$DZ$2:$DZ$956),ROW(Data!$DZ$2:$DZ$956)),""),ROWS($A$1:A36)),COLUMNS($A$1:A36)),
$B$6 = "ML",
INDEX(Data!$B$2:$EO$956,
SMALL(IF(INDEX(Data!$B$2:$EO$956,,MATCH("Case Manager",Data!$1:$1,0)-1,1)="ML",MATCH(ROW(Data!$DZ$2:$DZ$956),ROW(Data!$DZ$2:$DZ$956)),""),ROWS($A$1:A36)),COLUMNS($A$1:A36)),
$B$6 = "RB",
INDEX(Data!$B$2:$EO$956,
SMALL(IF(INDEX(Data!$B$2:$EO$956,,MATCH("Case Manager",Data!$1:$1,0)-1,1)="RB",MATCH(ROW(Data!$DZ$2:$DZ$956),ROW(Data!$DZ$2:$DZ$956)),""),ROWS($A$1:A36)),COLUMNS($A$1:A36)),
$B$6 = "RV",
INDEX(Data!$B$2:$EO$956,
SMALL(IF(INDEX(Data!$B$2:$EO$956,,MATCH("Case Manager",Data!$1:$1,0)-1,1)="RV",MATCH(ROW(Data!$DZ$2:$DZ$956),ROW(Data!$DZ$2:$DZ$956)),""),ROWS($A$1:A36)),COLUMNS($A$1:A36)),
$B$6 = "SG",
INDEX(Data!$B$2:$EO$956,
SMALL(IF(INDEX(Data!$B$2:$EO$956,,MATCH("Case Manager",Data!$1:$1,0)-1,1)="SH",MATCH(ROW(Data!$DZ$2:$DZ$956),ROW(Data!$DZ$2:$DZ$956)),""),ROWS($A$1:A36)),COLUMNS($A$1:A36))
),"")</f>
        <v>976377</v>
      </c>
      <c r="C47" s="1" t="str">
        <f>IF(
IFERROR(
INDEX(Data!$1:$1048576,MATCH('Client Lists'!$B47,Data!$B:$B,0),MATCH('Client Lists'!C$11,Data!$1:$1,0)),"")=0,"",
IFERROR(
INDEX(Data!$1:$1048576,MATCH('Client Lists'!$B47,Data!$B:$B,0),MATCH('Client Lists'!C$11,Data!$1:$1,0)),""))</f>
        <v/>
      </c>
      <c r="D47" s="1" t="str">
        <f>IF(
IFERROR(
INDEX(Data!$1:$1048576,MATCH('Client Lists'!$B47,Data!$B:$B,0),MATCH('Client Lists'!D$11,Data!$1:$1,0)),"")=0,"",
IFERROR(
INDEX(Data!$1:$1048576,MATCH('Client Lists'!$B47,Data!$B:$B,0),MATCH('Client Lists'!D$11,Data!$1:$1,0)),""))</f>
        <v>MTDL</v>
      </c>
      <c r="E47" s="1" t="str">
        <f>IF(
IFERROR(
INDEX(Data!$1:$1048576,MATCH('Client Lists'!$B47,Data!$B:$B,0),MATCH('Client Lists'!E$11,Data!$1:$1,0)),"")=0,"",
IFERROR(
INDEX(Data!$1:$1048576,MATCH('Client Lists'!$B47,Data!$B:$B,0),MATCH('Client Lists'!E$11,Data!$1:$1,0)),""))</f>
        <v>SNAP</v>
      </c>
      <c r="F47" s="1">
        <f>IF(
IFERROR(
INDEX(Data!$1:$1048576,MATCH('Client Lists'!$B47,Data!$B:$B,0),MATCH('Client Lists'!F$11,Data!$1:$1,0)),"")=0,"",
IFERROR(
INDEX(Data!$1:$1048576,MATCH('Client Lists'!$B47,Data!$B:$B,0),MATCH('Client Lists'!F$11,Data!$1:$1,0)),""))</f>
        <v>44207</v>
      </c>
      <c r="G47" s="1" t="str">
        <f>IF(
IFERROR(
INDEX(Data!$1:$1048576,MATCH('Client Lists'!$B47,Data!$B:$B,0),MATCH('Client Lists'!G$11,Data!$1:$1,0)),"")=0,"",
IFERROR(
INDEX(Data!$1:$1048576,MATCH('Client Lists'!$B47,Data!$B:$B,0),MATCH('Client Lists'!G$11,Data!$1:$1,0)),""))</f>
        <v>Yes</v>
      </c>
      <c r="H47" s="1" t="str">
        <f>IF(
IFERROR(
INDEX(Data!$1:$1048576,MATCH('Client Lists'!$B47,Data!$B:$B,0),MATCH('Client Lists'!H$11,Data!$1:$1,0)),"")=0,"",
IFERROR(
INDEX(Data!$1:$1048576,MATCH('Client Lists'!$B47,Data!$B:$B,0),MATCH('Client Lists'!H$11,Data!$1:$1,0)),""))</f>
        <v>No</v>
      </c>
      <c r="I47" s="1" t="str">
        <f>IF(
IFERROR(
INDEX(Data!$1:$1048576,MATCH('Client Lists'!$B47,Data!$B:$B,0),MATCH('Client Lists'!I$11,Data!$1:$1,0)),"")=0,"",
IFERROR(
INDEX(Data!$1:$1048576,MATCH('Client Lists'!$B47,Data!$B:$B,0),MATCH('Client Lists'!I$11,Data!$1:$1,0)),""))</f>
        <v>Yes</v>
      </c>
      <c r="J47" s="1" t="str">
        <f>IF(
IFERROR(
INDEX(Data!$1:$1048576,MATCH('Client Lists'!$B47,Data!$B:$B,0),MATCH('Client Lists'!J$11,Data!$1:$1,0)),"")=0,"",
IFERROR(
INDEX(Data!$1:$1048576,MATCH('Client Lists'!$B47,Data!$B:$B,0),MATCH('Client Lists'!J$11,Data!$1:$1,0)),""))</f>
        <v/>
      </c>
      <c r="K47" s="1" t="str">
        <f>IF(
IFERROR(
INDEX(Data!$1:$1048576,MATCH('Client Lists'!$B47,Data!$B:$B,0),MATCH('Client Lists'!K$11,Data!$1:$1,0)),"")=0,"",
IFERROR(
INDEX(Data!$1:$1048576,MATCH('Client Lists'!$B47,Data!$B:$B,0),MATCH('Client Lists'!K$11,Data!$1:$1,0)),""))</f>
        <v/>
      </c>
    </row>
    <row r="48" spans="2:11" x14ac:dyDescent="0.45">
      <c r="B48" s="5">
        <f t="array" ref="B48">IFERROR(_xlfn.IFS(
$B$6 = "Retention Overdue",
INDEX(Data!$B$2:$EO$956,
SMALL(IF(INDEX(Data!$B$2:$EO$956,,MATCH("Call Due",Data!$1:$1,0)-1,1)="Yes",MATCH(ROW(Data!$CN$2:$CN$956),ROW(Data!$CN$2:$CN$956)),""),ROWS($A$1:A37)),COLUMNS($A$1:A37)),
$B$6 = "OWIF-W",
INDEX(Data!$B$2:$EO$956,
SMALL(IF(INDEX(Data!$B$2:$EO$956,,MATCH("Grant Fund",Data!$1:$1,0)-1,1)="OWIF-W",MATCH(ROW(Data!$AO$2:$AO$956),ROW(Data!$AO$2:$AO$956)),""),ROWS($A$1:A37)),COLUMNS($A$1:A37)),
$B$6 = "G2C",
INDEX(Data!$B$2:$EO$956,
SMALL(IF(INDEX(Data!$B$2:$EO$956,,MATCH("Grant Fund",Data!$1:$1,0)-1,1)="Grads2Careers",MATCH(ROW(Data!$AO$2:$AO$956),ROW(Data!$AO$2:$AO$956)),""),ROWS($A$1:A37)),COLUMNS($A$1:A37)),
$B$6 = "OWIF",
INDEX(Data!$B$2:$EO$956,
SMALL(IF(INDEX(Data!$B$2:$EO$956,,MATCH("Grant Fund",Data!$1:$1,0)-1,1)="OWIF",MATCH(ROW(Data!$AO$2:$AO$956),ROW(Data!$AO$2:$AO$956)),""),ROWS($A$1:A37)),COLUMNS($A$1:A37)),
$B$6 = "WIOA",
INDEX(Data!$B$2:$EO$956,
SMALL(IF(INDEX(Data!$B$2:$EO$956,,MATCH("Grant Fund",Data!$1:$1,0)-1,1)="WIOA",MATCH(ROW(Data!$AO$2:$AO$956),ROW(Data!$AO$2:$AO$956)),""),ROWS($A$1:A37)),COLUMNS($A$1:A37)),
$B$6 = "WIOA II",
INDEX(Data!$B$2:$EO$956,
SMALL(IF(INDEX(Data!$B$2:$EO$956,,MATCH("Grant Fund",Data!$1:$1,0)-1,1)="WIOA II",MATCH(ROW(Data!$AO$2:$AO$956),ROW(Data!$AO$2:$AO$956)),""),ROWS($A$1:A37)),COLUMNS($A$1:A37)),
$B$6 = "WIOA III",
INDEX(Data!$B$2:$EO$956,
SMALL(IF(INDEX(Data!$B$2:$EO$956,,MATCH("Grant Fund",Data!$1:$1,0)-1,1)="WIOA III",MATCH(ROW(Data!$AO$2:$AO$956),ROW(Data!$AO$2:$AO$956)),""),ROWS($A$1:A37)),COLUMNS($A$1:A37)),
$B$6 = "Currently Employed",
INDEX(Data!$B$2:$EO$956,
SMALL(IF(INDEX(Data!$B$2:$EO$956,,MATCH("Currently Employed",Data!$1:$1,0)-1,1)="Yes",MATCH(ROW(Data!$DZ$2:$DZ$956),ROW(Data!$DZ$2:$DZ$956)),""),ROWS($A$1:A37)),COLUMNS($A$1:A37)),
$B$6 = "Inactive",
INDEX(Data!$B$2:$EO$956,
SMALL(IF(INDEX(Data!$B$2:$EO$956,,MATCH("Inactive",Data!$1:$1,0)-1,1)="Yes",MATCH(ROW(Data!$DG$2:$DG$956),ROW(Data!$DG$2:$DG$956)),""),ROWS($A$1:A37)),COLUMNS($A$1:A37)),
$B$6 = "Active",
INDEX(Data!$B$2:$EO$956,
SMALL(IF(INDEX(Data!$B$2:$EO$956,,MATCH("Active",Data!$1:$1,0)-1,1)="Yes",MATCH(ROW(Data!$DZ$2:$DZ$956),ROW(Data!$DZ$2:$DZ$956)),""),ROWS($A$1:A37)),COLUMNS($A$1:A37)),
$B$6 = "Status Unknown",
INDEX(Data!$B$2:$EO$956,
SMALL(IF(INDEX(Data!$B$2:$EO$956,,MATCH("Status Unknown",Data!$1:$1,0)-1,1)="Yes",MATCH(ROW(Data!$EB$2:$EB$956),ROW(Data!$EB$2:$EB$956)),""),ROWS($A$1:A37)),COLUMNS($A$1:A37)),
$B$6 = "Enrollment Pending",
INDEX(Data!$B$2:$EO$956,
SMALL(IF(INDEX(Data!$B$2:$EO$956,,MATCH("Enrollment Pending",Data!$1:$1,0)-1,1)="Yes",MATCH(ROW(Data!$DY$2:$DY$956),ROW(Data!$DY$2:$DY$956)),""),ROWS($A$1:A37)),COLUMNS($A$1:A37)),
$B$6 = "Gained Certification",
INDEX(Data!$B$2:$EO$956,
SMALL(IF(INDEX(Data!$B$2:$EO$956,,MATCH("Gained Certification",Data!$1:$1,0)-1,1)="Yes",MATCH(ROW(Data!$DU$2:$DU$956),ROW(Data!$DU$2:$DU$956)),""),ROWS($A$1:A37)),COLUMNS($A$1:A37)),
$B$6 = "No Certification",
INDEX(Data!$B$2:$EO$956,
SMALL(IF(INDEX(Data!$B$2:$EO$956,,MATCH("Gained Certification",Data!$1:$1,0)-1,1)&lt;&gt;"Yes",MATCH(ROW(Data!$DU$2:$DU$956),ROW(Data!$DU$2:$DU$956)),""),ROWS($A$1:A37)),COLUMNS($A$1:A37)),
$B$6 = "Completers Without Employment",
INDEX(Data!$B$2:$EO$967,
SMALL(IF(INDEX(Data!$B$2:$EO$967,,MATCH("Completed Without Employment",Data!$1:$1,0)-1,1)="Yes",MATCH(ROW(Data!$DZ$2:$DZ$967),ROW(Data!$DZ$2:$DZ$967)),""),ROWS($A$1:A37)),COLUMNS($A$1:A37)),
$B$6 = "CH",
INDEX(Data!$B$2:$EO$956,
SMALL(IF(INDEX(Data!$B$2:$EO$956,,MATCH("Case Manager",Data!$1:$1,0)-1,1)="CH",MATCH(ROW(Data!$DZ$2:$DZ$956),ROW(Data!$DZ$2:$DZ$956)),""),ROWS($A$1:A37)),COLUMNS($A$1:A37)),
$B$6 = "ML",
INDEX(Data!$B$2:$EO$956,
SMALL(IF(INDEX(Data!$B$2:$EO$956,,MATCH("Case Manager",Data!$1:$1,0)-1,1)="ML",MATCH(ROW(Data!$DZ$2:$DZ$956),ROW(Data!$DZ$2:$DZ$956)),""),ROWS($A$1:A37)),COLUMNS($A$1:A37)),
$B$6 = "RB",
INDEX(Data!$B$2:$EO$956,
SMALL(IF(INDEX(Data!$B$2:$EO$956,,MATCH("Case Manager",Data!$1:$1,0)-1,1)="RB",MATCH(ROW(Data!$DZ$2:$DZ$956),ROW(Data!$DZ$2:$DZ$956)),""),ROWS($A$1:A37)),COLUMNS($A$1:A37)),
$B$6 = "RV",
INDEX(Data!$B$2:$EO$956,
SMALL(IF(INDEX(Data!$B$2:$EO$956,,MATCH("Case Manager",Data!$1:$1,0)-1,1)="RV",MATCH(ROW(Data!$DZ$2:$DZ$956),ROW(Data!$DZ$2:$DZ$956)),""),ROWS($A$1:A37)),COLUMNS($A$1:A37)),
$B$6 = "SG",
INDEX(Data!$B$2:$EO$956,
SMALL(IF(INDEX(Data!$B$2:$EO$956,,MATCH("Case Manager",Data!$1:$1,0)-1,1)="SH",MATCH(ROW(Data!$DZ$2:$DZ$956),ROW(Data!$DZ$2:$DZ$956)),""),ROWS($A$1:A37)),COLUMNS($A$1:A37))
),"")</f>
        <v>976802</v>
      </c>
      <c r="C48" s="1" t="str">
        <f>IF(
IFERROR(
INDEX(Data!$1:$1048576,MATCH('Client Lists'!$B48,Data!$B:$B,0),MATCH('Client Lists'!C$11,Data!$1:$1,0)),"")=0,"",
IFERROR(
INDEX(Data!$1:$1048576,MATCH('Client Lists'!$B48,Data!$B:$B,0),MATCH('Client Lists'!C$11,Data!$1:$1,0)),""))</f>
        <v/>
      </c>
      <c r="D48" s="1" t="str">
        <f>IF(
IFERROR(
INDEX(Data!$1:$1048576,MATCH('Client Lists'!$B48,Data!$B:$B,0),MATCH('Client Lists'!D$11,Data!$1:$1,0)),"")=0,"",
IFERROR(
INDEX(Data!$1:$1048576,MATCH('Client Lists'!$B48,Data!$B:$B,0),MATCH('Client Lists'!D$11,Data!$1:$1,0)),""))</f>
        <v>CTC</v>
      </c>
      <c r="E48" s="1" t="str">
        <f>IF(
IFERROR(
INDEX(Data!$1:$1048576,MATCH('Client Lists'!$B48,Data!$B:$B,0),MATCH('Client Lists'!E$11,Data!$1:$1,0)),"")=0,"",
IFERROR(
INDEX(Data!$1:$1048576,MATCH('Client Lists'!$B48,Data!$B:$B,0),MATCH('Client Lists'!E$11,Data!$1:$1,0)),""))</f>
        <v xml:space="preserve"> CDBG; EARN</v>
      </c>
      <c r="F48" s="1">
        <f>IF(
IFERROR(
INDEX(Data!$1:$1048576,MATCH('Client Lists'!$B48,Data!$B:$B,0),MATCH('Client Lists'!F$11,Data!$1:$1,0)),"")=0,"",
IFERROR(
INDEX(Data!$1:$1048576,MATCH('Client Lists'!$B48,Data!$B:$B,0),MATCH('Client Lists'!F$11,Data!$1:$1,0)),""))</f>
        <v>44446</v>
      </c>
      <c r="G48" s="1" t="str">
        <f>IF(
IFERROR(
INDEX(Data!$1:$1048576,MATCH('Client Lists'!$B48,Data!$B:$B,0),MATCH('Client Lists'!G$11,Data!$1:$1,0)),"")=0,"",
IFERROR(
INDEX(Data!$1:$1048576,MATCH('Client Lists'!$B48,Data!$B:$B,0),MATCH('Client Lists'!G$11,Data!$1:$1,0)),""))</f>
        <v>Yes</v>
      </c>
      <c r="H48" s="1" t="str">
        <f>IF(
IFERROR(
INDEX(Data!$1:$1048576,MATCH('Client Lists'!$B48,Data!$B:$B,0),MATCH('Client Lists'!H$11,Data!$1:$1,0)),"")=0,"",
IFERROR(
INDEX(Data!$1:$1048576,MATCH('Client Lists'!$B48,Data!$B:$B,0),MATCH('Client Lists'!H$11,Data!$1:$1,0)),""))</f>
        <v>No</v>
      </c>
      <c r="I48" s="1" t="str">
        <f>IF(
IFERROR(
INDEX(Data!$1:$1048576,MATCH('Client Lists'!$B48,Data!$B:$B,0),MATCH('Client Lists'!I$11,Data!$1:$1,0)),"")=0,"",
IFERROR(
INDEX(Data!$1:$1048576,MATCH('Client Lists'!$B48,Data!$B:$B,0),MATCH('Client Lists'!I$11,Data!$1:$1,0)),""))</f>
        <v/>
      </c>
      <c r="J48" s="1" t="str">
        <f>IF(
IFERROR(
INDEX(Data!$1:$1048576,MATCH('Client Lists'!$B48,Data!$B:$B,0),MATCH('Client Lists'!J$11,Data!$1:$1,0)),"")=0,"",
IFERROR(
INDEX(Data!$1:$1048576,MATCH('Client Lists'!$B48,Data!$B:$B,0),MATCH('Client Lists'!J$11,Data!$1:$1,0)),""))</f>
        <v/>
      </c>
      <c r="K48" s="1" t="str">
        <f>IF(
IFERROR(
INDEX(Data!$1:$1048576,MATCH('Client Lists'!$B48,Data!$B:$B,0),MATCH('Client Lists'!K$11,Data!$1:$1,0)),"")=0,"",
IFERROR(
INDEX(Data!$1:$1048576,MATCH('Client Lists'!$B48,Data!$B:$B,0),MATCH('Client Lists'!K$11,Data!$1:$1,0)),""))</f>
        <v/>
      </c>
    </row>
    <row r="49" spans="2:11" x14ac:dyDescent="0.45">
      <c r="B49" s="5">
        <f t="array" ref="B49">IFERROR(_xlfn.IFS(
$B$6 = "Retention Overdue",
INDEX(Data!$B$2:$EO$956,
SMALL(IF(INDEX(Data!$B$2:$EO$956,,MATCH("Call Due",Data!$1:$1,0)-1,1)="Yes",MATCH(ROW(Data!$CN$2:$CN$956),ROW(Data!$CN$2:$CN$956)),""),ROWS($A$1:A38)),COLUMNS($A$1:A38)),
$B$6 = "OWIF-W",
INDEX(Data!$B$2:$EO$956,
SMALL(IF(INDEX(Data!$B$2:$EO$956,,MATCH("Grant Fund",Data!$1:$1,0)-1,1)="OWIF-W",MATCH(ROW(Data!$AO$2:$AO$956),ROW(Data!$AO$2:$AO$956)),""),ROWS($A$1:A38)),COLUMNS($A$1:A38)),
$B$6 = "G2C",
INDEX(Data!$B$2:$EO$956,
SMALL(IF(INDEX(Data!$B$2:$EO$956,,MATCH("Grant Fund",Data!$1:$1,0)-1,1)="Grads2Careers",MATCH(ROW(Data!$AO$2:$AO$956),ROW(Data!$AO$2:$AO$956)),""),ROWS($A$1:A38)),COLUMNS($A$1:A38)),
$B$6 = "OWIF",
INDEX(Data!$B$2:$EO$956,
SMALL(IF(INDEX(Data!$B$2:$EO$956,,MATCH("Grant Fund",Data!$1:$1,0)-1,1)="OWIF",MATCH(ROW(Data!$AO$2:$AO$956),ROW(Data!$AO$2:$AO$956)),""),ROWS($A$1:A38)),COLUMNS($A$1:A38)),
$B$6 = "WIOA",
INDEX(Data!$B$2:$EO$956,
SMALL(IF(INDEX(Data!$B$2:$EO$956,,MATCH("Grant Fund",Data!$1:$1,0)-1,1)="WIOA",MATCH(ROW(Data!$AO$2:$AO$956),ROW(Data!$AO$2:$AO$956)),""),ROWS($A$1:A38)),COLUMNS($A$1:A38)),
$B$6 = "WIOA II",
INDEX(Data!$B$2:$EO$956,
SMALL(IF(INDEX(Data!$B$2:$EO$956,,MATCH("Grant Fund",Data!$1:$1,0)-1,1)="WIOA II",MATCH(ROW(Data!$AO$2:$AO$956),ROW(Data!$AO$2:$AO$956)),""),ROWS($A$1:A38)),COLUMNS($A$1:A38)),
$B$6 = "WIOA III",
INDEX(Data!$B$2:$EO$956,
SMALL(IF(INDEX(Data!$B$2:$EO$956,,MATCH("Grant Fund",Data!$1:$1,0)-1,1)="WIOA III",MATCH(ROW(Data!$AO$2:$AO$956),ROW(Data!$AO$2:$AO$956)),""),ROWS($A$1:A38)),COLUMNS($A$1:A38)),
$B$6 = "Currently Employed",
INDEX(Data!$B$2:$EO$956,
SMALL(IF(INDEX(Data!$B$2:$EO$956,,MATCH("Currently Employed",Data!$1:$1,0)-1,1)="Yes",MATCH(ROW(Data!$DZ$2:$DZ$956),ROW(Data!$DZ$2:$DZ$956)),""),ROWS($A$1:A38)),COLUMNS($A$1:A38)),
$B$6 = "Inactive",
INDEX(Data!$B$2:$EO$956,
SMALL(IF(INDEX(Data!$B$2:$EO$956,,MATCH("Inactive",Data!$1:$1,0)-1,1)="Yes",MATCH(ROW(Data!$DG$2:$DG$956),ROW(Data!$DG$2:$DG$956)),""),ROWS($A$1:A38)),COLUMNS($A$1:A38)),
$B$6 = "Active",
INDEX(Data!$B$2:$EO$956,
SMALL(IF(INDEX(Data!$B$2:$EO$956,,MATCH("Active",Data!$1:$1,0)-1,1)="Yes",MATCH(ROW(Data!$DZ$2:$DZ$956),ROW(Data!$DZ$2:$DZ$956)),""),ROWS($A$1:A38)),COLUMNS($A$1:A38)),
$B$6 = "Status Unknown",
INDEX(Data!$B$2:$EO$956,
SMALL(IF(INDEX(Data!$B$2:$EO$956,,MATCH("Status Unknown",Data!$1:$1,0)-1,1)="Yes",MATCH(ROW(Data!$EB$2:$EB$956),ROW(Data!$EB$2:$EB$956)),""),ROWS($A$1:A38)),COLUMNS($A$1:A38)),
$B$6 = "Enrollment Pending",
INDEX(Data!$B$2:$EO$956,
SMALL(IF(INDEX(Data!$B$2:$EO$956,,MATCH("Enrollment Pending",Data!$1:$1,0)-1,1)="Yes",MATCH(ROW(Data!$DY$2:$DY$956),ROW(Data!$DY$2:$DY$956)),""),ROWS($A$1:A38)),COLUMNS($A$1:A38)),
$B$6 = "Gained Certification",
INDEX(Data!$B$2:$EO$956,
SMALL(IF(INDEX(Data!$B$2:$EO$956,,MATCH("Gained Certification",Data!$1:$1,0)-1,1)="Yes",MATCH(ROW(Data!$DU$2:$DU$956),ROW(Data!$DU$2:$DU$956)),""),ROWS($A$1:A38)),COLUMNS($A$1:A38)),
$B$6 = "No Certification",
INDEX(Data!$B$2:$EO$956,
SMALL(IF(INDEX(Data!$B$2:$EO$956,,MATCH("Gained Certification",Data!$1:$1,0)-1,1)&lt;&gt;"Yes",MATCH(ROW(Data!$DU$2:$DU$956),ROW(Data!$DU$2:$DU$956)),""),ROWS($A$1:A38)),COLUMNS($A$1:A38)),
$B$6 = "Completers Without Employment",
INDEX(Data!$B$2:$EO$967,
SMALL(IF(INDEX(Data!$B$2:$EO$967,,MATCH("Completed Without Employment",Data!$1:$1,0)-1,1)="Yes",MATCH(ROW(Data!$DZ$2:$DZ$967),ROW(Data!$DZ$2:$DZ$967)),""),ROWS($A$1:A38)),COLUMNS($A$1:A38)),
$B$6 = "CH",
INDEX(Data!$B$2:$EO$956,
SMALL(IF(INDEX(Data!$B$2:$EO$956,,MATCH("Case Manager",Data!$1:$1,0)-1,1)="CH",MATCH(ROW(Data!$DZ$2:$DZ$956),ROW(Data!$DZ$2:$DZ$956)),""),ROWS($A$1:A38)),COLUMNS($A$1:A38)),
$B$6 = "ML",
INDEX(Data!$B$2:$EO$956,
SMALL(IF(INDEX(Data!$B$2:$EO$956,,MATCH("Case Manager",Data!$1:$1,0)-1,1)="ML",MATCH(ROW(Data!$DZ$2:$DZ$956),ROW(Data!$DZ$2:$DZ$956)),""),ROWS($A$1:A38)),COLUMNS($A$1:A38)),
$B$6 = "RB",
INDEX(Data!$B$2:$EO$956,
SMALL(IF(INDEX(Data!$B$2:$EO$956,,MATCH("Case Manager",Data!$1:$1,0)-1,1)="RB",MATCH(ROW(Data!$DZ$2:$DZ$956),ROW(Data!$DZ$2:$DZ$956)),""),ROWS($A$1:A38)),COLUMNS($A$1:A38)),
$B$6 = "RV",
INDEX(Data!$B$2:$EO$956,
SMALL(IF(INDEX(Data!$B$2:$EO$956,,MATCH("Case Manager",Data!$1:$1,0)-1,1)="RV",MATCH(ROW(Data!$DZ$2:$DZ$956),ROW(Data!$DZ$2:$DZ$956)),""),ROWS($A$1:A38)),COLUMNS($A$1:A38)),
$B$6 = "SG",
INDEX(Data!$B$2:$EO$956,
SMALL(IF(INDEX(Data!$B$2:$EO$956,,MATCH("Case Manager",Data!$1:$1,0)-1,1)="SH",MATCH(ROW(Data!$DZ$2:$DZ$956),ROW(Data!$DZ$2:$DZ$956)),""),ROWS($A$1:A38)),COLUMNS($A$1:A38))
),"")</f>
        <v>976807</v>
      </c>
      <c r="C49" s="1" t="str">
        <f>IF(
IFERROR(
INDEX(Data!$1:$1048576,MATCH('Client Lists'!$B49,Data!$B:$B,0),MATCH('Client Lists'!C$11,Data!$1:$1,0)),"")=0,"",
IFERROR(
INDEX(Data!$1:$1048576,MATCH('Client Lists'!$B49,Data!$B:$B,0),MATCH('Client Lists'!C$11,Data!$1:$1,0)),""))</f>
        <v/>
      </c>
      <c r="D49" s="1" t="str">
        <f>IF(
IFERROR(
INDEX(Data!$1:$1048576,MATCH('Client Lists'!$B49,Data!$B:$B,0),MATCH('Client Lists'!D$11,Data!$1:$1,0)),"")=0,"",
IFERROR(
INDEX(Data!$1:$1048576,MATCH('Client Lists'!$B49,Data!$B:$B,0),MATCH('Client Lists'!D$11,Data!$1:$1,0)),""))</f>
        <v>CTC</v>
      </c>
      <c r="E49" s="1" t="str">
        <f>IF(
IFERROR(
INDEX(Data!$1:$1048576,MATCH('Client Lists'!$B49,Data!$B:$B,0),MATCH('Client Lists'!E$11,Data!$1:$1,0)),"")=0,"",
IFERROR(
INDEX(Data!$1:$1048576,MATCH('Client Lists'!$B49,Data!$B:$B,0),MATCH('Client Lists'!E$11,Data!$1:$1,0)),""))</f>
        <v xml:space="preserve"> CDBG</v>
      </c>
      <c r="F49" s="1">
        <f>IF(
IFERROR(
INDEX(Data!$1:$1048576,MATCH('Client Lists'!$B49,Data!$B:$B,0),MATCH('Client Lists'!F$11,Data!$1:$1,0)),"")=0,"",
IFERROR(
INDEX(Data!$1:$1048576,MATCH('Client Lists'!$B49,Data!$B:$B,0),MATCH('Client Lists'!F$11,Data!$1:$1,0)),""))</f>
        <v>44446</v>
      </c>
      <c r="G49" s="1" t="str">
        <f>IF(
IFERROR(
INDEX(Data!$1:$1048576,MATCH('Client Lists'!$B49,Data!$B:$B,0),MATCH('Client Lists'!G$11,Data!$1:$1,0)),"")=0,"",
IFERROR(
INDEX(Data!$1:$1048576,MATCH('Client Lists'!$B49,Data!$B:$B,0),MATCH('Client Lists'!G$11,Data!$1:$1,0)),""))</f>
        <v>No</v>
      </c>
      <c r="H49" s="1" t="str">
        <f>IF(
IFERROR(
INDEX(Data!$1:$1048576,MATCH('Client Lists'!$B49,Data!$B:$B,0),MATCH('Client Lists'!H$11,Data!$1:$1,0)),"")=0,"",
IFERROR(
INDEX(Data!$1:$1048576,MATCH('Client Lists'!$B49,Data!$B:$B,0),MATCH('Client Lists'!H$11,Data!$1:$1,0)),""))</f>
        <v>No</v>
      </c>
      <c r="I49" s="1" t="str">
        <f>IF(
IFERROR(
INDEX(Data!$1:$1048576,MATCH('Client Lists'!$B49,Data!$B:$B,0),MATCH('Client Lists'!I$11,Data!$1:$1,0)),"")=0,"",
IFERROR(
INDEX(Data!$1:$1048576,MATCH('Client Lists'!$B49,Data!$B:$B,0),MATCH('Client Lists'!I$11,Data!$1:$1,0)),""))</f>
        <v/>
      </c>
      <c r="J49" s="1" t="str">
        <f>IF(
IFERROR(
INDEX(Data!$1:$1048576,MATCH('Client Lists'!$B49,Data!$B:$B,0),MATCH('Client Lists'!J$11,Data!$1:$1,0)),"")=0,"",
IFERROR(
INDEX(Data!$1:$1048576,MATCH('Client Lists'!$B49,Data!$B:$B,0),MATCH('Client Lists'!J$11,Data!$1:$1,0)),""))</f>
        <v/>
      </c>
      <c r="K49" s="1" t="str">
        <f>IF(
IFERROR(
INDEX(Data!$1:$1048576,MATCH('Client Lists'!$B49,Data!$B:$B,0),MATCH('Client Lists'!K$11,Data!$1:$1,0)),"")=0,"",
IFERROR(
INDEX(Data!$1:$1048576,MATCH('Client Lists'!$B49,Data!$B:$B,0),MATCH('Client Lists'!K$11,Data!$1:$1,0)),""))</f>
        <v/>
      </c>
    </row>
    <row r="50" spans="2:11" x14ac:dyDescent="0.45">
      <c r="B50" s="5">
        <f t="array" ref="B50">IFERROR(_xlfn.IFS(
$B$6 = "Retention Overdue",
INDEX(Data!$B$2:$EO$956,
SMALL(IF(INDEX(Data!$B$2:$EO$956,,MATCH("Call Due",Data!$1:$1,0)-1,1)="Yes",MATCH(ROW(Data!$CN$2:$CN$956),ROW(Data!$CN$2:$CN$956)),""),ROWS($A$1:A39)),COLUMNS($A$1:A39)),
$B$6 = "OWIF-W",
INDEX(Data!$B$2:$EO$956,
SMALL(IF(INDEX(Data!$B$2:$EO$956,,MATCH("Grant Fund",Data!$1:$1,0)-1,1)="OWIF-W",MATCH(ROW(Data!$AO$2:$AO$956),ROW(Data!$AO$2:$AO$956)),""),ROWS($A$1:A39)),COLUMNS($A$1:A39)),
$B$6 = "G2C",
INDEX(Data!$B$2:$EO$956,
SMALL(IF(INDEX(Data!$B$2:$EO$956,,MATCH("Grant Fund",Data!$1:$1,0)-1,1)="Grads2Careers",MATCH(ROW(Data!$AO$2:$AO$956),ROW(Data!$AO$2:$AO$956)),""),ROWS($A$1:A39)),COLUMNS($A$1:A39)),
$B$6 = "OWIF",
INDEX(Data!$B$2:$EO$956,
SMALL(IF(INDEX(Data!$B$2:$EO$956,,MATCH("Grant Fund",Data!$1:$1,0)-1,1)="OWIF",MATCH(ROW(Data!$AO$2:$AO$956),ROW(Data!$AO$2:$AO$956)),""),ROWS($A$1:A39)),COLUMNS($A$1:A39)),
$B$6 = "WIOA",
INDEX(Data!$B$2:$EO$956,
SMALL(IF(INDEX(Data!$B$2:$EO$956,,MATCH("Grant Fund",Data!$1:$1,0)-1,1)="WIOA",MATCH(ROW(Data!$AO$2:$AO$956),ROW(Data!$AO$2:$AO$956)),""),ROWS($A$1:A39)),COLUMNS($A$1:A39)),
$B$6 = "WIOA II",
INDEX(Data!$B$2:$EO$956,
SMALL(IF(INDEX(Data!$B$2:$EO$956,,MATCH("Grant Fund",Data!$1:$1,0)-1,1)="WIOA II",MATCH(ROW(Data!$AO$2:$AO$956),ROW(Data!$AO$2:$AO$956)),""),ROWS($A$1:A39)),COLUMNS($A$1:A39)),
$B$6 = "WIOA III",
INDEX(Data!$B$2:$EO$956,
SMALL(IF(INDEX(Data!$B$2:$EO$956,,MATCH("Grant Fund",Data!$1:$1,0)-1,1)="WIOA III",MATCH(ROW(Data!$AO$2:$AO$956),ROW(Data!$AO$2:$AO$956)),""),ROWS($A$1:A39)),COLUMNS($A$1:A39)),
$B$6 = "Currently Employed",
INDEX(Data!$B$2:$EO$956,
SMALL(IF(INDEX(Data!$B$2:$EO$956,,MATCH("Currently Employed",Data!$1:$1,0)-1,1)="Yes",MATCH(ROW(Data!$DZ$2:$DZ$956),ROW(Data!$DZ$2:$DZ$956)),""),ROWS($A$1:A39)),COLUMNS($A$1:A39)),
$B$6 = "Inactive",
INDEX(Data!$B$2:$EO$956,
SMALL(IF(INDEX(Data!$B$2:$EO$956,,MATCH("Inactive",Data!$1:$1,0)-1,1)="Yes",MATCH(ROW(Data!$DG$2:$DG$956),ROW(Data!$DG$2:$DG$956)),""),ROWS($A$1:A39)),COLUMNS($A$1:A39)),
$B$6 = "Active",
INDEX(Data!$B$2:$EO$956,
SMALL(IF(INDEX(Data!$B$2:$EO$956,,MATCH("Active",Data!$1:$1,0)-1,1)="Yes",MATCH(ROW(Data!$DZ$2:$DZ$956),ROW(Data!$DZ$2:$DZ$956)),""),ROWS($A$1:A39)),COLUMNS($A$1:A39)),
$B$6 = "Status Unknown",
INDEX(Data!$B$2:$EO$956,
SMALL(IF(INDEX(Data!$B$2:$EO$956,,MATCH("Status Unknown",Data!$1:$1,0)-1,1)="Yes",MATCH(ROW(Data!$EB$2:$EB$956),ROW(Data!$EB$2:$EB$956)),""),ROWS($A$1:A39)),COLUMNS($A$1:A39)),
$B$6 = "Enrollment Pending",
INDEX(Data!$B$2:$EO$956,
SMALL(IF(INDEX(Data!$B$2:$EO$956,,MATCH("Enrollment Pending",Data!$1:$1,0)-1,1)="Yes",MATCH(ROW(Data!$DY$2:$DY$956),ROW(Data!$DY$2:$DY$956)),""),ROWS($A$1:A39)),COLUMNS($A$1:A39)),
$B$6 = "Gained Certification",
INDEX(Data!$B$2:$EO$956,
SMALL(IF(INDEX(Data!$B$2:$EO$956,,MATCH("Gained Certification",Data!$1:$1,0)-1,1)="Yes",MATCH(ROW(Data!$DU$2:$DU$956),ROW(Data!$DU$2:$DU$956)),""),ROWS($A$1:A39)),COLUMNS($A$1:A39)),
$B$6 = "No Certification",
INDEX(Data!$B$2:$EO$956,
SMALL(IF(INDEX(Data!$B$2:$EO$956,,MATCH("Gained Certification",Data!$1:$1,0)-1,1)&lt;&gt;"Yes",MATCH(ROW(Data!$DU$2:$DU$956),ROW(Data!$DU$2:$DU$956)),""),ROWS($A$1:A39)),COLUMNS($A$1:A39)),
$B$6 = "Completers Without Employment",
INDEX(Data!$B$2:$EO$967,
SMALL(IF(INDEX(Data!$B$2:$EO$967,,MATCH("Completed Without Employment",Data!$1:$1,0)-1,1)="Yes",MATCH(ROW(Data!$DZ$2:$DZ$967),ROW(Data!$DZ$2:$DZ$967)),""),ROWS($A$1:A39)),COLUMNS($A$1:A39)),
$B$6 = "CH",
INDEX(Data!$B$2:$EO$956,
SMALL(IF(INDEX(Data!$B$2:$EO$956,,MATCH("Case Manager",Data!$1:$1,0)-1,1)="CH",MATCH(ROW(Data!$DZ$2:$DZ$956),ROW(Data!$DZ$2:$DZ$956)),""),ROWS($A$1:A39)),COLUMNS($A$1:A39)),
$B$6 = "ML",
INDEX(Data!$B$2:$EO$956,
SMALL(IF(INDEX(Data!$B$2:$EO$956,,MATCH("Case Manager",Data!$1:$1,0)-1,1)="ML",MATCH(ROW(Data!$DZ$2:$DZ$956),ROW(Data!$DZ$2:$DZ$956)),""),ROWS($A$1:A39)),COLUMNS($A$1:A39)),
$B$6 = "RB",
INDEX(Data!$B$2:$EO$956,
SMALL(IF(INDEX(Data!$B$2:$EO$956,,MATCH("Case Manager",Data!$1:$1,0)-1,1)="RB",MATCH(ROW(Data!$DZ$2:$DZ$956),ROW(Data!$DZ$2:$DZ$956)),""),ROWS($A$1:A39)),COLUMNS($A$1:A39)),
$B$6 = "RV",
INDEX(Data!$B$2:$EO$956,
SMALL(IF(INDEX(Data!$B$2:$EO$956,,MATCH("Case Manager",Data!$1:$1,0)-1,1)="RV",MATCH(ROW(Data!$DZ$2:$DZ$956),ROW(Data!$DZ$2:$DZ$956)),""),ROWS($A$1:A39)),COLUMNS($A$1:A39)),
$B$6 = "SG",
INDEX(Data!$B$2:$EO$956,
SMALL(IF(INDEX(Data!$B$2:$EO$956,,MATCH("Case Manager",Data!$1:$1,0)-1,1)="SH",MATCH(ROW(Data!$DZ$2:$DZ$956),ROW(Data!$DZ$2:$DZ$956)),""),ROWS($A$1:A39)),COLUMNS($A$1:A39))
),"")</f>
        <v>976939</v>
      </c>
      <c r="C50" s="1" t="str">
        <f>IF(
IFERROR(
INDEX(Data!$1:$1048576,MATCH('Client Lists'!$B50,Data!$B:$B,0),MATCH('Client Lists'!C$11,Data!$1:$1,0)),"")=0,"",
IFERROR(
INDEX(Data!$1:$1048576,MATCH('Client Lists'!$B50,Data!$B:$B,0),MATCH('Client Lists'!C$11,Data!$1:$1,0)),""))</f>
        <v/>
      </c>
      <c r="D50" s="1" t="str">
        <f>IF(
IFERROR(
INDEX(Data!$1:$1048576,MATCH('Client Lists'!$B50,Data!$B:$B,0),MATCH('Client Lists'!D$11,Data!$1:$1,0)),"")=0,"",
IFERROR(
INDEX(Data!$1:$1048576,MATCH('Client Lists'!$B50,Data!$B:$B,0),MATCH('Client Lists'!D$11,Data!$1:$1,0)),""))</f>
        <v>MTDL</v>
      </c>
      <c r="E50" s="1" t="str">
        <f>IF(
IFERROR(
INDEX(Data!$1:$1048576,MATCH('Client Lists'!$B50,Data!$B:$B,0),MATCH('Client Lists'!E$11,Data!$1:$1,0)),"")=0,"",
IFERROR(
INDEX(Data!$1:$1048576,MATCH('Client Lists'!$B50,Data!$B:$B,0),MATCH('Client Lists'!E$11,Data!$1:$1,0)),""))</f>
        <v xml:space="preserve"> CDBG; EARN</v>
      </c>
      <c r="F50" s="1">
        <f>IF(
IFERROR(
INDEX(Data!$1:$1048576,MATCH('Client Lists'!$B50,Data!$B:$B,0),MATCH('Client Lists'!F$11,Data!$1:$1,0)),"")=0,"",
IFERROR(
INDEX(Data!$1:$1048576,MATCH('Client Lists'!$B50,Data!$B:$B,0),MATCH('Client Lists'!F$11,Data!$1:$1,0)),""))</f>
        <v>44571</v>
      </c>
      <c r="G50" s="1" t="str">
        <f>IF(
IFERROR(
INDEX(Data!$1:$1048576,MATCH('Client Lists'!$B50,Data!$B:$B,0),MATCH('Client Lists'!G$11,Data!$1:$1,0)),"")=0,"",
IFERROR(
INDEX(Data!$1:$1048576,MATCH('Client Lists'!$B50,Data!$B:$B,0),MATCH('Client Lists'!G$11,Data!$1:$1,0)),""))</f>
        <v>Yes</v>
      </c>
      <c r="H50" s="1" t="str">
        <f>IF(
IFERROR(
INDEX(Data!$1:$1048576,MATCH('Client Lists'!$B50,Data!$B:$B,0),MATCH('Client Lists'!H$11,Data!$1:$1,0)),"")=0,"",
IFERROR(
INDEX(Data!$1:$1048576,MATCH('Client Lists'!$B50,Data!$B:$B,0),MATCH('Client Lists'!H$11,Data!$1:$1,0)),""))</f>
        <v>No</v>
      </c>
      <c r="I50" s="1" t="str">
        <f>IF(
IFERROR(
INDEX(Data!$1:$1048576,MATCH('Client Lists'!$B50,Data!$B:$B,0),MATCH('Client Lists'!I$11,Data!$1:$1,0)),"")=0,"",
IFERROR(
INDEX(Data!$1:$1048576,MATCH('Client Lists'!$B50,Data!$B:$B,0),MATCH('Client Lists'!I$11,Data!$1:$1,0)),""))</f>
        <v>Yes</v>
      </c>
      <c r="J50" s="1" t="str">
        <f>IF(
IFERROR(
INDEX(Data!$1:$1048576,MATCH('Client Lists'!$B50,Data!$B:$B,0),MATCH('Client Lists'!J$11,Data!$1:$1,0)),"")=0,"",
IFERROR(
INDEX(Data!$1:$1048576,MATCH('Client Lists'!$B50,Data!$B:$B,0),MATCH('Client Lists'!J$11,Data!$1:$1,0)),""))</f>
        <v/>
      </c>
      <c r="K50" s="1" t="str">
        <f>IF(
IFERROR(
INDEX(Data!$1:$1048576,MATCH('Client Lists'!$B50,Data!$B:$B,0),MATCH('Client Lists'!K$11,Data!$1:$1,0)),"")=0,"",
IFERROR(
INDEX(Data!$1:$1048576,MATCH('Client Lists'!$B50,Data!$B:$B,0),MATCH('Client Lists'!K$11,Data!$1:$1,0)),""))</f>
        <v/>
      </c>
    </row>
    <row r="51" spans="2:11" x14ac:dyDescent="0.45">
      <c r="B51" s="5">
        <f t="array" ref="B51">IFERROR(_xlfn.IFS(
$B$6 = "Retention Overdue",
INDEX(Data!$B$2:$EO$956,
SMALL(IF(INDEX(Data!$B$2:$EO$956,,MATCH("Call Due",Data!$1:$1,0)-1,1)="Yes",MATCH(ROW(Data!$CN$2:$CN$956),ROW(Data!$CN$2:$CN$956)),""),ROWS($A$1:A40)),COLUMNS($A$1:A40)),
$B$6 = "OWIF-W",
INDEX(Data!$B$2:$EO$956,
SMALL(IF(INDEX(Data!$B$2:$EO$956,,MATCH("Grant Fund",Data!$1:$1,0)-1,1)="OWIF-W",MATCH(ROW(Data!$AO$2:$AO$956),ROW(Data!$AO$2:$AO$956)),""),ROWS($A$1:A40)),COLUMNS($A$1:A40)),
$B$6 = "G2C",
INDEX(Data!$B$2:$EO$956,
SMALL(IF(INDEX(Data!$B$2:$EO$956,,MATCH("Grant Fund",Data!$1:$1,0)-1,1)="Grads2Careers",MATCH(ROW(Data!$AO$2:$AO$956),ROW(Data!$AO$2:$AO$956)),""),ROWS($A$1:A40)),COLUMNS($A$1:A40)),
$B$6 = "OWIF",
INDEX(Data!$B$2:$EO$956,
SMALL(IF(INDEX(Data!$B$2:$EO$956,,MATCH("Grant Fund",Data!$1:$1,0)-1,1)="OWIF",MATCH(ROW(Data!$AO$2:$AO$956),ROW(Data!$AO$2:$AO$956)),""),ROWS($A$1:A40)),COLUMNS($A$1:A40)),
$B$6 = "WIOA",
INDEX(Data!$B$2:$EO$956,
SMALL(IF(INDEX(Data!$B$2:$EO$956,,MATCH("Grant Fund",Data!$1:$1,0)-1,1)="WIOA",MATCH(ROW(Data!$AO$2:$AO$956),ROW(Data!$AO$2:$AO$956)),""),ROWS($A$1:A40)),COLUMNS($A$1:A40)),
$B$6 = "WIOA II",
INDEX(Data!$B$2:$EO$956,
SMALL(IF(INDEX(Data!$B$2:$EO$956,,MATCH("Grant Fund",Data!$1:$1,0)-1,1)="WIOA II",MATCH(ROW(Data!$AO$2:$AO$956),ROW(Data!$AO$2:$AO$956)),""),ROWS($A$1:A40)),COLUMNS($A$1:A40)),
$B$6 = "WIOA III",
INDEX(Data!$B$2:$EO$956,
SMALL(IF(INDEX(Data!$B$2:$EO$956,,MATCH("Grant Fund",Data!$1:$1,0)-1,1)="WIOA III",MATCH(ROW(Data!$AO$2:$AO$956),ROW(Data!$AO$2:$AO$956)),""),ROWS($A$1:A40)),COLUMNS($A$1:A40)),
$B$6 = "Currently Employed",
INDEX(Data!$B$2:$EO$956,
SMALL(IF(INDEX(Data!$B$2:$EO$956,,MATCH("Currently Employed",Data!$1:$1,0)-1,1)="Yes",MATCH(ROW(Data!$DZ$2:$DZ$956),ROW(Data!$DZ$2:$DZ$956)),""),ROWS($A$1:A40)),COLUMNS($A$1:A40)),
$B$6 = "Inactive",
INDEX(Data!$B$2:$EO$956,
SMALL(IF(INDEX(Data!$B$2:$EO$956,,MATCH("Inactive",Data!$1:$1,0)-1,1)="Yes",MATCH(ROW(Data!$DG$2:$DG$956),ROW(Data!$DG$2:$DG$956)),""),ROWS($A$1:A40)),COLUMNS($A$1:A40)),
$B$6 = "Active",
INDEX(Data!$B$2:$EO$956,
SMALL(IF(INDEX(Data!$B$2:$EO$956,,MATCH("Active",Data!$1:$1,0)-1,1)="Yes",MATCH(ROW(Data!$DZ$2:$DZ$956),ROW(Data!$DZ$2:$DZ$956)),""),ROWS($A$1:A40)),COLUMNS($A$1:A40)),
$B$6 = "Status Unknown",
INDEX(Data!$B$2:$EO$956,
SMALL(IF(INDEX(Data!$B$2:$EO$956,,MATCH("Status Unknown",Data!$1:$1,0)-1,1)="Yes",MATCH(ROW(Data!$EB$2:$EB$956),ROW(Data!$EB$2:$EB$956)),""),ROWS($A$1:A40)),COLUMNS($A$1:A40)),
$B$6 = "Enrollment Pending",
INDEX(Data!$B$2:$EO$956,
SMALL(IF(INDEX(Data!$B$2:$EO$956,,MATCH("Enrollment Pending",Data!$1:$1,0)-1,1)="Yes",MATCH(ROW(Data!$DY$2:$DY$956),ROW(Data!$DY$2:$DY$956)),""),ROWS($A$1:A40)),COLUMNS($A$1:A40)),
$B$6 = "Gained Certification",
INDEX(Data!$B$2:$EO$956,
SMALL(IF(INDEX(Data!$B$2:$EO$956,,MATCH("Gained Certification",Data!$1:$1,0)-1,1)="Yes",MATCH(ROW(Data!$DU$2:$DU$956),ROW(Data!$DU$2:$DU$956)),""),ROWS($A$1:A40)),COLUMNS($A$1:A40)),
$B$6 = "No Certification",
INDEX(Data!$B$2:$EO$956,
SMALL(IF(INDEX(Data!$B$2:$EO$956,,MATCH("Gained Certification",Data!$1:$1,0)-1,1)&lt;&gt;"Yes",MATCH(ROW(Data!$DU$2:$DU$956),ROW(Data!$DU$2:$DU$956)),""),ROWS($A$1:A40)),COLUMNS($A$1:A40)),
$B$6 = "Completers Without Employment",
INDEX(Data!$B$2:$EO$967,
SMALL(IF(INDEX(Data!$B$2:$EO$967,,MATCH("Completed Without Employment",Data!$1:$1,0)-1,1)="Yes",MATCH(ROW(Data!$DZ$2:$DZ$967),ROW(Data!$DZ$2:$DZ$967)),""),ROWS($A$1:A40)),COLUMNS($A$1:A40)),
$B$6 = "CH",
INDEX(Data!$B$2:$EO$956,
SMALL(IF(INDEX(Data!$B$2:$EO$956,,MATCH("Case Manager",Data!$1:$1,0)-1,1)="CH",MATCH(ROW(Data!$DZ$2:$DZ$956),ROW(Data!$DZ$2:$DZ$956)),""),ROWS($A$1:A40)),COLUMNS($A$1:A40)),
$B$6 = "ML",
INDEX(Data!$B$2:$EO$956,
SMALL(IF(INDEX(Data!$B$2:$EO$956,,MATCH("Case Manager",Data!$1:$1,0)-1,1)="ML",MATCH(ROW(Data!$DZ$2:$DZ$956),ROW(Data!$DZ$2:$DZ$956)),""),ROWS($A$1:A40)),COLUMNS($A$1:A40)),
$B$6 = "RB",
INDEX(Data!$B$2:$EO$956,
SMALL(IF(INDEX(Data!$B$2:$EO$956,,MATCH("Case Manager",Data!$1:$1,0)-1,1)="RB",MATCH(ROW(Data!$DZ$2:$DZ$956),ROW(Data!$DZ$2:$DZ$956)),""),ROWS($A$1:A40)),COLUMNS($A$1:A40)),
$B$6 = "RV",
INDEX(Data!$B$2:$EO$956,
SMALL(IF(INDEX(Data!$B$2:$EO$956,,MATCH("Case Manager",Data!$1:$1,0)-1,1)="RV",MATCH(ROW(Data!$DZ$2:$DZ$956),ROW(Data!$DZ$2:$DZ$956)),""),ROWS($A$1:A40)),COLUMNS($A$1:A40)),
$B$6 = "SG",
INDEX(Data!$B$2:$EO$956,
SMALL(IF(INDEX(Data!$B$2:$EO$956,,MATCH("Case Manager",Data!$1:$1,0)-1,1)="SH",MATCH(ROW(Data!$DZ$2:$DZ$956),ROW(Data!$DZ$2:$DZ$956)),""),ROWS($A$1:A40)),COLUMNS($A$1:A40))
),"")</f>
        <v>977308</v>
      </c>
      <c r="C51" s="1" t="str">
        <f>IF(
IFERROR(
INDEX(Data!$1:$1048576,MATCH('Client Lists'!$B51,Data!$B:$B,0),MATCH('Client Lists'!C$11,Data!$1:$1,0)),"")=0,"",
IFERROR(
INDEX(Data!$1:$1048576,MATCH('Client Lists'!$B51,Data!$B:$B,0),MATCH('Client Lists'!C$11,Data!$1:$1,0)),""))</f>
        <v/>
      </c>
      <c r="D51" s="1" t="str">
        <f>IF(
IFERROR(
INDEX(Data!$1:$1048576,MATCH('Client Lists'!$B51,Data!$B:$B,0),MATCH('Client Lists'!D$11,Data!$1:$1,0)),"")=0,"",
IFERROR(
INDEX(Data!$1:$1048576,MATCH('Client Lists'!$B51,Data!$B:$B,0),MATCH('Client Lists'!D$11,Data!$1:$1,0)),""))</f>
        <v>MTDL</v>
      </c>
      <c r="E51" s="1" t="str">
        <f>IF(
IFERROR(
INDEX(Data!$1:$1048576,MATCH('Client Lists'!$B51,Data!$B:$B,0),MATCH('Client Lists'!E$11,Data!$1:$1,0)),"")=0,"",
IFERROR(
INDEX(Data!$1:$1048576,MATCH('Client Lists'!$B51,Data!$B:$B,0),MATCH('Client Lists'!E$11,Data!$1:$1,0)),""))</f>
        <v xml:space="preserve"> CDBG</v>
      </c>
      <c r="F51" s="1" t="str">
        <f>IF(
IFERROR(
INDEX(Data!$1:$1048576,MATCH('Client Lists'!$B51,Data!$B:$B,0),MATCH('Client Lists'!F$11,Data!$1:$1,0)),"")=0,"",
IFERROR(
INDEX(Data!$1:$1048576,MATCH('Client Lists'!$B51,Data!$B:$B,0),MATCH('Client Lists'!F$11,Data!$1:$1,0)),""))</f>
        <v/>
      </c>
      <c r="G51" s="1" t="str">
        <f>IF(
IFERROR(
INDEX(Data!$1:$1048576,MATCH('Client Lists'!$B51,Data!$B:$B,0),MATCH('Client Lists'!G$11,Data!$1:$1,0)),"")=0,"",
IFERROR(
INDEX(Data!$1:$1048576,MATCH('Client Lists'!$B51,Data!$B:$B,0),MATCH('Client Lists'!G$11,Data!$1:$1,0)),""))</f>
        <v>No</v>
      </c>
      <c r="H51" s="1" t="str">
        <f>IF(
IFERROR(
INDEX(Data!$1:$1048576,MATCH('Client Lists'!$B51,Data!$B:$B,0),MATCH('Client Lists'!H$11,Data!$1:$1,0)),"")=0,"",
IFERROR(
INDEX(Data!$1:$1048576,MATCH('Client Lists'!$B51,Data!$B:$B,0),MATCH('Client Lists'!H$11,Data!$1:$1,0)),""))</f>
        <v>No</v>
      </c>
      <c r="I51" s="1" t="str">
        <f>IF(
IFERROR(
INDEX(Data!$1:$1048576,MATCH('Client Lists'!$B51,Data!$B:$B,0),MATCH('Client Lists'!I$11,Data!$1:$1,0)),"")=0,"",
IFERROR(
INDEX(Data!$1:$1048576,MATCH('Client Lists'!$B51,Data!$B:$B,0),MATCH('Client Lists'!I$11,Data!$1:$1,0)),""))</f>
        <v/>
      </c>
      <c r="J51" s="1" t="str">
        <f>IF(
IFERROR(
INDEX(Data!$1:$1048576,MATCH('Client Lists'!$B51,Data!$B:$B,0),MATCH('Client Lists'!J$11,Data!$1:$1,0)),"")=0,"",
IFERROR(
INDEX(Data!$1:$1048576,MATCH('Client Lists'!$B51,Data!$B:$B,0),MATCH('Client Lists'!J$11,Data!$1:$1,0)),""))</f>
        <v/>
      </c>
      <c r="K51" s="1" t="str">
        <f>IF(
IFERROR(
INDEX(Data!$1:$1048576,MATCH('Client Lists'!$B51,Data!$B:$B,0),MATCH('Client Lists'!K$11,Data!$1:$1,0)),"")=0,"",
IFERROR(
INDEX(Data!$1:$1048576,MATCH('Client Lists'!$B51,Data!$B:$B,0),MATCH('Client Lists'!K$11,Data!$1:$1,0)),""))</f>
        <v/>
      </c>
    </row>
    <row r="52" spans="2:11" x14ac:dyDescent="0.45">
      <c r="B52" s="5">
        <f t="array" ref="B52">IFERROR(_xlfn.IFS(
$B$6 = "Retention Overdue",
INDEX(Data!$B$2:$EO$956,
SMALL(IF(INDEX(Data!$B$2:$EO$956,,MATCH("Call Due",Data!$1:$1,0)-1,1)="Yes",MATCH(ROW(Data!$CN$2:$CN$956),ROW(Data!$CN$2:$CN$956)),""),ROWS($A$1:A41)),COLUMNS($A$1:A41)),
$B$6 = "OWIF-W",
INDEX(Data!$B$2:$EO$956,
SMALL(IF(INDEX(Data!$B$2:$EO$956,,MATCH("Grant Fund",Data!$1:$1,0)-1,1)="OWIF-W",MATCH(ROW(Data!$AO$2:$AO$956),ROW(Data!$AO$2:$AO$956)),""),ROWS($A$1:A41)),COLUMNS($A$1:A41)),
$B$6 = "G2C",
INDEX(Data!$B$2:$EO$956,
SMALL(IF(INDEX(Data!$B$2:$EO$956,,MATCH("Grant Fund",Data!$1:$1,0)-1,1)="Grads2Careers",MATCH(ROW(Data!$AO$2:$AO$956),ROW(Data!$AO$2:$AO$956)),""),ROWS($A$1:A41)),COLUMNS($A$1:A41)),
$B$6 = "OWIF",
INDEX(Data!$B$2:$EO$956,
SMALL(IF(INDEX(Data!$B$2:$EO$956,,MATCH("Grant Fund",Data!$1:$1,0)-1,1)="OWIF",MATCH(ROW(Data!$AO$2:$AO$956),ROW(Data!$AO$2:$AO$956)),""),ROWS($A$1:A41)),COLUMNS($A$1:A41)),
$B$6 = "WIOA",
INDEX(Data!$B$2:$EO$956,
SMALL(IF(INDEX(Data!$B$2:$EO$956,,MATCH("Grant Fund",Data!$1:$1,0)-1,1)="WIOA",MATCH(ROW(Data!$AO$2:$AO$956),ROW(Data!$AO$2:$AO$956)),""),ROWS($A$1:A41)),COLUMNS($A$1:A41)),
$B$6 = "WIOA II",
INDEX(Data!$B$2:$EO$956,
SMALL(IF(INDEX(Data!$B$2:$EO$956,,MATCH("Grant Fund",Data!$1:$1,0)-1,1)="WIOA II",MATCH(ROW(Data!$AO$2:$AO$956),ROW(Data!$AO$2:$AO$956)),""),ROWS($A$1:A41)),COLUMNS($A$1:A41)),
$B$6 = "WIOA III",
INDEX(Data!$B$2:$EO$956,
SMALL(IF(INDEX(Data!$B$2:$EO$956,,MATCH("Grant Fund",Data!$1:$1,0)-1,1)="WIOA III",MATCH(ROW(Data!$AO$2:$AO$956),ROW(Data!$AO$2:$AO$956)),""),ROWS($A$1:A41)),COLUMNS($A$1:A41)),
$B$6 = "Currently Employed",
INDEX(Data!$B$2:$EO$956,
SMALL(IF(INDEX(Data!$B$2:$EO$956,,MATCH("Currently Employed",Data!$1:$1,0)-1,1)="Yes",MATCH(ROW(Data!$DZ$2:$DZ$956),ROW(Data!$DZ$2:$DZ$956)),""),ROWS($A$1:A41)),COLUMNS($A$1:A41)),
$B$6 = "Inactive",
INDEX(Data!$B$2:$EO$956,
SMALL(IF(INDEX(Data!$B$2:$EO$956,,MATCH("Inactive",Data!$1:$1,0)-1,1)="Yes",MATCH(ROW(Data!$DG$2:$DG$956),ROW(Data!$DG$2:$DG$956)),""),ROWS($A$1:A41)),COLUMNS($A$1:A41)),
$B$6 = "Active",
INDEX(Data!$B$2:$EO$956,
SMALL(IF(INDEX(Data!$B$2:$EO$956,,MATCH("Active",Data!$1:$1,0)-1,1)="Yes",MATCH(ROW(Data!$DZ$2:$DZ$956),ROW(Data!$DZ$2:$DZ$956)),""),ROWS($A$1:A41)),COLUMNS($A$1:A41)),
$B$6 = "Status Unknown",
INDEX(Data!$B$2:$EO$956,
SMALL(IF(INDEX(Data!$B$2:$EO$956,,MATCH("Status Unknown",Data!$1:$1,0)-1,1)="Yes",MATCH(ROW(Data!$EB$2:$EB$956),ROW(Data!$EB$2:$EB$956)),""),ROWS($A$1:A41)),COLUMNS($A$1:A41)),
$B$6 = "Enrollment Pending",
INDEX(Data!$B$2:$EO$956,
SMALL(IF(INDEX(Data!$B$2:$EO$956,,MATCH("Enrollment Pending",Data!$1:$1,0)-1,1)="Yes",MATCH(ROW(Data!$DY$2:$DY$956),ROW(Data!$DY$2:$DY$956)),""),ROWS($A$1:A41)),COLUMNS($A$1:A41)),
$B$6 = "Gained Certification",
INDEX(Data!$B$2:$EO$956,
SMALL(IF(INDEX(Data!$B$2:$EO$956,,MATCH("Gained Certification",Data!$1:$1,0)-1,1)="Yes",MATCH(ROW(Data!$DU$2:$DU$956),ROW(Data!$DU$2:$DU$956)),""),ROWS($A$1:A41)),COLUMNS($A$1:A41)),
$B$6 = "No Certification",
INDEX(Data!$B$2:$EO$956,
SMALL(IF(INDEX(Data!$B$2:$EO$956,,MATCH("Gained Certification",Data!$1:$1,0)-1,1)&lt;&gt;"Yes",MATCH(ROW(Data!$DU$2:$DU$956),ROW(Data!$DU$2:$DU$956)),""),ROWS($A$1:A41)),COLUMNS($A$1:A41)),
$B$6 = "Completers Without Employment",
INDEX(Data!$B$2:$EO$967,
SMALL(IF(INDEX(Data!$B$2:$EO$967,,MATCH("Completed Without Employment",Data!$1:$1,0)-1,1)="Yes",MATCH(ROW(Data!$DZ$2:$DZ$967),ROW(Data!$DZ$2:$DZ$967)),""),ROWS($A$1:A41)),COLUMNS($A$1:A41)),
$B$6 = "CH",
INDEX(Data!$B$2:$EO$956,
SMALL(IF(INDEX(Data!$B$2:$EO$956,,MATCH("Case Manager",Data!$1:$1,0)-1,1)="CH",MATCH(ROW(Data!$DZ$2:$DZ$956),ROW(Data!$DZ$2:$DZ$956)),""),ROWS($A$1:A41)),COLUMNS($A$1:A41)),
$B$6 = "ML",
INDEX(Data!$B$2:$EO$956,
SMALL(IF(INDEX(Data!$B$2:$EO$956,,MATCH("Case Manager",Data!$1:$1,0)-1,1)="ML",MATCH(ROW(Data!$DZ$2:$DZ$956),ROW(Data!$DZ$2:$DZ$956)),""),ROWS($A$1:A41)),COLUMNS($A$1:A41)),
$B$6 = "RB",
INDEX(Data!$B$2:$EO$956,
SMALL(IF(INDEX(Data!$B$2:$EO$956,,MATCH("Case Manager",Data!$1:$1,0)-1,1)="RB",MATCH(ROW(Data!$DZ$2:$DZ$956),ROW(Data!$DZ$2:$DZ$956)),""),ROWS($A$1:A41)),COLUMNS($A$1:A41)),
$B$6 = "RV",
INDEX(Data!$B$2:$EO$956,
SMALL(IF(INDEX(Data!$B$2:$EO$956,,MATCH("Case Manager",Data!$1:$1,0)-1,1)="RV",MATCH(ROW(Data!$DZ$2:$DZ$956),ROW(Data!$DZ$2:$DZ$956)),""),ROWS($A$1:A41)),COLUMNS($A$1:A41)),
$B$6 = "SG",
INDEX(Data!$B$2:$EO$956,
SMALL(IF(INDEX(Data!$B$2:$EO$956,,MATCH("Case Manager",Data!$1:$1,0)-1,1)="SH",MATCH(ROW(Data!$DZ$2:$DZ$956),ROW(Data!$DZ$2:$DZ$956)),""),ROWS($A$1:A41)),COLUMNS($A$1:A41))
),"")</f>
        <v>976733</v>
      </c>
      <c r="C52" s="1" t="str">
        <f>IF(
IFERROR(
INDEX(Data!$1:$1048576,MATCH('Client Lists'!$B52,Data!$B:$B,0),MATCH('Client Lists'!C$11,Data!$1:$1,0)),"")=0,"",
IFERROR(
INDEX(Data!$1:$1048576,MATCH('Client Lists'!$B52,Data!$B:$B,0),MATCH('Client Lists'!C$11,Data!$1:$1,0)),""))</f>
        <v/>
      </c>
      <c r="D52" s="1" t="str">
        <f>IF(
IFERROR(
INDEX(Data!$1:$1048576,MATCH('Client Lists'!$B52,Data!$B:$B,0),MATCH('Client Lists'!D$11,Data!$1:$1,0)),"")=0,"",
IFERROR(
INDEX(Data!$1:$1048576,MATCH('Client Lists'!$B52,Data!$B:$B,0),MATCH('Client Lists'!D$11,Data!$1:$1,0)),""))</f>
        <v>MTDL</v>
      </c>
      <c r="E52" s="1" t="str">
        <f>IF(
IFERROR(
INDEX(Data!$1:$1048576,MATCH('Client Lists'!$B52,Data!$B:$B,0),MATCH('Client Lists'!E$11,Data!$1:$1,0)),"")=0,"",
IFERROR(
INDEX(Data!$1:$1048576,MATCH('Client Lists'!$B52,Data!$B:$B,0),MATCH('Client Lists'!E$11,Data!$1:$1,0)),""))</f>
        <v xml:space="preserve"> CDBG; SNAP; EARN</v>
      </c>
      <c r="F52" s="1">
        <f>IF(
IFERROR(
INDEX(Data!$1:$1048576,MATCH('Client Lists'!$B52,Data!$B:$B,0),MATCH('Client Lists'!F$11,Data!$1:$1,0)),"")=0,"",
IFERROR(
INDEX(Data!$1:$1048576,MATCH('Client Lists'!$B52,Data!$B:$B,0),MATCH('Client Lists'!F$11,Data!$1:$1,0)),""))</f>
        <v>44410</v>
      </c>
      <c r="G52" s="1" t="str">
        <f>IF(
IFERROR(
INDEX(Data!$1:$1048576,MATCH('Client Lists'!$B52,Data!$B:$B,0),MATCH('Client Lists'!G$11,Data!$1:$1,0)),"")=0,"",
IFERROR(
INDEX(Data!$1:$1048576,MATCH('Client Lists'!$B52,Data!$B:$B,0),MATCH('Client Lists'!G$11,Data!$1:$1,0)),""))</f>
        <v>Yes</v>
      </c>
      <c r="H52" s="1" t="str">
        <f>IF(
IFERROR(
INDEX(Data!$1:$1048576,MATCH('Client Lists'!$B52,Data!$B:$B,0),MATCH('Client Lists'!H$11,Data!$1:$1,0)),"")=0,"",
IFERROR(
INDEX(Data!$1:$1048576,MATCH('Client Lists'!$B52,Data!$B:$B,0),MATCH('Client Lists'!H$11,Data!$1:$1,0)),""))</f>
        <v>No</v>
      </c>
      <c r="I52" s="1" t="str">
        <f>IF(
IFERROR(
INDEX(Data!$1:$1048576,MATCH('Client Lists'!$B52,Data!$B:$B,0),MATCH('Client Lists'!I$11,Data!$1:$1,0)),"")=0,"",
IFERROR(
INDEX(Data!$1:$1048576,MATCH('Client Lists'!$B52,Data!$B:$B,0),MATCH('Client Lists'!I$11,Data!$1:$1,0)),""))</f>
        <v>Yes</v>
      </c>
      <c r="J52" s="1" t="str">
        <f>IF(
IFERROR(
INDEX(Data!$1:$1048576,MATCH('Client Lists'!$B52,Data!$B:$B,0),MATCH('Client Lists'!J$11,Data!$1:$1,0)),"")=0,"",
IFERROR(
INDEX(Data!$1:$1048576,MATCH('Client Lists'!$B52,Data!$B:$B,0),MATCH('Client Lists'!J$11,Data!$1:$1,0)),""))</f>
        <v/>
      </c>
      <c r="K52" s="1" t="str">
        <f>IF(
IFERROR(
INDEX(Data!$1:$1048576,MATCH('Client Lists'!$B52,Data!$B:$B,0),MATCH('Client Lists'!K$11,Data!$1:$1,0)),"")=0,"",
IFERROR(
INDEX(Data!$1:$1048576,MATCH('Client Lists'!$B52,Data!$B:$B,0),MATCH('Client Lists'!K$11,Data!$1:$1,0)),""))</f>
        <v/>
      </c>
    </row>
    <row r="53" spans="2:11" x14ac:dyDescent="0.45">
      <c r="B53" s="5">
        <f t="array" ref="B53">IFERROR(_xlfn.IFS(
$B$6 = "Retention Overdue",
INDEX(Data!$B$2:$EO$956,
SMALL(IF(INDEX(Data!$B$2:$EO$956,,MATCH("Call Due",Data!$1:$1,0)-1,1)="Yes",MATCH(ROW(Data!$CN$2:$CN$956),ROW(Data!$CN$2:$CN$956)),""),ROWS($A$1:A42)),COLUMNS($A$1:A42)),
$B$6 = "OWIF-W",
INDEX(Data!$B$2:$EO$956,
SMALL(IF(INDEX(Data!$B$2:$EO$956,,MATCH("Grant Fund",Data!$1:$1,0)-1,1)="OWIF-W",MATCH(ROW(Data!$AO$2:$AO$956),ROW(Data!$AO$2:$AO$956)),""),ROWS($A$1:A42)),COLUMNS($A$1:A42)),
$B$6 = "G2C",
INDEX(Data!$B$2:$EO$956,
SMALL(IF(INDEX(Data!$B$2:$EO$956,,MATCH("Grant Fund",Data!$1:$1,0)-1,1)="Grads2Careers",MATCH(ROW(Data!$AO$2:$AO$956),ROW(Data!$AO$2:$AO$956)),""),ROWS($A$1:A42)),COLUMNS($A$1:A42)),
$B$6 = "OWIF",
INDEX(Data!$B$2:$EO$956,
SMALL(IF(INDEX(Data!$B$2:$EO$956,,MATCH("Grant Fund",Data!$1:$1,0)-1,1)="OWIF",MATCH(ROW(Data!$AO$2:$AO$956),ROW(Data!$AO$2:$AO$956)),""),ROWS($A$1:A42)),COLUMNS($A$1:A42)),
$B$6 = "WIOA",
INDEX(Data!$B$2:$EO$956,
SMALL(IF(INDEX(Data!$B$2:$EO$956,,MATCH("Grant Fund",Data!$1:$1,0)-1,1)="WIOA",MATCH(ROW(Data!$AO$2:$AO$956),ROW(Data!$AO$2:$AO$956)),""),ROWS($A$1:A42)),COLUMNS($A$1:A42)),
$B$6 = "WIOA II",
INDEX(Data!$B$2:$EO$956,
SMALL(IF(INDEX(Data!$B$2:$EO$956,,MATCH("Grant Fund",Data!$1:$1,0)-1,1)="WIOA II",MATCH(ROW(Data!$AO$2:$AO$956),ROW(Data!$AO$2:$AO$956)),""),ROWS($A$1:A42)),COLUMNS($A$1:A42)),
$B$6 = "WIOA III",
INDEX(Data!$B$2:$EO$956,
SMALL(IF(INDEX(Data!$B$2:$EO$956,,MATCH("Grant Fund",Data!$1:$1,0)-1,1)="WIOA III",MATCH(ROW(Data!$AO$2:$AO$956),ROW(Data!$AO$2:$AO$956)),""),ROWS($A$1:A42)),COLUMNS($A$1:A42)),
$B$6 = "Currently Employed",
INDEX(Data!$B$2:$EO$956,
SMALL(IF(INDEX(Data!$B$2:$EO$956,,MATCH("Currently Employed",Data!$1:$1,0)-1,1)="Yes",MATCH(ROW(Data!$DZ$2:$DZ$956),ROW(Data!$DZ$2:$DZ$956)),""),ROWS($A$1:A42)),COLUMNS($A$1:A42)),
$B$6 = "Inactive",
INDEX(Data!$B$2:$EO$956,
SMALL(IF(INDEX(Data!$B$2:$EO$956,,MATCH("Inactive",Data!$1:$1,0)-1,1)="Yes",MATCH(ROW(Data!$DG$2:$DG$956),ROW(Data!$DG$2:$DG$956)),""),ROWS($A$1:A42)),COLUMNS($A$1:A42)),
$B$6 = "Active",
INDEX(Data!$B$2:$EO$956,
SMALL(IF(INDEX(Data!$B$2:$EO$956,,MATCH("Active",Data!$1:$1,0)-1,1)="Yes",MATCH(ROW(Data!$DZ$2:$DZ$956),ROW(Data!$DZ$2:$DZ$956)),""),ROWS($A$1:A42)),COLUMNS($A$1:A42)),
$B$6 = "Status Unknown",
INDEX(Data!$B$2:$EO$956,
SMALL(IF(INDEX(Data!$B$2:$EO$956,,MATCH("Status Unknown",Data!$1:$1,0)-1,1)="Yes",MATCH(ROW(Data!$EB$2:$EB$956),ROW(Data!$EB$2:$EB$956)),""),ROWS($A$1:A42)),COLUMNS($A$1:A42)),
$B$6 = "Enrollment Pending",
INDEX(Data!$B$2:$EO$956,
SMALL(IF(INDEX(Data!$B$2:$EO$956,,MATCH("Enrollment Pending",Data!$1:$1,0)-1,1)="Yes",MATCH(ROW(Data!$DY$2:$DY$956),ROW(Data!$DY$2:$DY$956)),""),ROWS($A$1:A42)),COLUMNS($A$1:A42)),
$B$6 = "Gained Certification",
INDEX(Data!$B$2:$EO$956,
SMALL(IF(INDEX(Data!$B$2:$EO$956,,MATCH("Gained Certification",Data!$1:$1,0)-1,1)="Yes",MATCH(ROW(Data!$DU$2:$DU$956),ROW(Data!$DU$2:$DU$956)),""),ROWS($A$1:A42)),COLUMNS($A$1:A42)),
$B$6 = "No Certification",
INDEX(Data!$B$2:$EO$956,
SMALL(IF(INDEX(Data!$B$2:$EO$956,,MATCH("Gained Certification",Data!$1:$1,0)-1,1)&lt;&gt;"Yes",MATCH(ROW(Data!$DU$2:$DU$956),ROW(Data!$DU$2:$DU$956)),""),ROWS($A$1:A42)),COLUMNS($A$1:A42)),
$B$6 = "Completers Without Employment",
INDEX(Data!$B$2:$EO$967,
SMALL(IF(INDEX(Data!$B$2:$EO$967,,MATCH("Completed Without Employment",Data!$1:$1,0)-1,1)="Yes",MATCH(ROW(Data!$DZ$2:$DZ$967),ROW(Data!$DZ$2:$DZ$967)),""),ROWS($A$1:A42)),COLUMNS($A$1:A42)),
$B$6 = "CH",
INDEX(Data!$B$2:$EO$956,
SMALL(IF(INDEX(Data!$B$2:$EO$956,,MATCH("Case Manager",Data!$1:$1,0)-1,1)="CH",MATCH(ROW(Data!$DZ$2:$DZ$956),ROW(Data!$DZ$2:$DZ$956)),""),ROWS($A$1:A42)),COLUMNS($A$1:A42)),
$B$6 = "ML",
INDEX(Data!$B$2:$EO$956,
SMALL(IF(INDEX(Data!$B$2:$EO$956,,MATCH("Case Manager",Data!$1:$1,0)-1,1)="ML",MATCH(ROW(Data!$DZ$2:$DZ$956),ROW(Data!$DZ$2:$DZ$956)),""),ROWS($A$1:A42)),COLUMNS($A$1:A42)),
$B$6 = "RB",
INDEX(Data!$B$2:$EO$956,
SMALL(IF(INDEX(Data!$B$2:$EO$956,,MATCH("Case Manager",Data!$1:$1,0)-1,1)="RB",MATCH(ROW(Data!$DZ$2:$DZ$956),ROW(Data!$DZ$2:$DZ$956)),""),ROWS($A$1:A42)),COLUMNS($A$1:A42)),
$B$6 = "RV",
INDEX(Data!$B$2:$EO$956,
SMALL(IF(INDEX(Data!$B$2:$EO$956,,MATCH("Case Manager",Data!$1:$1,0)-1,1)="RV",MATCH(ROW(Data!$DZ$2:$DZ$956),ROW(Data!$DZ$2:$DZ$956)),""),ROWS($A$1:A42)),COLUMNS($A$1:A42)),
$B$6 = "SG",
INDEX(Data!$B$2:$EO$956,
SMALL(IF(INDEX(Data!$B$2:$EO$956,,MATCH("Case Manager",Data!$1:$1,0)-1,1)="SH",MATCH(ROW(Data!$DZ$2:$DZ$956),ROW(Data!$DZ$2:$DZ$956)),""),ROWS($A$1:A42)),COLUMNS($A$1:A42))
),"")</f>
        <v>977086</v>
      </c>
      <c r="C53" s="1" t="str">
        <f>IF(
IFERROR(
INDEX(Data!$1:$1048576,MATCH('Client Lists'!$B53,Data!$B:$B,0),MATCH('Client Lists'!C$11,Data!$1:$1,0)),"")=0,"",
IFERROR(
INDEX(Data!$1:$1048576,MATCH('Client Lists'!$B53,Data!$B:$B,0),MATCH('Client Lists'!C$11,Data!$1:$1,0)),""))</f>
        <v/>
      </c>
      <c r="D53" s="1" t="str">
        <f>IF(
IFERROR(
INDEX(Data!$1:$1048576,MATCH('Client Lists'!$B53,Data!$B:$B,0),MATCH('Client Lists'!D$11,Data!$1:$1,0)),"")=0,"",
IFERROR(
INDEX(Data!$1:$1048576,MATCH('Client Lists'!$B53,Data!$B:$B,0),MATCH('Client Lists'!D$11,Data!$1:$1,0)),""))</f>
        <v>MTDL</v>
      </c>
      <c r="E53" s="1" t="str">
        <f>IF(
IFERROR(
INDEX(Data!$1:$1048576,MATCH('Client Lists'!$B53,Data!$B:$B,0),MATCH('Client Lists'!E$11,Data!$1:$1,0)),"")=0,"",
IFERROR(
INDEX(Data!$1:$1048576,MATCH('Client Lists'!$B53,Data!$B:$B,0),MATCH('Client Lists'!E$11,Data!$1:$1,0)),""))</f>
        <v xml:space="preserve"> CDBG; EARN</v>
      </c>
      <c r="F53" s="1">
        <f>IF(
IFERROR(
INDEX(Data!$1:$1048576,MATCH('Client Lists'!$B53,Data!$B:$B,0),MATCH('Client Lists'!F$11,Data!$1:$1,0)),"")=0,"",
IFERROR(
INDEX(Data!$1:$1048576,MATCH('Client Lists'!$B53,Data!$B:$B,0),MATCH('Client Lists'!F$11,Data!$1:$1,0)),""))</f>
        <v>44683</v>
      </c>
      <c r="G53" s="1" t="str">
        <f>IF(
IFERROR(
INDEX(Data!$1:$1048576,MATCH('Client Lists'!$B53,Data!$B:$B,0),MATCH('Client Lists'!G$11,Data!$1:$1,0)),"")=0,"",
IFERROR(
INDEX(Data!$1:$1048576,MATCH('Client Lists'!$B53,Data!$B:$B,0),MATCH('Client Lists'!G$11,Data!$1:$1,0)),""))</f>
        <v>Yes</v>
      </c>
      <c r="H53" s="1" t="str">
        <f>IF(
IFERROR(
INDEX(Data!$1:$1048576,MATCH('Client Lists'!$B53,Data!$B:$B,0),MATCH('Client Lists'!H$11,Data!$1:$1,0)),"")=0,"",
IFERROR(
INDEX(Data!$1:$1048576,MATCH('Client Lists'!$B53,Data!$B:$B,0),MATCH('Client Lists'!H$11,Data!$1:$1,0)),""))</f>
        <v>No</v>
      </c>
      <c r="I53" s="1" t="str">
        <f>IF(
IFERROR(
INDEX(Data!$1:$1048576,MATCH('Client Lists'!$B53,Data!$B:$B,0),MATCH('Client Lists'!I$11,Data!$1:$1,0)),"")=0,"",
IFERROR(
INDEX(Data!$1:$1048576,MATCH('Client Lists'!$B53,Data!$B:$B,0),MATCH('Client Lists'!I$11,Data!$1:$1,0)),""))</f>
        <v>Yes</v>
      </c>
      <c r="J53" s="1" t="str">
        <f>IF(
IFERROR(
INDEX(Data!$1:$1048576,MATCH('Client Lists'!$B53,Data!$B:$B,0),MATCH('Client Lists'!J$11,Data!$1:$1,0)),"")=0,"",
IFERROR(
INDEX(Data!$1:$1048576,MATCH('Client Lists'!$B53,Data!$B:$B,0),MATCH('Client Lists'!J$11,Data!$1:$1,0)),""))</f>
        <v/>
      </c>
      <c r="K53" s="1" t="str">
        <f>IF(
IFERROR(
INDEX(Data!$1:$1048576,MATCH('Client Lists'!$B53,Data!$B:$B,0),MATCH('Client Lists'!K$11,Data!$1:$1,0)),"")=0,"",
IFERROR(
INDEX(Data!$1:$1048576,MATCH('Client Lists'!$B53,Data!$B:$B,0),MATCH('Client Lists'!K$11,Data!$1:$1,0)),""))</f>
        <v/>
      </c>
    </row>
    <row r="54" spans="2:11" x14ac:dyDescent="0.45">
      <c r="B54" s="5">
        <f t="array" ref="B54">IFERROR(_xlfn.IFS(
$B$6 = "Retention Overdue",
INDEX(Data!$B$2:$EO$956,
SMALL(IF(INDEX(Data!$B$2:$EO$956,,MATCH("Call Due",Data!$1:$1,0)-1,1)="Yes",MATCH(ROW(Data!$CN$2:$CN$956),ROW(Data!$CN$2:$CN$956)),""),ROWS($A$1:A43)),COLUMNS($A$1:A43)),
$B$6 = "OWIF-W",
INDEX(Data!$B$2:$EO$956,
SMALL(IF(INDEX(Data!$B$2:$EO$956,,MATCH("Grant Fund",Data!$1:$1,0)-1,1)="OWIF-W",MATCH(ROW(Data!$AO$2:$AO$956),ROW(Data!$AO$2:$AO$956)),""),ROWS($A$1:A43)),COLUMNS($A$1:A43)),
$B$6 = "G2C",
INDEX(Data!$B$2:$EO$956,
SMALL(IF(INDEX(Data!$B$2:$EO$956,,MATCH("Grant Fund",Data!$1:$1,0)-1,1)="Grads2Careers",MATCH(ROW(Data!$AO$2:$AO$956),ROW(Data!$AO$2:$AO$956)),""),ROWS($A$1:A43)),COLUMNS($A$1:A43)),
$B$6 = "OWIF",
INDEX(Data!$B$2:$EO$956,
SMALL(IF(INDEX(Data!$B$2:$EO$956,,MATCH("Grant Fund",Data!$1:$1,0)-1,1)="OWIF",MATCH(ROW(Data!$AO$2:$AO$956),ROW(Data!$AO$2:$AO$956)),""),ROWS($A$1:A43)),COLUMNS($A$1:A43)),
$B$6 = "WIOA",
INDEX(Data!$B$2:$EO$956,
SMALL(IF(INDEX(Data!$B$2:$EO$956,,MATCH("Grant Fund",Data!$1:$1,0)-1,1)="WIOA",MATCH(ROW(Data!$AO$2:$AO$956),ROW(Data!$AO$2:$AO$956)),""),ROWS($A$1:A43)),COLUMNS($A$1:A43)),
$B$6 = "WIOA II",
INDEX(Data!$B$2:$EO$956,
SMALL(IF(INDEX(Data!$B$2:$EO$956,,MATCH("Grant Fund",Data!$1:$1,0)-1,1)="WIOA II",MATCH(ROW(Data!$AO$2:$AO$956),ROW(Data!$AO$2:$AO$956)),""),ROWS($A$1:A43)),COLUMNS($A$1:A43)),
$B$6 = "WIOA III",
INDEX(Data!$B$2:$EO$956,
SMALL(IF(INDEX(Data!$B$2:$EO$956,,MATCH("Grant Fund",Data!$1:$1,0)-1,1)="WIOA III",MATCH(ROW(Data!$AO$2:$AO$956),ROW(Data!$AO$2:$AO$956)),""),ROWS($A$1:A43)),COLUMNS($A$1:A43)),
$B$6 = "Currently Employed",
INDEX(Data!$B$2:$EO$956,
SMALL(IF(INDEX(Data!$B$2:$EO$956,,MATCH("Currently Employed",Data!$1:$1,0)-1,1)="Yes",MATCH(ROW(Data!$DZ$2:$DZ$956),ROW(Data!$DZ$2:$DZ$956)),""),ROWS($A$1:A43)),COLUMNS($A$1:A43)),
$B$6 = "Inactive",
INDEX(Data!$B$2:$EO$956,
SMALL(IF(INDEX(Data!$B$2:$EO$956,,MATCH("Inactive",Data!$1:$1,0)-1,1)="Yes",MATCH(ROW(Data!$DG$2:$DG$956),ROW(Data!$DG$2:$DG$956)),""),ROWS($A$1:A43)),COLUMNS($A$1:A43)),
$B$6 = "Active",
INDEX(Data!$B$2:$EO$956,
SMALL(IF(INDEX(Data!$B$2:$EO$956,,MATCH("Active",Data!$1:$1,0)-1,1)="Yes",MATCH(ROW(Data!$DZ$2:$DZ$956),ROW(Data!$DZ$2:$DZ$956)),""),ROWS($A$1:A43)),COLUMNS($A$1:A43)),
$B$6 = "Status Unknown",
INDEX(Data!$B$2:$EO$956,
SMALL(IF(INDEX(Data!$B$2:$EO$956,,MATCH("Status Unknown",Data!$1:$1,0)-1,1)="Yes",MATCH(ROW(Data!$EB$2:$EB$956),ROW(Data!$EB$2:$EB$956)),""),ROWS($A$1:A43)),COLUMNS($A$1:A43)),
$B$6 = "Enrollment Pending",
INDEX(Data!$B$2:$EO$956,
SMALL(IF(INDEX(Data!$B$2:$EO$956,,MATCH("Enrollment Pending",Data!$1:$1,0)-1,1)="Yes",MATCH(ROW(Data!$DY$2:$DY$956),ROW(Data!$DY$2:$DY$956)),""),ROWS($A$1:A43)),COLUMNS($A$1:A43)),
$B$6 = "Gained Certification",
INDEX(Data!$B$2:$EO$956,
SMALL(IF(INDEX(Data!$B$2:$EO$956,,MATCH("Gained Certification",Data!$1:$1,0)-1,1)="Yes",MATCH(ROW(Data!$DU$2:$DU$956),ROW(Data!$DU$2:$DU$956)),""),ROWS($A$1:A43)),COLUMNS($A$1:A43)),
$B$6 = "No Certification",
INDEX(Data!$B$2:$EO$956,
SMALL(IF(INDEX(Data!$B$2:$EO$956,,MATCH("Gained Certification",Data!$1:$1,0)-1,1)&lt;&gt;"Yes",MATCH(ROW(Data!$DU$2:$DU$956),ROW(Data!$DU$2:$DU$956)),""),ROWS($A$1:A43)),COLUMNS($A$1:A43)),
$B$6 = "Completers Without Employment",
INDEX(Data!$B$2:$EO$967,
SMALL(IF(INDEX(Data!$B$2:$EO$967,,MATCH("Completed Without Employment",Data!$1:$1,0)-1,1)="Yes",MATCH(ROW(Data!$DZ$2:$DZ$967),ROW(Data!$DZ$2:$DZ$967)),""),ROWS($A$1:A43)),COLUMNS($A$1:A43)),
$B$6 = "CH",
INDEX(Data!$B$2:$EO$956,
SMALL(IF(INDEX(Data!$B$2:$EO$956,,MATCH("Case Manager",Data!$1:$1,0)-1,1)="CH",MATCH(ROW(Data!$DZ$2:$DZ$956),ROW(Data!$DZ$2:$DZ$956)),""),ROWS($A$1:A43)),COLUMNS($A$1:A43)),
$B$6 = "ML",
INDEX(Data!$B$2:$EO$956,
SMALL(IF(INDEX(Data!$B$2:$EO$956,,MATCH("Case Manager",Data!$1:$1,0)-1,1)="ML",MATCH(ROW(Data!$DZ$2:$DZ$956),ROW(Data!$DZ$2:$DZ$956)),""),ROWS($A$1:A43)),COLUMNS($A$1:A43)),
$B$6 = "RB",
INDEX(Data!$B$2:$EO$956,
SMALL(IF(INDEX(Data!$B$2:$EO$956,,MATCH("Case Manager",Data!$1:$1,0)-1,1)="RB",MATCH(ROW(Data!$DZ$2:$DZ$956),ROW(Data!$DZ$2:$DZ$956)),""),ROWS($A$1:A43)),COLUMNS($A$1:A43)),
$B$6 = "RV",
INDEX(Data!$B$2:$EO$956,
SMALL(IF(INDEX(Data!$B$2:$EO$956,,MATCH("Case Manager",Data!$1:$1,0)-1,1)="RV",MATCH(ROW(Data!$DZ$2:$DZ$956),ROW(Data!$DZ$2:$DZ$956)),""),ROWS($A$1:A43)),COLUMNS($A$1:A43)),
$B$6 = "SG",
INDEX(Data!$B$2:$EO$956,
SMALL(IF(INDEX(Data!$B$2:$EO$956,,MATCH("Case Manager",Data!$1:$1,0)-1,1)="SH",MATCH(ROW(Data!$DZ$2:$DZ$956),ROW(Data!$DZ$2:$DZ$956)),""),ROWS($A$1:A43)),COLUMNS($A$1:A43))
),"")</f>
        <v>977046</v>
      </c>
      <c r="C54" s="1" t="str">
        <f>IF(
IFERROR(
INDEX(Data!$1:$1048576,MATCH('Client Lists'!$B54,Data!$B:$B,0),MATCH('Client Lists'!C$11,Data!$1:$1,0)),"")=0,"",
IFERROR(
INDEX(Data!$1:$1048576,MATCH('Client Lists'!$B54,Data!$B:$B,0),MATCH('Client Lists'!C$11,Data!$1:$1,0)),""))</f>
        <v/>
      </c>
      <c r="D54" s="1" t="str">
        <f>IF(
IFERROR(
INDEX(Data!$1:$1048576,MATCH('Client Lists'!$B54,Data!$B:$B,0),MATCH('Client Lists'!D$11,Data!$1:$1,0)),"")=0,"",
IFERROR(
INDEX(Data!$1:$1048576,MATCH('Client Lists'!$B54,Data!$B:$B,0),MATCH('Client Lists'!D$11,Data!$1:$1,0)),""))</f>
        <v>MTDL</v>
      </c>
      <c r="E54" s="1" t="str">
        <f>IF(
IFERROR(
INDEX(Data!$1:$1048576,MATCH('Client Lists'!$B54,Data!$B:$B,0),MATCH('Client Lists'!E$11,Data!$1:$1,0)),"")=0,"",
IFERROR(
INDEX(Data!$1:$1048576,MATCH('Client Lists'!$B54,Data!$B:$B,0),MATCH('Client Lists'!E$11,Data!$1:$1,0)),""))</f>
        <v xml:space="preserve"> CDBG</v>
      </c>
      <c r="F54" s="1">
        <f>IF(
IFERROR(
INDEX(Data!$1:$1048576,MATCH('Client Lists'!$B54,Data!$B:$B,0),MATCH('Client Lists'!F$11,Data!$1:$1,0)),"")=0,"",
IFERROR(
INDEX(Data!$1:$1048576,MATCH('Client Lists'!$B54,Data!$B:$B,0),MATCH('Client Lists'!F$11,Data!$1:$1,0)),""))</f>
        <v>44655</v>
      </c>
      <c r="G54" s="1" t="str">
        <f>IF(
IFERROR(
INDEX(Data!$1:$1048576,MATCH('Client Lists'!$B54,Data!$B:$B,0),MATCH('Client Lists'!G$11,Data!$1:$1,0)),"")=0,"",
IFERROR(
INDEX(Data!$1:$1048576,MATCH('Client Lists'!$B54,Data!$B:$B,0),MATCH('Client Lists'!G$11,Data!$1:$1,0)),""))</f>
        <v>Yes</v>
      </c>
      <c r="H54" s="1" t="str">
        <f>IF(
IFERROR(
INDEX(Data!$1:$1048576,MATCH('Client Lists'!$B54,Data!$B:$B,0),MATCH('Client Lists'!H$11,Data!$1:$1,0)),"")=0,"",
IFERROR(
INDEX(Data!$1:$1048576,MATCH('Client Lists'!$B54,Data!$B:$B,0),MATCH('Client Lists'!H$11,Data!$1:$1,0)),""))</f>
        <v>No</v>
      </c>
      <c r="I54" s="1" t="str">
        <f>IF(
IFERROR(
INDEX(Data!$1:$1048576,MATCH('Client Lists'!$B54,Data!$B:$B,0),MATCH('Client Lists'!I$11,Data!$1:$1,0)),"")=0,"",
IFERROR(
INDEX(Data!$1:$1048576,MATCH('Client Lists'!$B54,Data!$B:$B,0),MATCH('Client Lists'!I$11,Data!$1:$1,0)),""))</f>
        <v>Yes</v>
      </c>
      <c r="J54" s="1" t="str">
        <f>IF(
IFERROR(
INDEX(Data!$1:$1048576,MATCH('Client Lists'!$B54,Data!$B:$B,0),MATCH('Client Lists'!J$11,Data!$1:$1,0)),"")=0,"",
IFERROR(
INDEX(Data!$1:$1048576,MATCH('Client Lists'!$B54,Data!$B:$B,0),MATCH('Client Lists'!J$11,Data!$1:$1,0)),""))</f>
        <v/>
      </c>
      <c r="K54" s="1" t="str">
        <f>IF(
IFERROR(
INDEX(Data!$1:$1048576,MATCH('Client Lists'!$B54,Data!$B:$B,0),MATCH('Client Lists'!K$11,Data!$1:$1,0)),"")=0,"",
IFERROR(
INDEX(Data!$1:$1048576,MATCH('Client Lists'!$B54,Data!$B:$B,0),MATCH('Client Lists'!K$11,Data!$1:$1,0)),""))</f>
        <v/>
      </c>
    </row>
    <row r="55" spans="2:11" x14ac:dyDescent="0.45">
      <c r="B55" s="5">
        <f t="array" ref="B55">IFERROR(_xlfn.IFS(
$B$6 = "Retention Overdue",
INDEX(Data!$B$2:$EO$956,
SMALL(IF(INDEX(Data!$B$2:$EO$956,,MATCH("Call Due",Data!$1:$1,0)-1,1)="Yes",MATCH(ROW(Data!$CN$2:$CN$956),ROW(Data!$CN$2:$CN$956)),""),ROWS($A$1:A44)),COLUMNS($A$1:A44)),
$B$6 = "OWIF-W",
INDEX(Data!$B$2:$EO$956,
SMALL(IF(INDEX(Data!$B$2:$EO$956,,MATCH("Grant Fund",Data!$1:$1,0)-1,1)="OWIF-W",MATCH(ROW(Data!$AO$2:$AO$956),ROW(Data!$AO$2:$AO$956)),""),ROWS($A$1:A44)),COLUMNS($A$1:A44)),
$B$6 = "G2C",
INDEX(Data!$B$2:$EO$956,
SMALL(IF(INDEX(Data!$B$2:$EO$956,,MATCH("Grant Fund",Data!$1:$1,0)-1,1)="Grads2Careers",MATCH(ROW(Data!$AO$2:$AO$956),ROW(Data!$AO$2:$AO$956)),""),ROWS($A$1:A44)),COLUMNS($A$1:A44)),
$B$6 = "OWIF",
INDEX(Data!$B$2:$EO$956,
SMALL(IF(INDEX(Data!$B$2:$EO$956,,MATCH("Grant Fund",Data!$1:$1,0)-1,1)="OWIF",MATCH(ROW(Data!$AO$2:$AO$956),ROW(Data!$AO$2:$AO$956)),""),ROWS($A$1:A44)),COLUMNS($A$1:A44)),
$B$6 = "WIOA",
INDEX(Data!$B$2:$EO$956,
SMALL(IF(INDEX(Data!$B$2:$EO$956,,MATCH("Grant Fund",Data!$1:$1,0)-1,1)="WIOA",MATCH(ROW(Data!$AO$2:$AO$956),ROW(Data!$AO$2:$AO$956)),""),ROWS($A$1:A44)),COLUMNS($A$1:A44)),
$B$6 = "WIOA II",
INDEX(Data!$B$2:$EO$956,
SMALL(IF(INDEX(Data!$B$2:$EO$956,,MATCH("Grant Fund",Data!$1:$1,0)-1,1)="WIOA II",MATCH(ROW(Data!$AO$2:$AO$956),ROW(Data!$AO$2:$AO$956)),""),ROWS($A$1:A44)),COLUMNS($A$1:A44)),
$B$6 = "WIOA III",
INDEX(Data!$B$2:$EO$956,
SMALL(IF(INDEX(Data!$B$2:$EO$956,,MATCH("Grant Fund",Data!$1:$1,0)-1,1)="WIOA III",MATCH(ROW(Data!$AO$2:$AO$956),ROW(Data!$AO$2:$AO$956)),""),ROWS($A$1:A44)),COLUMNS($A$1:A44)),
$B$6 = "Currently Employed",
INDEX(Data!$B$2:$EO$956,
SMALL(IF(INDEX(Data!$B$2:$EO$956,,MATCH("Currently Employed",Data!$1:$1,0)-1,1)="Yes",MATCH(ROW(Data!$DZ$2:$DZ$956),ROW(Data!$DZ$2:$DZ$956)),""),ROWS($A$1:A44)),COLUMNS($A$1:A44)),
$B$6 = "Inactive",
INDEX(Data!$B$2:$EO$956,
SMALL(IF(INDEX(Data!$B$2:$EO$956,,MATCH("Inactive",Data!$1:$1,0)-1,1)="Yes",MATCH(ROW(Data!$DG$2:$DG$956),ROW(Data!$DG$2:$DG$956)),""),ROWS($A$1:A44)),COLUMNS($A$1:A44)),
$B$6 = "Active",
INDEX(Data!$B$2:$EO$956,
SMALL(IF(INDEX(Data!$B$2:$EO$956,,MATCH("Active",Data!$1:$1,0)-1,1)="Yes",MATCH(ROW(Data!$DZ$2:$DZ$956),ROW(Data!$DZ$2:$DZ$956)),""),ROWS($A$1:A44)),COLUMNS($A$1:A44)),
$B$6 = "Status Unknown",
INDEX(Data!$B$2:$EO$956,
SMALL(IF(INDEX(Data!$B$2:$EO$956,,MATCH("Status Unknown",Data!$1:$1,0)-1,1)="Yes",MATCH(ROW(Data!$EB$2:$EB$956),ROW(Data!$EB$2:$EB$956)),""),ROWS($A$1:A44)),COLUMNS($A$1:A44)),
$B$6 = "Enrollment Pending",
INDEX(Data!$B$2:$EO$956,
SMALL(IF(INDEX(Data!$B$2:$EO$956,,MATCH("Enrollment Pending",Data!$1:$1,0)-1,1)="Yes",MATCH(ROW(Data!$DY$2:$DY$956),ROW(Data!$DY$2:$DY$956)),""),ROWS($A$1:A44)),COLUMNS($A$1:A44)),
$B$6 = "Gained Certification",
INDEX(Data!$B$2:$EO$956,
SMALL(IF(INDEX(Data!$B$2:$EO$956,,MATCH("Gained Certification",Data!$1:$1,0)-1,1)="Yes",MATCH(ROW(Data!$DU$2:$DU$956),ROW(Data!$DU$2:$DU$956)),""),ROWS($A$1:A44)),COLUMNS($A$1:A44)),
$B$6 = "No Certification",
INDEX(Data!$B$2:$EO$956,
SMALL(IF(INDEX(Data!$B$2:$EO$956,,MATCH("Gained Certification",Data!$1:$1,0)-1,1)&lt;&gt;"Yes",MATCH(ROW(Data!$DU$2:$DU$956),ROW(Data!$DU$2:$DU$956)),""),ROWS($A$1:A44)),COLUMNS($A$1:A44)),
$B$6 = "Completers Without Employment",
INDEX(Data!$B$2:$EO$967,
SMALL(IF(INDEX(Data!$B$2:$EO$967,,MATCH("Completed Without Employment",Data!$1:$1,0)-1,1)="Yes",MATCH(ROW(Data!$DZ$2:$DZ$967),ROW(Data!$DZ$2:$DZ$967)),""),ROWS($A$1:A44)),COLUMNS($A$1:A44)),
$B$6 = "CH",
INDEX(Data!$B$2:$EO$956,
SMALL(IF(INDEX(Data!$B$2:$EO$956,,MATCH("Case Manager",Data!$1:$1,0)-1,1)="CH",MATCH(ROW(Data!$DZ$2:$DZ$956),ROW(Data!$DZ$2:$DZ$956)),""),ROWS($A$1:A44)),COLUMNS($A$1:A44)),
$B$6 = "ML",
INDEX(Data!$B$2:$EO$956,
SMALL(IF(INDEX(Data!$B$2:$EO$956,,MATCH("Case Manager",Data!$1:$1,0)-1,1)="ML",MATCH(ROW(Data!$DZ$2:$DZ$956),ROW(Data!$DZ$2:$DZ$956)),""),ROWS($A$1:A44)),COLUMNS($A$1:A44)),
$B$6 = "RB",
INDEX(Data!$B$2:$EO$956,
SMALL(IF(INDEX(Data!$B$2:$EO$956,,MATCH("Case Manager",Data!$1:$1,0)-1,1)="RB",MATCH(ROW(Data!$DZ$2:$DZ$956),ROW(Data!$DZ$2:$DZ$956)),""),ROWS($A$1:A44)),COLUMNS($A$1:A44)),
$B$6 = "RV",
INDEX(Data!$B$2:$EO$956,
SMALL(IF(INDEX(Data!$B$2:$EO$956,,MATCH("Case Manager",Data!$1:$1,0)-1,1)="RV",MATCH(ROW(Data!$DZ$2:$DZ$956),ROW(Data!$DZ$2:$DZ$956)),""),ROWS($A$1:A44)),COLUMNS($A$1:A44)),
$B$6 = "SG",
INDEX(Data!$B$2:$EO$956,
SMALL(IF(INDEX(Data!$B$2:$EO$956,,MATCH("Case Manager",Data!$1:$1,0)-1,1)="SH",MATCH(ROW(Data!$DZ$2:$DZ$956),ROW(Data!$DZ$2:$DZ$956)),""),ROWS($A$1:A44)),COLUMNS($A$1:A44))
),"")</f>
        <v>977013</v>
      </c>
      <c r="C55" s="1" t="str">
        <f>IF(
IFERROR(
INDEX(Data!$1:$1048576,MATCH('Client Lists'!$B55,Data!$B:$B,0),MATCH('Client Lists'!C$11,Data!$1:$1,0)),"")=0,"",
IFERROR(
INDEX(Data!$1:$1048576,MATCH('Client Lists'!$B55,Data!$B:$B,0),MATCH('Client Lists'!C$11,Data!$1:$1,0)),""))</f>
        <v/>
      </c>
      <c r="D55" s="1" t="str">
        <f>IF(
IFERROR(
INDEX(Data!$1:$1048576,MATCH('Client Lists'!$B55,Data!$B:$B,0),MATCH('Client Lists'!D$11,Data!$1:$1,0)),"")=0,"",
IFERROR(
INDEX(Data!$1:$1048576,MATCH('Client Lists'!$B55,Data!$B:$B,0),MATCH('Client Lists'!D$11,Data!$1:$1,0)),""))</f>
        <v>MTDL</v>
      </c>
      <c r="E55" s="1" t="str">
        <f>IF(
IFERROR(
INDEX(Data!$1:$1048576,MATCH('Client Lists'!$B55,Data!$B:$B,0),MATCH('Client Lists'!E$11,Data!$1:$1,0)),"")=0,"",
IFERROR(
INDEX(Data!$1:$1048576,MATCH('Client Lists'!$B55,Data!$B:$B,0),MATCH('Client Lists'!E$11,Data!$1:$1,0)),""))</f>
        <v xml:space="preserve"> CDBG; EARN</v>
      </c>
      <c r="F55" s="1">
        <f>IF(
IFERROR(
INDEX(Data!$1:$1048576,MATCH('Client Lists'!$B55,Data!$B:$B,0),MATCH('Client Lists'!F$11,Data!$1:$1,0)),"")=0,"",
IFERROR(
INDEX(Data!$1:$1048576,MATCH('Client Lists'!$B55,Data!$B:$B,0),MATCH('Client Lists'!F$11,Data!$1:$1,0)),""))</f>
        <v>44627</v>
      </c>
      <c r="G55" s="1" t="str">
        <f>IF(
IFERROR(
INDEX(Data!$1:$1048576,MATCH('Client Lists'!$B55,Data!$B:$B,0),MATCH('Client Lists'!G$11,Data!$1:$1,0)),"")=0,"",
IFERROR(
INDEX(Data!$1:$1048576,MATCH('Client Lists'!$B55,Data!$B:$B,0),MATCH('Client Lists'!G$11,Data!$1:$1,0)),""))</f>
        <v>Yes</v>
      </c>
      <c r="H55" s="1" t="str">
        <f>IF(
IFERROR(
INDEX(Data!$1:$1048576,MATCH('Client Lists'!$B55,Data!$B:$B,0),MATCH('Client Lists'!H$11,Data!$1:$1,0)),"")=0,"",
IFERROR(
INDEX(Data!$1:$1048576,MATCH('Client Lists'!$B55,Data!$B:$B,0),MATCH('Client Lists'!H$11,Data!$1:$1,0)),""))</f>
        <v>No</v>
      </c>
      <c r="I55" s="1" t="str">
        <f>IF(
IFERROR(
INDEX(Data!$1:$1048576,MATCH('Client Lists'!$B55,Data!$B:$B,0),MATCH('Client Lists'!I$11,Data!$1:$1,0)),"")=0,"",
IFERROR(
INDEX(Data!$1:$1048576,MATCH('Client Lists'!$B55,Data!$B:$B,0),MATCH('Client Lists'!I$11,Data!$1:$1,0)),""))</f>
        <v>Yes</v>
      </c>
      <c r="J55" s="1" t="str">
        <f>IF(
IFERROR(
INDEX(Data!$1:$1048576,MATCH('Client Lists'!$B55,Data!$B:$B,0),MATCH('Client Lists'!J$11,Data!$1:$1,0)),"")=0,"",
IFERROR(
INDEX(Data!$1:$1048576,MATCH('Client Lists'!$B55,Data!$B:$B,0),MATCH('Client Lists'!J$11,Data!$1:$1,0)),""))</f>
        <v/>
      </c>
      <c r="K55" s="1" t="str">
        <f>IF(
IFERROR(
INDEX(Data!$1:$1048576,MATCH('Client Lists'!$B55,Data!$B:$B,0),MATCH('Client Lists'!K$11,Data!$1:$1,0)),"")=0,"",
IFERROR(
INDEX(Data!$1:$1048576,MATCH('Client Lists'!$B55,Data!$B:$B,0),MATCH('Client Lists'!K$11,Data!$1:$1,0)),""))</f>
        <v/>
      </c>
    </row>
    <row r="56" spans="2:11" x14ac:dyDescent="0.45">
      <c r="B56" s="5" t="str">
        <f t="array" ref="B56">IFERROR(_xlfn.IFS(
$B$6 = "Retention Overdue",
INDEX(Data!$B$2:$EO$956,
SMALL(IF(INDEX(Data!$B$2:$EO$956,,MATCH("Call Due",Data!$1:$1,0)-1,1)="Yes",MATCH(ROW(Data!$CN$2:$CN$956),ROW(Data!$CN$2:$CN$956)),""),ROWS($A$1:A45)),COLUMNS($A$1:A45)),
$B$6 = "OWIF-W",
INDEX(Data!$B$2:$EO$956,
SMALL(IF(INDEX(Data!$B$2:$EO$956,,MATCH("Grant Fund",Data!$1:$1,0)-1,1)="OWIF-W",MATCH(ROW(Data!$AO$2:$AO$956),ROW(Data!$AO$2:$AO$956)),""),ROWS($A$1:A45)),COLUMNS($A$1:A45)),
$B$6 = "G2C",
INDEX(Data!$B$2:$EO$956,
SMALL(IF(INDEX(Data!$B$2:$EO$956,,MATCH("Grant Fund",Data!$1:$1,0)-1,1)="Grads2Careers",MATCH(ROW(Data!$AO$2:$AO$956),ROW(Data!$AO$2:$AO$956)),""),ROWS($A$1:A45)),COLUMNS($A$1:A45)),
$B$6 = "OWIF",
INDEX(Data!$B$2:$EO$956,
SMALL(IF(INDEX(Data!$B$2:$EO$956,,MATCH("Grant Fund",Data!$1:$1,0)-1,1)="OWIF",MATCH(ROW(Data!$AO$2:$AO$956),ROW(Data!$AO$2:$AO$956)),""),ROWS($A$1:A45)),COLUMNS($A$1:A45)),
$B$6 = "WIOA",
INDEX(Data!$B$2:$EO$956,
SMALL(IF(INDEX(Data!$B$2:$EO$956,,MATCH("Grant Fund",Data!$1:$1,0)-1,1)="WIOA",MATCH(ROW(Data!$AO$2:$AO$956),ROW(Data!$AO$2:$AO$956)),""),ROWS($A$1:A45)),COLUMNS($A$1:A45)),
$B$6 = "WIOA II",
INDEX(Data!$B$2:$EO$956,
SMALL(IF(INDEX(Data!$B$2:$EO$956,,MATCH("Grant Fund",Data!$1:$1,0)-1,1)="WIOA II",MATCH(ROW(Data!$AO$2:$AO$956),ROW(Data!$AO$2:$AO$956)),""),ROWS($A$1:A45)),COLUMNS($A$1:A45)),
$B$6 = "WIOA III",
INDEX(Data!$B$2:$EO$956,
SMALL(IF(INDEX(Data!$B$2:$EO$956,,MATCH("Grant Fund",Data!$1:$1,0)-1,1)="WIOA III",MATCH(ROW(Data!$AO$2:$AO$956),ROW(Data!$AO$2:$AO$956)),""),ROWS($A$1:A45)),COLUMNS($A$1:A45)),
$B$6 = "Currently Employed",
INDEX(Data!$B$2:$EO$956,
SMALL(IF(INDEX(Data!$B$2:$EO$956,,MATCH("Currently Employed",Data!$1:$1,0)-1,1)="Yes",MATCH(ROW(Data!$DZ$2:$DZ$956),ROW(Data!$DZ$2:$DZ$956)),""),ROWS($A$1:A45)),COLUMNS($A$1:A45)),
$B$6 = "Inactive",
INDEX(Data!$B$2:$EO$956,
SMALL(IF(INDEX(Data!$B$2:$EO$956,,MATCH("Inactive",Data!$1:$1,0)-1,1)="Yes",MATCH(ROW(Data!$DG$2:$DG$956),ROW(Data!$DG$2:$DG$956)),""),ROWS($A$1:A45)),COLUMNS($A$1:A45)),
$B$6 = "Active",
INDEX(Data!$B$2:$EO$956,
SMALL(IF(INDEX(Data!$B$2:$EO$956,,MATCH("Active",Data!$1:$1,0)-1,1)="Yes",MATCH(ROW(Data!$DZ$2:$DZ$956),ROW(Data!$DZ$2:$DZ$956)),""),ROWS($A$1:A45)),COLUMNS($A$1:A45)),
$B$6 = "Status Unknown",
INDEX(Data!$B$2:$EO$956,
SMALL(IF(INDEX(Data!$B$2:$EO$956,,MATCH("Status Unknown",Data!$1:$1,0)-1,1)="Yes",MATCH(ROW(Data!$EB$2:$EB$956),ROW(Data!$EB$2:$EB$956)),""),ROWS($A$1:A45)),COLUMNS($A$1:A45)),
$B$6 = "Enrollment Pending",
INDEX(Data!$B$2:$EO$956,
SMALL(IF(INDEX(Data!$B$2:$EO$956,,MATCH("Enrollment Pending",Data!$1:$1,0)-1,1)="Yes",MATCH(ROW(Data!$DY$2:$DY$956),ROW(Data!$DY$2:$DY$956)),""),ROWS($A$1:A45)),COLUMNS($A$1:A45)),
$B$6 = "Gained Certification",
INDEX(Data!$B$2:$EO$956,
SMALL(IF(INDEX(Data!$B$2:$EO$956,,MATCH("Gained Certification",Data!$1:$1,0)-1,1)="Yes",MATCH(ROW(Data!$DU$2:$DU$956),ROW(Data!$DU$2:$DU$956)),""),ROWS($A$1:A45)),COLUMNS($A$1:A45)),
$B$6 = "No Certification",
INDEX(Data!$B$2:$EO$956,
SMALL(IF(INDEX(Data!$B$2:$EO$956,,MATCH("Gained Certification",Data!$1:$1,0)-1,1)&lt;&gt;"Yes",MATCH(ROW(Data!$DU$2:$DU$956),ROW(Data!$DU$2:$DU$956)),""),ROWS($A$1:A45)),COLUMNS($A$1:A45)),
$B$6 = "Completers Without Employment",
INDEX(Data!$B$2:$EO$967,
SMALL(IF(INDEX(Data!$B$2:$EO$967,,MATCH("Completed Without Employment",Data!$1:$1,0)-1,1)="Yes",MATCH(ROW(Data!$DZ$2:$DZ$967),ROW(Data!$DZ$2:$DZ$967)),""),ROWS($A$1:A45)),COLUMNS($A$1:A45)),
$B$6 = "CH",
INDEX(Data!$B$2:$EO$956,
SMALL(IF(INDEX(Data!$B$2:$EO$956,,MATCH("Case Manager",Data!$1:$1,0)-1,1)="CH",MATCH(ROW(Data!$DZ$2:$DZ$956),ROW(Data!$DZ$2:$DZ$956)),""),ROWS($A$1:A45)),COLUMNS($A$1:A45)),
$B$6 = "ML",
INDEX(Data!$B$2:$EO$956,
SMALL(IF(INDEX(Data!$B$2:$EO$956,,MATCH("Case Manager",Data!$1:$1,0)-1,1)="ML",MATCH(ROW(Data!$DZ$2:$DZ$956),ROW(Data!$DZ$2:$DZ$956)),""),ROWS($A$1:A45)),COLUMNS($A$1:A45)),
$B$6 = "RB",
INDEX(Data!$B$2:$EO$956,
SMALL(IF(INDEX(Data!$B$2:$EO$956,,MATCH("Case Manager",Data!$1:$1,0)-1,1)="RB",MATCH(ROW(Data!$DZ$2:$DZ$956),ROW(Data!$DZ$2:$DZ$956)),""),ROWS($A$1:A45)),COLUMNS($A$1:A45)),
$B$6 = "RV",
INDEX(Data!$B$2:$EO$956,
SMALL(IF(INDEX(Data!$B$2:$EO$956,,MATCH("Case Manager",Data!$1:$1,0)-1,1)="RV",MATCH(ROW(Data!$DZ$2:$DZ$956),ROW(Data!$DZ$2:$DZ$956)),""),ROWS($A$1:A45)),COLUMNS($A$1:A45)),
$B$6 = "SG",
INDEX(Data!$B$2:$EO$956,
SMALL(IF(INDEX(Data!$B$2:$EO$956,,MATCH("Case Manager",Data!$1:$1,0)-1,1)="SH",MATCH(ROW(Data!$DZ$2:$DZ$956),ROW(Data!$DZ$2:$DZ$956)),""),ROWS($A$1:A45)),COLUMNS($A$1:A45))
),"")</f>
        <v/>
      </c>
      <c r="C56" s="1" t="str">
        <f>IF(
IFERROR(
INDEX(Data!$1:$1048576,MATCH('Client Lists'!$B56,Data!$B:$B,0),MATCH('Client Lists'!C$11,Data!$1:$1,0)),"")=0,"",
IFERROR(
INDEX(Data!$1:$1048576,MATCH('Client Lists'!$B56,Data!$B:$B,0),MATCH('Client Lists'!C$11,Data!$1:$1,0)),""))</f>
        <v/>
      </c>
      <c r="D56" s="1" t="str">
        <f>IF(
IFERROR(
INDEX(Data!$1:$1048576,MATCH('Client Lists'!$B56,Data!$B:$B,0),MATCH('Client Lists'!D$11,Data!$1:$1,0)),"")=0,"",
IFERROR(
INDEX(Data!$1:$1048576,MATCH('Client Lists'!$B56,Data!$B:$B,0),MATCH('Client Lists'!D$11,Data!$1:$1,0)),""))</f>
        <v/>
      </c>
      <c r="E56" s="1" t="str">
        <f>IF(
IFERROR(
INDEX(Data!$1:$1048576,MATCH('Client Lists'!$B56,Data!$B:$B,0),MATCH('Client Lists'!E$11,Data!$1:$1,0)),"")=0,"",
IFERROR(
INDEX(Data!$1:$1048576,MATCH('Client Lists'!$B56,Data!$B:$B,0),MATCH('Client Lists'!E$11,Data!$1:$1,0)),""))</f>
        <v/>
      </c>
      <c r="F56" s="1" t="str">
        <f>IF(
IFERROR(
INDEX(Data!$1:$1048576,MATCH('Client Lists'!$B56,Data!$B:$B,0),MATCH('Client Lists'!F$11,Data!$1:$1,0)),"")=0,"",
IFERROR(
INDEX(Data!$1:$1048576,MATCH('Client Lists'!$B56,Data!$B:$B,0),MATCH('Client Lists'!F$11,Data!$1:$1,0)),""))</f>
        <v/>
      </c>
      <c r="G56" s="1" t="str">
        <f>IF(
IFERROR(
INDEX(Data!$1:$1048576,MATCH('Client Lists'!$B56,Data!$B:$B,0),MATCH('Client Lists'!G$11,Data!$1:$1,0)),"")=0,"",
IFERROR(
INDEX(Data!$1:$1048576,MATCH('Client Lists'!$B56,Data!$B:$B,0),MATCH('Client Lists'!G$11,Data!$1:$1,0)),""))</f>
        <v/>
      </c>
      <c r="H56" s="1" t="str">
        <f>IF(
IFERROR(
INDEX(Data!$1:$1048576,MATCH('Client Lists'!$B56,Data!$B:$B,0),MATCH('Client Lists'!H$11,Data!$1:$1,0)),"")=0,"",
IFERROR(
INDEX(Data!$1:$1048576,MATCH('Client Lists'!$B56,Data!$B:$B,0),MATCH('Client Lists'!H$11,Data!$1:$1,0)),""))</f>
        <v/>
      </c>
      <c r="I56" s="1" t="str">
        <f>IF(
IFERROR(
INDEX(Data!$1:$1048576,MATCH('Client Lists'!$B56,Data!$B:$B,0),MATCH('Client Lists'!I$11,Data!$1:$1,0)),"")=0,"",
IFERROR(
INDEX(Data!$1:$1048576,MATCH('Client Lists'!$B56,Data!$B:$B,0),MATCH('Client Lists'!I$11,Data!$1:$1,0)),""))</f>
        <v/>
      </c>
      <c r="J56" s="1" t="str">
        <f>IF(
IFERROR(
INDEX(Data!$1:$1048576,MATCH('Client Lists'!$B56,Data!$B:$B,0),MATCH('Client Lists'!J$11,Data!$1:$1,0)),"")=0,"",
IFERROR(
INDEX(Data!$1:$1048576,MATCH('Client Lists'!$B56,Data!$B:$B,0),MATCH('Client Lists'!J$11,Data!$1:$1,0)),""))</f>
        <v/>
      </c>
      <c r="K56" s="1" t="str">
        <f>IF(
IFERROR(
INDEX(Data!$1:$1048576,MATCH('Client Lists'!$B56,Data!$B:$B,0),MATCH('Client Lists'!K$11,Data!$1:$1,0)),"")=0,"",
IFERROR(
INDEX(Data!$1:$1048576,MATCH('Client Lists'!$B56,Data!$B:$B,0),MATCH('Client Lists'!K$11,Data!$1:$1,0)),""))</f>
        <v/>
      </c>
    </row>
    <row r="57" spans="2:11" x14ac:dyDescent="0.45">
      <c r="B57" s="5" t="str">
        <f t="array" ref="B57">IFERROR(_xlfn.IFS(
$B$6 = "Retention Overdue",
INDEX(Data!$B$2:$EO$956,
SMALL(IF(INDEX(Data!$B$2:$EO$956,,MATCH("Call Due",Data!$1:$1,0)-1,1)="Yes",MATCH(ROW(Data!$CN$2:$CN$956),ROW(Data!$CN$2:$CN$956)),""),ROWS($A$1:A46)),COLUMNS($A$1:A46)),
$B$6 = "OWIF-W",
INDEX(Data!$B$2:$EO$956,
SMALL(IF(INDEX(Data!$B$2:$EO$956,,MATCH("Grant Fund",Data!$1:$1,0)-1,1)="OWIF-W",MATCH(ROW(Data!$AO$2:$AO$956),ROW(Data!$AO$2:$AO$956)),""),ROWS($A$1:A46)),COLUMNS($A$1:A46)),
$B$6 = "G2C",
INDEX(Data!$B$2:$EO$956,
SMALL(IF(INDEX(Data!$B$2:$EO$956,,MATCH("Grant Fund",Data!$1:$1,0)-1,1)="Grads2Careers",MATCH(ROW(Data!$AO$2:$AO$956),ROW(Data!$AO$2:$AO$956)),""),ROWS($A$1:A46)),COLUMNS($A$1:A46)),
$B$6 = "OWIF",
INDEX(Data!$B$2:$EO$956,
SMALL(IF(INDEX(Data!$B$2:$EO$956,,MATCH("Grant Fund",Data!$1:$1,0)-1,1)="OWIF",MATCH(ROW(Data!$AO$2:$AO$956),ROW(Data!$AO$2:$AO$956)),""),ROWS($A$1:A46)),COLUMNS($A$1:A46)),
$B$6 = "WIOA",
INDEX(Data!$B$2:$EO$956,
SMALL(IF(INDEX(Data!$B$2:$EO$956,,MATCH("Grant Fund",Data!$1:$1,0)-1,1)="WIOA",MATCH(ROW(Data!$AO$2:$AO$956),ROW(Data!$AO$2:$AO$956)),""),ROWS($A$1:A46)),COLUMNS($A$1:A46)),
$B$6 = "WIOA II",
INDEX(Data!$B$2:$EO$956,
SMALL(IF(INDEX(Data!$B$2:$EO$956,,MATCH("Grant Fund",Data!$1:$1,0)-1,1)="WIOA II",MATCH(ROW(Data!$AO$2:$AO$956),ROW(Data!$AO$2:$AO$956)),""),ROWS($A$1:A46)),COLUMNS($A$1:A46)),
$B$6 = "WIOA III",
INDEX(Data!$B$2:$EO$956,
SMALL(IF(INDEX(Data!$B$2:$EO$956,,MATCH("Grant Fund",Data!$1:$1,0)-1,1)="WIOA III",MATCH(ROW(Data!$AO$2:$AO$956),ROW(Data!$AO$2:$AO$956)),""),ROWS($A$1:A46)),COLUMNS($A$1:A46)),
$B$6 = "Currently Employed",
INDEX(Data!$B$2:$EO$956,
SMALL(IF(INDEX(Data!$B$2:$EO$956,,MATCH("Currently Employed",Data!$1:$1,0)-1,1)="Yes",MATCH(ROW(Data!$DZ$2:$DZ$956),ROW(Data!$DZ$2:$DZ$956)),""),ROWS($A$1:A46)),COLUMNS($A$1:A46)),
$B$6 = "Inactive",
INDEX(Data!$B$2:$EO$956,
SMALL(IF(INDEX(Data!$B$2:$EO$956,,MATCH("Inactive",Data!$1:$1,0)-1,1)="Yes",MATCH(ROW(Data!$DG$2:$DG$956),ROW(Data!$DG$2:$DG$956)),""),ROWS($A$1:A46)),COLUMNS($A$1:A46)),
$B$6 = "Active",
INDEX(Data!$B$2:$EO$956,
SMALL(IF(INDEX(Data!$B$2:$EO$956,,MATCH("Active",Data!$1:$1,0)-1,1)="Yes",MATCH(ROW(Data!$DZ$2:$DZ$956),ROW(Data!$DZ$2:$DZ$956)),""),ROWS($A$1:A46)),COLUMNS($A$1:A46)),
$B$6 = "Status Unknown",
INDEX(Data!$B$2:$EO$956,
SMALL(IF(INDEX(Data!$B$2:$EO$956,,MATCH("Status Unknown",Data!$1:$1,0)-1,1)="Yes",MATCH(ROW(Data!$EB$2:$EB$956),ROW(Data!$EB$2:$EB$956)),""),ROWS($A$1:A46)),COLUMNS($A$1:A46)),
$B$6 = "Enrollment Pending",
INDEX(Data!$B$2:$EO$956,
SMALL(IF(INDEX(Data!$B$2:$EO$956,,MATCH("Enrollment Pending",Data!$1:$1,0)-1,1)="Yes",MATCH(ROW(Data!$DY$2:$DY$956),ROW(Data!$DY$2:$DY$956)),""),ROWS($A$1:A46)),COLUMNS($A$1:A46)),
$B$6 = "Gained Certification",
INDEX(Data!$B$2:$EO$956,
SMALL(IF(INDEX(Data!$B$2:$EO$956,,MATCH("Gained Certification",Data!$1:$1,0)-1,1)="Yes",MATCH(ROW(Data!$DU$2:$DU$956),ROW(Data!$DU$2:$DU$956)),""),ROWS($A$1:A46)),COLUMNS($A$1:A46)),
$B$6 = "No Certification",
INDEX(Data!$B$2:$EO$956,
SMALL(IF(INDEX(Data!$B$2:$EO$956,,MATCH("Gained Certification",Data!$1:$1,0)-1,1)&lt;&gt;"Yes",MATCH(ROW(Data!$DU$2:$DU$956),ROW(Data!$DU$2:$DU$956)),""),ROWS($A$1:A46)),COLUMNS($A$1:A46)),
$B$6 = "Completers Without Employment",
INDEX(Data!$B$2:$EO$967,
SMALL(IF(INDEX(Data!$B$2:$EO$967,,MATCH("Completed Without Employment",Data!$1:$1,0)-1,1)="Yes",MATCH(ROW(Data!$DZ$2:$DZ$967),ROW(Data!$DZ$2:$DZ$967)),""),ROWS($A$1:A46)),COLUMNS($A$1:A46)),
$B$6 = "CH",
INDEX(Data!$B$2:$EO$956,
SMALL(IF(INDEX(Data!$B$2:$EO$956,,MATCH("Case Manager",Data!$1:$1,0)-1,1)="CH",MATCH(ROW(Data!$DZ$2:$DZ$956),ROW(Data!$DZ$2:$DZ$956)),""),ROWS($A$1:A46)),COLUMNS($A$1:A46)),
$B$6 = "ML",
INDEX(Data!$B$2:$EO$956,
SMALL(IF(INDEX(Data!$B$2:$EO$956,,MATCH("Case Manager",Data!$1:$1,0)-1,1)="ML",MATCH(ROW(Data!$DZ$2:$DZ$956),ROW(Data!$DZ$2:$DZ$956)),""),ROWS($A$1:A46)),COLUMNS($A$1:A46)),
$B$6 = "RB",
INDEX(Data!$B$2:$EO$956,
SMALL(IF(INDEX(Data!$B$2:$EO$956,,MATCH("Case Manager",Data!$1:$1,0)-1,1)="RB",MATCH(ROW(Data!$DZ$2:$DZ$956),ROW(Data!$DZ$2:$DZ$956)),""),ROWS($A$1:A46)),COLUMNS($A$1:A46)),
$B$6 = "RV",
INDEX(Data!$B$2:$EO$956,
SMALL(IF(INDEX(Data!$B$2:$EO$956,,MATCH("Case Manager",Data!$1:$1,0)-1,1)="RV",MATCH(ROW(Data!$DZ$2:$DZ$956),ROW(Data!$DZ$2:$DZ$956)),""),ROWS($A$1:A46)),COLUMNS($A$1:A46)),
$B$6 = "SG",
INDEX(Data!$B$2:$EO$956,
SMALL(IF(INDEX(Data!$B$2:$EO$956,,MATCH("Case Manager",Data!$1:$1,0)-1,1)="SH",MATCH(ROW(Data!$DZ$2:$DZ$956),ROW(Data!$DZ$2:$DZ$956)),""),ROWS($A$1:A46)),COLUMNS($A$1:A46))
),"")</f>
        <v/>
      </c>
      <c r="C57" s="1" t="str">
        <f>IF(
IFERROR(
INDEX(Data!$1:$1048576,MATCH('Client Lists'!$B57,Data!$B:$B,0),MATCH('Client Lists'!C$11,Data!$1:$1,0)),"")=0,"",
IFERROR(
INDEX(Data!$1:$1048576,MATCH('Client Lists'!$B57,Data!$B:$B,0),MATCH('Client Lists'!C$11,Data!$1:$1,0)),""))</f>
        <v/>
      </c>
      <c r="D57" s="1" t="str">
        <f>IF(
IFERROR(
INDEX(Data!$1:$1048576,MATCH('Client Lists'!$B57,Data!$B:$B,0),MATCH('Client Lists'!D$11,Data!$1:$1,0)),"")=0,"",
IFERROR(
INDEX(Data!$1:$1048576,MATCH('Client Lists'!$B57,Data!$B:$B,0),MATCH('Client Lists'!D$11,Data!$1:$1,0)),""))</f>
        <v/>
      </c>
      <c r="E57" s="1" t="str">
        <f>IF(
IFERROR(
INDEX(Data!$1:$1048576,MATCH('Client Lists'!$B57,Data!$B:$B,0),MATCH('Client Lists'!E$11,Data!$1:$1,0)),"")=0,"",
IFERROR(
INDEX(Data!$1:$1048576,MATCH('Client Lists'!$B57,Data!$B:$B,0),MATCH('Client Lists'!E$11,Data!$1:$1,0)),""))</f>
        <v/>
      </c>
      <c r="F57" s="1" t="str">
        <f>IF(
IFERROR(
INDEX(Data!$1:$1048576,MATCH('Client Lists'!$B57,Data!$B:$B,0),MATCH('Client Lists'!F$11,Data!$1:$1,0)),"")=0,"",
IFERROR(
INDEX(Data!$1:$1048576,MATCH('Client Lists'!$B57,Data!$B:$B,0),MATCH('Client Lists'!F$11,Data!$1:$1,0)),""))</f>
        <v/>
      </c>
      <c r="G57" s="1" t="str">
        <f>IF(
IFERROR(
INDEX(Data!$1:$1048576,MATCH('Client Lists'!$B57,Data!$B:$B,0),MATCH('Client Lists'!G$11,Data!$1:$1,0)),"")=0,"",
IFERROR(
INDEX(Data!$1:$1048576,MATCH('Client Lists'!$B57,Data!$B:$B,0),MATCH('Client Lists'!G$11,Data!$1:$1,0)),""))</f>
        <v/>
      </c>
      <c r="H57" s="1" t="str">
        <f>IF(
IFERROR(
INDEX(Data!$1:$1048576,MATCH('Client Lists'!$B57,Data!$B:$B,0),MATCH('Client Lists'!H$11,Data!$1:$1,0)),"")=0,"",
IFERROR(
INDEX(Data!$1:$1048576,MATCH('Client Lists'!$B57,Data!$B:$B,0),MATCH('Client Lists'!H$11,Data!$1:$1,0)),""))</f>
        <v/>
      </c>
      <c r="I57" s="1" t="str">
        <f>IF(
IFERROR(
INDEX(Data!$1:$1048576,MATCH('Client Lists'!$B57,Data!$B:$B,0),MATCH('Client Lists'!I$11,Data!$1:$1,0)),"")=0,"",
IFERROR(
INDEX(Data!$1:$1048576,MATCH('Client Lists'!$B57,Data!$B:$B,0),MATCH('Client Lists'!I$11,Data!$1:$1,0)),""))</f>
        <v/>
      </c>
      <c r="J57" s="1" t="str">
        <f>IF(
IFERROR(
INDEX(Data!$1:$1048576,MATCH('Client Lists'!$B57,Data!$B:$B,0),MATCH('Client Lists'!J$11,Data!$1:$1,0)),"")=0,"",
IFERROR(
INDEX(Data!$1:$1048576,MATCH('Client Lists'!$B57,Data!$B:$B,0),MATCH('Client Lists'!J$11,Data!$1:$1,0)),""))</f>
        <v/>
      </c>
      <c r="K57" s="1" t="str">
        <f>IF(
IFERROR(
INDEX(Data!$1:$1048576,MATCH('Client Lists'!$B57,Data!$B:$B,0),MATCH('Client Lists'!K$11,Data!$1:$1,0)),"")=0,"",
IFERROR(
INDEX(Data!$1:$1048576,MATCH('Client Lists'!$B57,Data!$B:$B,0),MATCH('Client Lists'!K$11,Data!$1:$1,0)),""))</f>
        <v/>
      </c>
    </row>
    <row r="58" spans="2:11" x14ac:dyDescent="0.45">
      <c r="B58" s="5" t="str">
        <f t="array" ref="B58">IFERROR(_xlfn.IFS(
$B$6 = "Retention Overdue",
INDEX(Data!$B$2:$EO$956,
SMALL(IF(INDEX(Data!$B$2:$EO$956,,MATCH("Call Due",Data!$1:$1,0)-1,1)="Yes",MATCH(ROW(Data!$CN$2:$CN$956),ROW(Data!$CN$2:$CN$956)),""),ROWS($A$1:A47)),COLUMNS($A$1:A47)),
$B$6 = "OWIF-W",
INDEX(Data!$B$2:$EO$956,
SMALL(IF(INDEX(Data!$B$2:$EO$956,,MATCH("Grant Fund",Data!$1:$1,0)-1,1)="OWIF-W",MATCH(ROW(Data!$AO$2:$AO$956),ROW(Data!$AO$2:$AO$956)),""),ROWS($A$1:A47)),COLUMNS($A$1:A47)),
$B$6 = "G2C",
INDEX(Data!$B$2:$EO$956,
SMALL(IF(INDEX(Data!$B$2:$EO$956,,MATCH("Grant Fund",Data!$1:$1,0)-1,1)="Grads2Careers",MATCH(ROW(Data!$AO$2:$AO$956),ROW(Data!$AO$2:$AO$956)),""),ROWS($A$1:A47)),COLUMNS($A$1:A47)),
$B$6 = "OWIF",
INDEX(Data!$B$2:$EO$956,
SMALL(IF(INDEX(Data!$B$2:$EO$956,,MATCH("Grant Fund",Data!$1:$1,0)-1,1)="OWIF",MATCH(ROW(Data!$AO$2:$AO$956),ROW(Data!$AO$2:$AO$956)),""),ROWS($A$1:A47)),COLUMNS($A$1:A47)),
$B$6 = "WIOA",
INDEX(Data!$B$2:$EO$956,
SMALL(IF(INDEX(Data!$B$2:$EO$956,,MATCH("Grant Fund",Data!$1:$1,0)-1,1)="WIOA",MATCH(ROW(Data!$AO$2:$AO$956),ROW(Data!$AO$2:$AO$956)),""),ROWS($A$1:A47)),COLUMNS($A$1:A47)),
$B$6 = "WIOA II",
INDEX(Data!$B$2:$EO$956,
SMALL(IF(INDEX(Data!$B$2:$EO$956,,MATCH("Grant Fund",Data!$1:$1,0)-1,1)="WIOA II",MATCH(ROW(Data!$AO$2:$AO$956),ROW(Data!$AO$2:$AO$956)),""),ROWS($A$1:A47)),COLUMNS($A$1:A47)),
$B$6 = "WIOA III",
INDEX(Data!$B$2:$EO$956,
SMALL(IF(INDEX(Data!$B$2:$EO$956,,MATCH("Grant Fund",Data!$1:$1,0)-1,1)="WIOA III",MATCH(ROW(Data!$AO$2:$AO$956),ROW(Data!$AO$2:$AO$956)),""),ROWS($A$1:A47)),COLUMNS($A$1:A47)),
$B$6 = "Currently Employed",
INDEX(Data!$B$2:$EO$956,
SMALL(IF(INDEX(Data!$B$2:$EO$956,,MATCH("Currently Employed",Data!$1:$1,0)-1,1)="Yes",MATCH(ROW(Data!$DZ$2:$DZ$956),ROW(Data!$DZ$2:$DZ$956)),""),ROWS($A$1:A47)),COLUMNS($A$1:A47)),
$B$6 = "Inactive",
INDEX(Data!$B$2:$EO$956,
SMALL(IF(INDEX(Data!$B$2:$EO$956,,MATCH("Inactive",Data!$1:$1,0)-1,1)="Yes",MATCH(ROW(Data!$DG$2:$DG$956),ROW(Data!$DG$2:$DG$956)),""),ROWS($A$1:A47)),COLUMNS($A$1:A47)),
$B$6 = "Active",
INDEX(Data!$B$2:$EO$956,
SMALL(IF(INDEX(Data!$B$2:$EO$956,,MATCH("Active",Data!$1:$1,0)-1,1)="Yes",MATCH(ROW(Data!$DZ$2:$DZ$956),ROW(Data!$DZ$2:$DZ$956)),""),ROWS($A$1:A47)),COLUMNS($A$1:A47)),
$B$6 = "Status Unknown",
INDEX(Data!$B$2:$EO$956,
SMALL(IF(INDEX(Data!$B$2:$EO$956,,MATCH("Status Unknown",Data!$1:$1,0)-1,1)="Yes",MATCH(ROW(Data!$EB$2:$EB$956),ROW(Data!$EB$2:$EB$956)),""),ROWS($A$1:A47)),COLUMNS($A$1:A47)),
$B$6 = "Enrollment Pending",
INDEX(Data!$B$2:$EO$956,
SMALL(IF(INDEX(Data!$B$2:$EO$956,,MATCH("Enrollment Pending",Data!$1:$1,0)-1,1)="Yes",MATCH(ROW(Data!$DY$2:$DY$956),ROW(Data!$DY$2:$DY$956)),""),ROWS($A$1:A47)),COLUMNS($A$1:A47)),
$B$6 = "Gained Certification",
INDEX(Data!$B$2:$EO$956,
SMALL(IF(INDEX(Data!$B$2:$EO$956,,MATCH("Gained Certification",Data!$1:$1,0)-1,1)="Yes",MATCH(ROW(Data!$DU$2:$DU$956),ROW(Data!$DU$2:$DU$956)),""),ROWS($A$1:A47)),COLUMNS($A$1:A47)),
$B$6 = "No Certification",
INDEX(Data!$B$2:$EO$956,
SMALL(IF(INDEX(Data!$B$2:$EO$956,,MATCH("Gained Certification",Data!$1:$1,0)-1,1)&lt;&gt;"Yes",MATCH(ROW(Data!$DU$2:$DU$956),ROW(Data!$DU$2:$DU$956)),""),ROWS($A$1:A47)),COLUMNS($A$1:A47)),
$B$6 = "Completers Without Employment",
INDEX(Data!$B$2:$EO$967,
SMALL(IF(INDEX(Data!$B$2:$EO$967,,MATCH("Completed Without Employment",Data!$1:$1,0)-1,1)="Yes",MATCH(ROW(Data!$DZ$2:$DZ$967),ROW(Data!$DZ$2:$DZ$967)),""),ROWS($A$1:A47)),COLUMNS($A$1:A47)),
$B$6 = "CH",
INDEX(Data!$B$2:$EO$956,
SMALL(IF(INDEX(Data!$B$2:$EO$956,,MATCH("Case Manager",Data!$1:$1,0)-1,1)="CH",MATCH(ROW(Data!$DZ$2:$DZ$956),ROW(Data!$DZ$2:$DZ$956)),""),ROWS($A$1:A47)),COLUMNS($A$1:A47)),
$B$6 = "ML",
INDEX(Data!$B$2:$EO$956,
SMALL(IF(INDEX(Data!$B$2:$EO$956,,MATCH("Case Manager",Data!$1:$1,0)-1,1)="ML",MATCH(ROW(Data!$DZ$2:$DZ$956),ROW(Data!$DZ$2:$DZ$956)),""),ROWS($A$1:A47)),COLUMNS($A$1:A47)),
$B$6 = "RB",
INDEX(Data!$B$2:$EO$956,
SMALL(IF(INDEX(Data!$B$2:$EO$956,,MATCH("Case Manager",Data!$1:$1,0)-1,1)="RB",MATCH(ROW(Data!$DZ$2:$DZ$956),ROW(Data!$DZ$2:$DZ$956)),""),ROWS($A$1:A47)),COLUMNS($A$1:A47)),
$B$6 = "RV",
INDEX(Data!$B$2:$EO$956,
SMALL(IF(INDEX(Data!$B$2:$EO$956,,MATCH("Case Manager",Data!$1:$1,0)-1,1)="RV",MATCH(ROW(Data!$DZ$2:$DZ$956),ROW(Data!$DZ$2:$DZ$956)),""),ROWS($A$1:A47)),COLUMNS($A$1:A47)),
$B$6 = "SG",
INDEX(Data!$B$2:$EO$956,
SMALL(IF(INDEX(Data!$B$2:$EO$956,,MATCH("Case Manager",Data!$1:$1,0)-1,1)="SH",MATCH(ROW(Data!$DZ$2:$DZ$956),ROW(Data!$DZ$2:$DZ$956)),""),ROWS($A$1:A47)),COLUMNS($A$1:A47))
),"")</f>
        <v/>
      </c>
      <c r="C58" s="1" t="str">
        <f>IF(
IFERROR(
INDEX(Data!$1:$1048576,MATCH('Client Lists'!$B58,Data!$B:$B,0),MATCH('Client Lists'!C$11,Data!$1:$1,0)),"")=0,"",
IFERROR(
INDEX(Data!$1:$1048576,MATCH('Client Lists'!$B58,Data!$B:$B,0),MATCH('Client Lists'!C$11,Data!$1:$1,0)),""))</f>
        <v/>
      </c>
      <c r="D58" s="1" t="str">
        <f>IF(
IFERROR(
INDEX(Data!$1:$1048576,MATCH('Client Lists'!$B58,Data!$B:$B,0),MATCH('Client Lists'!D$11,Data!$1:$1,0)),"")=0,"",
IFERROR(
INDEX(Data!$1:$1048576,MATCH('Client Lists'!$B58,Data!$B:$B,0),MATCH('Client Lists'!D$11,Data!$1:$1,0)),""))</f>
        <v/>
      </c>
      <c r="E58" s="1" t="str">
        <f>IF(
IFERROR(
INDEX(Data!$1:$1048576,MATCH('Client Lists'!$B58,Data!$B:$B,0),MATCH('Client Lists'!E$11,Data!$1:$1,0)),"")=0,"",
IFERROR(
INDEX(Data!$1:$1048576,MATCH('Client Lists'!$B58,Data!$B:$B,0),MATCH('Client Lists'!E$11,Data!$1:$1,0)),""))</f>
        <v/>
      </c>
      <c r="F58" s="1" t="str">
        <f>IF(
IFERROR(
INDEX(Data!$1:$1048576,MATCH('Client Lists'!$B58,Data!$B:$B,0),MATCH('Client Lists'!F$11,Data!$1:$1,0)),"")=0,"",
IFERROR(
INDEX(Data!$1:$1048576,MATCH('Client Lists'!$B58,Data!$B:$B,0),MATCH('Client Lists'!F$11,Data!$1:$1,0)),""))</f>
        <v/>
      </c>
      <c r="G58" s="1" t="str">
        <f>IF(
IFERROR(
INDEX(Data!$1:$1048576,MATCH('Client Lists'!$B58,Data!$B:$B,0),MATCH('Client Lists'!G$11,Data!$1:$1,0)),"")=0,"",
IFERROR(
INDEX(Data!$1:$1048576,MATCH('Client Lists'!$B58,Data!$B:$B,0),MATCH('Client Lists'!G$11,Data!$1:$1,0)),""))</f>
        <v/>
      </c>
      <c r="H58" s="1" t="str">
        <f>IF(
IFERROR(
INDEX(Data!$1:$1048576,MATCH('Client Lists'!$B58,Data!$B:$B,0),MATCH('Client Lists'!H$11,Data!$1:$1,0)),"")=0,"",
IFERROR(
INDEX(Data!$1:$1048576,MATCH('Client Lists'!$B58,Data!$B:$B,0),MATCH('Client Lists'!H$11,Data!$1:$1,0)),""))</f>
        <v/>
      </c>
      <c r="I58" s="1" t="str">
        <f>IF(
IFERROR(
INDEX(Data!$1:$1048576,MATCH('Client Lists'!$B58,Data!$B:$B,0),MATCH('Client Lists'!I$11,Data!$1:$1,0)),"")=0,"",
IFERROR(
INDEX(Data!$1:$1048576,MATCH('Client Lists'!$B58,Data!$B:$B,0),MATCH('Client Lists'!I$11,Data!$1:$1,0)),""))</f>
        <v/>
      </c>
      <c r="J58" s="1" t="str">
        <f>IF(
IFERROR(
INDEX(Data!$1:$1048576,MATCH('Client Lists'!$B58,Data!$B:$B,0),MATCH('Client Lists'!J$11,Data!$1:$1,0)),"")=0,"",
IFERROR(
INDEX(Data!$1:$1048576,MATCH('Client Lists'!$B58,Data!$B:$B,0),MATCH('Client Lists'!J$11,Data!$1:$1,0)),""))</f>
        <v/>
      </c>
      <c r="K58" s="1" t="str">
        <f>IF(
IFERROR(
INDEX(Data!$1:$1048576,MATCH('Client Lists'!$B58,Data!$B:$B,0),MATCH('Client Lists'!K$11,Data!$1:$1,0)),"")=0,"",
IFERROR(
INDEX(Data!$1:$1048576,MATCH('Client Lists'!$B58,Data!$B:$B,0),MATCH('Client Lists'!K$11,Data!$1:$1,0)),""))</f>
        <v/>
      </c>
    </row>
    <row r="59" spans="2:11" x14ac:dyDescent="0.45">
      <c r="B59" s="5" t="str">
        <f t="array" ref="B59">IFERROR(_xlfn.IFS(
$B$6 = "Retention Overdue",
INDEX(Data!$B$2:$EO$956,
SMALL(IF(INDEX(Data!$B$2:$EO$956,,MATCH("Call Due",Data!$1:$1,0)-1,1)="Yes",MATCH(ROW(Data!$CN$2:$CN$956),ROW(Data!$CN$2:$CN$956)),""),ROWS($A$1:A48)),COLUMNS($A$1:A48)),
$B$6 = "OWIF-W",
INDEX(Data!$B$2:$EO$956,
SMALL(IF(INDEX(Data!$B$2:$EO$956,,MATCH("Grant Fund",Data!$1:$1,0)-1,1)="OWIF-W",MATCH(ROW(Data!$AO$2:$AO$956),ROW(Data!$AO$2:$AO$956)),""),ROWS($A$1:A48)),COLUMNS($A$1:A48)),
$B$6 = "G2C",
INDEX(Data!$B$2:$EO$956,
SMALL(IF(INDEX(Data!$B$2:$EO$956,,MATCH("Grant Fund",Data!$1:$1,0)-1,1)="Grads2Careers",MATCH(ROW(Data!$AO$2:$AO$956),ROW(Data!$AO$2:$AO$956)),""),ROWS($A$1:A48)),COLUMNS($A$1:A48)),
$B$6 = "OWIF",
INDEX(Data!$B$2:$EO$956,
SMALL(IF(INDEX(Data!$B$2:$EO$956,,MATCH("Grant Fund",Data!$1:$1,0)-1,1)="OWIF",MATCH(ROW(Data!$AO$2:$AO$956),ROW(Data!$AO$2:$AO$956)),""),ROWS($A$1:A48)),COLUMNS($A$1:A48)),
$B$6 = "WIOA",
INDEX(Data!$B$2:$EO$956,
SMALL(IF(INDEX(Data!$B$2:$EO$956,,MATCH("Grant Fund",Data!$1:$1,0)-1,1)="WIOA",MATCH(ROW(Data!$AO$2:$AO$956),ROW(Data!$AO$2:$AO$956)),""),ROWS($A$1:A48)),COLUMNS($A$1:A48)),
$B$6 = "WIOA II",
INDEX(Data!$B$2:$EO$956,
SMALL(IF(INDEX(Data!$B$2:$EO$956,,MATCH("Grant Fund",Data!$1:$1,0)-1,1)="WIOA II",MATCH(ROW(Data!$AO$2:$AO$956),ROW(Data!$AO$2:$AO$956)),""),ROWS($A$1:A48)),COLUMNS($A$1:A48)),
$B$6 = "WIOA III",
INDEX(Data!$B$2:$EO$956,
SMALL(IF(INDEX(Data!$B$2:$EO$956,,MATCH("Grant Fund",Data!$1:$1,0)-1,1)="WIOA III",MATCH(ROW(Data!$AO$2:$AO$956),ROW(Data!$AO$2:$AO$956)),""),ROWS($A$1:A48)),COLUMNS($A$1:A48)),
$B$6 = "Currently Employed",
INDEX(Data!$B$2:$EO$956,
SMALL(IF(INDEX(Data!$B$2:$EO$956,,MATCH("Currently Employed",Data!$1:$1,0)-1,1)="Yes",MATCH(ROW(Data!$DZ$2:$DZ$956),ROW(Data!$DZ$2:$DZ$956)),""),ROWS($A$1:A48)),COLUMNS($A$1:A48)),
$B$6 = "Inactive",
INDEX(Data!$B$2:$EO$956,
SMALL(IF(INDEX(Data!$B$2:$EO$956,,MATCH("Inactive",Data!$1:$1,0)-1,1)="Yes",MATCH(ROW(Data!$DG$2:$DG$956),ROW(Data!$DG$2:$DG$956)),""),ROWS($A$1:A48)),COLUMNS($A$1:A48)),
$B$6 = "Active",
INDEX(Data!$B$2:$EO$956,
SMALL(IF(INDEX(Data!$B$2:$EO$956,,MATCH("Active",Data!$1:$1,0)-1,1)="Yes",MATCH(ROW(Data!$DZ$2:$DZ$956),ROW(Data!$DZ$2:$DZ$956)),""),ROWS($A$1:A48)),COLUMNS($A$1:A48)),
$B$6 = "Status Unknown",
INDEX(Data!$B$2:$EO$956,
SMALL(IF(INDEX(Data!$B$2:$EO$956,,MATCH("Status Unknown",Data!$1:$1,0)-1,1)="Yes",MATCH(ROW(Data!$EB$2:$EB$956),ROW(Data!$EB$2:$EB$956)),""),ROWS($A$1:A48)),COLUMNS($A$1:A48)),
$B$6 = "Enrollment Pending",
INDEX(Data!$B$2:$EO$956,
SMALL(IF(INDEX(Data!$B$2:$EO$956,,MATCH("Enrollment Pending",Data!$1:$1,0)-1,1)="Yes",MATCH(ROW(Data!$DY$2:$DY$956),ROW(Data!$DY$2:$DY$956)),""),ROWS($A$1:A48)),COLUMNS($A$1:A48)),
$B$6 = "Gained Certification",
INDEX(Data!$B$2:$EO$956,
SMALL(IF(INDEX(Data!$B$2:$EO$956,,MATCH("Gained Certification",Data!$1:$1,0)-1,1)="Yes",MATCH(ROW(Data!$DU$2:$DU$956),ROW(Data!$DU$2:$DU$956)),""),ROWS($A$1:A48)),COLUMNS($A$1:A48)),
$B$6 = "No Certification",
INDEX(Data!$B$2:$EO$956,
SMALL(IF(INDEX(Data!$B$2:$EO$956,,MATCH("Gained Certification",Data!$1:$1,0)-1,1)&lt;&gt;"Yes",MATCH(ROW(Data!$DU$2:$DU$956),ROW(Data!$DU$2:$DU$956)),""),ROWS($A$1:A48)),COLUMNS($A$1:A48)),
$B$6 = "Completers Without Employment",
INDEX(Data!$B$2:$EO$967,
SMALL(IF(INDEX(Data!$B$2:$EO$967,,MATCH("Completed Without Employment",Data!$1:$1,0)-1,1)="Yes",MATCH(ROW(Data!$DZ$2:$DZ$967),ROW(Data!$DZ$2:$DZ$967)),""),ROWS($A$1:A48)),COLUMNS($A$1:A48)),
$B$6 = "CH",
INDEX(Data!$B$2:$EO$956,
SMALL(IF(INDEX(Data!$B$2:$EO$956,,MATCH("Case Manager",Data!$1:$1,0)-1,1)="CH",MATCH(ROW(Data!$DZ$2:$DZ$956),ROW(Data!$DZ$2:$DZ$956)),""),ROWS($A$1:A48)),COLUMNS($A$1:A48)),
$B$6 = "ML",
INDEX(Data!$B$2:$EO$956,
SMALL(IF(INDEX(Data!$B$2:$EO$956,,MATCH("Case Manager",Data!$1:$1,0)-1,1)="ML",MATCH(ROW(Data!$DZ$2:$DZ$956),ROW(Data!$DZ$2:$DZ$956)),""),ROWS($A$1:A48)),COLUMNS($A$1:A48)),
$B$6 = "RB",
INDEX(Data!$B$2:$EO$956,
SMALL(IF(INDEX(Data!$B$2:$EO$956,,MATCH("Case Manager",Data!$1:$1,0)-1,1)="RB",MATCH(ROW(Data!$DZ$2:$DZ$956),ROW(Data!$DZ$2:$DZ$956)),""),ROWS($A$1:A48)),COLUMNS($A$1:A48)),
$B$6 = "RV",
INDEX(Data!$B$2:$EO$956,
SMALL(IF(INDEX(Data!$B$2:$EO$956,,MATCH("Case Manager",Data!$1:$1,0)-1,1)="RV",MATCH(ROW(Data!$DZ$2:$DZ$956),ROW(Data!$DZ$2:$DZ$956)),""),ROWS($A$1:A48)),COLUMNS($A$1:A48)),
$B$6 = "SG",
INDEX(Data!$B$2:$EO$956,
SMALL(IF(INDEX(Data!$B$2:$EO$956,,MATCH("Case Manager",Data!$1:$1,0)-1,1)="SH",MATCH(ROW(Data!$DZ$2:$DZ$956),ROW(Data!$DZ$2:$DZ$956)),""),ROWS($A$1:A48)),COLUMNS($A$1:A48))
),"")</f>
        <v/>
      </c>
      <c r="C59" s="1" t="str">
        <f>IF(
IFERROR(
INDEX(Data!$1:$1048576,MATCH('Client Lists'!$B59,Data!$B:$B,0),MATCH('Client Lists'!C$11,Data!$1:$1,0)),"")=0,"",
IFERROR(
INDEX(Data!$1:$1048576,MATCH('Client Lists'!$B59,Data!$B:$B,0),MATCH('Client Lists'!C$11,Data!$1:$1,0)),""))</f>
        <v/>
      </c>
      <c r="D59" s="1" t="str">
        <f>IF(
IFERROR(
INDEX(Data!$1:$1048576,MATCH('Client Lists'!$B59,Data!$B:$B,0),MATCH('Client Lists'!D$11,Data!$1:$1,0)),"")=0,"",
IFERROR(
INDEX(Data!$1:$1048576,MATCH('Client Lists'!$B59,Data!$B:$B,0),MATCH('Client Lists'!D$11,Data!$1:$1,0)),""))</f>
        <v/>
      </c>
      <c r="E59" s="1" t="str">
        <f>IF(
IFERROR(
INDEX(Data!$1:$1048576,MATCH('Client Lists'!$B59,Data!$B:$B,0),MATCH('Client Lists'!E$11,Data!$1:$1,0)),"")=0,"",
IFERROR(
INDEX(Data!$1:$1048576,MATCH('Client Lists'!$B59,Data!$B:$B,0),MATCH('Client Lists'!E$11,Data!$1:$1,0)),""))</f>
        <v/>
      </c>
      <c r="F59" s="1" t="str">
        <f>IF(
IFERROR(
INDEX(Data!$1:$1048576,MATCH('Client Lists'!$B59,Data!$B:$B,0),MATCH('Client Lists'!F$11,Data!$1:$1,0)),"")=0,"",
IFERROR(
INDEX(Data!$1:$1048576,MATCH('Client Lists'!$B59,Data!$B:$B,0),MATCH('Client Lists'!F$11,Data!$1:$1,0)),""))</f>
        <v/>
      </c>
      <c r="G59" s="1" t="str">
        <f>IF(
IFERROR(
INDEX(Data!$1:$1048576,MATCH('Client Lists'!$B59,Data!$B:$B,0),MATCH('Client Lists'!G$11,Data!$1:$1,0)),"")=0,"",
IFERROR(
INDEX(Data!$1:$1048576,MATCH('Client Lists'!$B59,Data!$B:$B,0),MATCH('Client Lists'!G$11,Data!$1:$1,0)),""))</f>
        <v/>
      </c>
      <c r="H59" s="1" t="str">
        <f>IF(
IFERROR(
INDEX(Data!$1:$1048576,MATCH('Client Lists'!$B59,Data!$B:$B,0),MATCH('Client Lists'!H$11,Data!$1:$1,0)),"")=0,"",
IFERROR(
INDEX(Data!$1:$1048576,MATCH('Client Lists'!$B59,Data!$B:$B,0),MATCH('Client Lists'!H$11,Data!$1:$1,0)),""))</f>
        <v/>
      </c>
      <c r="I59" s="1" t="str">
        <f>IF(
IFERROR(
INDEX(Data!$1:$1048576,MATCH('Client Lists'!$B59,Data!$B:$B,0),MATCH('Client Lists'!I$11,Data!$1:$1,0)),"")=0,"",
IFERROR(
INDEX(Data!$1:$1048576,MATCH('Client Lists'!$B59,Data!$B:$B,0),MATCH('Client Lists'!I$11,Data!$1:$1,0)),""))</f>
        <v/>
      </c>
      <c r="J59" s="1" t="str">
        <f>IF(
IFERROR(
INDEX(Data!$1:$1048576,MATCH('Client Lists'!$B59,Data!$B:$B,0),MATCH('Client Lists'!J$11,Data!$1:$1,0)),"")=0,"",
IFERROR(
INDEX(Data!$1:$1048576,MATCH('Client Lists'!$B59,Data!$B:$B,0),MATCH('Client Lists'!J$11,Data!$1:$1,0)),""))</f>
        <v/>
      </c>
      <c r="K59" s="1" t="str">
        <f>IF(
IFERROR(
INDEX(Data!$1:$1048576,MATCH('Client Lists'!$B59,Data!$B:$B,0),MATCH('Client Lists'!K$11,Data!$1:$1,0)),"")=0,"",
IFERROR(
INDEX(Data!$1:$1048576,MATCH('Client Lists'!$B59,Data!$B:$B,0),MATCH('Client Lists'!K$11,Data!$1:$1,0)),""))</f>
        <v/>
      </c>
    </row>
    <row r="60" spans="2:11" x14ac:dyDescent="0.45">
      <c r="B60" s="5" t="str">
        <f t="array" ref="B60">IFERROR(_xlfn.IFS(
$B$6 = "Retention Overdue",
INDEX(Data!$B$2:$EO$956,
SMALL(IF(INDEX(Data!$B$2:$EO$956,,MATCH("Call Due",Data!$1:$1,0)-1,1)="Yes",MATCH(ROW(Data!$CN$2:$CN$956),ROW(Data!$CN$2:$CN$956)),""),ROWS($A$1:A49)),COLUMNS($A$1:A49)),
$B$6 = "OWIF-W",
INDEX(Data!$B$2:$EO$956,
SMALL(IF(INDEX(Data!$B$2:$EO$956,,MATCH("Grant Fund",Data!$1:$1,0)-1,1)="OWIF-W",MATCH(ROW(Data!$AO$2:$AO$956),ROW(Data!$AO$2:$AO$956)),""),ROWS($A$1:A49)),COLUMNS($A$1:A49)),
$B$6 = "G2C",
INDEX(Data!$B$2:$EO$956,
SMALL(IF(INDEX(Data!$B$2:$EO$956,,MATCH("Grant Fund",Data!$1:$1,0)-1,1)="Grads2Careers",MATCH(ROW(Data!$AO$2:$AO$956),ROW(Data!$AO$2:$AO$956)),""),ROWS($A$1:A49)),COLUMNS($A$1:A49)),
$B$6 = "OWIF",
INDEX(Data!$B$2:$EO$956,
SMALL(IF(INDEX(Data!$B$2:$EO$956,,MATCH("Grant Fund",Data!$1:$1,0)-1,1)="OWIF",MATCH(ROW(Data!$AO$2:$AO$956),ROW(Data!$AO$2:$AO$956)),""),ROWS($A$1:A49)),COLUMNS($A$1:A49)),
$B$6 = "WIOA",
INDEX(Data!$B$2:$EO$956,
SMALL(IF(INDEX(Data!$B$2:$EO$956,,MATCH("Grant Fund",Data!$1:$1,0)-1,1)="WIOA",MATCH(ROW(Data!$AO$2:$AO$956),ROW(Data!$AO$2:$AO$956)),""),ROWS($A$1:A49)),COLUMNS($A$1:A49)),
$B$6 = "WIOA II",
INDEX(Data!$B$2:$EO$956,
SMALL(IF(INDEX(Data!$B$2:$EO$956,,MATCH("Grant Fund",Data!$1:$1,0)-1,1)="WIOA II",MATCH(ROW(Data!$AO$2:$AO$956),ROW(Data!$AO$2:$AO$956)),""),ROWS($A$1:A49)),COLUMNS($A$1:A49)),
$B$6 = "WIOA III",
INDEX(Data!$B$2:$EO$956,
SMALL(IF(INDEX(Data!$B$2:$EO$956,,MATCH("Grant Fund",Data!$1:$1,0)-1,1)="WIOA III",MATCH(ROW(Data!$AO$2:$AO$956),ROW(Data!$AO$2:$AO$956)),""),ROWS($A$1:A49)),COLUMNS($A$1:A49)),
$B$6 = "Currently Employed",
INDEX(Data!$B$2:$EO$956,
SMALL(IF(INDEX(Data!$B$2:$EO$956,,MATCH("Currently Employed",Data!$1:$1,0)-1,1)="Yes",MATCH(ROW(Data!$DZ$2:$DZ$956),ROW(Data!$DZ$2:$DZ$956)),""),ROWS($A$1:A49)),COLUMNS($A$1:A49)),
$B$6 = "Inactive",
INDEX(Data!$B$2:$EO$956,
SMALL(IF(INDEX(Data!$B$2:$EO$956,,MATCH("Inactive",Data!$1:$1,0)-1,1)="Yes",MATCH(ROW(Data!$DG$2:$DG$956),ROW(Data!$DG$2:$DG$956)),""),ROWS($A$1:A49)),COLUMNS($A$1:A49)),
$B$6 = "Active",
INDEX(Data!$B$2:$EO$956,
SMALL(IF(INDEX(Data!$B$2:$EO$956,,MATCH("Active",Data!$1:$1,0)-1,1)="Yes",MATCH(ROW(Data!$DZ$2:$DZ$956),ROW(Data!$DZ$2:$DZ$956)),""),ROWS($A$1:A49)),COLUMNS($A$1:A49)),
$B$6 = "Status Unknown",
INDEX(Data!$B$2:$EO$956,
SMALL(IF(INDEX(Data!$B$2:$EO$956,,MATCH("Status Unknown",Data!$1:$1,0)-1,1)="Yes",MATCH(ROW(Data!$EB$2:$EB$956),ROW(Data!$EB$2:$EB$956)),""),ROWS($A$1:A49)),COLUMNS($A$1:A49)),
$B$6 = "Enrollment Pending",
INDEX(Data!$B$2:$EO$956,
SMALL(IF(INDEX(Data!$B$2:$EO$956,,MATCH("Enrollment Pending",Data!$1:$1,0)-1,1)="Yes",MATCH(ROW(Data!$DY$2:$DY$956),ROW(Data!$DY$2:$DY$956)),""),ROWS($A$1:A49)),COLUMNS($A$1:A49)),
$B$6 = "Gained Certification",
INDEX(Data!$B$2:$EO$956,
SMALL(IF(INDEX(Data!$B$2:$EO$956,,MATCH("Gained Certification",Data!$1:$1,0)-1,1)="Yes",MATCH(ROW(Data!$DU$2:$DU$956),ROW(Data!$DU$2:$DU$956)),""),ROWS($A$1:A49)),COLUMNS($A$1:A49)),
$B$6 = "No Certification",
INDEX(Data!$B$2:$EO$956,
SMALL(IF(INDEX(Data!$B$2:$EO$956,,MATCH("Gained Certification",Data!$1:$1,0)-1,1)&lt;&gt;"Yes",MATCH(ROW(Data!$DU$2:$DU$956),ROW(Data!$DU$2:$DU$956)),""),ROWS($A$1:A49)),COLUMNS($A$1:A49)),
$B$6 = "Completers Without Employment",
INDEX(Data!$B$2:$EO$967,
SMALL(IF(INDEX(Data!$B$2:$EO$967,,MATCH("Completed Without Employment",Data!$1:$1,0)-1,1)="Yes",MATCH(ROW(Data!$DZ$2:$DZ$967),ROW(Data!$DZ$2:$DZ$967)),""),ROWS($A$1:A49)),COLUMNS($A$1:A49)),
$B$6 = "CH",
INDEX(Data!$B$2:$EO$956,
SMALL(IF(INDEX(Data!$B$2:$EO$956,,MATCH("Case Manager",Data!$1:$1,0)-1,1)="CH",MATCH(ROW(Data!$DZ$2:$DZ$956),ROW(Data!$DZ$2:$DZ$956)),""),ROWS($A$1:A49)),COLUMNS($A$1:A49)),
$B$6 = "ML",
INDEX(Data!$B$2:$EO$956,
SMALL(IF(INDEX(Data!$B$2:$EO$956,,MATCH("Case Manager",Data!$1:$1,0)-1,1)="ML",MATCH(ROW(Data!$DZ$2:$DZ$956),ROW(Data!$DZ$2:$DZ$956)),""),ROWS($A$1:A49)),COLUMNS($A$1:A49)),
$B$6 = "RB",
INDEX(Data!$B$2:$EO$956,
SMALL(IF(INDEX(Data!$B$2:$EO$956,,MATCH("Case Manager",Data!$1:$1,0)-1,1)="RB",MATCH(ROW(Data!$DZ$2:$DZ$956),ROW(Data!$DZ$2:$DZ$956)),""),ROWS($A$1:A49)),COLUMNS($A$1:A49)),
$B$6 = "RV",
INDEX(Data!$B$2:$EO$956,
SMALL(IF(INDEX(Data!$B$2:$EO$956,,MATCH("Case Manager",Data!$1:$1,0)-1,1)="RV",MATCH(ROW(Data!$DZ$2:$DZ$956),ROW(Data!$DZ$2:$DZ$956)),""),ROWS($A$1:A49)),COLUMNS($A$1:A49)),
$B$6 = "SG",
INDEX(Data!$B$2:$EO$956,
SMALL(IF(INDEX(Data!$B$2:$EO$956,,MATCH("Case Manager",Data!$1:$1,0)-1,1)="SH",MATCH(ROW(Data!$DZ$2:$DZ$956),ROW(Data!$DZ$2:$DZ$956)),""),ROWS($A$1:A49)),COLUMNS($A$1:A49))
),"")</f>
        <v/>
      </c>
      <c r="C60" s="1" t="str">
        <f>IF(
IFERROR(
INDEX(Data!$1:$1048576,MATCH('Client Lists'!$B60,Data!$B:$B,0),MATCH('Client Lists'!C$11,Data!$1:$1,0)),"")=0,"",
IFERROR(
INDEX(Data!$1:$1048576,MATCH('Client Lists'!$B60,Data!$B:$B,0),MATCH('Client Lists'!C$11,Data!$1:$1,0)),""))</f>
        <v/>
      </c>
      <c r="D60" s="1" t="str">
        <f>IF(
IFERROR(
INDEX(Data!$1:$1048576,MATCH('Client Lists'!$B60,Data!$B:$B,0),MATCH('Client Lists'!D$11,Data!$1:$1,0)),"")=0,"",
IFERROR(
INDEX(Data!$1:$1048576,MATCH('Client Lists'!$B60,Data!$B:$B,0),MATCH('Client Lists'!D$11,Data!$1:$1,0)),""))</f>
        <v/>
      </c>
      <c r="E60" s="1" t="str">
        <f>IF(
IFERROR(
INDEX(Data!$1:$1048576,MATCH('Client Lists'!$B60,Data!$B:$B,0),MATCH('Client Lists'!E$11,Data!$1:$1,0)),"")=0,"",
IFERROR(
INDEX(Data!$1:$1048576,MATCH('Client Lists'!$B60,Data!$B:$B,0),MATCH('Client Lists'!E$11,Data!$1:$1,0)),""))</f>
        <v/>
      </c>
      <c r="F60" s="1" t="str">
        <f>IF(
IFERROR(
INDEX(Data!$1:$1048576,MATCH('Client Lists'!$B60,Data!$B:$B,0),MATCH('Client Lists'!F$11,Data!$1:$1,0)),"")=0,"",
IFERROR(
INDEX(Data!$1:$1048576,MATCH('Client Lists'!$B60,Data!$B:$B,0),MATCH('Client Lists'!F$11,Data!$1:$1,0)),""))</f>
        <v/>
      </c>
      <c r="G60" s="1" t="str">
        <f>IF(
IFERROR(
INDEX(Data!$1:$1048576,MATCH('Client Lists'!$B60,Data!$B:$B,0),MATCH('Client Lists'!G$11,Data!$1:$1,0)),"")=0,"",
IFERROR(
INDEX(Data!$1:$1048576,MATCH('Client Lists'!$B60,Data!$B:$B,0),MATCH('Client Lists'!G$11,Data!$1:$1,0)),""))</f>
        <v/>
      </c>
      <c r="H60" s="1" t="str">
        <f>IF(
IFERROR(
INDEX(Data!$1:$1048576,MATCH('Client Lists'!$B60,Data!$B:$B,0),MATCH('Client Lists'!H$11,Data!$1:$1,0)),"")=0,"",
IFERROR(
INDEX(Data!$1:$1048576,MATCH('Client Lists'!$B60,Data!$B:$B,0),MATCH('Client Lists'!H$11,Data!$1:$1,0)),""))</f>
        <v/>
      </c>
      <c r="I60" s="1" t="str">
        <f>IF(
IFERROR(
INDEX(Data!$1:$1048576,MATCH('Client Lists'!$B60,Data!$B:$B,0),MATCH('Client Lists'!I$11,Data!$1:$1,0)),"")=0,"",
IFERROR(
INDEX(Data!$1:$1048576,MATCH('Client Lists'!$B60,Data!$B:$B,0),MATCH('Client Lists'!I$11,Data!$1:$1,0)),""))</f>
        <v/>
      </c>
      <c r="J60" s="1" t="str">
        <f>IF(
IFERROR(
INDEX(Data!$1:$1048576,MATCH('Client Lists'!$B60,Data!$B:$B,0),MATCH('Client Lists'!J$11,Data!$1:$1,0)),"")=0,"",
IFERROR(
INDEX(Data!$1:$1048576,MATCH('Client Lists'!$B60,Data!$B:$B,0),MATCH('Client Lists'!J$11,Data!$1:$1,0)),""))</f>
        <v/>
      </c>
      <c r="K60" s="1" t="str">
        <f>IF(
IFERROR(
INDEX(Data!$1:$1048576,MATCH('Client Lists'!$B60,Data!$B:$B,0),MATCH('Client Lists'!K$11,Data!$1:$1,0)),"")=0,"",
IFERROR(
INDEX(Data!$1:$1048576,MATCH('Client Lists'!$B60,Data!$B:$B,0),MATCH('Client Lists'!K$11,Data!$1:$1,0)),""))</f>
        <v/>
      </c>
    </row>
    <row r="61" spans="2:11" x14ac:dyDescent="0.45">
      <c r="B61" s="5" t="str">
        <f t="array" ref="B61">IFERROR(_xlfn.IFS(
$B$6 = "Retention Overdue",
INDEX(Data!$B$2:$EO$956,
SMALL(IF(INDEX(Data!$B$2:$EO$956,,MATCH("Call Due",Data!$1:$1,0)-1,1)="Yes",MATCH(ROW(Data!$CN$2:$CN$956),ROW(Data!$CN$2:$CN$956)),""),ROWS($A$1:A50)),COLUMNS($A$1:A50)),
$B$6 = "OWIF-W",
INDEX(Data!$B$2:$EO$956,
SMALL(IF(INDEX(Data!$B$2:$EO$956,,MATCH("Grant Fund",Data!$1:$1,0)-1,1)="OWIF-W",MATCH(ROW(Data!$AO$2:$AO$956),ROW(Data!$AO$2:$AO$956)),""),ROWS($A$1:A50)),COLUMNS($A$1:A50)),
$B$6 = "G2C",
INDEX(Data!$B$2:$EO$956,
SMALL(IF(INDEX(Data!$B$2:$EO$956,,MATCH("Grant Fund",Data!$1:$1,0)-1,1)="Grads2Careers",MATCH(ROW(Data!$AO$2:$AO$956),ROW(Data!$AO$2:$AO$956)),""),ROWS($A$1:A50)),COLUMNS($A$1:A50)),
$B$6 = "OWIF",
INDEX(Data!$B$2:$EO$956,
SMALL(IF(INDEX(Data!$B$2:$EO$956,,MATCH("Grant Fund",Data!$1:$1,0)-1,1)="OWIF",MATCH(ROW(Data!$AO$2:$AO$956),ROW(Data!$AO$2:$AO$956)),""),ROWS($A$1:A50)),COLUMNS($A$1:A50)),
$B$6 = "WIOA",
INDEX(Data!$B$2:$EO$956,
SMALL(IF(INDEX(Data!$B$2:$EO$956,,MATCH("Grant Fund",Data!$1:$1,0)-1,1)="WIOA",MATCH(ROW(Data!$AO$2:$AO$956),ROW(Data!$AO$2:$AO$956)),""),ROWS($A$1:A50)),COLUMNS($A$1:A50)),
$B$6 = "WIOA II",
INDEX(Data!$B$2:$EO$956,
SMALL(IF(INDEX(Data!$B$2:$EO$956,,MATCH("Grant Fund",Data!$1:$1,0)-1,1)="WIOA II",MATCH(ROW(Data!$AO$2:$AO$956),ROW(Data!$AO$2:$AO$956)),""),ROWS($A$1:A50)),COLUMNS($A$1:A50)),
$B$6 = "WIOA III",
INDEX(Data!$B$2:$EO$956,
SMALL(IF(INDEX(Data!$B$2:$EO$956,,MATCH("Grant Fund",Data!$1:$1,0)-1,1)="WIOA III",MATCH(ROW(Data!$AO$2:$AO$956),ROW(Data!$AO$2:$AO$956)),""),ROWS($A$1:A50)),COLUMNS($A$1:A50)),
$B$6 = "Currently Employed",
INDEX(Data!$B$2:$EO$956,
SMALL(IF(INDEX(Data!$B$2:$EO$956,,MATCH("Currently Employed",Data!$1:$1,0)-1,1)="Yes",MATCH(ROW(Data!$DZ$2:$DZ$956),ROW(Data!$DZ$2:$DZ$956)),""),ROWS($A$1:A50)),COLUMNS($A$1:A50)),
$B$6 = "Inactive",
INDEX(Data!$B$2:$EO$956,
SMALL(IF(INDEX(Data!$B$2:$EO$956,,MATCH("Inactive",Data!$1:$1,0)-1,1)="Yes",MATCH(ROW(Data!$DG$2:$DG$956),ROW(Data!$DG$2:$DG$956)),""),ROWS($A$1:A50)),COLUMNS($A$1:A50)),
$B$6 = "Active",
INDEX(Data!$B$2:$EO$956,
SMALL(IF(INDEX(Data!$B$2:$EO$956,,MATCH("Active",Data!$1:$1,0)-1,1)="Yes",MATCH(ROW(Data!$DZ$2:$DZ$956),ROW(Data!$DZ$2:$DZ$956)),""),ROWS($A$1:A50)),COLUMNS($A$1:A50)),
$B$6 = "Status Unknown",
INDEX(Data!$B$2:$EO$956,
SMALL(IF(INDEX(Data!$B$2:$EO$956,,MATCH("Status Unknown",Data!$1:$1,0)-1,1)="Yes",MATCH(ROW(Data!$EB$2:$EB$956),ROW(Data!$EB$2:$EB$956)),""),ROWS($A$1:A50)),COLUMNS($A$1:A50)),
$B$6 = "Enrollment Pending",
INDEX(Data!$B$2:$EO$956,
SMALL(IF(INDEX(Data!$B$2:$EO$956,,MATCH("Enrollment Pending",Data!$1:$1,0)-1,1)="Yes",MATCH(ROW(Data!$DY$2:$DY$956),ROW(Data!$DY$2:$DY$956)),""),ROWS($A$1:A50)),COLUMNS($A$1:A50)),
$B$6 = "Gained Certification",
INDEX(Data!$B$2:$EO$956,
SMALL(IF(INDEX(Data!$B$2:$EO$956,,MATCH("Gained Certification",Data!$1:$1,0)-1,1)="Yes",MATCH(ROW(Data!$DU$2:$DU$956),ROW(Data!$DU$2:$DU$956)),""),ROWS($A$1:A50)),COLUMNS($A$1:A50)),
$B$6 = "No Certification",
INDEX(Data!$B$2:$EO$956,
SMALL(IF(INDEX(Data!$B$2:$EO$956,,MATCH("Gained Certification",Data!$1:$1,0)-1,1)&lt;&gt;"Yes",MATCH(ROW(Data!$DU$2:$DU$956),ROW(Data!$DU$2:$DU$956)),""),ROWS($A$1:A50)),COLUMNS($A$1:A50)),
$B$6 = "Completers Without Employment",
INDEX(Data!$B$2:$EO$967,
SMALL(IF(INDEX(Data!$B$2:$EO$967,,MATCH("Completed Without Employment",Data!$1:$1,0)-1,1)="Yes",MATCH(ROW(Data!$DZ$2:$DZ$967),ROW(Data!$DZ$2:$DZ$967)),""),ROWS($A$1:A50)),COLUMNS($A$1:A50)),
$B$6 = "CH",
INDEX(Data!$B$2:$EO$956,
SMALL(IF(INDEX(Data!$B$2:$EO$956,,MATCH("Case Manager",Data!$1:$1,0)-1,1)="CH",MATCH(ROW(Data!$DZ$2:$DZ$956),ROW(Data!$DZ$2:$DZ$956)),""),ROWS($A$1:A50)),COLUMNS($A$1:A50)),
$B$6 = "ML",
INDEX(Data!$B$2:$EO$956,
SMALL(IF(INDEX(Data!$B$2:$EO$956,,MATCH("Case Manager",Data!$1:$1,0)-1,1)="ML",MATCH(ROW(Data!$DZ$2:$DZ$956),ROW(Data!$DZ$2:$DZ$956)),""),ROWS($A$1:A50)),COLUMNS($A$1:A50)),
$B$6 = "RB",
INDEX(Data!$B$2:$EO$956,
SMALL(IF(INDEX(Data!$B$2:$EO$956,,MATCH("Case Manager",Data!$1:$1,0)-1,1)="RB",MATCH(ROW(Data!$DZ$2:$DZ$956),ROW(Data!$DZ$2:$DZ$956)),""),ROWS($A$1:A50)),COLUMNS($A$1:A50)),
$B$6 = "RV",
INDEX(Data!$B$2:$EO$956,
SMALL(IF(INDEX(Data!$B$2:$EO$956,,MATCH("Case Manager",Data!$1:$1,0)-1,1)="RV",MATCH(ROW(Data!$DZ$2:$DZ$956),ROW(Data!$DZ$2:$DZ$956)),""),ROWS($A$1:A50)),COLUMNS($A$1:A50)),
$B$6 = "SG",
INDEX(Data!$B$2:$EO$956,
SMALL(IF(INDEX(Data!$B$2:$EO$956,,MATCH("Case Manager",Data!$1:$1,0)-1,1)="SH",MATCH(ROW(Data!$DZ$2:$DZ$956),ROW(Data!$DZ$2:$DZ$956)),""),ROWS($A$1:A50)),COLUMNS($A$1:A50))
),"")</f>
        <v/>
      </c>
      <c r="C61" s="1" t="str">
        <f>IF(
IFERROR(
INDEX(Data!$1:$1048576,MATCH('Client Lists'!$B61,Data!$B:$B,0),MATCH('Client Lists'!C$11,Data!$1:$1,0)),"")=0,"",
IFERROR(
INDEX(Data!$1:$1048576,MATCH('Client Lists'!$B61,Data!$B:$B,0),MATCH('Client Lists'!C$11,Data!$1:$1,0)),""))</f>
        <v/>
      </c>
      <c r="D61" s="1" t="str">
        <f>IF(
IFERROR(
INDEX(Data!$1:$1048576,MATCH('Client Lists'!$B61,Data!$B:$B,0),MATCH('Client Lists'!D$11,Data!$1:$1,0)),"")=0,"",
IFERROR(
INDEX(Data!$1:$1048576,MATCH('Client Lists'!$B61,Data!$B:$B,0),MATCH('Client Lists'!D$11,Data!$1:$1,0)),""))</f>
        <v/>
      </c>
      <c r="E61" s="1" t="str">
        <f>IF(
IFERROR(
INDEX(Data!$1:$1048576,MATCH('Client Lists'!$B61,Data!$B:$B,0),MATCH('Client Lists'!E$11,Data!$1:$1,0)),"")=0,"",
IFERROR(
INDEX(Data!$1:$1048576,MATCH('Client Lists'!$B61,Data!$B:$B,0),MATCH('Client Lists'!E$11,Data!$1:$1,0)),""))</f>
        <v/>
      </c>
      <c r="F61" s="1" t="str">
        <f>IF(
IFERROR(
INDEX(Data!$1:$1048576,MATCH('Client Lists'!$B61,Data!$B:$B,0),MATCH('Client Lists'!F$11,Data!$1:$1,0)),"")=0,"",
IFERROR(
INDEX(Data!$1:$1048576,MATCH('Client Lists'!$B61,Data!$B:$B,0),MATCH('Client Lists'!F$11,Data!$1:$1,0)),""))</f>
        <v/>
      </c>
      <c r="G61" s="1" t="str">
        <f>IF(
IFERROR(
INDEX(Data!$1:$1048576,MATCH('Client Lists'!$B61,Data!$B:$B,0),MATCH('Client Lists'!G$11,Data!$1:$1,0)),"")=0,"",
IFERROR(
INDEX(Data!$1:$1048576,MATCH('Client Lists'!$B61,Data!$B:$B,0),MATCH('Client Lists'!G$11,Data!$1:$1,0)),""))</f>
        <v/>
      </c>
      <c r="H61" s="1" t="str">
        <f>IF(
IFERROR(
INDEX(Data!$1:$1048576,MATCH('Client Lists'!$B61,Data!$B:$B,0),MATCH('Client Lists'!H$11,Data!$1:$1,0)),"")=0,"",
IFERROR(
INDEX(Data!$1:$1048576,MATCH('Client Lists'!$B61,Data!$B:$B,0),MATCH('Client Lists'!H$11,Data!$1:$1,0)),""))</f>
        <v/>
      </c>
      <c r="I61" s="1" t="str">
        <f>IF(
IFERROR(
INDEX(Data!$1:$1048576,MATCH('Client Lists'!$B61,Data!$B:$B,0),MATCH('Client Lists'!I$11,Data!$1:$1,0)),"")=0,"",
IFERROR(
INDEX(Data!$1:$1048576,MATCH('Client Lists'!$B61,Data!$B:$B,0),MATCH('Client Lists'!I$11,Data!$1:$1,0)),""))</f>
        <v/>
      </c>
      <c r="J61" s="1" t="str">
        <f>IF(
IFERROR(
INDEX(Data!$1:$1048576,MATCH('Client Lists'!$B61,Data!$B:$B,0),MATCH('Client Lists'!J$11,Data!$1:$1,0)),"")=0,"",
IFERROR(
INDEX(Data!$1:$1048576,MATCH('Client Lists'!$B61,Data!$B:$B,0),MATCH('Client Lists'!J$11,Data!$1:$1,0)),""))</f>
        <v/>
      </c>
      <c r="K61" s="1" t="str">
        <f>IF(
IFERROR(
INDEX(Data!$1:$1048576,MATCH('Client Lists'!$B61,Data!$B:$B,0),MATCH('Client Lists'!K$11,Data!$1:$1,0)),"")=0,"",
IFERROR(
INDEX(Data!$1:$1048576,MATCH('Client Lists'!$B61,Data!$B:$B,0),MATCH('Client Lists'!K$11,Data!$1:$1,0)),""))</f>
        <v/>
      </c>
    </row>
    <row r="62" spans="2:11" x14ac:dyDescent="0.45">
      <c r="B62" s="5" t="str">
        <f t="array" ref="B62">IFERROR(_xlfn.IFS(
$B$6 = "Retention Overdue",
INDEX(Data!$B$2:$EO$956,
SMALL(IF(INDEX(Data!$B$2:$EO$956,,MATCH("Call Due",Data!$1:$1,0)-1,1)="Yes",MATCH(ROW(Data!$CN$2:$CN$956),ROW(Data!$CN$2:$CN$956)),""),ROWS($A$1:A51)),COLUMNS($A$1:A51)),
$B$6 = "OWIF-W",
INDEX(Data!$B$2:$EO$956,
SMALL(IF(INDEX(Data!$B$2:$EO$956,,MATCH("Grant Fund",Data!$1:$1,0)-1,1)="OWIF-W",MATCH(ROW(Data!$AO$2:$AO$956),ROW(Data!$AO$2:$AO$956)),""),ROWS($A$1:A51)),COLUMNS($A$1:A51)),
$B$6 = "G2C",
INDEX(Data!$B$2:$EO$956,
SMALL(IF(INDEX(Data!$B$2:$EO$956,,MATCH("Grant Fund",Data!$1:$1,0)-1,1)="Grads2Careers",MATCH(ROW(Data!$AO$2:$AO$956),ROW(Data!$AO$2:$AO$956)),""),ROWS($A$1:A51)),COLUMNS($A$1:A51)),
$B$6 = "OWIF",
INDEX(Data!$B$2:$EO$956,
SMALL(IF(INDEX(Data!$B$2:$EO$956,,MATCH("Grant Fund",Data!$1:$1,0)-1,1)="OWIF",MATCH(ROW(Data!$AO$2:$AO$956),ROW(Data!$AO$2:$AO$956)),""),ROWS($A$1:A51)),COLUMNS($A$1:A51)),
$B$6 = "WIOA",
INDEX(Data!$B$2:$EO$956,
SMALL(IF(INDEX(Data!$B$2:$EO$956,,MATCH("Grant Fund",Data!$1:$1,0)-1,1)="WIOA",MATCH(ROW(Data!$AO$2:$AO$956),ROW(Data!$AO$2:$AO$956)),""),ROWS($A$1:A51)),COLUMNS($A$1:A51)),
$B$6 = "WIOA II",
INDEX(Data!$B$2:$EO$956,
SMALL(IF(INDEX(Data!$B$2:$EO$956,,MATCH("Grant Fund",Data!$1:$1,0)-1,1)="WIOA II",MATCH(ROW(Data!$AO$2:$AO$956),ROW(Data!$AO$2:$AO$956)),""),ROWS($A$1:A51)),COLUMNS($A$1:A51)),
$B$6 = "WIOA III",
INDEX(Data!$B$2:$EO$956,
SMALL(IF(INDEX(Data!$B$2:$EO$956,,MATCH("Grant Fund",Data!$1:$1,0)-1,1)="WIOA III",MATCH(ROW(Data!$AO$2:$AO$956),ROW(Data!$AO$2:$AO$956)),""),ROWS($A$1:A51)),COLUMNS($A$1:A51)),
$B$6 = "Currently Employed",
INDEX(Data!$B$2:$EO$956,
SMALL(IF(INDEX(Data!$B$2:$EO$956,,MATCH("Currently Employed",Data!$1:$1,0)-1,1)="Yes",MATCH(ROW(Data!$DZ$2:$DZ$956),ROW(Data!$DZ$2:$DZ$956)),""),ROWS($A$1:A51)),COLUMNS($A$1:A51)),
$B$6 = "Inactive",
INDEX(Data!$B$2:$EO$956,
SMALL(IF(INDEX(Data!$B$2:$EO$956,,MATCH("Inactive",Data!$1:$1,0)-1,1)="Yes",MATCH(ROW(Data!$DG$2:$DG$956),ROW(Data!$DG$2:$DG$956)),""),ROWS($A$1:A51)),COLUMNS($A$1:A51)),
$B$6 = "Active",
INDEX(Data!$B$2:$EO$956,
SMALL(IF(INDEX(Data!$B$2:$EO$956,,MATCH("Active",Data!$1:$1,0)-1,1)="Yes",MATCH(ROW(Data!$DZ$2:$DZ$956),ROW(Data!$DZ$2:$DZ$956)),""),ROWS($A$1:A51)),COLUMNS($A$1:A51)),
$B$6 = "Status Unknown",
INDEX(Data!$B$2:$EO$956,
SMALL(IF(INDEX(Data!$B$2:$EO$956,,MATCH("Status Unknown",Data!$1:$1,0)-1,1)="Yes",MATCH(ROW(Data!$EB$2:$EB$956),ROW(Data!$EB$2:$EB$956)),""),ROWS($A$1:A51)),COLUMNS($A$1:A51)),
$B$6 = "Enrollment Pending",
INDEX(Data!$B$2:$EO$956,
SMALL(IF(INDEX(Data!$B$2:$EO$956,,MATCH("Enrollment Pending",Data!$1:$1,0)-1,1)="Yes",MATCH(ROW(Data!$DY$2:$DY$956),ROW(Data!$DY$2:$DY$956)),""),ROWS($A$1:A51)),COLUMNS($A$1:A51)),
$B$6 = "Gained Certification",
INDEX(Data!$B$2:$EO$956,
SMALL(IF(INDEX(Data!$B$2:$EO$956,,MATCH("Gained Certification",Data!$1:$1,0)-1,1)="Yes",MATCH(ROW(Data!$DU$2:$DU$956),ROW(Data!$DU$2:$DU$956)),""),ROWS($A$1:A51)),COLUMNS($A$1:A51)),
$B$6 = "No Certification",
INDEX(Data!$B$2:$EO$956,
SMALL(IF(INDEX(Data!$B$2:$EO$956,,MATCH("Gained Certification",Data!$1:$1,0)-1,1)&lt;&gt;"Yes",MATCH(ROW(Data!$DU$2:$DU$956),ROW(Data!$DU$2:$DU$956)),""),ROWS($A$1:A51)),COLUMNS($A$1:A51)),
$B$6 = "Completers Without Employment",
INDEX(Data!$B$2:$EO$967,
SMALL(IF(INDEX(Data!$B$2:$EO$967,,MATCH("Completed Without Employment",Data!$1:$1,0)-1,1)="Yes",MATCH(ROW(Data!$DZ$2:$DZ$967),ROW(Data!$DZ$2:$DZ$967)),""),ROWS($A$1:A51)),COLUMNS($A$1:A51)),
$B$6 = "CH",
INDEX(Data!$B$2:$EO$956,
SMALL(IF(INDEX(Data!$B$2:$EO$956,,MATCH("Case Manager",Data!$1:$1,0)-1,1)="CH",MATCH(ROW(Data!$DZ$2:$DZ$956),ROW(Data!$DZ$2:$DZ$956)),""),ROWS($A$1:A51)),COLUMNS($A$1:A51)),
$B$6 = "ML",
INDEX(Data!$B$2:$EO$956,
SMALL(IF(INDEX(Data!$B$2:$EO$956,,MATCH("Case Manager",Data!$1:$1,0)-1,1)="ML",MATCH(ROW(Data!$DZ$2:$DZ$956),ROW(Data!$DZ$2:$DZ$956)),""),ROWS($A$1:A51)),COLUMNS($A$1:A51)),
$B$6 = "RB",
INDEX(Data!$B$2:$EO$956,
SMALL(IF(INDEX(Data!$B$2:$EO$956,,MATCH("Case Manager",Data!$1:$1,0)-1,1)="RB",MATCH(ROW(Data!$DZ$2:$DZ$956),ROW(Data!$DZ$2:$DZ$956)),""),ROWS($A$1:A51)),COLUMNS($A$1:A51)),
$B$6 = "RV",
INDEX(Data!$B$2:$EO$956,
SMALL(IF(INDEX(Data!$B$2:$EO$956,,MATCH("Case Manager",Data!$1:$1,0)-1,1)="RV",MATCH(ROW(Data!$DZ$2:$DZ$956),ROW(Data!$DZ$2:$DZ$956)),""),ROWS($A$1:A51)),COLUMNS($A$1:A51)),
$B$6 = "SG",
INDEX(Data!$B$2:$EO$956,
SMALL(IF(INDEX(Data!$B$2:$EO$956,,MATCH("Case Manager",Data!$1:$1,0)-1,1)="SH",MATCH(ROW(Data!$DZ$2:$DZ$956),ROW(Data!$DZ$2:$DZ$956)),""),ROWS($A$1:A51)),COLUMNS($A$1:A51))
),"")</f>
        <v/>
      </c>
      <c r="C62" s="1" t="str">
        <f>IF(
IFERROR(
INDEX(Data!$1:$1048576,MATCH('Client Lists'!$B62,Data!$B:$B,0),MATCH('Client Lists'!C$11,Data!$1:$1,0)),"")=0,"",
IFERROR(
INDEX(Data!$1:$1048576,MATCH('Client Lists'!$B62,Data!$B:$B,0),MATCH('Client Lists'!C$11,Data!$1:$1,0)),""))</f>
        <v/>
      </c>
      <c r="D62" s="1" t="str">
        <f>IF(
IFERROR(
INDEX(Data!$1:$1048576,MATCH('Client Lists'!$B62,Data!$B:$B,0),MATCH('Client Lists'!D$11,Data!$1:$1,0)),"")=0,"",
IFERROR(
INDEX(Data!$1:$1048576,MATCH('Client Lists'!$B62,Data!$B:$B,0),MATCH('Client Lists'!D$11,Data!$1:$1,0)),""))</f>
        <v/>
      </c>
      <c r="E62" s="1" t="str">
        <f>IF(
IFERROR(
INDEX(Data!$1:$1048576,MATCH('Client Lists'!$B62,Data!$B:$B,0),MATCH('Client Lists'!E$11,Data!$1:$1,0)),"")=0,"",
IFERROR(
INDEX(Data!$1:$1048576,MATCH('Client Lists'!$B62,Data!$B:$B,0),MATCH('Client Lists'!E$11,Data!$1:$1,0)),""))</f>
        <v/>
      </c>
      <c r="F62" s="1" t="str">
        <f>IF(
IFERROR(
INDEX(Data!$1:$1048576,MATCH('Client Lists'!$B62,Data!$B:$B,0),MATCH('Client Lists'!F$11,Data!$1:$1,0)),"")=0,"",
IFERROR(
INDEX(Data!$1:$1048576,MATCH('Client Lists'!$B62,Data!$B:$B,0),MATCH('Client Lists'!F$11,Data!$1:$1,0)),""))</f>
        <v/>
      </c>
      <c r="G62" s="1" t="str">
        <f>IF(
IFERROR(
INDEX(Data!$1:$1048576,MATCH('Client Lists'!$B62,Data!$B:$B,0),MATCH('Client Lists'!G$11,Data!$1:$1,0)),"")=0,"",
IFERROR(
INDEX(Data!$1:$1048576,MATCH('Client Lists'!$B62,Data!$B:$B,0),MATCH('Client Lists'!G$11,Data!$1:$1,0)),""))</f>
        <v/>
      </c>
      <c r="H62" s="1" t="str">
        <f>IF(
IFERROR(
INDEX(Data!$1:$1048576,MATCH('Client Lists'!$B62,Data!$B:$B,0),MATCH('Client Lists'!H$11,Data!$1:$1,0)),"")=0,"",
IFERROR(
INDEX(Data!$1:$1048576,MATCH('Client Lists'!$B62,Data!$B:$B,0),MATCH('Client Lists'!H$11,Data!$1:$1,0)),""))</f>
        <v/>
      </c>
      <c r="I62" s="1" t="str">
        <f>IF(
IFERROR(
INDEX(Data!$1:$1048576,MATCH('Client Lists'!$B62,Data!$B:$B,0),MATCH('Client Lists'!I$11,Data!$1:$1,0)),"")=0,"",
IFERROR(
INDEX(Data!$1:$1048576,MATCH('Client Lists'!$B62,Data!$B:$B,0),MATCH('Client Lists'!I$11,Data!$1:$1,0)),""))</f>
        <v/>
      </c>
      <c r="J62" s="1" t="str">
        <f>IF(
IFERROR(
INDEX(Data!$1:$1048576,MATCH('Client Lists'!$B62,Data!$B:$B,0),MATCH('Client Lists'!J$11,Data!$1:$1,0)),"")=0,"",
IFERROR(
INDEX(Data!$1:$1048576,MATCH('Client Lists'!$B62,Data!$B:$B,0),MATCH('Client Lists'!J$11,Data!$1:$1,0)),""))</f>
        <v/>
      </c>
      <c r="K62" s="1" t="str">
        <f>IF(
IFERROR(
INDEX(Data!$1:$1048576,MATCH('Client Lists'!$B62,Data!$B:$B,0),MATCH('Client Lists'!K$11,Data!$1:$1,0)),"")=0,"",
IFERROR(
INDEX(Data!$1:$1048576,MATCH('Client Lists'!$B62,Data!$B:$B,0),MATCH('Client Lists'!K$11,Data!$1:$1,0)),""))</f>
        <v/>
      </c>
    </row>
    <row r="63" spans="2:11" x14ac:dyDescent="0.45">
      <c r="B63" s="5" t="str">
        <f t="array" ref="B63">IFERROR(_xlfn.IFS(
$B$6 = "Retention Overdue",
INDEX(Data!$B$2:$EO$956,
SMALL(IF(INDEX(Data!$B$2:$EO$956,,MATCH("Call Due",Data!$1:$1,0)-1,1)="Yes",MATCH(ROW(Data!$CN$2:$CN$956),ROW(Data!$CN$2:$CN$956)),""),ROWS($A$1:A52)),COLUMNS($A$1:A52)),
$B$6 = "OWIF-W",
INDEX(Data!$B$2:$EO$956,
SMALL(IF(INDEX(Data!$B$2:$EO$956,,MATCH("Grant Fund",Data!$1:$1,0)-1,1)="OWIF-W",MATCH(ROW(Data!$AO$2:$AO$956),ROW(Data!$AO$2:$AO$956)),""),ROWS($A$1:A52)),COLUMNS($A$1:A52)),
$B$6 = "G2C",
INDEX(Data!$B$2:$EO$956,
SMALL(IF(INDEX(Data!$B$2:$EO$956,,MATCH("Grant Fund",Data!$1:$1,0)-1,1)="Grads2Careers",MATCH(ROW(Data!$AO$2:$AO$956),ROW(Data!$AO$2:$AO$956)),""),ROWS($A$1:A52)),COLUMNS($A$1:A52)),
$B$6 = "OWIF",
INDEX(Data!$B$2:$EO$956,
SMALL(IF(INDEX(Data!$B$2:$EO$956,,MATCH("Grant Fund",Data!$1:$1,0)-1,1)="OWIF",MATCH(ROW(Data!$AO$2:$AO$956),ROW(Data!$AO$2:$AO$956)),""),ROWS($A$1:A52)),COLUMNS($A$1:A52)),
$B$6 = "WIOA",
INDEX(Data!$B$2:$EO$956,
SMALL(IF(INDEX(Data!$B$2:$EO$956,,MATCH("Grant Fund",Data!$1:$1,0)-1,1)="WIOA",MATCH(ROW(Data!$AO$2:$AO$956),ROW(Data!$AO$2:$AO$956)),""),ROWS($A$1:A52)),COLUMNS($A$1:A52)),
$B$6 = "WIOA II",
INDEX(Data!$B$2:$EO$956,
SMALL(IF(INDEX(Data!$B$2:$EO$956,,MATCH("Grant Fund",Data!$1:$1,0)-1,1)="WIOA II",MATCH(ROW(Data!$AO$2:$AO$956),ROW(Data!$AO$2:$AO$956)),""),ROWS($A$1:A52)),COLUMNS($A$1:A52)),
$B$6 = "WIOA III",
INDEX(Data!$B$2:$EO$956,
SMALL(IF(INDEX(Data!$B$2:$EO$956,,MATCH("Grant Fund",Data!$1:$1,0)-1,1)="WIOA III",MATCH(ROW(Data!$AO$2:$AO$956),ROW(Data!$AO$2:$AO$956)),""),ROWS($A$1:A52)),COLUMNS($A$1:A52)),
$B$6 = "Currently Employed",
INDEX(Data!$B$2:$EO$956,
SMALL(IF(INDEX(Data!$B$2:$EO$956,,MATCH("Currently Employed",Data!$1:$1,0)-1,1)="Yes",MATCH(ROW(Data!$DZ$2:$DZ$956),ROW(Data!$DZ$2:$DZ$956)),""),ROWS($A$1:A52)),COLUMNS($A$1:A52)),
$B$6 = "Inactive",
INDEX(Data!$B$2:$EO$956,
SMALL(IF(INDEX(Data!$B$2:$EO$956,,MATCH("Inactive",Data!$1:$1,0)-1,1)="Yes",MATCH(ROW(Data!$DG$2:$DG$956),ROW(Data!$DG$2:$DG$956)),""),ROWS($A$1:A52)),COLUMNS($A$1:A52)),
$B$6 = "Active",
INDEX(Data!$B$2:$EO$956,
SMALL(IF(INDEX(Data!$B$2:$EO$956,,MATCH("Active",Data!$1:$1,0)-1,1)="Yes",MATCH(ROW(Data!$DZ$2:$DZ$956),ROW(Data!$DZ$2:$DZ$956)),""),ROWS($A$1:A52)),COLUMNS($A$1:A52)),
$B$6 = "Status Unknown",
INDEX(Data!$B$2:$EO$956,
SMALL(IF(INDEX(Data!$B$2:$EO$956,,MATCH("Status Unknown",Data!$1:$1,0)-1,1)="Yes",MATCH(ROW(Data!$EB$2:$EB$956),ROW(Data!$EB$2:$EB$956)),""),ROWS($A$1:A52)),COLUMNS($A$1:A52)),
$B$6 = "Enrollment Pending",
INDEX(Data!$B$2:$EO$956,
SMALL(IF(INDEX(Data!$B$2:$EO$956,,MATCH("Enrollment Pending",Data!$1:$1,0)-1,1)="Yes",MATCH(ROW(Data!$DY$2:$DY$956),ROW(Data!$DY$2:$DY$956)),""),ROWS($A$1:A52)),COLUMNS($A$1:A52)),
$B$6 = "Gained Certification",
INDEX(Data!$B$2:$EO$956,
SMALL(IF(INDEX(Data!$B$2:$EO$956,,MATCH("Gained Certification",Data!$1:$1,0)-1,1)="Yes",MATCH(ROW(Data!$DU$2:$DU$956),ROW(Data!$DU$2:$DU$956)),""),ROWS($A$1:A52)),COLUMNS($A$1:A52)),
$B$6 = "No Certification",
INDEX(Data!$B$2:$EO$956,
SMALL(IF(INDEX(Data!$B$2:$EO$956,,MATCH("Gained Certification",Data!$1:$1,0)-1,1)&lt;&gt;"Yes",MATCH(ROW(Data!$DU$2:$DU$956),ROW(Data!$DU$2:$DU$956)),""),ROWS($A$1:A52)),COLUMNS($A$1:A52)),
$B$6 = "Completers Without Employment",
INDEX(Data!$B$2:$EO$967,
SMALL(IF(INDEX(Data!$B$2:$EO$967,,MATCH("Completed Without Employment",Data!$1:$1,0)-1,1)="Yes",MATCH(ROW(Data!$DZ$2:$DZ$967),ROW(Data!$DZ$2:$DZ$967)),""),ROWS($A$1:A52)),COLUMNS($A$1:A52)),
$B$6 = "CH",
INDEX(Data!$B$2:$EO$956,
SMALL(IF(INDEX(Data!$B$2:$EO$956,,MATCH("Case Manager",Data!$1:$1,0)-1,1)="CH",MATCH(ROW(Data!$DZ$2:$DZ$956),ROW(Data!$DZ$2:$DZ$956)),""),ROWS($A$1:A52)),COLUMNS($A$1:A52)),
$B$6 = "ML",
INDEX(Data!$B$2:$EO$956,
SMALL(IF(INDEX(Data!$B$2:$EO$956,,MATCH("Case Manager",Data!$1:$1,0)-1,1)="ML",MATCH(ROW(Data!$DZ$2:$DZ$956),ROW(Data!$DZ$2:$DZ$956)),""),ROWS($A$1:A52)),COLUMNS($A$1:A52)),
$B$6 = "RB",
INDEX(Data!$B$2:$EO$956,
SMALL(IF(INDEX(Data!$B$2:$EO$956,,MATCH("Case Manager",Data!$1:$1,0)-1,1)="RB",MATCH(ROW(Data!$DZ$2:$DZ$956),ROW(Data!$DZ$2:$DZ$956)),""),ROWS($A$1:A52)),COLUMNS($A$1:A52)),
$B$6 = "RV",
INDEX(Data!$B$2:$EO$956,
SMALL(IF(INDEX(Data!$B$2:$EO$956,,MATCH("Case Manager",Data!$1:$1,0)-1,1)="RV",MATCH(ROW(Data!$DZ$2:$DZ$956),ROW(Data!$DZ$2:$DZ$956)),""),ROWS($A$1:A52)),COLUMNS($A$1:A52)),
$B$6 = "SG",
INDEX(Data!$B$2:$EO$956,
SMALL(IF(INDEX(Data!$B$2:$EO$956,,MATCH("Case Manager",Data!$1:$1,0)-1,1)="SH",MATCH(ROW(Data!$DZ$2:$DZ$956),ROW(Data!$DZ$2:$DZ$956)),""),ROWS($A$1:A52)),COLUMNS($A$1:A52))
),"")</f>
        <v/>
      </c>
      <c r="C63" s="1" t="str">
        <f>IF(
IFERROR(
INDEX(Data!$1:$1048576,MATCH('Client Lists'!$B63,Data!$B:$B,0),MATCH('Client Lists'!C$11,Data!$1:$1,0)),"")=0,"",
IFERROR(
INDEX(Data!$1:$1048576,MATCH('Client Lists'!$B63,Data!$B:$B,0),MATCH('Client Lists'!C$11,Data!$1:$1,0)),""))</f>
        <v/>
      </c>
      <c r="D63" s="1" t="str">
        <f>IF(
IFERROR(
INDEX(Data!$1:$1048576,MATCH('Client Lists'!$B63,Data!$B:$B,0),MATCH('Client Lists'!D$11,Data!$1:$1,0)),"")=0,"",
IFERROR(
INDEX(Data!$1:$1048576,MATCH('Client Lists'!$B63,Data!$B:$B,0),MATCH('Client Lists'!D$11,Data!$1:$1,0)),""))</f>
        <v/>
      </c>
      <c r="E63" s="1" t="str">
        <f>IF(
IFERROR(
INDEX(Data!$1:$1048576,MATCH('Client Lists'!$B63,Data!$B:$B,0),MATCH('Client Lists'!E$11,Data!$1:$1,0)),"")=0,"",
IFERROR(
INDEX(Data!$1:$1048576,MATCH('Client Lists'!$B63,Data!$B:$B,0),MATCH('Client Lists'!E$11,Data!$1:$1,0)),""))</f>
        <v/>
      </c>
      <c r="F63" s="1" t="str">
        <f>IF(
IFERROR(
INDEX(Data!$1:$1048576,MATCH('Client Lists'!$B63,Data!$B:$B,0),MATCH('Client Lists'!F$11,Data!$1:$1,0)),"")=0,"",
IFERROR(
INDEX(Data!$1:$1048576,MATCH('Client Lists'!$B63,Data!$B:$B,0),MATCH('Client Lists'!F$11,Data!$1:$1,0)),""))</f>
        <v/>
      </c>
      <c r="G63" s="1" t="str">
        <f>IF(
IFERROR(
INDEX(Data!$1:$1048576,MATCH('Client Lists'!$B63,Data!$B:$B,0),MATCH('Client Lists'!G$11,Data!$1:$1,0)),"")=0,"",
IFERROR(
INDEX(Data!$1:$1048576,MATCH('Client Lists'!$B63,Data!$B:$B,0),MATCH('Client Lists'!G$11,Data!$1:$1,0)),""))</f>
        <v/>
      </c>
      <c r="H63" s="1" t="str">
        <f>IF(
IFERROR(
INDEX(Data!$1:$1048576,MATCH('Client Lists'!$B63,Data!$B:$B,0),MATCH('Client Lists'!H$11,Data!$1:$1,0)),"")=0,"",
IFERROR(
INDEX(Data!$1:$1048576,MATCH('Client Lists'!$B63,Data!$B:$B,0),MATCH('Client Lists'!H$11,Data!$1:$1,0)),""))</f>
        <v/>
      </c>
      <c r="I63" s="1" t="str">
        <f>IF(
IFERROR(
INDEX(Data!$1:$1048576,MATCH('Client Lists'!$B63,Data!$B:$B,0),MATCH('Client Lists'!I$11,Data!$1:$1,0)),"")=0,"",
IFERROR(
INDEX(Data!$1:$1048576,MATCH('Client Lists'!$B63,Data!$B:$B,0),MATCH('Client Lists'!I$11,Data!$1:$1,0)),""))</f>
        <v/>
      </c>
      <c r="J63" s="1" t="str">
        <f>IF(
IFERROR(
INDEX(Data!$1:$1048576,MATCH('Client Lists'!$B63,Data!$B:$B,0),MATCH('Client Lists'!J$11,Data!$1:$1,0)),"")=0,"",
IFERROR(
INDEX(Data!$1:$1048576,MATCH('Client Lists'!$B63,Data!$B:$B,0),MATCH('Client Lists'!J$11,Data!$1:$1,0)),""))</f>
        <v/>
      </c>
      <c r="K63" s="1" t="str">
        <f>IF(
IFERROR(
INDEX(Data!$1:$1048576,MATCH('Client Lists'!$B63,Data!$B:$B,0),MATCH('Client Lists'!K$11,Data!$1:$1,0)),"")=0,"",
IFERROR(
INDEX(Data!$1:$1048576,MATCH('Client Lists'!$B63,Data!$B:$B,0),MATCH('Client Lists'!K$11,Data!$1:$1,0)),""))</f>
        <v/>
      </c>
    </row>
    <row r="64" spans="2:11" x14ac:dyDescent="0.45">
      <c r="B64" s="5" t="str">
        <f t="array" ref="B64">IFERROR(_xlfn.IFS(
$B$6 = "Retention Overdue",
INDEX(Data!$B$2:$EO$956,
SMALL(IF(INDEX(Data!$B$2:$EO$956,,MATCH("Call Due",Data!$1:$1,0)-1,1)="Yes",MATCH(ROW(Data!$CN$2:$CN$956),ROW(Data!$CN$2:$CN$956)),""),ROWS($A$1:A53)),COLUMNS($A$1:A53)),
$B$6 = "OWIF-W",
INDEX(Data!$B$2:$EO$956,
SMALL(IF(INDEX(Data!$B$2:$EO$956,,MATCH("Grant Fund",Data!$1:$1,0)-1,1)="OWIF-W",MATCH(ROW(Data!$AO$2:$AO$956),ROW(Data!$AO$2:$AO$956)),""),ROWS($A$1:A53)),COLUMNS($A$1:A53)),
$B$6 = "G2C",
INDEX(Data!$B$2:$EO$956,
SMALL(IF(INDEX(Data!$B$2:$EO$956,,MATCH("Grant Fund",Data!$1:$1,0)-1,1)="Grads2Careers",MATCH(ROW(Data!$AO$2:$AO$956),ROW(Data!$AO$2:$AO$956)),""),ROWS($A$1:A53)),COLUMNS($A$1:A53)),
$B$6 = "OWIF",
INDEX(Data!$B$2:$EO$956,
SMALL(IF(INDEX(Data!$B$2:$EO$956,,MATCH("Grant Fund",Data!$1:$1,0)-1,1)="OWIF",MATCH(ROW(Data!$AO$2:$AO$956),ROW(Data!$AO$2:$AO$956)),""),ROWS($A$1:A53)),COLUMNS($A$1:A53)),
$B$6 = "WIOA",
INDEX(Data!$B$2:$EO$956,
SMALL(IF(INDEX(Data!$B$2:$EO$956,,MATCH("Grant Fund",Data!$1:$1,0)-1,1)="WIOA",MATCH(ROW(Data!$AO$2:$AO$956),ROW(Data!$AO$2:$AO$956)),""),ROWS($A$1:A53)),COLUMNS($A$1:A53)),
$B$6 = "WIOA II",
INDEX(Data!$B$2:$EO$956,
SMALL(IF(INDEX(Data!$B$2:$EO$956,,MATCH("Grant Fund",Data!$1:$1,0)-1,1)="WIOA II",MATCH(ROW(Data!$AO$2:$AO$956),ROW(Data!$AO$2:$AO$956)),""),ROWS($A$1:A53)),COLUMNS($A$1:A53)),
$B$6 = "WIOA III",
INDEX(Data!$B$2:$EO$956,
SMALL(IF(INDEX(Data!$B$2:$EO$956,,MATCH("Grant Fund",Data!$1:$1,0)-1,1)="WIOA III",MATCH(ROW(Data!$AO$2:$AO$956),ROW(Data!$AO$2:$AO$956)),""),ROWS($A$1:A53)),COLUMNS($A$1:A53)),
$B$6 = "Currently Employed",
INDEX(Data!$B$2:$EO$956,
SMALL(IF(INDEX(Data!$B$2:$EO$956,,MATCH("Currently Employed",Data!$1:$1,0)-1,1)="Yes",MATCH(ROW(Data!$DZ$2:$DZ$956),ROW(Data!$DZ$2:$DZ$956)),""),ROWS($A$1:A53)),COLUMNS($A$1:A53)),
$B$6 = "Inactive",
INDEX(Data!$B$2:$EO$956,
SMALL(IF(INDEX(Data!$B$2:$EO$956,,MATCH("Inactive",Data!$1:$1,0)-1,1)="Yes",MATCH(ROW(Data!$DG$2:$DG$956),ROW(Data!$DG$2:$DG$956)),""),ROWS($A$1:A53)),COLUMNS($A$1:A53)),
$B$6 = "Active",
INDEX(Data!$B$2:$EO$956,
SMALL(IF(INDEX(Data!$B$2:$EO$956,,MATCH("Active",Data!$1:$1,0)-1,1)="Yes",MATCH(ROW(Data!$DZ$2:$DZ$956),ROW(Data!$DZ$2:$DZ$956)),""),ROWS($A$1:A53)),COLUMNS($A$1:A53)),
$B$6 = "Status Unknown",
INDEX(Data!$B$2:$EO$956,
SMALL(IF(INDEX(Data!$B$2:$EO$956,,MATCH("Status Unknown",Data!$1:$1,0)-1,1)="Yes",MATCH(ROW(Data!$EB$2:$EB$956),ROW(Data!$EB$2:$EB$956)),""),ROWS($A$1:A53)),COLUMNS($A$1:A53)),
$B$6 = "Enrollment Pending",
INDEX(Data!$B$2:$EO$956,
SMALL(IF(INDEX(Data!$B$2:$EO$956,,MATCH("Enrollment Pending",Data!$1:$1,0)-1,1)="Yes",MATCH(ROW(Data!$DY$2:$DY$956),ROW(Data!$DY$2:$DY$956)),""),ROWS($A$1:A53)),COLUMNS($A$1:A53)),
$B$6 = "Gained Certification",
INDEX(Data!$B$2:$EO$956,
SMALL(IF(INDEX(Data!$B$2:$EO$956,,MATCH("Gained Certification",Data!$1:$1,0)-1,1)="Yes",MATCH(ROW(Data!$DU$2:$DU$956),ROW(Data!$DU$2:$DU$956)),""),ROWS($A$1:A53)),COLUMNS($A$1:A53)),
$B$6 = "No Certification",
INDEX(Data!$B$2:$EO$956,
SMALL(IF(INDEX(Data!$B$2:$EO$956,,MATCH("Gained Certification",Data!$1:$1,0)-1,1)&lt;&gt;"Yes",MATCH(ROW(Data!$DU$2:$DU$956),ROW(Data!$DU$2:$DU$956)),""),ROWS($A$1:A53)),COLUMNS($A$1:A53)),
$B$6 = "Completers Without Employment",
INDEX(Data!$B$2:$EO$967,
SMALL(IF(INDEX(Data!$B$2:$EO$967,,MATCH("Completed Without Employment",Data!$1:$1,0)-1,1)="Yes",MATCH(ROW(Data!$DZ$2:$DZ$967),ROW(Data!$DZ$2:$DZ$967)),""),ROWS($A$1:A53)),COLUMNS($A$1:A53)),
$B$6 = "CH",
INDEX(Data!$B$2:$EO$956,
SMALL(IF(INDEX(Data!$B$2:$EO$956,,MATCH("Case Manager",Data!$1:$1,0)-1,1)="CH",MATCH(ROW(Data!$DZ$2:$DZ$956),ROW(Data!$DZ$2:$DZ$956)),""),ROWS($A$1:A53)),COLUMNS($A$1:A53)),
$B$6 = "ML",
INDEX(Data!$B$2:$EO$956,
SMALL(IF(INDEX(Data!$B$2:$EO$956,,MATCH("Case Manager",Data!$1:$1,0)-1,1)="ML",MATCH(ROW(Data!$DZ$2:$DZ$956),ROW(Data!$DZ$2:$DZ$956)),""),ROWS($A$1:A53)),COLUMNS($A$1:A53)),
$B$6 = "RB",
INDEX(Data!$B$2:$EO$956,
SMALL(IF(INDEX(Data!$B$2:$EO$956,,MATCH("Case Manager",Data!$1:$1,0)-1,1)="RB",MATCH(ROW(Data!$DZ$2:$DZ$956),ROW(Data!$DZ$2:$DZ$956)),""),ROWS($A$1:A53)),COLUMNS($A$1:A53)),
$B$6 = "RV",
INDEX(Data!$B$2:$EO$956,
SMALL(IF(INDEX(Data!$B$2:$EO$956,,MATCH("Case Manager",Data!$1:$1,0)-1,1)="RV",MATCH(ROW(Data!$DZ$2:$DZ$956),ROW(Data!$DZ$2:$DZ$956)),""),ROWS($A$1:A53)),COLUMNS($A$1:A53)),
$B$6 = "SG",
INDEX(Data!$B$2:$EO$956,
SMALL(IF(INDEX(Data!$B$2:$EO$956,,MATCH("Case Manager",Data!$1:$1,0)-1,1)="SH",MATCH(ROW(Data!$DZ$2:$DZ$956),ROW(Data!$DZ$2:$DZ$956)),""),ROWS($A$1:A53)),COLUMNS($A$1:A53))
),"")</f>
        <v/>
      </c>
      <c r="C64" s="1" t="str">
        <f>IF(
IFERROR(
INDEX(Data!$1:$1048576,MATCH('Client Lists'!$B64,Data!$B:$B,0),MATCH('Client Lists'!C$11,Data!$1:$1,0)),"")=0,"",
IFERROR(
INDEX(Data!$1:$1048576,MATCH('Client Lists'!$B64,Data!$B:$B,0),MATCH('Client Lists'!C$11,Data!$1:$1,0)),""))</f>
        <v/>
      </c>
      <c r="D64" s="1" t="str">
        <f>IF(
IFERROR(
INDEX(Data!$1:$1048576,MATCH('Client Lists'!$B64,Data!$B:$B,0),MATCH('Client Lists'!D$11,Data!$1:$1,0)),"")=0,"",
IFERROR(
INDEX(Data!$1:$1048576,MATCH('Client Lists'!$B64,Data!$B:$B,0),MATCH('Client Lists'!D$11,Data!$1:$1,0)),""))</f>
        <v/>
      </c>
      <c r="E64" s="1" t="str">
        <f>IF(
IFERROR(
INDEX(Data!$1:$1048576,MATCH('Client Lists'!$B64,Data!$B:$B,0),MATCH('Client Lists'!E$11,Data!$1:$1,0)),"")=0,"",
IFERROR(
INDEX(Data!$1:$1048576,MATCH('Client Lists'!$B64,Data!$B:$B,0),MATCH('Client Lists'!E$11,Data!$1:$1,0)),""))</f>
        <v/>
      </c>
      <c r="F64" s="1" t="str">
        <f>IF(
IFERROR(
INDEX(Data!$1:$1048576,MATCH('Client Lists'!$B64,Data!$B:$B,0),MATCH('Client Lists'!F$11,Data!$1:$1,0)),"")=0,"",
IFERROR(
INDEX(Data!$1:$1048576,MATCH('Client Lists'!$B64,Data!$B:$B,0),MATCH('Client Lists'!F$11,Data!$1:$1,0)),""))</f>
        <v/>
      </c>
      <c r="G64" s="1" t="str">
        <f>IF(
IFERROR(
INDEX(Data!$1:$1048576,MATCH('Client Lists'!$B64,Data!$B:$B,0),MATCH('Client Lists'!G$11,Data!$1:$1,0)),"")=0,"",
IFERROR(
INDEX(Data!$1:$1048576,MATCH('Client Lists'!$B64,Data!$B:$B,0),MATCH('Client Lists'!G$11,Data!$1:$1,0)),""))</f>
        <v/>
      </c>
      <c r="H64" s="1" t="str">
        <f>IF(
IFERROR(
INDEX(Data!$1:$1048576,MATCH('Client Lists'!$B64,Data!$B:$B,0),MATCH('Client Lists'!H$11,Data!$1:$1,0)),"")=0,"",
IFERROR(
INDEX(Data!$1:$1048576,MATCH('Client Lists'!$B64,Data!$B:$B,0),MATCH('Client Lists'!H$11,Data!$1:$1,0)),""))</f>
        <v/>
      </c>
      <c r="I64" s="1" t="str">
        <f>IF(
IFERROR(
INDEX(Data!$1:$1048576,MATCH('Client Lists'!$B64,Data!$B:$B,0),MATCH('Client Lists'!I$11,Data!$1:$1,0)),"")=0,"",
IFERROR(
INDEX(Data!$1:$1048576,MATCH('Client Lists'!$B64,Data!$B:$B,0),MATCH('Client Lists'!I$11,Data!$1:$1,0)),""))</f>
        <v/>
      </c>
      <c r="J64" s="1" t="str">
        <f>IF(
IFERROR(
INDEX(Data!$1:$1048576,MATCH('Client Lists'!$B64,Data!$B:$B,0),MATCH('Client Lists'!J$11,Data!$1:$1,0)),"")=0,"",
IFERROR(
INDEX(Data!$1:$1048576,MATCH('Client Lists'!$B64,Data!$B:$B,0),MATCH('Client Lists'!J$11,Data!$1:$1,0)),""))</f>
        <v/>
      </c>
      <c r="K64" s="1" t="str">
        <f>IF(
IFERROR(
INDEX(Data!$1:$1048576,MATCH('Client Lists'!$B64,Data!$B:$B,0),MATCH('Client Lists'!K$11,Data!$1:$1,0)),"")=0,"",
IFERROR(
INDEX(Data!$1:$1048576,MATCH('Client Lists'!$B64,Data!$B:$B,0),MATCH('Client Lists'!K$11,Data!$1:$1,0)),""))</f>
        <v/>
      </c>
    </row>
    <row r="65" spans="2:11" x14ac:dyDescent="0.45">
      <c r="B65" s="5" t="str">
        <f t="array" ref="B65">IFERROR(_xlfn.IFS(
$B$6 = "Retention Overdue",
INDEX(Data!$B$2:$EO$956,
SMALL(IF(INDEX(Data!$B$2:$EO$956,,MATCH("Call Due",Data!$1:$1,0)-1,1)="Yes",MATCH(ROW(Data!$CN$2:$CN$956),ROW(Data!$CN$2:$CN$956)),""),ROWS($A$1:A54)),COLUMNS($A$1:A54)),
$B$6 = "OWIF-W",
INDEX(Data!$B$2:$EO$956,
SMALL(IF(INDEX(Data!$B$2:$EO$956,,MATCH("Grant Fund",Data!$1:$1,0)-1,1)="OWIF-W",MATCH(ROW(Data!$AO$2:$AO$956),ROW(Data!$AO$2:$AO$956)),""),ROWS($A$1:A54)),COLUMNS($A$1:A54)),
$B$6 = "G2C",
INDEX(Data!$B$2:$EO$956,
SMALL(IF(INDEX(Data!$B$2:$EO$956,,MATCH("Grant Fund",Data!$1:$1,0)-1,1)="Grads2Careers",MATCH(ROW(Data!$AO$2:$AO$956),ROW(Data!$AO$2:$AO$956)),""),ROWS($A$1:A54)),COLUMNS($A$1:A54)),
$B$6 = "OWIF",
INDEX(Data!$B$2:$EO$956,
SMALL(IF(INDEX(Data!$B$2:$EO$956,,MATCH("Grant Fund",Data!$1:$1,0)-1,1)="OWIF",MATCH(ROW(Data!$AO$2:$AO$956),ROW(Data!$AO$2:$AO$956)),""),ROWS($A$1:A54)),COLUMNS($A$1:A54)),
$B$6 = "WIOA",
INDEX(Data!$B$2:$EO$956,
SMALL(IF(INDEX(Data!$B$2:$EO$956,,MATCH("Grant Fund",Data!$1:$1,0)-1,1)="WIOA",MATCH(ROW(Data!$AO$2:$AO$956),ROW(Data!$AO$2:$AO$956)),""),ROWS($A$1:A54)),COLUMNS($A$1:A54)),
$B$6 = "WIOA II",
INDEX(Data!$B$2:$EO$956,
SMALL(IF(INDEX(Data!$B$2:$EO$956,,MATCH("Grant Fund",Data!$1:$1,0)-1,1)="WIOA II",MATCH(ROW(Data!$AO$2:$AO$956),ROW(Data!$AO$2:$AO$956)),""),ROWS($A$1:A54)),COLUMNS($A$1:A54)),
$B$6 = "WIOA III",
INDEX(Data!$B$2:$EO$956,
SMALL(IF(INDEX(Data!$B$2:$EO$956,,MATCH("Grant Fund",Data!$1:$1,0)-1,1)="WIOA III",MATCH(ROW(Data!$AO$2:$AO$956),ROW(Data!$AO$2:$AO$956)),""),ROWS($A$1:A54)),COLUMNS($A$1:A54)),
$B$6 = "Currently Employed",
INDEX(Data!$B$2:$EO$956,
SMALL(IF(INDEX(Data!$B$2:$EO$956,,MATCH("Currently Employed",Data!$1:$1,0)-1,1)="Yes",MATCH(ROW(Data!$DZ$2:$DZ$956),ROW(Data!$DZ$2:$DZ$956)),""),ROWS($A$1:A54)),COLUMNS($A$1:A54)),
$B$6 = "Inactive",
INDEX(Data!$B$2:$EO$956,
SMALL(IF(INDEX(Data!$B$2:$EO$956,,MATCH("Inactive",Data!$1:$1,0)-1,1)="Yes",MATCH(ROW(Data!$DG$2:$DG$956),ROW(Data!$DG$2:$DG$956)),""),ROWS($A$1:A54)),COLUMNS($A$1:A54)),
$B$6 = "Active",
INDEX(Data!$B$2:$EO$956,
SMALL(IF(INDEX(Data!$B$2:$EO$956,,MATCH("Active",Data!$1:$1,0)-1,1)="Yes",MATCH(ROW(Data!$DZ$2:$DZ$956),ROW(Data!$DZ$2:$DZ$956)),""),ROWS($A$1:A54)),COLUMNS($A$1:A54)),
$B$6 = "Status Unknown",
INDEX(Data!$B$2:$EO$956,
SMALL(IF(INDEX(Data!$B$2:$EO$956,,MATCH("Status Unknown",Data!$1:$1,0)-1,1)="Yes",MATCH(ROW(Data!$EB$2:$EB$956),ROW(Data!$EB$2:$EB$956)),""),ROWS($A$1:A54)),COLUMNS($A$1:A54)),
$B$6 = "Enrollment Pending",
INDEX(Data!$B$2:$EO$956,
SMALL(IF(INDEX(Data!$B$2:$EO$956,,MATCH("Enrollment Pending",Data!$1:$1,0)-1,1)="Yes",MATCH(ROW(Data!$DY$2:$DY$956),ROW(Data!$DY$2:$DY$956)),""),ROWS($A$1:A54)),COLUMNS($A$1:A54)),
$B$6 = "Gained Certification",
INDEX(Data!$B$2:$EO$956,
SMALL(IF(INDEX(Data!$B$2:$EO$956,,MATCH("Gained Certification",Data!$1:$1,0)-1,1)="Yes",MATCH(ROW(Data!$DU$2:$DU$956),ROW(Data!$DU$2:$DU$956)),""),ROWS($A$1:A54)),COLUMNS($A$1:A54)),
$B$6 = "No Certification",
INDEX(Data!$B$2:$EO$956,
SMALL(IF(INDEX(Data!$B$2:$EO$956,,MATCH("Gained Certification",Data!$1:$1,0)-1,1)&lt;&gt;"Yes",MATCH(ROW(Data!$DU$2:$DU$956),ROW(Data!$DU$2:$DU$956)),""),ROWS($A$1:A54)),COLUMNS($A$1:A54)),
$B$6 = "Completers Without Employment",
INDEX(Data!$B$2:$EO$967,
SMALL(IF(INDEX(Data!$B$2:$EO$967,,MATCH("Completed Without Employment",Data!$1:$1,0)-1,1)="Yes",MATCH(ROW(Data!$DZ$2:$DZ$967),ROW(Data!$DZ$2:$DZ$967)),""),ROWS($A$1:A54)),COLUMNS($A$1:A54)),
$B$6 = "CH",
INDEX(Data!$B$2:$EO$956,
SMALL(IF(INDEX(Data!$B$2:$EO$956,,MATCH("Case Manager",Data!$1:$1,0)-1,1)="CH",MATCH(ROW(Data!$DZ$2:$DZ$956),ROW(Data!$DZ$2:$DZ$956)),""),ROWS($A$1:A54)),COLUMNS($A$1:A54)),
$B$6 = "ML",
INDEX(Data!$B$2:$EO$956,
SMALL(IF(INDEX(Data!$B$2:$EO$956,,MATCH("Case Manager",Data!$1:$1,0)-1,1)="ML",MATCH(ROW(Data!$DZ$2:$DZ$956),ROW(Data!$DZ$2:$DZ$956)),""),ROWS($A$1:A54)),COLUMNS($A$1:A54)),
$B$6 = "RB",
INDEX(Data!$B$2:$EO$956,
SMALL(IF(INDEX(Data!$B$2:$EO$956,,MATCH("Case Manager",Data!$1:$1,0)-1,1)="RB",MATCH(ROW(Data!$DZ$2:$DZ$956),ROW(Data!$DZ$2:$DZ$956)),""),ROWS($A$1:A54)),COLUMNS($A$1:A54)),
$B$6 = "RV",
INDEX(Data!$B$2:$EO$956,
SMALL(IF(INDEX(Data!$B$2:$EO$956,,MATCH("Case Manager",Data!$1:$1,0)-1,1)="RV",MATCH(ROW(Data!$DZ$2:$DZ$956),ROW(Data!$DZ$2:$DZ$956)),""),ROWS($A$1:A54)),COLUMNS($A$1:A54)),
$B$6 = "SG",
INDEX(Data!$B$2:$EO$956,
SMALL(IF(INDEX(Data!$B$2:$EO$956,,MATCH("Case Manager",Data!$1:$1,0)-1,1)="SH",MATCH(ROW(Data!$DZ$2:$DZ$956),ROW(Data!$DZ$2:$DZ$956)),""),ROWS($A$1:A54)),COLUMNS($A$1:A54))
),"")</f>
        <v/>
      </c>
      <c r="C65" s="1" t="str">
        <f>IF(
IFERROR(
INDEX(Data!$1:$1048576,MATCH('Client Lists'!$B65,Data!$B:$B,0),MATCH('Client Lists'!C$11,Data!$1:$1,0)),"")=0,"",
IFERROR(
INDEX(Data!$1:$1048576,MATCH('Client Lists'!$B65,Data!$B:$B,0),MATCH('Client Lists'!C$11,Data!$1:$1,0)),""))</f>
        <v/>
      </c>
      <c r="D65" s="1" t="str">
        <f>IF(
IFERROR(
INDEX(Data!$1:$1048576,MATCH('Client Lists'!$B65,Data!$B:$B,0),MATCH('Client Lists'!D$11,Data!$1:$1,0)),"")=0,"",
IFERROR(
INDEX(Data!$1:$1048576,MATCH('Client Lists'!$B65,Data!$B:$B,0),MATCH('Client Lists'!D$11,Data!$1:$1,0)),""))</f>
        <v/>
      </c>
      <c r="E65" s="1" t="str">
        <f>IF(
IFERROR(
INDEX(Data!$1:$1048576,MATCH('Client Lists'!$B65,Data!$B:$B,0),MATCH('Client Lists'!E$11,Data!$1:$1,0)),"")=0,"",
IFERROR(
INDEX(Data!$1:$1048576,MATCH('Client Lists'!$B65,Data!$B:$B,0),MATCH('Client Lists'!E$11,Data!$1:$1,0)),""))</f>
        <v/>
      </c>
      <c r="F65" s="1" t="str">
        <f>IF(
IFERROR(
INDEX(Data!$1:$1048576,MATCH('Client Lists'!$B65,Data!$B:$B,0),MATCH('Client Lists'!F$11,Data!$1:$1,0)),"")=0,"",
IFERROR(
INDEX(Data!$1:$1048576,MATCH('Client Lists'!$B65,Data!$B:$B,0),MATCH('Client Lists'!F$11,Data!$1:$1,0)),""))</f>
        <v/>
      </c>
      <c r="G65" s="1" t="str">
        <f>IF(
IFERROR(
INDEX(Data!$1:$1048576,MATCH('Client Lists'!$B65,Data!$B:$B,0),MATCH('Client Lists'!G$11,Data!$1:$1,0)),"")=0,"",
IFERROR(
INDEX(Data!$1:$1048576,MATCH('Client Lists'!$B65,Data!$B:$B,0),MATCH('Client Lists'!G$11,Data!$1:$1,0)),""))</f>
        <v/>
      </c>
      <c r="H65" s="1" t="str">
        <f>IF(
IFERROR(
INDEX(Data!$1:$1048576,MATCH('Client Lists'!$B65,Data!$B:$B,0),MATCH('Client Lists'!H$11,Data!$1:$1,0)),"")=0,"",
IFERROR(
INDEX(Data!$1:$1048576,MATCH('Client Lists'!$B65,Data!$B:$B,0),MATCH('Client Lists'!H$11,Data!$1:$1,0)),""))</f>
        <v/>
      </c>
      <c r="I65" s="1" t="str">
        <f>IF(
IFERROR(
INDEX(Data!$1:$1048576,MATCH('Client Lists'!$B65,Data!$B:$B,0),MATCH('Client Lists'!I$11,Data!$1:$1,0)),"")=0,"",
IFERROR(
INDEX(Data!$1:$1048576,MATCH('Client Lists'!$B65,Data!$B:$B,0),MATCH('Client Lists'!I$11,Data!$1:$1,0)),""))</f>
        <v/>
      </c>
      <c r="J65" s="1" t="str">
        <f>IF(
IFERROR(
INDEX(Data!$1:$1048576,MATCH('Client Lists'!$B65,Data!$B:$B,0),MATCH('Client Lists'!J$11,Data!$1:$1,0)),"")=0,"",
IFERROR(
INDEX(Data!$1:$1048576,MATCH('Client Lists'!$B65,Data!$B:$B,0),MATCH('Client Lists'!J$11,Data!$1:$1,0)),""))</f>
        <v/>
      </c>
      <c r="K65" s="1" t="str">
        <f>IF(
IFERROR(
INDEX(Data!$1:$1048576,MATCH('Client Lists'!$B65,Data!$B:$B,0),MATCH('Client Lists'!K$11,Data!$1:$1,0)),"")=0,"",
IFERROR(
INDEX(Data!$1:$1048576,MATCH('Client Lists'!$B65,Data!$B:$B,0),MATCH('Client Lists'!K$11,Data!$1:$1,0)),""))</f>
        <v/>
      </c>
    </row>
    <row r="66" spans="2:11" x14ac:dyDescent="0.45">
      <c r="B66" s="5" t="str">
        <f t="array" ref="B66">IFERROR(_xlfn.IFS(
$B$6 = "Retention Overdue",
INDEX(Data!$B$2:$EO$956,
SMALL(IF(INDEX(Data!$B$2:$EO$956,,MATCH("Call Due",Data!$1:$1,0)-1,1)="Yes",MATCH(ROW(Data!$CN$2:$CN$956),ROW(Data!$CN$2:$CN$956)),""),ROWS($A$1:A55)),COLUMNS($A$1:A55)),
$B$6 = "OWIF-W",
INDEX(Data!$B$2:$EO$956,
SMALL(IF(INDEX(Data!$B$2:$EO$956,,MATCH("Grant Fund",Data!$1:$1,0)-1,1)="OWIF-W",MATCH(ROW(Data!$AO$2:$AO$956),ROW(Data!$AO$2:$AO$956)),""),ROWS($A$1:A55)),COLUMNS($A$1:A55)),
$B$6 = "G2C",
INDEX(Data!$B$2:$EO$956,
SMALL(IF(INDEX(Data!$B$2:$EO$956,,MATCH("Grant Fund",Data!$1:$1,0)-1,1)="Grads2Careers",MATCH(ROW(Data!$AO$2:$AO$956),ROW(Data!$AO$2:$AO$956)),""),ROWS($A$1:A55)),COLUMNS($A$1:A55)),
$B$6 = "OWIF",
INDEX(Data!$B$2:$EO$956,
SMALL(IF(INDEX(Data!$B$2:$EO$956,,MATCH("Grant Fund",Data!$1:$1,0)-1,1)="OWIF",MATCH(ROW(Data!$AO$2:$AO$956),ROW(Data!$AO$2:$AO$956)),""),ROWS($A$1:A55)),COLUMNS($A$1:A55)),
$B$6 = "WIOA",
INDEX(Data!$B$2:$EO$956,
SMALL(IF(INDEX(Data!$B$2:$EO$956,,MATCH("Grant Fund",Data!$1:$1,0)-1,1)="WIOA",MATCH(ROW(Data!$AO$2:$AO$956),ROW(Data!$AO$2:$AO$956)),""),ROWS($A$1:A55)),COLUMNS($A$1:A55)),
$B$6 = "WIOA II",
INDEX(Data!$B$2:$EO$956,
SMALL(IF(INDEX(Data!$B$2:$EO$956,,MATCH("Grant Fund",Data!$1:$1,0)-1,1)="WIOA II",MATCH(ROW(Data!$AO$2:$AO$956),ROW(Data!$AO$2:$AO$956)),""),ROWS($A$1:A55)),COLUMNS($A$1:A55)),
$B$6 = "WIOA III",
INDEX(Data!$B$2:$EO$956,
SMALL(IF(INDEX(Data!$B$2:$EO$956,,MATCH("Grant Fund",Data!$1:$1,0)-1,1)="WIOA III",MATCH(ROW(Data!$AO$2:$AO$956),ROW(Data!$AO$2:$AO$956)),""),ROWS($A$1:A55)),COLUMNS($A$1:A55)),
$B$6 = "Currently Employed",
INDEX(Data!$B$2:$EO$956,
SMALL(IF(INDEX(Data!$B$2:$EO$956,,MATCH("Currently Employed",Data!$1:$1,0)-1,1)="Yes",MATCH(ROW(Data!$DZ$2:$DZ$956),ROW(Data!$DZ$2:$DZ$956)),""),ROWS($A$1:A55)),COLUMNS($A$1:A55)),
$B$6 = "Inactive",
INDEX(Data!$B$2:$EO$956,
SMALL(IF(INDEX(Data!$B$2:$EO$956,,MATCH("Inactive",Data!$1:$1,0)-1,1)="Yes",MATCH(ROW(Data!$DG$2:$DG$956),ROW(Data!$DG$2:$DG$956)),""),ROWS($A$1:A55)),COLUMNS($A$1:A55)),
$B$6 = "Active",
INDEX(Data!$B$2:$EO$956,
SMALL(IF(INDEX(Data!$B$2:$EO$956,,MATCH("Active",Data!$1:$1,0)-1,1)="Yes",MATCH(ROW(Data!$DZ$2:$DZ$956),ROW(Data!$DZ$2:$DZ$956)),""),ROWS($A$1:A55)),COLUMNS($A$1:A55)),
$B$6 = "Status Unknown",
INDEX(Data!$B$2:$EO$956,
SMALL(IF(INDEX(Data!$B$2:$EO$956,,MATCH("Status Unknown",Data!$1:$1,0)-1,1)="Yes",MATCH(ROW(Data!$EB$2:$EB$956),ROW(Data!$EB$2:$EB$956)),""),ROWS($A$1:A55)),COLUMNS($A$1:A55)),
$B$6 = "Enrollment Pending",
INDEX(Data!$B$2:$EO$956,
SMALL(IF(INDEX(Data!$B$2:$EO$956,,MATCH("Enrollment Pending",Data!$1:$1,0)-1,1)="Yes",MATCH(ROW(Data!$DY$2:$DY$956),ROW(Data!$DY$2:$DY$956)),""),ROWS($A$1:A55)),COLUMNS($A$1:A55)),
$B$6 = "Gained Certification",
INDEX(Data!$B$2:$EO$956,
SMALL(IF(INDEX(Data!$B$2:$EO$956,,MATCH("Gained Certification",Data!$1:$1,0)-1,1)="Yes",MATCH(ROW(Data!$DU$2:$DU$956),ROW(Data!$DU$2:$DU$956)),""),ROWS($A$1:A55)),COLUMNS($A$1:A55)),
$B$6 = "No Certification",
INDEX(Data!$B$2:$EO$956,
SMALL(IF(INDEX(Data!$B$2:$EO$956,,MATCH("Gained Certification",Data!$1:$1,0)-1,1)&lt;&gt;"Yes",MATCH(ROW(Data!$DU$2:$DU$956),ROW(Data!$DU$2:$DU$956)),""),ROWS($A$1:A55)),COLUMNS($A$1:A55)),
$B$6 = "Completers Without Employment",
INDEX(Data!$B$2:$EO$967,
SMALL(IF(INDEX(Data!$B$2:$EO$967,,MATCH("Completed Without Employment",Data!$1:$1,0)-1,1)="Yes",MATCH(ROW(Data!$DZ$2:$DZ$967),ROW(Data!$DZ$2:$DZ$967)),""),ROWS($A$1:A55)),COLUMNS($A$1:A55)),
$B$6 = "CH",
INDEX(Data!$B$2:$EO$956,
SMALL(IF(INDEX(Data!$B$2:$EO$956,,MATCH("Case Manager",Data!$1:$1,0)-1,1)="CH",MATCH(ROW(Data!$DZ$2:$DZ$956),ROW(Data!$DZ$2:$DZ$956)),""),ROWS($A$1:A55)),COLUMNS($A$1:A55)),
$B$6 = "ML",
INDEX(Data!$B$2:$EO$956,
SMALL(IF(INDEX(Data!$B$2:$EO$956,,MATCH("Case Manager",Data!$1:$1,0)-1,1)="ML",MATCH(ROW(Data!$DZ$2:$DZ$956),ROW(Data!$DZ$2:$DZ$956)),""),ROWS($A$1:A55)),COLUMNS($A$1:A55)),
$B$6 = "RB",
INDEX(Data!$B$2:$EO$956,
SMALL(IF(INDEX(Data!$B$2:$EO$956,,MATCH("Case Manager",Data!$1:$1,0)-1,1)="RB",MATCH(ROW(Data!$DZ$2:$DZ$956),ROW(Data!$DZ$2:$DZ$956)),""),ROWS($A$1:A55)),COLUMNS($A$1:A55)),
$B$6 = "RV",
INDEX(Data!$B$2:$EO$956,
SMALL(IF(INDEX(Data!$B$2:$EO$956,,MATCH("Case Manager",Data!$1:$1,0)-1,1)="RV",MATCH(ROW(Data!$DZ$2:$DZ$956),ROW(Data!$DZ$2:$DZ$956)),""),ROWS($A$1:A55)),COLUMNS($A$1:A55)),
$B$6 = "SG",
INDEX(Data!$B$2:$EO$956,
SMALL(IF(INDEX(Data!$B$2:$EO$956,,MATCH("Case Manager",Data!$1:$1,0)-1,1)="SH",MATCH(ROW(Data!$DZ$2:$DZ$956),ROW(Data!$DZ$2:$DZ$956)),""),ROWS($A$1:A55)),COLUMNS($A$1:A55))
),"")</f>
        <v/>
      </c>
      <c r="C66" s="1" t="str">
        <f>IF(
IFERROR(
INDEX(Data!$1:$1048576,MATCH('Client Lists'!$B66,Data!$B:$B,0),MATCH('Client Lists'!C$11,Data!$1:$1,0)),"")=0,"",
IFERROR(
INDEX(Data!$1:$1048576,MATCH('Client Lists'!$B66,Data!$B:$B,0),MATCH('Client Lists'!C$11,Data!$1:$1,0)),""))</f>
        <v/>
      </c>
      <c r="D66" s="1" t="str">
        <f>IF(
IFERROR(
INDEX(Data!$1:$1048576,MATCH('Client Lists'!$B66,Data!$B:$B,0),MATCH('Client Lists'!D$11,Data!$1:$1,0)),"")=0,"",
IFERROR(
INDEX(Data!$1:$1048576,MATCH('Client Lists'!$B66,Data!$B:$B,0),MATCH('Client Lists'!D$11,Data!$1:$1,0)),""))</f>
        <v/>
      </c>
      <c r="E66" s="1" t="str">
        <f>IF(
IFERROR(
INDEX(Data!$1:$1048576,MATCH('Client Lists'!$B66,Data!$B:$B,0),MATCH('Client Lists'!E$11,Data!$1:$1,0)),"")=0,"",
IFERROR(
INDEX(Data!$1:$1048576,MATCH('Client Lists'!$B66,Data!$B:$B,0),MATCH('Client Lists'!E$11,Data!$1:$1,0)),""))</f>
        <v/>
      </c>
      <c r="F66" s="1" t="str">
        <f>IF(
IFERROR(
INDEX(Data!$1:$1048576,MATCH('Client Lists'!$B66,Data!$B:$B,0),MATCH('Client Lists'!F$11,Data!$1:$1,0)),"")=0,"",
IFERROR(
INDEX(Data!$1:$1048576,MATCH('Client Lists'!$B66,Data!$B:$B,0),MATCH('Client Lists'!F$11,Data!$1:$1,0)),""))</f>
        <v/>
      </c>
      <c r="G66" s="1" t="str">
        <f>IF(
IFERROR(
INDEX(Data!$1:$1048576,MATCH('Client Lists'!$B66,Data!$B:$B,0),MATCH('Client Lists'!G$11,Data!$1:$1,0)),"")=0,"",
IFERROR(
INDEX(Data!$1:$1048576,MATCH('Client Lists'!$B66,Data!$B:$B,0),MATCH('Client Lists'!G$11,Data!$1:$1,0)),""))</f>
        <v/>
      </c>
      <c r="H66" s="1" t="str">
        <f>IF(
IFERROR(
INDEX(Data!$1:$1048576,MATCH('Client Lists'!$B66,Data!$B:$B,0),MATCH('Client Lists'!H$11,Data!$1:$1,0)),"")=0,"",
IFERROR(
INDEX(Data!$1:$1048576,MATCH('Client Lists'!$B66,Data!$B:$B,0),MATCH('Client Lists'!H$11,Data!$1:$1,0)),""))</f>
        <v/>
      </c>
      <c r="I66" s="1" t="str">
        <f>IF(
IFERROR(
INDEX(Data!$1:$1048576,MATCH('Client Lists'!$B66,Data!$B:$B,0),MATCH('Client Lists'!I$11,Data!$1:$1,0)),"")=0,"",
IFERROR(
INDEX(Data!$1:$1048576,MATCH('Client Lists'!$B66,Data!$B:$B,0),MATCH('Client Lists'!I$11,Data!$1:$1,0)),""))</f>
        <v/>
      </c>
      <c r="J66" s="1" t="str">
        <f>IF(
IFERROR(
INDEX(Data!$1:$1048576,MATCH('Client Lists'!$B66,Data!$B:$B,0),MATCH('Client Lists'!J$11,Data!$1:$1,0)),"")=0,"",
IFERROR(
INDEX(Data!$1:$1048576,MATCH('Client Lists'!$B66,Data!$B:$B,0),MATCH('Client Lists'!J$11,Data!$1:$1,0)),""))</f>
        <v/>
      </c>
      <c r="K66" s="1" t="str">
        <f>IF(
IFERROR(
INDEX(Data!$1:$1048576,MATCH('Client Lists'!$B66,Data!$B:$B,0),MATCH('Client Lists'!K$11,Data!$1:$1,0)),"")=0,"",
IFERROR(
INDEX(Data!$1:$1048576,MATCH('Client Lists'!$B66,Data!$B:$B,0),MATCH('Client Lists'!K$11,Data!$1:$1,0)),""))</f>
        <v/>
      </c>
    </row>
    <row r="67" spans="2:11" x14ac:dyDescent="0.45">
      <c r="B67" s="5" t="str">
        <f t="array" ref="B67">IFERROR(_xlfn.IFS(
$B$6 = "Retention Overdue",
INDEX(Data!$B$2:$EO$956,
SMALL(IF(INDEX(Data!$B$2:$EO$956,,MATCH("Call Due",Data!$1:$1,0)-1,1)="Yes",MATCH(ROW(Data!$CN$2:$CN$956),ROW(Data!$CN$2:$CN$956)),""),ROWS($A$1:A56)),COLUMNS($A$1:A56)),
$B$6 = "OWIF-W",
INDEX(Data!$B$2:$EO$956,
SMALL(IF(INDEX(Data!$B$2:$EO$956,,MATCH("Grant Fund",Data!$1:$1,0)-1,1)="OWIF-W",MATCH(ROW(Data!$AO$2:$AO$956),ROW(Data!$AO$2:$AO$956)),""),ROWS($A$1:A56)),COLUMNS($A$1:A56)),
$B$6 = "G2C",
INDEX(Data!$B$2:$EO$956,
SMALL(IF(INDEX(Data!$B$2:$EO$956,,MATCH("Grant Fund",Data!$1:$1,0)-1,1)="Grads2Careers",MATCH(ROW(Data!$AO$2:$AO$956),ROW(Data!$AO$2:$AO$956)),""),ROWS($A$1:A56)),COLUMNS($A$1:A56)),
$B$6 = "OWIF",
INDEX(Data!$B$2:$EO$956,
SMALL(IF(INDEX(Data!$B$2:$EO$956,,MATCH("Grant Fund",Data!$1:$1,0)-1,1)="OWIF",MATCH(ROW(Data!$AO$2:$AO$956),ROW(Data!$AO$2:$AO$956)),""),ROWS($A$1:A56)),COLUMNS($A$1:A56)),
$B$6 = "WIOA",
INDEX(Data!$B$2:$EO$956,
SMALL(IF(INDEX(Data!$B$2:$EO$956,,MATCH("Grant Fund",Data!$1:$1,0)-1,1)="WIOA",MATCH(ROW(Data!$AO$2:$AO$956),ROW(Data!$AO$2:$AO$956)),""),ROWS($A$1:A56)),COLUMNS($A$1:A56)),
$B$6 = "WIOA II",
INDEX(Data!$B$2:$EO$956,
SMALL(IF(INDEX(Data!$B$2:$EO$956,,MATCH("Grant Fund",Data!$1:$1,0)-1,1)="WIOA II",MATCH(ROW(Data!$AO$2:$AO$956),ROW(Data!$AO$2:$AO$956)),""),ROWS($A$1:A56)),COLUMNS($A$1:A56)),
$B$6 = "WIOA III",
INDEX(Data!$B$2:$EO$956,
SMALL(IF(INDEX(Data!$B$2:$EO$956,,MATCH("Grant Fund",Data!$1:$1,0)-1,1)="WIOA III",MATCH(ROW(Data!$AO$2:$AO$956),ROW(Data!$AO$2:$AO$956)),""),ROWS($A$1:A56)),COLUMNS($A$1:A56)),
$B$6 = "Currently Employed",
INDEX(Data!$B$2:$EO$956,
SMALL(IF(INDEX(Data!$B$2:$EO$956,,MATCH("Currently Employed",Data!$1:$1,0)-1,1)="Yes",MATCH(ROW(Data!$DZ$2:$DZ$956),ROW(Data!$DZ$2:$DZ$956)),""),ROWS($A$1:A56)),COLUMNS($A$1:A56)),
$B$6 = "Inactive",
INDEX(Data!$B$2:$EO$956,
SMALL(IF(INDEX(Data!$B$2:$EO$956,,MATCH("Inactive",Data!$1:$1,0)-1,1)="Yes",MATCH(ROW(Data!$DG$2:$DG$956),ROW(Data!$DG$2:$DG$956)),""),ROWS($A$1:A56)),COLUMNS($A$1:A56)),
$B$6 = "Active",
INDEX(Data!$B$2:$EO$956,
SMALL(IF(INDEX(Data!$B$2:$EO$956,,MATCH("Active",Data!$1:$1,0)-1,1)="Yes",MATCH(ROW(Data!$DZ$2:$DZ$956),ROW(Data!$DZ$2:$DZ$956)),""),ROWS($A$1:A56)),COLUMNS($A$1:A56)),
$B$6 = "Status Unknown",
INDEX(Data!$B$2:$EO$956,
SMALL(IF(INDEX(Data!$B$2:$EO$956,,MATCH("Status Unknown",Data!$1:$1,0)-1,1)="Yes",MATCH(ROW(Data!$EB$2:$EB$956),ROW(Data!$EB$2:$EB$956)),""),ROWS($A$1:A56)),COLUMNS($A$1:A56)),
$B$6 = "Enrollment Pending",
INDEX(Data!$B$2:$EO$956,
SMALL(IF(INDEX(Data!$B$2:$EO$956,,MATCH("Enrollment Pending",Data!$1:$1,0)-1,1)="Yes",MATCH(ROW(Data!$DY$2:$DY$956),ROW(Data!$DY$2:$DY$956)),""),ROWS($A$1:A56)),COLUMNS($A$1:A56)),
$B$6 = "Gained Certification",
INDEX(Data!$B$2:$EO$956,
SMALL(IF(INDEX(Data!$B$2:$EO$956,,MATCH("Gained Certification",Data!$1:$1,0)-1,1)="Yes",MATCH(ROW(Data!$DU$2:$DU$956),ROW(Data!$DU$2:$DU$956)),""),ROWS($A$1:A56)),COLUMNS($A$1:A56)),
$B$6 = "No Certification",
INDEX(Data!$B$2:$EO$956,
SMALL(IF(INDEX(Data!$B$2:$EO$956,,MATCH("Gained Certification",Data!$1:$1,0)-1,1)&lt;&gt;"Yes",MATCH(ROW(Data!$DU$2:$DU$956),ROW(Data!$DU$2:$DU$956)),""),ROWS($A$1:A56)),COLUMNS($A$1:A56)),
$B$6 = "Completers Without Employment",
INDEX(Data!$B$2:$EO$967,
SMALL(IF(INDEX(Data!$B$2:$EO$967,,MATCH("Completed Without Employment",Data!$1:$1,0)-1,1)="Yes",MATCH(ROW(Data!$DZ$2:$DZ$967),ROW(Data!$DZ$2:$DZ$967)),""),ROWS($A$1:A56)),COLUMNS($A$1:A56)),
$B$6 = "CH",
INDEX(Data!$B$2:$EO$956,
SMALL(IF(INDEX(Data!$B$2:$EO$956,,MATCH("Case Manager",Data!$1:$1,0)-1,1)="CH",MATCH(ROW(Data!$DZ$2:$DZ$956),ROW(Data!$DZ$2:$DZ$956)),""),ROWS($A$1:A56)),COLUMNS($A$1:A56)),
$B$6 = "ML",
INDEX(Data!$B$2:$EO$956,
SMALL(IF(INDEX(Data!$B$2:$EO$956,,MATCH("Case Manager",Data!$1:$1,0)-1,1)="ML",MATCH(ROW(Data!$DZ$2:$DZ$956),ROW(Data!$DZ$2:$DZ$956)),""),ROWS($A$1:A56)),COLUMNS($A$1:A56)),
$B$6 = "RB",
INDEX(Data!$B$2:$EO$956,
SMALL(IF(INDEX(Data!$B$2:$EO$956,,MATCH("Case Manager",Data!$1:$1,0)-1,1)="RB",MATCH(ROW(Data!$DZ$2:$DZ$956),ROW(Data!$DZ$2:$DZ$956)),""),ROWS($A$1:A56)),COLUMNS($A$1:A56)),
$B$6 = "RV",
INDEX(Data!$B$2:$EO$956,
SMALL(IF(INDEX(Data!$B$2:$EO$956,,MATCH("Case Manager",Data!$1:$1,0)-1,1)="RV",MATCH(ROW(Data!$DZ$2:$DZ$956),ROW(Data!$DZ$2:$DZ$956)),""),ROWS($A$1:A56)),COLUMNS($A$1:A56)),
$B$6 = "SG",
INDEX(Data!$B$2:$EO$956,
SMALL(IF(INDEX(Data!$B$2:$EO$956,,MATCH("Case Manager",Data!$1:$1,0)-1,1)="SH",MATCH(ROW(Data!$DZ$2:$DZ$956),ROW(Data!$DZ$2:$DZ$956)),""),ROWS($A$1:A56)),COLUMNS($A$1:A56))
),"")</f>
        <v/>
      </c>
      <c r="C67" s="1" t="str">
        <f>IF(
IFERROR(
INDEX(Data!$1:$1048576,MATCH('Client Lists'!$B67,Data!$B:$B,0),MATCH('Client Lists'!C$11,Data!$1:$1,0)),"")=0,"",
IFERROR(
INDEX(Data!$1:$1048576,MATCH('Client Lists'!$B67,Data!$B:$B,0),MATCH('Client Lists'!C$11,Data!$1:$1,0)),""))</f>
        <v/>
      </c>
      <c r="D67" s="1" t="str">
        <f>IF(
IFERROR(
INDEX(Data!$1:$1048576,MATCH('Client Lists'!$B67,Data!$B:$B,0),MATCH('Client Lists'!D$11,Data!$1:$1,0)),"")=0,"",
IFERROR(
INDEX(Data!$1:$1048576,MATCH('Client Lists'!$B67,Data!$B:$B,0),MATCH('Client Lists'!D$11,Data!$1:$1,0)),""))</f>
        <v/>
      </c>
      <c r="E67" s="1" t="str">
        <f>IF(
IFERROR(
INDEX(Data!$1:$1048576,MATCH('Client Lists'!$B67,Data!$B:$B,0),MATCH('Client Lists'!E$11,Data!$1:$1,0)),"")=0,"",
IFERROR(
INDEX(Data!$1:$1048576,MATCH('Client Lists'!$B67,Data!$B:$B,0),MATCH('Client Lists'!E$11,Data!$1:$1,0)),""))</f>
        <v/>
      </c>
      <c r="F67" s="1" t="str">
        <f>IF(
IFERROR(
INDEX(Data!$1:$1048576,MATCH('Client Lists'!$B67,Data!$B:$B,0),MATCH('Client Lists'!F$11,Data!$1:$1,0)),"")=0,"",
IFERROR(
INDEX(Data!$1:$1048576,MATCH('Client Lists'!$B67,Data!$B:$B,0),MATCH('Client Lists'!F$11,Data!$1:$1,0)),""))</f>
        <v/>
      </c>
      <c r="G67" s="1" t="str">
        <f>IF(
IFERROR(
INDEX(Data!$1:$1048576,MATCH('Client Lists'!$B67,Data!$B:$B,0),MATCH('Client Lists'!G$11,Data!$1:$1,0)),"")=0,"",
IFERROR(
INDEX(Data!$1:$1048576,MATCH('Client Lists'!$B67,Data!$B:$B,0),MATCH('Client Lists'!G$11,Data!$1:$1,0)),""))</f>
        <v/>
      </c>
      <c r="H67" s="1" t="str">
        <f>IF(
IFERROR(
INDEX(Data!$1:$1048576,MATCH('Client Lists'!$B67,Data!$B:$B,0),MATCH('Client Lists'!H$11,Data!$1:$1,0)),"")=0,"",
IFERROR(
INDEX(Data!$1:$1048576,MATCH('Client Lists'!$B67,Data!$B:$B,0),MATCH('Client Lists'!H$11,Data!$1:$1,0)),""))</f>
        <v/>
      </c>
      <c r="I67" s="1" t="str">
        <f>IF(
IFERROR(
INDEX(Data!$1:$1048576,MATCH('Client Lists'!$B67,Data!$B:$B,0),MATCH('Client Lists'!I$11,Data!$1:$1,0)),"")=0,"",
IFERROR(
INDEX(Data!$1:$1048576,MATCH('Client Lists'!$B67,Data!$B:$B,0),MATCH('Client Lists'!I$11,Data!$1:$1,0)),""))</f>
        <v/>
      </c>
      <c r="J67" s="1" t="str">
        <f>IF(
IFERROR(
INDEX(Data!$1:$1048576,MATCH('Client Lists'!$B67,Data!$B:$B,0),MATCH('Client Lists'!J$11,Data!$1:$1,0)),"")=0,"",
IFERROR(
INDEX(Data!$1:$1048576,MATCH('Client Lists'!$B67,Data!$B:$B,0),MATCH('Client Lists'!J$11,Data!$1:$1,0)),""))</f>
        <v/>
      </c>
      <c r="K67" s="1" t="str">
        <f>IF(
IFERROR(
INDEX(Data!$1:$1048576,MATCH('Client Lists'!$B67,Data!$B:$B,0),MATCH('Client Lists'!K$11,Data!$1:$1,0)),"")=0,"",
IFERROR(
INDEX(Data!$1:$1048576,MATCH('Client Lists'!$B67,Data!$B:$B,0),MATCH('Client Lists'!K$11,Data!$1:$1,0)),""))</f>
        <v/>
      </c>
    </row>
    <row r="68" spans="2:11" x14ac:dyDescent="0.45">
      <c r="B68" s="5" t="str">
        <f t="array" ref="B68">IFERROR(_xlfn.IFS(
$B$6 = "Retention Overdue",
INDEX(Data!$B$2:$EO$956,
SMALL(IF(INDEX(Data!$B$2:$EO$956,,MATCH("Call Due",Data!$1:$1,0)-1,1)="Yes",MATCH(ROW(Data!$CN$2:$CN$956),ROW(Data!$CN$2:$CN$956)),""),ROWS($A$1:A57)),COLUMNS($A$1:A57)),
$B$6 = "OWIF-W",
INDEX(Data!$B$2:$EO$956,
SMALL(IF(INDEX(Data!$B$2:$EO$956,,MATCH("Grant Fund",Data!$1:$1,0)-1,1)="OWIF-W",MATCH(ROW(Data!$AO$2:$AO$956),ROW(Data!$AO$2:$AO$956)),""),ROWS($A$1:A57)),COLUMNS($A$1:A57)),
$B$6 = "G2C",
INDEX(Data!$B$2:$EO$956,
SMALL(IF(INDEX(Data!$B$2:$EO$956,,MATCH("Grant Fund",Data!$1:$1,0)-1,1)="Grads2Careers",MATCH(ROW(Data!$AO$2:$AO$956),ROW(Data!$AO$2:$AO$956)),""),ROWS($A$1:A57)),COLUMNS($A$1:A57)),
$B$6 = "OWIF",
INDEX(Data!$B$2:$EO$956,
SMALL(IF(INDEX(Data!$B$2:$EO$956,,MATCH("Grant Fund",Data!$1:$1,0)-1,1)="OWIF",MATCH(ROW(Data!$AO$2:$AO$956),ROW(Data!$AO$2:$AO$956)),""),ROWS($A$1:A57)),COLUMNS($A$1:A57)),
$B$6 = "WIOA",
INDEX(Data!$B$2:$EO$956,
SMALL(IF(INDEX(Data!$B$2:$EO$956,,MATCH("Grant Fund",Data!$1:$1,0)-1,1)="WIOA",MATCH(ROW(Data!$AO$2:$AO$956),ROW(Data!$AO$2:$AO$956)),""),ROWS($A$1:A57)),COLUMNS($A$1:A57)),
$B$6 = "WIOA II",
INDEX(Data!$B$2:$EO$956,
SMALL(IF(INDEX(Data!$B$2:$EO$956,,MATCH("Grant Fund",Data!$1:$1,0)-1,1)="WIOA II",MATCH(ROW(Data!$AO$2:$AO$956),ROW(Data!$AO$2:$AO$956)),""),ROWS($A$1:A57)),COLUMNS($A$1:A57)),
$B$6 = "WIOA III",
INDEX(Data!$B$2:$EO$956,
SMALL(IF(INDEX(Data!$B$2:$EO$956,,MATCH("Grant Fund",Data!$1:$1,0)-1,1)="WIOA III",MATCH(ROW(Data!$AO$2:$AO$956),ROW(Data!$AO$2:$AO$956)),""),ROWS($A$1:A57)),COLUMNS($A$1:A57)),
$B$6 = "Currently Employed",
INDEX(Data!$B$2:$EO$956,
SMALL(IF(INDEX(Data!$B$2:$EO$956,,MATCH("Currently Employed",Data!$1:$1,0)-1,1)="Yes",MATCH(ROW(Data!$DZ$2:$DZ$956),ROW(Data!$DZ$2:$DZ$956)),""),ROWS($A$1:A57)),COLUMNS($A$1:A57)),
$B$6 = "Inactive",
INDEX(Data!$B$2:$EO$956,
SMALL(IF(INDEX(Data!$B$2:$EO$956,,MATCH("Inactive",Data!$1:$1,0)-1,1)="Yes",MATCH(ROW(Data!$DG$2:$DG$956),ROW(Data!$DG$2:$DG$956)),""),ROWS($A$1:A57)),COLUMNS($A$1:A57)),
$B$6 = "Active",
INDEX(Data!$B$2:$EO$956,
SMALL(IF(INDEX(Data!$B$2:$EO$956,,MATCH("Active",Data!$1:$1,0)-1,1)="Yes",MATCH(ROW(Data!$DZ$2:$DZ$956),ROW(Data!$DZ$2:$DZ$956)),""),ROWS($A$1:A57)),COLUMNS($A$1:A57)),
$B$6 = "Status Unknown",
INDEX(Data!$B$2:$EO$956,
SMALL(IF(INDEX(Data!$B$2:$EO$956,,MATCH("Status Unknown",Data!$1:$1,0)-1,1)="Yes",MATCH(ROW(Data!$EB$2:$EB$956),ROW(Data!$EB$2:$EB$956)),""),ROWS($A$1:A57)),COLUMNS($A$1:A57)),
$B$6 = "Enrollment Pending",
INDEX(Data!$B$2:$EO$956,
SMALL(IF(INDEX(Data!$B$2:$EO$956,,MATCH("Enrollment Pending",Data!$1:$1,0)-1,1)="Yes",MATCH(ROW(Data!$DY$2:$DY$956),ROW(Data!$DY$2:$DY$956)),""),ROWS($A$1:A57)),COLUMNS($A$1:A57)),
$B$6 = "Gained Certification",
INDEX(Data!$B$2:$EO$956,
SMALL(IF(INDEX(Data!$B$2:$EO$956,,MATCH("Gained Certification",Data!$1:$1,0)-1,1)="Yes",MATCH(ROW(Data!$DU$2:$DU$956),ROW(Data!$DU$2:$DU$956)),""),ROWS($A$1:A57)),COLUMNS($A$1:A57)),
$B$6 = "No Certification",
INDEX(Data!$B$2:$EO$956,
SMALL(IF(INDEX(Data!$B$2:$EO$956,,MATCH("Gained Certification",Data!$1:$1,0)-1,1)&lt;&gt;"Yes",MATCH(ROW(Data!$DU$2:$DU$956),ROW(Data!$DU$2:$DU$956)),""),ROWS($A$1:A57)),COLUMNS($A$1:A57)),
$B$6 = "Completers Without Employment",
INDEX(Data!$B$2:$EO$967,
SMALL(IF(INDEX(Data!$B$2:$EO$967,,MATCH("Completed Without Employment",Data!$1:$1,0)-1,1)="Yes",MATCH(ROW(Data!$DZ$2:$DZ$967),ROW(Data!$DZ$2:$DZ$967)),""),ROWS($A$1:A57)),COLUMNS($A$1:A57)),
$B$6 = "CH",
INDEX(Data!$B$2:$EO$956,
SMALL(IF(INDEX(Data!$B$2:$EO$956,,MATCH("Case Manager",Data!$1:$1,0)-1,1)="CH",MATCH(ROW(Data!$DZ$2:$DZ$956),ROW(Data!$DZ$2:$DZ$956)),""),ROWS($A$1:A57)),COLUMNS($A$1:A57)),
$B$6 = "ML",
INDEX(Data!$B$2:$EO$956,
SMALL(IF(INDEX(Data!$B$2:$EO$956,,MATCH("Case Manager",Data!$1:$1,0)-1,1)="ML",MATCH(ROW(Data!$DZ$2:$DZ$956),ROW(Data!$DZ$2:$DZ$956)),""),ROWS($A$1:A57)),COLUMNS($A$1:A57)),
$B$6 = "RB",
INDEX(Data!$B$2:$EO$956,
SMALL(IF(INDEX(Data!$B$2:$EO$956,,MATCH("Case Manager",Data!$1:$1,0)-1,1)="RB",MATCH(ROW(Data!$DZ$2:$DZ$956),ROW(Data!$DZ$2:$DZ$956)),""),ROWS($A$1:A57)),COLUMNS($A$1:A57)),
$B$6 = "RV",
INDEX(Data!$B$2:$EO$956,
SMALL(IF(INDEX(Data!$B$2:$EO$956,,MATCH("Case Manager",Data!$1:$1,0)-1,1)="RV",MATCH(ROW(Data!$DZ$2:$DZ$956),ROW(Data!$DZ$2:$DZ$956)),""),ROWS($A$1:A57)),COLUMNS($A$1:A57)),
$B$6 = "SG",
INDEX(Data!$B$2:$EO$956,
SMALL(IF(INDEX(Data!$B$2:$EO$956,,MATCH("Case Manager",Data!$1:$1,0)-1,1)="SH",MATCH(ROW(Data!$DZ$2:$DZ$956),ROW(Data!$DZ$2:$DZ$956)),""),ROWS($A$1:A57)),COLUMNS($A$1:A57))
),"")</f>
        <v/>
      </c>
      <c r="C68" s="1" t="str">
        <f>IF(
IFERROR(
INDEX(Data!$1:$1048576,MATCH('Client Lists'!$B68,Data!$B:$B,0),MATCH('Client Lists'!C$11,Data!$1:$1,0)),"")=0,"",
IFERROR(
INDEX(Data!$1:$1048576,MATCH('Client Lists'!$B68,Data!$B:$B,0),MATCH('Client Lists'!C$11,Data!$1:$1,0)),""))</f>
        <v/>
      </c>
      <c r="D68" s="1" t="str">
        <f>IF(
IFERROR(
INDEX(Data!$1:$1048576,MATCH('Client Lists'!$B68,Data!$B:$B,0),MATCH('Client Lists'!D$11,Data!$1:$1,0)),"")=0,"",
IFERROR(
INDEX(Data!$1:$1048576,MATCH('Client Lists'!$B68,Data!$B:$B,0),MATCH('Client Lists'!D$11,Data!$1:$1,0)),""))</f>
        <v/>
      </c>
      <c r="E68" s="1" t="str">
        <f>IF(
IFERROR(
INDEX(Data!$1:$1048576,MATCH('Client Lists'!$B68,Data!$B:$B,0),MATCH('Client Lists'!E$11,Data!$1:$1,0)),"")=0,"",
IFERROR(
INDEX(Data!$1:$1048576,MATCH('Client Lists'!$B68,Data!$B:$B,0),MATCH('Client Lists'!E$11,Data!$1:$1,0)),""))</f>
        <v/>
      </c>
      <c r="F68" s="1" t="str">
        <f>IF(
IFERROR(
INDEX(Data!$1:$1048576,MATCH('Client Lists'!$B68,Data!$B:$B,0),MATCH('Client Lists'!F$11,Data!$1:$1,0)),"")=0,"",
IFERROR(
INDEX(Data!$1:$1048576,MATCH('Client Lists'!$B68,Data!$B:$B,0),MATCH('Client Lists'!F$11,Data!$1:$1,0)),""))</f>
        <v/>
      </c>
      <c r="G68" s="1" t="str">
        <f>IF(
IFERROR(
INDEX(Data!$1:$1048576,MATCH('Client Lists'!$B68,Data!$B:$B,0),MATCH('Client Lists'!G$11,Data!$1:$1,0)),"")=0,"",
IFERROR(
INDEX(Data!$1:$1048576,MATCH('Client Lists'!$B68,Data!$B:$B,0),MATCH('Client Lists'!G$11,Data!$1:$1,0)),""))</f>
        <v/>
      </c>
      <c r="H68" s="1" t="str">
        <f>IF(
IFERROR(
INDEX(Data!$1:$1048576,MATCH('Client Lists'!$B68,Data!$B:$B,0),MATCH('Client Lists'!H$11,Data!$1:$1,0)),"")=0,"",
IFERROR(
INDEX(Data!$1:$1048576,MATCH('Client Lists'!$B68,Data!$B:$B,0),MATCH('Client Lists'!H$11,Data!$1:$1,0)),""))</f>
        <v/>
      </c>
      <c r="I68" s="1" t="str">
        <f>IF(
IFERROR(
INDEX(Data!$1:$1048576,MATCH('Client Lists'!$B68,Data!$B:$B,0),MATCH('Client Lists'!I$11,Data!$1:$1,0)),"")=0,"",
IFERROR(
INDEX(Data!$1:$1048576,MATCH('Client Lists'!$B68,Data!$B:$B,0),MATCH('Client Lists'!I$11,Data!$1:$1,0)),""))</f>
        <v/>
      </c>
      <c r="J68" s="1" t="str">
        <f>IF(
IFERROR(
INDEX(Data!$1:$1048576,MATCH('Client Lists'!$B68,Data!$B:$B,0),MATCH('Client Lists'!J$11,Data!$1:$1,0)),"")=0,"",
IFERROR(
INDEX(Data!$1:$1048576,MATCH('Client Lists'!$B68,Data!$B:$B,0),MATCH('Client Lists'!J$11,Data!$1:$1,0)),""))</f>
        <v/>
      </c>
      <c r="K68" s="1" t="str">
        <f>IF(
IFERROR(
INDEX(Data!$1:$1048576,MATCH('Client Lists'!$B68,Data!$B:$B,0),MATCH('Client Lists'!K$11,Data!$1:$1,0)),"")=0,"",
IFERROR(
INDEX(Data!$1:$1048576,MATCH('Client Lists'!$B68,Data!$B:$B,0),MATCH('Client Lists'!K$11,Data!$1:$1,0)),""))</f>
        <v/>
      </c>
    </row>
    <row r="69" spans="2:11" x14ac:dyDescent="0.45">
      <c r="B69" s="5" t="str">
        <f t="array" ref="B69">IFERROR(_xlfn.IFS(
$B$6 = "Retention Overdue",
INDEX(Data!$B$2:$EO$956,
SMALL(IF(INDEX(Data!$B$2:$EO$956,,MATCH("Call Due",Data!$1:$1,0)-1,1)="Yes",MATCH(ROW(Data!$CN$2:$CN$956),ROW(Data!$CN$2:$CN$956)),""),ROWS($A$1:A58)),COLUMNS($A$1:A58)),
$B$6 = "OWIF-W",
INDEX(Data!$B$2:$EO$956,
SMALL(IF(INDEX(Data!$B$2:$EO$956,,MATCH("Grant Fund",Data!$1:$1,0)-1,1)="OWIF-W",MATCH(ROW(Data!$AO$2:$AO$956),ROW(Data!$AO$2:$AO$956)),""),ROWS($A$1:A58)),COLUMNS($A$1:A58)),
$B$6 = "G2C",
INDEX(Data!$B$2:$EO$956,
SMALL(IF(INDEX(Data!$B$2:$EO$956,,MATCH("Grant Fund",Data!$1:$1,0)-1,1)="Grads2Careers",MATCH(ROW(Data!$AO$2:$AO$956),ROW(Data!$AO$2:$AO$956)),""),ROWS($A$1:A58)),COLUMNS($A$1:A58)),
$B$6 = "OWIF",
INDEX(Data!$B$2:$EO$956,
SMALL(IF(INDEX(Data!$B$2:$EO$956,,MATCH("Grant Fund",Data!$1:$1,0)-1,1)="OWIF",MATCH(ROW(Data!$AO$2:$AO$956),ROW(Data!$AO$2:$AO$956)),""),ROWS($A$1:A58)),COLUMNS($A$1:A58)),
$B$6 = "WIOA",
INDEX(Data!$B$2:$EO$956,
SMALL(IF(INDEX(Data!$B$2:$EO$956,,MATCH("Grant Fund",Data!$1:$1,0)-1,1)="WIOA",MATCH(ROW(Data!$AO$2:$AO$956),ROW(Data!$AO$2:$AO$956)),""),ROWS($A$1:A58)),COLUMNS($A$1:A58)),
$B$6 = "WIOA II",
INDEX(Data!$B$2:$EO$956,
SMALL(IF(INDEX(Data!$B$2:$EO$956,,MATCH("Grant Fund",Data!$1:$1,0)-1,1)="WIOA II",MATCH(ROW(Data!$AO$2:$AO$956),ROW(Data!$AO$2:$AO$956)),""),ROWS($A$1:A58)),COLUMNS($A$1:A58)),
$B$6 = "WIOA III",
INDEX(Data!$B$2:$EO$956,
SMALL(IF(INDEX(Data!$B$2:$EO$956,,MATCH("Grant Fund",Data!$1:$1,0)-1,1)="WIOA III",MATCH(ROW(Data!$AO$2:$AO$956),ROW(Data!$AO$2:$AO$956)),""),ROWS($A$1:A58)),COLUMNS($A$1:A58)),
$B$6 = "Currently Employed",
INDEX(Data!$B$2:$EO$956,
SMALL(IF(INDEX(Data!$B$2:$EO$956,,MATCH("Currently Employed",Data!$1:$1,0)-1,1)="Yes",MATCH(ROW(Data!$DZ$2:$DZ$956),ROW(Data!$DZ$2:$DZ$956)),""),ROWS($A$1:A58)),COLUMNS($A$1:A58)),
$B$6 = "Inactive",
INDEX(Data!$B$2:$EO$956,
SMALL(IF(INDEX(Data!$B$2:$EO$956,,MATCH("Inactive",Data!$1:$1,0)-1,1)="Yes",MATCH(ROW(Data!$DG$2:$DG$956),ROW(Data!$DG$2:$DG$956)),""),ROWS($A$1:A58)),COLUMNS($A$1:A58)),
$B$6 = "Active",
INDEX(Data!$B$2:$EO$956,
SMALL(IF(INDEX(Data!$B$2:$EO$956,,MATCH("Active",Data!$1:$1,0)-1,1)="Yes",MATCH(ROW(Data!$DZ$2:$DZ$956),ROW(Data!$DZ$2:$DZ$956)),""),ROWS($A$1:A58)),COLUMNS($A$1:A58)),
$B$6 = "Status Unknown",
INDEX(Data!$B$2:$EO$956,
SMALL(IF(INDEX(Data!$B$2:$EO$956,,MATCH("Status Unknown",Data!$1:$1,0)-1,1)="Yes",MATCH(ROW(Data!$EB$2:$EB$956),ROW(Data!$EB$2:$EB$956)),""),ROWS($A$1:A58)),COLUMNS($A$1:A58)),
$B$6 = "Enrollment Pending",
INDEX(Data!$B$2:$EO$956,
SMALL(IF(INDEX(Data!$B$2:$EO$956,,MATCH("Enrollment Pending",Data!$1:$1,0)-1,1)="Yes",MATCH(ROW(Data!$DY$2:$DY$956),ROW(Data!$DY$2:$DY$956)),""),ROWS($A$1:A58)),COLUMNS($A$1:A58)),
$B$6 = "Gained Certification",
INDEX(Data!$B$2:$EO$956,
SMALL(IF(INDEX(Data!$B$2:$EO$956,,MATCH("Gained Certification",Data!$1:$1,0)-1,1)="Yes",MATCH(ROW(Data!$DU$2:$DU$956),ROW(Data!$DU$2:$DU$956)),""),ROWS($A$1:A58)),COLUMNS($A$1:A58)),
$B$6 = "No Certification",
INDEX(Data!$B$2:$EO$956,
SMALL(IF(INDEX(Data!$B$2:$EO$956,,MATCH("Gained Certification",Data!$1:$1,0)-1,1)&lt;&gt;"Yes",MATCH(ROW(Data!$DU$2:$DU$956),ROW(Data!$DU$2:$DU$956)),""),ROWS($A$1:A58)),COLUMNS($A$1:A58)),
$B$6 = "Completers Without Employment",
INDEX(Data!$B$2:$EO$967,
SMALL(IF(INDEX(Data!$B$2:$EO$967,,MATCH("Completed Without Employment",Data!$1:$1,0)-1,1)="Yes",MATCH(ROW(Data!$DZ$2:$DZ$967),ROW(Data!$DZ$2:$DZ$967)),""),ROWS($A$1:A58)),COLUMNS($A$1:A58)),
$B$6 = "CH",
INDEX(Data!$B$2:$EO$956,
SMALL(IF(INDEX(Data!$B$2:$EO$956,,MATCH("Case Manager",Data!$1:$1,0)-1,1)="CH",MATCH(ROW(Data!$DZ$2:$DZ$956),ROW(Data!$DZ$2:$DZ$956)),""),ROWS($A$1:A58)),COLUMNS($A$1:A58)),
$B$6 = "ML",
INDEX(Data!$B$2:$EO$956,
SMALL(IF(INDEX(Data!$B$2:$EO$956,,MATCH("Case Manager",Data!$1:$1,0)-1,1)="ML",MATCH(ROW(Data!$DZ$2:$DZ$956),ROW(Data!$DZ$2:$DZ$956)),""),ROWS($A$1:A58)),COLUMNS($A$1:A58)),
$B$6 = "RB",
INDEX(Data!$B$2:$EO$956,
SMALL(IF(INDEX(Data!$B$2:$EO$956,,MATCH("Case Manager",Data!$1:$1,0)-1,1)="RB",MATCH(ROW(Data!$DZ$2:$DZ$956),ROW(Data!$DZ$2:$DZ$956)),""),ROWS($A$1:A58)),COLUMNS($A$1:A58)),
$B$6 = "RV",
INDEX(Data!$B$2:$EO$956,
SMALL(IF(INDEX(Data!$B$2:$EO$956,,MATCH("Case Manager",Data!$1:$1,0)-1,1)="RV",MATCH(ROW(Data!$DZ$2:$DZ$956),ROW(Data!$DZ$2:$DZ$956)),""),ROWS($A$1:A58)),COLUMNS($A$1:A58)),
$B$6 = "SG",
INDEX(Data!$B$2:$EO$956,
SMALL(IF(INDEX(Data!$B$2:$EO$956,,MATCH("Case Manager",Data!$1:$1,0)-1,1)="SH",MATCH(ROW(Data!$DZ$2:$DZ$956),ROW(Data!$DZ$2:$DZ$956)),""),ROWS($A$1:A58)),COLUMNS($A$1:A58))
),"")</f>
        <v/>
      </c>
      <c r="C69" s="1" t="str">
        <f>IF(
IFERROR(
INDEX(Data!$1:$1048576,MATCH('Client Lists'!$B69,Data!$B:$B,0),MATCH('Client Lists'!C$11,Data!$1:$1,0)),"")=0,"",
IFERROR(
INDEX(Data!$1:$1048576,MATCH('Client Lists'!$B69,Data!$B:$B,0),MATCH('Client Lists'!C$11,Data!$1:$1,0)),""))</f>
        <v/>
      </c>
      <c r="D69" s="1" t="str">
        <f>IF(
IFERROR(
INDEX(Data!$1:$1048576,MATCH('Client Lists'!$B69,Data!$B:$B,0),MATCH('Client Lists'!D$11,Data!$1:$1,0)),"")=0,"",
IFERROR(
INDEX(Data!$1:$1048576,MATCH('Client Lists'!$B69,Data!$B:$B,0),MATCH('Client Lists'!D$11,Data!$1:$1,0)),""))</f>
        <v/>
      </c>
      <c r="E69" s="1" t="str">
        <f>IF(
IFERROR(
INDEX(Data!$1:$1048576,MATCH('Client Lists'!$B69,Data!$B:$B,0),MATCH('Client Lists'!E$11,Data!$1:$1,0)),"")=0,"",
IFERROR(
INDEX(Data!$1:$1048576,MATCH('Client Lists'!$B69,Data!$B:$B,0),MATCH('Client Lists'!E$11,Data!$1:$1,0)),""))</f>
        <v/>
      </c>
      <c r="F69" s="1" t="str">
        <f>IF(
IFERROR(
INDEX(Data!$1:$1048576,MATCH('Client Lists'!$B69,Data!$B:$B,0),MATCH('Client Lists'!F$11,Data!$1:$1,0)),"")=0,"",
IFERROR(
INDEX(Data!$1:$1048576,MATCH('Client Lists'!$B69,Data!$B:$B,0),MATCH('Client Lists'!F$11,Data!$1:$1,0)),""))</f>
        <v/>
      </c>
      <c r="G69" s="1" t="str">
        <f>IF(
IFERROR(
INDEX(Data!$1:$1048576,MATCH('Client Lists'!$B69,Data!$B:$B,0),MATCH('Client Lists'!G$11,Data!$1:$1,0)),"")=0,"",
IFERROR(
INDEX(Data!$1:$1048576,MATCH('Client Lists'!$B69,Data!$B:$B,0),MATCH('Client Lists'!G$11,Data!$1:$1,0)),""))</f>
        <v/>
      </c>
      <c r="H69" s="1" t="str">
        <f>IF(
IFERROR(
INDEX(Data!$1:$1048576,MATCH('Client Lists'!$B69,Data!$B:$B,0),MATCH('Client Lists'!H$11,Data!$1:$1,0)),"")=0,"",
IFERROR(
INDEX(Data!$1:$1048576,MATCH('Client Lists'!$B69,Data!$B:$B,0),MATCH('Client Lists'!H$11,Data!$1:$1,0)),""))</f>
        <v/>
      </c>
      <c r="I69" s="1" t="str">
        <f>IF(
IFERROR(
INDEX(Data!$1:$1048576,MATCH('Client Lists'!$B69,Data!$B:$B,0),MATCH('Client Lists'!I$11,Data!$1:$1,0)),"")=0,"",
IFERROR(
INDEX(Data!$1:$1048576,MATCH('Client Lists'!$B69,Data!$B:$B,0),MATCH('Client Lists'!I$11,Data!$1:$1,0)),""))</f>
        <v/>
      </c>
      <c r="J69" s="1" t="str">
        <f>IF(
IFERROR(
INDEX(Data!$1:$1048576,MATCH('Client Lists'!$B69,Data!$B:$B,0),MATCH('Client Lists'!J$11,Data!$1:$1,0)),"")=0,"",
IFERROR(
INDEX(Data!$1:$1048576,MATCH('Client Lists'!$B69,Data!$B:$B,0),MATCH('Client Lists'!J$11,Data!$1:$1,0)),""))</f>
        <v/>
      </c>
      <c r="K69" s="1" t="str">
        <f>IF(
IFERROR(
INDEX(Data!$1:$1048576,MATCH('Client Lists'!$B69,Data!$B:$B,0),MATCH('Client Lists'!K$11,Data!$1:$1,0)),"")=0,"",
IFERROR(
INDEX(Data!$1:$1048576,MATCH('Client Lists'!$B69,Data!$B:$B,0),MATCH('Client Lists'!K$11,Data!$1:$1,0)),""))</f>
        <v/>
      </c>
    </row>
    <row r="70" spans="2:11" x14ac:dyDescent="0.45">
      <c r="B70" s="5" t="str">
        <f t="array" ref="B70">IFERROR(_xlfn.IFS(
$B$6 = "Retention Overdue",
INDEX(Data!$B$2:$EO$956,
SMALL(IF(INDEX(Data!$B$2:$EO$956,,MATCH("Call Due",Data!$1:$1,0)-1,1)="Yes",MATCH(ROW(Data!$CN$2:$CN$956),ROW(Data!$CN$2:$CN$956)),""),ROWS($A$1:A59)),COLUMNS($A$1:A59)),
$B$6 = "OWIF-W",
INDEX(Data!$B$2:$EO$956,
SMALL(IF(INDEX(Data!$B$2:$EO$956,,MATCH("Grant Fund",Data!$1:$1,0)-1,1)="OWIF-W",MATCH(ROW(Data!$AO$2:$AO$956),ROW(Data!$AO$2:$AO$956)),""),ROWS($A$1:A59)),COLUMNS($A$1:A59)),
$B$6 = "G2C",
INDEX(Data!$B$2:$EO$956,
SMALL(IF(INDEX(Data!$B$2:$EO$956,,MATCH("Grant Fund",Data!$1:$1,0)-1,1)="Grads2Careers",MATCH(ROW(Data!$AO$2:$AO$956),ROW(Data!$AO$2:$AO$956)),""),ROWS($A$1:A59)),COLUMNS($A$1:A59)),
$B$6 = "OWIF",
INDEX(Data!$B$2:$EO$956,
SMALL(IF(INDEX(Data!$B$2:$EO$956,,MATCH("Grant Fund",Data!$1:$1,0)-1,1)="OWIF",MATCH(ROW(Data!$AO$2:$AO$956),ROW(Data!$AO$2:$AO$956)),""),ROWS($A$1:A59)),COLUMNS($A$1:A59)),
$B$6 = "WIOA",
INDEX(Data!$B$2:$EO$956,
SMALL(IF(INDEX(Data!$B$2:$EO$956,,MATCH("Grant Fund",Data!$1:$1,0)-1,1)="WIOA",MATCH(ROW(Data!$AO$2:$AO$956),ROW(Data!$AO$2:$AO$956)),""),ROWS($A$1:A59)),COLUMNS($A$1:A59)),
$B$6 = "WIOA II",
INDEX(Data!$B$2:$EO$956,
SMALL(IF(INDEX(Data!$B$2:$EO$956,,MATCH("Grant Fund",Data!$1:$1,0)-1,1)="WIOA II",MATCH(ROW(Data!$AO$2:$AO$956),ROW(Data!$AO$2:$AO$956)),""),ROWS($A$1:A59)),COLUMNS($A$1:A59)),
$B$6 = "WIOA III",
INDEX(Data!$B$2:$EO$956,
SMALL(IF(INDEX(Data!$B$2:$EO$956,,MATCH("Grant Fund",Data!$1:$1,0)-1,1)="WIOA III",MATCH(ROW(Data!$AO$2:$AO$956),ROW(Data!$AO$2:$AO$956)),""),ROWS($A$1:A59)),COLUMNS($A$1:A59)),
$B$6 = "Currently Employed",
INDEX(Data!$B$2:$EO$956,
SMALL(IF(INDEX(Data!$B$2:$EO$956,,MATCH("Currently Employed",Data!$1:$1,0)-1,1)="Yes",MATCH(ROW(Data!$DZ$2:$DZ$956),ROW(Data!$DZ$2:$DZ$956)),""),ROWS($A$1:A59)),COLUMNS($A$1:A59)),
$B$6 = "Inactive",
INDEX(Data!$B$2:$EO$956,
SMALL(IF(INDEX(Data!$B$2:$EO$956,,MATCH("Inactive",Data!$1:$1,0)-1,1)="Yes",MATCH(ROW(Data!$DG$2:$DG$956),ROW(Data!$DG$2:$DG$956)),""),ROWS($A$1:A59)),COLUMNS($A$1:A59)),
$B$6 = "Active",
INDEX(Data!$B$2:$EO$956,
SMALL(IF(INDEX(Data!$B$2:$EO$956,,MATCH("Active",Data!$1:$1,0)-1,1)="Yes",MATCH(ROW(Data!$DZ$2:$DZ$956),ROW(Data!$DZ$2:$DZ$956)),""),ROWS($A$1:A59)),COLUMNS($A$1:A59)),
$B$6 = "Status Unknown",
INDEX(Data!$B$2:$EO$956,
SMALL(IF(INDEX(Data!$B$2:$EO$956,,MATCH("Status Unknown",Data!$1:$1,0)-1,1)="Yes",MATCH(ROW(Data!$EB$2:$EB$956),ROW(Data!$EB$2:$EB$956)),""),ROWS($A$1:A59)),COLUMNS($A$1:A59)),
$B$6 = "Enrollment Pending",
INDEX(Data!$B$2:$EO$956,
SMALL(IF(INDEX(Data!$B$2:$EO$956,,MATCH("Enrollment Pending",Data!$1:$1,0)-1,1)="Yes",MATCH(ROW(Data!$DY$2:$DY$956),ROW(Data!$DY$2:$DY$956)),""),ROWS($A$1:A59)),COLUMNS($A$1:A59)),
$B$6 = "Gained Certification",
INDEX(Data!$B$2:$EO$956,
SMALL(IF(INDEX(Data!$B$2:$EO$956,,MATCH("Gained Certification",Data!$1:$1,0)-1,1)="Yes",MATCH(ROW(Data!$DU$2:$DU$956),ROW(Data!$DU$2:$DU$956)),""),ROWS($A$1:A59)),COLUMNS($A$1:A59)),
$B$6 = "No Certification",
INDEX(Data!$B$2:$EO$956,
SMALL(IF(INDEX(Data!$B$2:$EO$956,,MATCH("Gained Certification",Data!$1:$1,0)-1,1)&lt;&gt;"Yes",MATCH(ROW(Data!$DU$2:$DU$956),ROW(Data!$DU$2:$DU$956)),""),ROWS($A$1:A59)),COLUMNS($A$1:A59)),
$B$6 = "Completers Without Employment",
INDEX(Data!$B$2:$EO$967,
SMALL(IF(INDEX(Data!$B$2:$EO$967,,MATCH("Completed Without Employment",Data!$1:$1,0)-1,1)="Yes",MATCH(ROW(Data!$DZ$2:$DZ$967),ROW(Data!$DZ$2:$DZ$967)),""),ROWS($A$1:A59)),COLUMNS($A$1:A59)),
$B$6 = "CH",
INDEX(Data!$B$2:$EO$956,
SMALL(IF(INDEX(Data!$B$2:$EO$956,,MATCH("Case Manager",Data!$1:$1,0)-1,1)="CH",MATCH(ROW(Data!$DZ$2:$DZ$956),ROW(Data!$DZ$2:$DZ$956)),""),ROWS($A$1:A59)),COLUMNS($A$1:A59)),
$B$6 = "ML",
INDEX(Data!$B$2:$EO$956,
SMALL(IF(INDEX(Data!$B$2:$EO$956,,MATCH("Case Manager",Data!$1:$1,0)-1,1)="ML",MATCH(ROW(Data!$DZ$2:$DZ$956),ROW(Data!$DZ$2:$DZ$956)),""),ROWS($A$1:A59)),COLUMNS($A$1:A59)),
$B$6 = "RB",
INDEX(Data!$B$2:$EO$956,
SMALL(IF(INDEX(Data!$B$2:$EO$956,,MATCH("Case Manager",Data!$1:$1,0)-1,1)="RB",MATCH(ROW(Data!$DZ$2:$DZ$956),ROW(Data!$DZ$2:$DZ$956)),""),ROWS($A$1:A59)),COLUMNS($A$1:A59)),
$B$6 = "RV",
INDEX(Data!$B$2:$EO$956,
SMALL(IF(INDEX(Data!$B$2:$EO$956,,MATCH("Case Manager",Data!$1:$1,0)-1,1)="RV",MATCH(ROW(Data!$DZ$2:$DZ$956),ROW(Data!$DZ$2:$DZ$956)),""),ROWS($A$1:A59)),COLUMNS($A$1:A59)),
$B$6 = "SG",
INDEX(Data!$B$2:$EO$956,
SMALL(IF(INDEX(Data!$B$2:$EO$956,,MATCH("Case Manager",Data!$1:$1,0)-1,1)="SH",MATCH(ROW(Data!$DZ$2:$DZ$956),ROW(Data!$DZ$2:$DZ$956)),""),ROWS($A$1:A59)),COLUMNS($A$1:A59))
),"")</f>
        <v/>
      </c>
      <c r="C70" s="1" t="str">
        <f>IF(
IFERROR(
INDEX(Data!$1:$1048576,MATCH('Client Lists'!$B70,Data!$B:$B,0),MATCH('Client Lists'!C$11,Data!$1:$1,0)),"")=0,"",
IFERROR(
INDEX(Data!$1:$1048576,MATCH('Client Lists'!$B70,Data!$B:$B,0),MATCH('Client Lists'!C$11,Data!$1:$1,0)),""))</f>
        <v/>
      </c>
      <c r="D70" s="1" t="str">
        <f>IF(
IFERROR(
INDEX(Data!$1:$1048576,MATCH('Client Lists'!$B70,Data!$B:$B,0),MATCH('Client Lists'!D$11,Data!$1:$1,0)),"")=0,"",
IFERROR(
INDEX(Data!$1:$1048576,MATCH('Client Lists'!$B70,Data!$B:$B,0),MATCH('Client Lists'!D$11,Data!$1:$1,0)),""))</f>
        <v/>
      </c>
      <c r="E70" s="1" t="str">
        <f>IF(
IFERROR(
INDEX(Data!$1:$1048576,MATCH('Client Lists'!$B70,Data!$B:$B,0),MATCH('Client Lists'!E$11,Data!$1:$1,0)),"")=0,"",
IFERROR(
INDEX(Data!$1:$1048576,MATCH('Client Lists'!$B70,Data!$B:$B,0),MATCH('Client Lists'!E$11,Data!$1:$1,0)),""))</f>
        <v/>
      </c>
      <c r="F70" s="1" t="str">
        <f>IF(
IFERROR(
INDEX(Data!$1:$1048576,MATCH('Client Lists'!$B70,Data!$B:$B,0),MATCH('Client Lists'!F$11,Data!$1:$1,0)),"")=0,"",
IFERROR(
INDEX(Data!$1:$1048576,MATCH('Client Lists'!$B70,Data!$B:$B,0),MATCH('Client Lists'!F$11,Data!$1:$1,0)),""))</f>
        <v/>
      </c>
      <c r="G70" s="1" t="str">
        <f>IF(
IFERROR(
INDEX(Data!$1:$1048576,MATCH('Client Lists'!$B70,Data!$B:$B,0),MATCH('Client Lists'!G$11,Data!$1:$1,0)),"")=0,"",
IFERROR(
INDEX(Data!$1:$1048576,MATCH('Client Lists'!$B70,Data!$B:$B,0),MATCH('Client Lists'!G$11,Data!$1:$1,0)),""))</f>
        <v/>
      </c>
      <c r="H70" s="1" t="str">
        <f>IF(
IFERROR(
INDEX(Data!$1:$1048576,MATCH('Client Lists'!$B70,Data!$B:$B,0),MATCH('Client Lists'!H$11,Data!$1:$1,0)),"")=0,"",
IFERROR(
INDEX(Data!$1:$1048576,MATCH('Client Lists'!$B70,Data!$B:$B,0),MATCH('Client Lists'!H$11,Data!$1:$1,0)),""))</f>
        <v/>
      </c>
      <c r="I70" s="1" t="str">
        <f>IF(
IFERROR(
INDEX(Data!$1:$1048576,MATCH('Client Lists'!$B70,Data!$B:$B,0),MATCH('Client Lists'!I$11,Data!$1:$1,0)),"")=0,"",
IFERROR(
INDEX(Data!$1:$1048576,MATCH('Client Lists'!$B70,Data!$B:$B,0),MATCH('Client Lists'!I$11,Data!$1:$1,0)),""))</f>
        <v/>
      </c>
      <c r="J70" s="1" t="str">
        <f>IF(
IFERROR(
INDEX(Data!$1:$1048576,MATCH('Client Lists'!$B70,Data!$B:$B,0),MATCH('Client Lists'!J$11,Data!$1:$1,0)),"")=0,"",
IFERROR(
INDEX(Data!$1:$1048576,MATCH('Client Lists'!$B70,Data!$B:$B,0),MATCH('Client Lists'!J$11,Data!$1:$1,0)),""))</f>
        <v/>
      </c>
      <c r="K70" s="1" t="str">
        <f>IF(
IFERROR(
INDEX(Data!$1:$1048576,MATCH('Client Lists'!$B70,Data!$B:$B,0),MATCH('Client Lists'!K$11,Data!$1:$1,0)),"")=0,"",
IFERROR(
INDEX(Data!$1:$1048576,MATCH('Client Lists'!$B70,Data!$B:$B,0),MATCH('Client Lists'!K$11,Data!$1:$1,0)),""))</f>
        <v/>
      </c>
    </row>
    <row r="71" spans="2:11" x14ac:dyDescent="0.45">
      <c r="B71" s="5" t="str">
        <f t="array" ref="B71">IFERROR(_xlfn.IFS(
$B$6 = "Retention Overdue",
INDEX(Data!$B$2:$EO$956,
SMALL(IF(INDEX(Data!$B$2:$EO$956,,MATCH("Call Due",Data!$1:$1,0)-1,1)="Yes",MATCH(ROW(Data!$CN$2:$CN$956),ROW(Data!$CN$2:$CN$956)),""),ROWS($A$1:A60)),COLUMNS($A$1:A60)),
$B$6 = "OWIF-W",
INDEX(Data!$B$2:$EO$956,
SMALL(IF(INDEX(Data!$B$2:$EO$956,,MATCH("Grant Fund",Data!$1:$1,0)-1,1)="OWIF-W",MATCH(ROW(Data!$AO$2:$AO$956),ROW(Data!$AO$2:$AO$956)),""),ROWS($A$1:A60)),COLUMNS($A$1:A60)),
$B$6 = "G2C",
INDEX(Data!$B$2:$EO$956,
SMALL(IF(INDEX(Data!$B$2:$EO$956,,MATCH("Grant Fund",Data!$1:$1,0)-1,1)="Grads2Careers",MATCH(ROW(Data!$AO$2:$AO$956),ROW(Data!$AO$2:$AO$956)),""),ROWS($A$1:A60)),COLUMNS($A$1:A60)),
$B$6 = "OWIF",
INDEX(Data!$B$2:$EO$956,
SMALL(IF(INDEX(Data!$B$2:$EO$956,,MATCH("Grant Fund",Data!$1:$1,0)-1,1)="OWIF",MATCH(ROW(Data!$AO$2:$AO$956),ROW(Data!$AO$2:$AO$956)),""),ROWS($A$1:A60)),COLUMNS($A$1:A60)),
$B$6 = "WIOA",
INDEX(Data!$B$2:$EO$956,
SMALL(IF(INDEX(Data!$B$2:$EO$956,,MATCH("Grant Fund",Data!$1:$1,0)-1,1)="WIOA",MATCH(ROW(Data!$AO$2:$AO$956),ROW(Data!$AO$2:$AO$956)),""),ROWS($A$1:A60)),COLUMNS($A$1:A60)),
$B$6 = "WIOA II",
INDEX(Data!$B$2:$EO$956,
SMALL(IF(INDEX(Data!$B$2:$EO$956,,MATCH("Grant Fund",Data!$1:$1,0)-1,1)="WIOA II",MATCH(ROW(Data!$AO$2:$AO$956),ROW(Data!$AO$2:$AO$956)),""),ROWS($A$1:A60)),COLUMNS($A$1:A60)),
$B$6 = "WIOA III",
INDEX(Data!$B$2:$EO$956,
SMALL(IF(INDEX(Data!$B$2:$EO$956,,MATCH("Grant Fund",Data!$1:$1,0)-1,1)="WIOA III",MATCH(ROW(Data!$AO$2:$AO$956),ROW(Data!$AO$2:$AO$956)),""),ROWS($A$1:A60)),COLUMNS($A$1:A60)),
$B$6 = "Currently Employed",
INDEX(Data!$B$2:$EO$956,
SMALL(IF(INDEX(Data!$B$2:$EO$956,,MATCH("Currently Employed",Data!$1:$1,0)-1,1)="Yes",MATCH(ROW(Data!$DZ$2:$DZ$956),ROW(Data!$DZ$2:$DZ$956)),""),ROWS($A$1:A60)),COLUMNS($A$1:A60)),
$B$6 = "Inactive",
INDEX(Data!$B$2:$EO$956,
SMALL(IF(INDEX(Data!$B$2:$EO$956,,MATCH("Inactive",Data!$1:$1,0)-1,1)="Yes",MATCH(ROW(Data!$DG$2:$DG$956),ROW(Data!$DG$2:$DG$956)),""),ROWS($A$1:A60)),COLUMNS($A$1:A60)),
$B$6 = "Active",
INDEX(Data!$B$2:$EO$956,
SMALL(IF(INDEX(Data!$B$2:$EO$956,,MATCH("Active",Data!$1:$1,0)-1,1)="Yes",MATCH(ROW(Data!$DZ$2:$DZ$956),ROW(Data!$DZ$2:$DZ$956)),""),ROWS($A$1:A60)),COLUMNS($A$1:A60)),
$B$6 = "Status Unknown",
INDEX(Data!$B$2:$EO$956,
SMALL(IF(INDEX(Data!$B$2:$EO$956,,MATCH("Status Unknown",Data!$1:$1,0)-1,1)="Yes",MATCH(ROW(Data!$EB$2:$EB$956),ROW(Data!$EB$2:$EB$956)),""),ROWS($A$1:A60)),COLUMNS($A$1:A60)),
$B$6 = "Enrollment Pending",
INDEX(Data!$B$2:$EO$956,
SMALL(IF(INDEX(Data!$B$2:$EO$956,,MATCH("Enrollment Pending",Data!$1:$1,0)-1,1)="Yes",MATCH(ROW(Data!$DY$2:$DY$956),ROW(Data!$DY$2:$DY$956)),""),ROWS($A$1:A60)),COLUMNS($A$1:A60)),
$B$6 = "Gained Certification",
INDEX(Data!$B$2:$EO$956,
SMALL(IF(INDEX(Data!$B$2:$EO$956,,MATCH("Gained Certification",Data!$1:$1,0)-1,1)="Yes",MATCH(ROW(Data!$DU$2:$DU$956),ROW(Data!$DU$2:$DU$956)),""),ROWS($A$1:A60)),COLUMNS($A$1:A60)),
$B$6 = "No Certification",
INDEX(Data!$B$2:$EO$956,
SMALL(IF(INDEX(Data!$B$2:$EO$956,,MATCH("Gained Certification",Data!$1:$1,0)-1,1)&lt;&gt;"Yes",MATCH(ROW(Data!$DU$2:$DU$956),ROW(Data!$DU$2:$DU$956)),""),ROWS($A$1:A60)),COLUMNS($A$1:A60)),
$B$6 = "Completers Without Employment",
INDEX(Data!$B$2:$EO$967,
SMALL(IF(INDEX(Data!$B$2:$EO$967,,MATCH("Completed Without Employment",Data!$1:$1,0)-1,1)="Yes",MATCH(ROW(Data!$DZ$2:$DZ$967),ROW(Data!$DZ$2:$DZ$967)),""),ROWS($A$1:A60)),COLUMNS($A$1:A60)),
$B$6 = "CH",
INDEX(Data!$B$2:$EO$956,
SMALL(IF(INDEX(Data!$B$2:$EO$956,,MATCH("Case Manager",Data!$1:$1,0)-1,1)="CH",MATCH(ROW(Data!$DZ$2:$DZ$956),ROW(Data!$DZ$2:$DZ$956)),""),ROWS($A$1:A60)),COLUMNS($A$1:A60)),
$B$6 = "ML",
INDEX(Data!$B$2:$EO$956,
SMALL(IF(INDEX(Data!$B$2:$EO$956,,MATCH("Case Manager",Data!$1:$1,0)-1,1)="ML",MATCH(ROW(Data!$DZ$2:$DZ$956),ROW(Data!$DZ$2:$DZ$956)),""),ROWS($A$1:A60)),COLUMNS($A$1:A60)),
$B$6 = "RB",
INDEX(Data!$B$2:$EO$956,
SMALL(IF(INDEX(Data!$B$2:$EO$956,,MATCH("Case Manager",Data!$1:$1,0)-1,1)="RB",MATCH(ROW(Data!$DZ$2:$DZ$956),ROW(Data!$DZ$2:$DZ$956)),""),ROWS($A$1:A60)),COLUMNS($A$1:A60)),
$B$6 = "RV",
INDEX(Data!$B$2:$EO$956,
SMALL(IF(INDEX(Data!$B$2:$EO$956,,MATCH("Case Manager",Data!$1:$1,0)-1,1)="RV",MATCH(ROW(Data!$DZ$2:$DZ$956),ROW(Data!$DZ$2:$DZ$956)),""),ROWS($A$1:A60)),COLUMNS($A$1:A60)),
$B$6 = "SG",
INDEX(Data!$B$2:$EO$956,
SMALL(IF(INDEX(Data!$B$2:$EO$956,,MATCH("Case Manager",Data!$1:$1,0)-1,1)="SH",MATCH(ROW(Data!$DZ$2:$DZ$956),ROW(Data!$DZ$2:$DZ$956)),""),ROWS($A$1:A60)),COLUMNS($A$1:A60))
),"")</f>
        <v/>
      </c>
      <c r="C71" s="1" t="str">
        <f>IF(
IFERROR(
INDEX(Data!$1:$1048576,MATCH('Client Lists'!$B71,Data!$B:$B,0),MATCH('Client Lists'!C$11,Data!$1:$1,0)),"")=0,"",
IFERROR(
INDEX(Data!$1:$1048576,MATCH('Client Lists'!$B71,Data!$B:$B,0),MATCH('Client Lists'!C$11,Data!$1:$1,0)),""))</f>
        <v/>
      </c>
      <c r="D71" s="1" t="str">
        <f>IF(
IFERROR(
INDEX(Data!$1:$1048576,MATCH('Client Lists'!$B71,Data!$B:$B,0),MATCH('Client Lists'!D$11,Data!$1:$1,0)),"")=0,"",
IFERROR(
INDEX(Data!$1:$1048576,MATCH('Client Lists'!$B71,Data!$B:$B,0),MATCH('Client Lists'!D$11,Data!$1:$1,0)),""))</f>
        <v/>
      </c>
      <c r="E71" s="1" t="str">
        <f>IF(
IFERROR(
INDEX(Data!$1:$1048576,MATCH('Client Lists'!$B71,Data!$B:$B,0),MATCH('Client Lists'!E$11,Data!$1:$1,0)),"")=0,"",
IFERROR(
INDEX(Data!$1:$1048576,MATCH('Client Lists'!$B71,Data!$B:$B,0),MATCH('Client Lists'!E$11,Data!$1:$1,0)),""))</f>
        <v/>
      </c>
      <c r="F71" s="1" t="str">
        <f>IF(
IFERROR(
INDEX(Data!$1:$1048576,MATCH('Client Lists'!$B71,Data!$B:$B,0),MATCH('Client Lists'!F$11,Data!$1:$1,0)),"")=0,"",
IFERROR(
INDEX(Data!$1:$1048576,MATCH('Client Lists'!$B71,Data!$B:$B,0),MATCH('Client Lists'!F$11,Data!$1:$1,0)),""))</f>
        <v/>
      </c>
      <c r="G71" s="1" t="str">
        <f>IF(
IFERROR(
INDEX(Data!$1:$1048576,MATCH('Client Lists'!$B71,Data!$B:$B,0),MATCH('Client Lists'!G$11,Data!$1:$1,0)),"")=0,"",
IFERROR(
INDEX(Data!$1:$1048576,MATCH('Client Lists'!$B71,Data!$B:$B,0),MATCH('Client Lists'!G$11,Data!$1:$1,0)),""))</f>
        <v/>
      </c>
      <c r="H71" s="1" t="str">
        <f>IF(
IFERROR(
INDEX(Data!$1:$1048576,MATCH('Client Lists'!$B71,Data!$B:$B,0),MATCH('Client Lists'!H$11,Data!$1:$1,0)),"")=0,"",
IFERROR(
INDEX(Data!$1:$1048576,MATCH('Client Lists'!$B71,Data!$B:$B,0),MATCH('Client Lists'!H$11,Data!$1:$1,0)),""))</f>
        <v/>
      </c>
      <c r="I71" s="1" t="str">
        <f>IF(
IFERROR(
INDEX(Data!$1:$1048576,MATCH('Client Lists'!$B71,Data!$B:$B,0),MATCH('Client Lists'!I$11,Data!$1:$1,0)),"")=0,"",
IFERROR(
INDEX(Data!$1:$1048576,MATCH('Client Lists'!$B71,Data!$B:$B,0),MATCH('Client Lists'!I$11,Data!$1:$1,0)),""))</f>
        <v/>
      </c>
      <c r="J71" s="1" t="str">
        <f>IF(
IFERROR(
INDEX(Data!$1:$1048576,MATCH('Client Lists'!$B71,Data!$B:$B,0),MATCH('Client Lists'!J$11,Data!$1:$1,0)),"")=0,"",
IFERROR(
INDEX(Data!$1:$1048576,MATCH('Client Lists'!$B71,Data!$B:$B,0),MATCH('Client Lists'!J$11,Data!$1:$1,0)),""))</f>
        <v/>
      </c>
      <c r="K71" s="1" t="str">
        <f>IF(
IFERROR(
INDEX(Data!$1:$1048576,MATCH('Client Lists'!$B71,Data!$B:$B,0),MATCH('Client Lists'!K$11,Data!$1:$1,0)),"")=0,"",
IFERROR(
INDEX(Data!$1:$1048576,MATCH('Client Lists'!$B71,Data!$B:$B,0),MATCH('Client Lists'!K$11,Data!$1:$1,0)),""))</f>
        <v/>
      </c>
    </row>
    <row r="72" spans="2:11" x14ac:dyDescent="0.45">
      <c r="B72" s="5" t="str">
        <f t="array" ref="B72">IFERROR(_xlfn.IFS(
$B$6 = "Retention Overdue",
INDEX(Data!$B$2:$EO$956,
SMALL(IF(INDEX(Data!$B$2:$EO$956,,MATCH("Call Due",Data!$1:$1,0)-1,1)="Yes",MATCH(ROW(Data!$CN$2:$CN$956),ROW(Data!$CN$2:$CN$956)),""),ROWS($A$1:A61)),COLUMNS($A$1:A61)),
$B$6 = "OWIF-W",
INDEX(Data!$B$2:$EO$956,
SMALL(IF(INDEX(Data!$B$2:$EO$956,,MATCH("Grant Fund",Data!$1:$1,0)-1,1)="OWIF-W",MATCH(ROW(Data!$AO$2:$AO$956),ROW(Data!$AO$2:$AO$956)),""),ROWS($A$1:A61)),COLUMNS($A$1:A61)),
$B$6 = "G2C",
INDEX(Data!$B$2:$EO$956,
SMALL(IF(INDEX(Data!$B$2:$EO$956,,MATCH("Grant Fund",Data!$1:$1,0)-1,1)="Grads2Careers",MATCH(ROW(Data!$AO$2:$AO$956),ROW(Data!$AO$2:$AO$956)),""),ROWS($A$1:A61)),COLUMNS($A$1:A61)),
$B$6 = "OWIF",
INDEX(Data!$B$2:$EO$956,
SMALL(IF(INDEX(Data!$B$2:$EO$956,,MATCH("Grant Fund",Data!$1:$1,0)-1,1)="OWIF",MATCH(ROW(Data!$AO$2:$AO$956),ROW(Data!$AO$2:$AO$956)),""),ROWS($A$1:A61)),COLUMNS($A$1:A61)),
$B$6 = "WIOA",
INDEX(Data!$B$2:$EO$956,
SMALL(IF(INDEX(Data!$B$2:$EO$956,,MATCH("Grant Fund",Data!$1:$1,0)-1,1)="WIOA",MATCH(ROW(Data!$AO$2:$AO$956),ROW(Data!$AO$2:$AO$956)),""),ROWS($A$1:A61)),COLUMNS($A$1:A61)),
$B$6 = "WIOA II",
INDEX(Data!$B$2:$EO$956,
SMALL(IF(INDEX(Data!$B$2:$EO$956,,MATCH("Grant Fund",Data!$1:$1,0)-1,1)="WIOA II",MATCH(ROW(Data!$AO$2:$AO$956),ROW(Data!$AO$2:$AO$956)),""),ROWS($A$1:A61)),COLUMNS($A$1:A61)),
$B$6 = "WIOA III",
INDEX(Data!$B$2:$EO$956,
SMALL(IF(INDEX(Data!$B$2:$EO$956,,MATCH("Grant Fund",Data!$1:$1,0)-1,1)="WIOA III",MATCH(ROW(Data!$AO$2:$AO$956),ROW(Data!$AO$2:$AO$956)),""),ROWS($A$1:A61)),COLUMNS($A$1:A61)),
$B$6 = "Currently Employed",
INDEX(Data!$B$2:$EO$956,
SMALL(IF(INDEX(Data!$B$2:$EO$956,,MATCH("Currently Employed",Data!$1:$1,0)-1,1)="Yes",MATCH(ROW(Data!$DZ$2:$DZ$956),ROW(Data!$DZ$2:$DZ$956)),""),ROWS($A$1:A61)),COLUMNS($A$1:A61)),
$B$6 = "Inactive",
INDEX(Data!$B$2:$EO$956,
SMALL(IF(INDEX(Data!$B$2:$EO$956,,MATCH("Inactive",Data!$1:$1,0)-1,1)="Yes",MATCH(ROW(Data!$DG$2:$DG$956),ROW(Data!$DG$2:$DG$956)),""),ROWS($A$1:A61)),COLUMNS($A$1:A61)),
$B$6 = "Active",
INDEX(Data!$B$2:$EO$956,
SMALL(IF(INDEX(Data!$B$2:$EO$956,,MATCH("Active",Data!$1:$1,0)-1,1)="Yes",MATCH(ROW(Data!$DZ$2:$DZ$956),ROW(Data!$DZ$2:$DZ$956)),""),ROWS($A$1:A61)),COLUMNS($A$1:A61)),
$B$6 = "Status Unknown",
INDEX(Data!$B$2:$EO$956,
SMALL(IF(INDEX(Data!$B$2:$EO$956,,MATCH("Status Unknown",Data!$1:$1,0)-1,1)="Yes",MATCH(ROW(Data!$EB$2:$EB$956),ROW(Data!$EB$2:$EB$956)),""),ROWS($A$1:A61)),COLUMNS($A$1:A61)),
$B$6 = "Enrollment Pending",
INDEX(Data!$B$2:$EO$956,
SMALL(IF(INDEX(Data!$B$2:$EO$956,,MATCH("Enrollment Pending",Data!$1:$1,0)-1,1)="Yes",MATCH(ROW(Data!$DY$2:$DY$956),ROW(Data!$DY$2:$DY$956)),""),ROWS($A$1:A61)),COLUMNS($A$1:A61)),
$B$6 = "Gained Certification",
INDEX(Data!$B$2:$EO$956,
SMALL(IF(INDEX(Data!$B$2:$EO$956,,MATCH("Gained Certification",Data!$1:$1,0)-1,1)="Yes",MATCH(ROW(Data!$DU$2:$DU$956),ROW(Data!$DU$2:$DU$956)),""),ROWS($A$1:A61)),COLUMNS($A$1:A61)),
$B$6 = "No Certification",
INDEX(Data!$B$2:$EO$956,
SMALL(IF(INDEX(Data!$B$2:$EO$956,,MATCH("Gained Certification",Data!$1:$1,0)-1,1)&lt;&gt;"Yes",MATCH(ROW(Data!$DU$2:$DU$956),ROW(Data!$DU$2:$DU$956)),""),ROWS($A$1:A61)),COLUMNS($A$1:A61)),
$B$6 = "Completers Without Employment",
INDEX(Data!$B$2:$EO$967,
SMALL(IF(INDEX(Data!$B$2:$EO$967,,MATCH("Completed Without Employment",Data!$1:$1,0)-1,1)="Yes",MATCH(ROW(Data!$DZ$2:$DZ$967),ROW(Data!$DZ$2:$DZ$967)),""),ROWS($A$1:A61)),COLUMNS($A$1:A61)),
$B$6 = "CH",
INDEX(Data!$B$2:$EO$956,
SMALL(IF(INDEX(Data!$B$2:$EO$956,,MATCH("Case Manager",Data!$1:$1,0)-1,1)="CH",MATCH(ROW(Data!$DZ$2:$DZ$956),ROW(Data!$DZ$2:$DZ$956)),""),ROWS($A$1:A61)),COLUMNS($A$1:A61)),
$B$6 = "ML",
INDEX(Data!$B$2:$EO$956,
SMALL(IF(INDEX(Data!$B$2:$EO$956,,MATCH("Case Manager",Data!$1:$1,0)-1,1)="ML",MATCH(ROW(Data!$DZ$2:$DZ$956),ROW(Data!$DZ$2:$DZ$956)),""),ROWS($A$1:A61)),COLUMNS($A$1:A61)),
$B$6 = "RB",
INDEX(Data!$B$2:$EO$956,
SMALL(IF(INDEX(Data!$B$2:$EO$956,,MATCH("Case Manager",Data!$1:$1,0)-1,1)="RB",MATCH(ROW(Data!$DZ$2:$DZ$956),ROW(Data!$DZ$2:$DZ$956)),""),ROWS($A$1:A61)),COLUMNS($A$1:A61)),
$B$6 = "RV",
INDEX(Data!$B$2:$EO$956,
SMALL(IF(INDEX(Data!$B$2:$EO$956,,MATCH("Case Manager",Data!$1:$1,0)-1,1)="RV",MATCH(ROW(Data!$DZ$2:$DZ$956),ROW(Data!$DZ$2:$DZ$956)),""),ROWS($A$1:A61)),COLUMNS($A$1:A61)),
$B$6 = "SG",
INDEX(Data!$B$2:$EO$956,
SMALL(IF(INDEX(Data!$B$2:$EO$956,,MATCH("Case Manager",Data!$1:$1,0)-1,1)="SH",MATCH(ROW(Data!$DZ$2:$DZ$956),ROW(Data!$DZ$2:$DZ$956)),""),ROWS($A$1:A61)),COLUMNS($A$1:A61))
),"")</f>
        <v/>
      </c>
      <c r="C72" s="1" t="str">
        <f>IF(
IFERROR(
INDEX(Data!$1:$1048576,MATCH('Client Lists'!$B72,Data!$B:$B,0),MATCH('Client Lists'!C$11,Data!$1:$1,0)),"")=0,"",
IFERROR(
INDEX(Data!$1:$1048576,MATCH('Client Lists'!$B72,Data!$B:$B,0),MATCH('Client Lists'!C$11,Data!$1:$1,0)),""))</f>
        <v/>
      </c>
      <c r="D72" s="1" t="str">
        <f>IF(
IFERROR(
INDEX(Data!$1:$1048576,MATCH('Client Lists'!$B72,Data!$B:$B,0),MATCH('Client Lists'!D$11,Data!$1:$1,0)),"")=0,"",
IFERROR(
INDEX(Data!$1:$1048576,MATCH('Client Lists'!$B72,Data!$B:$B,0),MATCH('Client Lists'!D$11,Data!$1:$1,0)),""))</f>
        <v/>
      </c>
      <c r="E72" s="1" t="str">
        <f>IF(
IFERROR(
INDEX(Data!$1:$1048576,MATCH('Client Lists'!$B72,Data!$B:$B,0),MATCH('Client Lists'!E$11,Data!$1:$1,0)),"")=0,"",
IFERROR(
INDEX(Data!$1:$1048576,MATCH('Client Lists'!$B72,Data!$B:$B,0),MATCH('Client Lists'!E$11,Data!$1:$1,0)),""))</f>
        <v/>
      </c>
      <c r="F72" s="1" t="str">
        <f>IF(
IFERROR(
INDEX(Data!$1:$1048576,MATCH('Client Lists'!$B72,Data!$B:$B,0),MATCH('Client Lists'!F$11,Data!$1:$1,0)),"")=0,"",
IFERROR(
INDEX(Data!$1:$1048576,MATCH('Client Lists'!$B72,Data!$B:$B,0),MATCH('Client Lists'!F$11,Data!$1:$1,0)),""))</f>
        <v/>
      </c>
      <c r="G72" s="1" t="str">
        <f>IF(
IFERROR(
INDEX(Data!$1:$1048576,MATCH('Client Lists'!$B72,Data!$B:$B,0),MATCH('Client Lists'!G$11,Data!$1:$1,0)),"")=0,"",
IFERROR(
INDEX(Data!$1:$1048576,MATCH('Client Lists'!$B72,Data!$B:$B,0),MATCH('Client Lists'!G$11,Data!$1:$1,0)),""))</f>
        <v/>
      </c>
      <c r="H72" s="1" t="str">
        <f>IF(
IFERROR(
INDEX(Data!$1:$1048576,MATCH('Client Lists'!$B72,Data!$B:$B,0),MATCH('Client Lists'!H$11,Data!$1:$1,0)),"")=0,"",
IFERROR(
INDEX(Data!$1:$1048576,MATCH('Client Lists'!$B72,Data!$B:$B,0),MATCH('Client Lists'!H$11,Data!$1:$1,0)),""))</f>
        <v/>
      </c>
      <c r="I72" s="1" t="str">
        <f>IF(
IFERROR(
INDEX(Data!$1:$1048576,MATCH('Client Lists'!$B72,Data!$B:$B,0),MATCH('Client Lists'!I$11,Data!$1:$1,0)),"")=0,"",
IFERROR(
INDEX(Data!$1:$1048576,MATCH('Client Lists'!$B72,Data!$B:$B,0),MATCH('Client Lists'!I$11,Data!$1:$1,0)),""))</f>
        <v/>
      </c>
      <c r="J72" s="1" t="str">
        <f>IF(
IFERROR(
INDEX(Data!$1:$1048576,MATCH('Client Lists'!$B72,Data!$B:$B,0),MATCH('Client Lists'!J$11,Data!$1:$1,0)),"")=0,"",
IFERROR(
INDEX(Data!$1:$1048576,MATCH('Client Lists'!$B72,Data!$B:$B,0),MATCH('Client Lists'!J$11,Data!$1:$1,0)),""))</f>
        <v/>
      </c>
      <c r="K72" s="1" t="str">
        <f>IF(
IFERROR(
INDEX(Data!$1:$1048576,MATCH('Client Lists'!$B72,Data!$B:$B,0),MATCH('Client Lists'!K$11,Data!$1:$1,0)),"")=0,"",
IFERROR(
INDEX(Data!$1:$1048576,MATCH('Client Lists'!$B72,Data!$B:$B,0),MATCH('Client Lists'!K$11,Data!$1:$1,0)),""))</f>
        <v/>
      </c>
    </row>
    <row r="73" spans="2:11" x14ac:dyDescent="0.45">
      <c r="B73" s="5" t="str">
        <f t="array" ref="B73">IFERROR(_xlfn.IFS(
$B$6 = "Retention Overdue",
INDEX(Data!$B$2:$EO$956,
SMALL(IF(INDEX(Data!$B$2:$EO$956,,MATCH("Call Due",Data!$1:$1,0)-1,1)="Yes",MATCH(ROW(Data!$CN$2:$CN$956),ROW(Data!$CN$2:$CN$956)),""),ROWS($A$1:A62)),COLUMNS($A$1:A62)),
$B$6 = "OWIF-W",
INDEX(Data!$B$2:$EO$956,
SMALL(IF(INDEX(Data!$B$2:$EO$956,,MATCH("Grant Fund",Data!$1:$1,0)-1,1)="OWIF-W",MATCH(ROW(Data!$AO$2:$AO$956),ROW(Data!$AO$2:$AO$956)),""),ROWS($A$1:A62)),COLUMNS($A$1:A62)),
$B$6 = "G2C",
INDEX(Data!$B$2:$EO$956,
SMALL(IF(INDEX(Data!$B$2:$EO$956,,MATCH("Grant Fund",Data!$1:$1,0)-1,1)="Grads2Careers",MATCH(ROW(Data!$AO$2:$AO$956),ROW(Data!$AO$2:$AO$956)),""),ROWS($A$1:A62)),COLUMNS($A$1:A62)),
$B$6 = "OWIF",
INDEX(Data!$B$2:$EO$956,
SMALL(IF(INDEX(Data!$B$2:$EO$956,,MATCH("Grant Fund",Data!$1:$1,0)-1,1)="OWIF",MATCH(ROW(Data!$AO$2:$AO$956),ROW(Data!$AO$2:$AO$956)),""),ROWS($A$1:A62)),COLUMNS($A$1:A62)),
$B$6 = "WIOA",
INDEX(Data!$B$2:$EO$956,
SMALL(IF(INDEX(Data!$B$2:$EO$956,,MATCH("Grant Fund",Data!$1:$1,0)-1,1)="WIOA",MATCH(ROW(Data!$AO$2:$AO$956),ROW(Data!$AO$2:$AO$956)),""),ROWS($A$1:A62)),COLUMNS($A$1:A62)),
$B$6 = "WIOA II",
INDEX(Data!$B$2:$EO$956,
SMALL(IF(INDEX(Data!$B$2:$EO$956,,MATCH("Grant Fund",Data!$1:$1,0)-1,1)="WIOA II",MATCH(ROW(Data!$AO$2:$AO$956),ROW(Data!$AO$2:$AO$956)),""),ROWS($A$1:A62)),COLUMNS($A$1:A62)),
$B$6 = "WIOA III",
INDEX(Data!$B$2:$EO$956,
SMALL(IF(INDEX(Data!$B$2:$EO$956,,MATCH("Grant Fund",Data!$1:$1,0)-1,1)="WIOA III",MATCH(ROW(Data!$AO$2:$AO$956),ROW(Data!$AO$2:$AO$956)),""),ROWS($A$1:A62)),COLUMNS($A$1:A62)),
$B$6 = "Currently Employed",
INDEX(Data!$B$2:$EO$956,
SMALL(IF(INDEX(Data!$B$2:$EO$956,,MATCH("Currently Employed",Data!$1:$1,0)-1,1)="Yes",MATCH(ROW(Data!$DZ$2:$DZ$956),ROW(Data!$DZ$2:$DZ$956)),""),ROWS($A$1:A62)),COLUMNS($A$1:A62)),
$B$6 = "Inactive",
INDEX(Data!$B$2:$EO$956,
SMALL(IF(INDEX(Data!$B$2:$EO$956,,MATCH("Inactive",Data!$1:$1,0)-1,1)="Yes",MATCH(ROW(Data!$DG$2:$DG$956),ROW(Data!$DG$2:$DG$956)),""),ROWS($A$1:A62)),COLUMNS($A$1:A62)),
$B$6 = "Active",
INDEX(Data!$B$2:$EO$956,
SMALL(IF(INDEX(Data!$B$2:$EO$956,,MATCH("Active",Data!$1:$1,0)-1,1)="Yes",MATCH(ROW(Data!$DZ$2:$DZ$956),ROW(Data!$DZ$2:$DZ$956)),""),ROWS($A$1:A62)),COLUMNS($A$1:A62)),
$B$6 = "Status Unknown",
INDEX(Data!$B$2:$EO$956,
SMALL(IF(INDEX(Data!$B$2:$EO$956,,MATCH("Status Unknown",Data!$1:$1,0)-1,1)="Yes",MATCH(ROW(Data!$EB$2:$EB$956),ROW(Data!$EB$2:$EB$956)),""),ROWS($A$1:A62)),COLUMNS($A$1:A62)),
$B$6 = "Enrollment Pending",
INDEX(Data!$B$2:$EO$956,
SMALL(IF(INDEX(Data!$B$2:$EO$956,,MATCH("Enrollment Pending",Data!$1:$1,0)-1,1)="Yes",MATCH(ROW(Data!$DY$2:$DY$956),ROW(Data!$DY$2:$DY$956)),""),ROWS($A$1:A62)),COLUMNS($A$1:A62)),
$B$6 = "Gained Certification",
INDEX(Data!$B$2:$EO$956,
SMALL(IF(INDEX(Data!$B$2:$EO$956,,MATCH("Gained Certification",Data!$1:$1,0)-1,1)="Yes",MATCH(ROW(Data!$DU$2:$DU$956),ROW(Data!$DU$2:$DU$956)),""),ROWS($A$1:A62)),COLUMNS($A$1:A62)),
$B$6 = "No Certification",
INDEX(Data!$B$2:$EO$956,
SMALL(IF(INDEX(Data!$B$2:$EO$956,,MATCH("Gained Certification",Data!$1:$1,0)-1,1)&lt;&gt;"Yes",MATCH(ROW(Data!$DU$2:$DU$956),ROW(Data!$DU$2:$DU$956)),""),ROWS($A$1:A62)),COLUMNS($A$1:A62)),
$B$6 = "Completers Without Employment",
INDEX(Data!$B$2:$EO$967,
SMALL(IF(INDEX(Data!$B$2:$EO$967,,MATCH("Completed Without Employment",Data!$1:$1,0)-1,1)="Yes",MATCH(ROW(Data!$DZ$2:$DZ$967),ROW(Data!$DZ$2:$DZ$967)),""),ROWS($A$1:A62)),COLUMNS($A$1:A62)),
$B$6 = "CH",
INDEX(Data!$B$2:$EO$956,
SMALL(IF(INDEX(Data!$B$2:$EO$956,,MATCH("Case Manager",Data!$1:$1,0)-1,1)="CH",MATCH(ROW(Data!$DZ$2:$DZ$956),ROW(Data!$DZ$2:$DZ$956)),""),ROWS($A$1:A62)),COLUMNS($A$1:A62)),
$B$6 = "ML",
INDEX(Data!$B$2:$EO$956,
SMALL(IF(INDEX(Data!$B$2:$EO$956,,MATCH("Case Manager",Data!$1:$1,0)-1,1)="ML",MATCH(ROW(Data!$DZ$2:$DZ$956),ROW(Data!$DZ$2:$DZ$956)),""),ROWS($A$1:A62)),COLUMNS($A$1:A62)),
$B$6 = "RB",
INDEX(Data!$B$2:$EO$956,
SMALL(IF(INDEX(Data!$B$2:$EO$956,,MATCH("Case Manager",Data!$1:$1,0)-1,1)="RB",MATCH(ROW(Data!$DZ$2:$DZ$956),ROW(Data!$DZ$2:$DZ$956)),""),ROWS($A$1:A62)),COLUMNS($A$1:A62)),
$B$6 = "RV",
INDEX(Data!$B$2:$EO$956,
SMALL(IF(INDEX(Data!$B$2:$EO$956,,MATCH("Case Manager",Data!$1:$1,0)-1,1)="RV",MATCH(ROW(Data!$DZ$2:$DZ$956),ROW(Data!$DZ$2:$DZ$956)),""),ROWS($A$1:A62)),COLUMNS($A$1:A62)),
$B$6 = "SG",
INDEX(Data!$B$2:$EO$956,
SMALL(IF(INDEX(Data!$B$2:$EO$956,,MATCH("Case Manager",Data!$1:$1,0)-1,1)="SH",MATCH(ROW(Data!$DZ$2:$DZ$956),ROW(Data!$DZ$2:$DZ$956)),""),ROWS($A$1:A62)),COLUMNS($A$1:A62))
),"")</f>
        <v/>
      </c>
      <c r="C73" s="1" t="str">
        <f>IF(
IFERROR(
INDEX(Data!$1:$1048576,MATCH('Client Lists'!$B73,Data!$B:$B,0),MATCH('Client Lists'!C$11,Data!$1:$1,0)),"")=0,"",
IFERROR(
INDEX(Data!$1:$1048576,MATCH('Client Lists'!$B73,Data!$B:$B,0),MATCH('Client Lists'!C$11,Data!$1:$1,0)),""))</f>
        <v/>
      </c>
      <c r="D73" s="1" t="str">
        <f>IF(
IFERROR(
INDEX(Data!$1:$1048576,MATCH('Client Lists'!$B73,Data!$B:$B,0),MATCH('Client Lists'!D$11,Data!$1:$1,0)),"")=0,"",
IFERROR(
INDEX(Data!$1:$1048576,MATCH('Client Lists'!$B73,Data!$B:$B,0),MATCH('Client Lists'!D$11,Data!$1:$1,0)),""))</f>
        <v/>
      </c>
      <c r="E73" s="1" t="str">
        <f>IF(
IFERROR(
INDEX(Data!$1:$1048576,MATCH('Client Lists'!$B73,Data!$B:$B,0),MATCH('Client Lists'!E$11,Data!$1:$1,0)),"")=0,"",
IFERROR(
INDEX(Data!$1:$1048576,MATCH('Client Lists'!$B73,Data!$B:$B,0),MATCH('Client Lists'!E$11,Data!$1:$1,0)),""))</f>
        <v/>
      </c>
      <c r="F73" s="1" t="str">
        <f>IF(
IFERROR(
INDEX(Data!$1:$1048576,MATCH('Client Lists'!$B73,Data!$B:$B,0),MATCH('Client Lists'!F$11,Data!$1:$1,0)),"")=0,"",
IFERROR(
INDEX(Data!$1:$1048576,MATCH('Client Lists'!$B73,Data!$B:$B,0),MATCH('Client Lists'!F$11,Data!$1:$1,0)),""))</f>
        <v/>
      </c>
      <c r="G73" s="1" t="str">
        <f>IF(
IFERROR(
INDEX(Data!$1:$1048576,MATCH('Client Lists'!$B73,Data!$B:$B,0),MATCH('Client Lists'!G$11,Data!$1:$1,0)),"")=0,"",
IFERROR(
INDEX(Data!$1:$1048576,MATCH('Client Lists'!$B73,Data!$B:$B,0),MATCH('Client Lists'!G$11,Data!$1:$1,0)),""))</f>
        <v/>
      </c>
      <c r="H73" s="1" t="str">
        <f>IF(
IFERROR(
INDEX(Data!$1:$1048576,MATCH('Client Lists'!$B73,Data!$B:$B,0),MATCH('Client Lists'!H$11,Data!$1:$1,0)),"")=0,"",
IFERROR(
INDEX(Data!$1:$1048576,MATCH('Client Lists'!$B73,Data!$B:$B,0),MATCH('Client Lists'!H$11,Data!$1:$1,0)),""))</f>
        <v/>
      </c>
      <c r="I73" s="1" t="str">
        <f>IF(
IFERROR(
INDEX(Data!$1:$1048576,MATCH('Client Lists'!$B73,Data!$B:$B,0),MATCH('Client Lists'!I$11,Data!$1:$1,0)),"")=0,"",
IFERROR(
INDEX(Data!$1:$1048576,MATCH('Client Lists'!$B73,Data!$B:$B,0),MATCH('Client Lists'!I$11,Data!$1:$1,0)),""))</f>
        <v/>
      </c>
      <c r="J73" s="1" t="str">
        <f>IF(
IFERROR(
INDEX(Data!$1:$1048576,MATCH('Client Lists'!$B73,Data!$B:$B,0),MATCH('Client Lists'!J$11,Data!$1:$1,0)),"")=0,"",
IFERROR(
INDEX(Data!$1:$1048576,MATCH('Client Lists'!$B73,Data!$B:$B,0),MATCH('Client Lists'!J$11,Data!$1:$1,0)),""))</f>
        <v/>
      </c>
      <c r="K73" s="1" t="str">
        <f>IF(
IFERROR(
INDEX(Data!$1:$1048576,MATCH('Client Lists'!$B73,Data!$B:$B,0),MATCH('Client Lists'!K$11,Data!$1:$1,0)),"")=0,"",
IFERROR(
INDEX(Data!$1:$1048576,MATCH('Client Lists'!$B73,Data!$B:$B,0),MATCH('Client Lists'!K$11,Data!$1:$1,0)),""))</f>
        <v/>
      </c>
    </row>
    <row r="74" spans="2:11" x14ac:dyDescent="0.45">
      <c r="B74" s="5" t="str">
        <f t="array" ref="B74">IFERROR(_xlfn.IFS(
$B$6 = "Retention Overdue",
INDEX(Data!$B$2:$EO$956,
SMALL(IF(INDEX(Data!$B$2:$EO$956,,MATCH("Call Due",Data!$1:$1,0)-1,1)="Yes",MATCH(ROW(Data!$CN$2:$CN$956),ROW(Data!$CN$2:$CN$956)),""),ROWS($A$1:A63)),COLUMNS($A$1:A63)),
$B$6 = "OWIF-W",
INDEX(Data!$B$2:$EO$956,
SMALL(IF(INDEX(Data!$B$2:$EO$956,,MATCH("Grant Fund",Data!$1:$1,0)-1,1)="OWIF-W",MATCH(ROW(Data!$AO$2:$AO$956),ROW(Data!$AO$2:$AO$956)),""),ROWS($A$1:A63)),COLUMNS($A$1:A63)),
$B$6 = "G2C",
INDEX(Data!$B$2:$EO$956,
SMALL(IF(INDEX(Data!$B$2:$EO$956,,MATCH("Grant Fund",Data!$1:$1,0)-1,1)="Grads2Careers",MATCH(ROW(Data!$AO$2:$AO$956),ROW(Data!$AO$2:$AO$956)),""),ROWS($A$1:A63)),COLUMNS($A$1:A63)),
$B$6 = "OWIF",
INDEX(Data!$B$2:$EO$956,
SMALL(IF(INDEX(Data!$B$2:$EO$956,,MATCH("Grant Fund",Data!$1:$1,0)-1,1)="OWIF",MATCH(ROW(Data!$AO$2:$AO$956),ROW(Data!$AO$2:$AO$956)),""),ROWS($A$1:A63)),COLUMNS($A$1:A63)),
$B$6 = "WIOA",
INDEX(Data!$B$2:$EO$956,
SMALL(IF(INDEX(Data!$B$2:$EO$956,,MATCH("Grant Fund",Data!$1:$1,0)-1,1)="WIOA",MATCH(ROW(Data!$AO$2:$AO$956),ROW(Data!$AO$2:$AO$956)),""),ROWS($A$1:A63)),COLUMNS($A$1:A63)),
$B$6 = "WIOA II",
INDEX(Data!$B$2:$EO$956,
SMALL(IF(INDEX(Data!$B$2:$EO$956,,MATCH("Grant Fund",Data!$1:$1,0)-1,1)="WIOA II",MATCH(ROW(Data!$AO$2:$AO$956),ROW(Data!$AO$2:$AO$956)),""),ROWS($A$1:A63)),COLUMNS($A$1:A63)),
$B$6 = "WIOA III",
INDEX(Data!$B$2:$EO$956,
SMALL(IF(INDEX(Data!$B$2:$EO$956,,MATCH("Grant Fund",Data!$1:$1,0)-1,1)="WIOA III",MATCH(ROW(Data!$AO$2:$AO$956),ROW(Data!$AO$2:$AO$956)),""),ROWS($A$1:A63)),COLUMNS($A$1:A63)),
$B$6 = "Currently Employed",
INDEX(Data!$B$2:$EO$956,
SMALL(IF(INDEX(Data!$B$2:$EO$956,,MATCH("Currently Employed",Data!$1:$1,0)-1,1)="Yes",MATCH(ROW(Data!$DZ$2:$DZ$956),ROW(Data!$DZ$2:$DZ$956)),""),ROWS($A$1:A63)),COLUMNS($A$1:A63)),
$B$6 = "Inactive",
INDEX(Data!$B$2:$EO$956,
SMALL(IF(INDEX(Data!$B$2:$EO$956,,MATCH("Inactive",Data!$1:$1,0)-1,1)="Yes",MATCH(ROW(Data!$DG$2:$DG$956),ROW(Data!$DG$2:$DG$956)),""),ROWS($A$1:A63)),COLUMNS($A$1:A63)),
$B$6 = "Active",
INDEX(Data!$B$2:$EO$956,
SMALL(IF(INDEX(Data!$B$2:$EO$956,,MATCH("Active",Data!$1:$1,0)-1,1)="Yes",MATCH(ROW(Data!$DZ$2:$DZ$956),ROW(Data!$DZ$2:$DZ$956)),""),ROWS($A$1:A63)),COLUMNS($A$1:A63)),
$B$6 = "Status Unknown",
INDEX(Data!$B$2:$EO$956,
SMALL(IF(INDEX(Data!$B$2:$EO$956,,MATCH("Status Unknown",Data!$1:$1,0)-1,1)="Yes",MATCH(ROW(Data!$EB$2:$EB$956),ROW(Data!$EB$2:$EB$956)),""),ROWS($A$1:A63)),COLUMNS($A$1:A63)),
$B$6 = "Enrollment Pending",
INDEX(Data!$B$2:$EO$956,
SMALL(IF(INDEX(Data!$B$2:$EO$956,,MATCH("Enrollment Pending",Data!$1:$1,0)-1,1)="Yes",MATCH(ROW(Data!$DY$2:$DY$956),ROW(Data!$DY$2:$DY$956)),""),ROWS($A$1:A63)),COLUMNS($A$1:A63)),
$B$6 = "Gained Certification",
INDEX(Data!$B$2:$EO$956,
SMALL(IF(INDEX(Data!$B$2:$EO$956,,MATCH("Gained Certification",Data!$1:$1,0)-1,1)="Yes",MATCH(ROW(Data!$DU$2:$DU$956),ROW(Data!$DU$2:$DU$956)),""),ROWS($A$1:A63)),COLUMNS($A$1:A63)),
$B$6 = "No Certification",
INDEX(Data!$B$2:$EO$956,
SMALL(IF(INDEX(Data!$B$2:$EO$956,,MATCH("Gained Certification",Data!$1:$1,0)-1,1)&lt;&gt;"Yes",MATCH(ROW(Data!$DU$2:$DU$956),ROW(Data!$DU$2:$DU$956)),""),ROWS($A$1:A63)),COLUMNS($A$1:A63)),
$B$6 = "Completers Without Employment",
INDEX(Data!$B$2:$EO$967,
SMALL(IF(INDEX(Data!$B$2:$EO$967,,MATCH("Completed Without Employment",Data!$1:$1,0)-1,1)="Yes",MATCH(ROW(Data!$DZ$2:$DZ$967),ROW(Data!$DZ$2:$DZ$967)),""),ROWS($A$1:A63)),COLUMNS($A$1:A63)),
$B$6 = "CH",
INDEX(Data!$B$2:$EO$956,
SMALL(IF(INDEX(Data!$B$2:$EO$956,,MATCH("Case Manager",Data!$1:$1,0)-1,1)="CH",MATCH(ROW(Data!$DZ$2:$DZ$956),ROW(Data!$DZ$2:$DZ$956)),""),ROWS($A$1:A63)),COLUMNS($A$1:A63)),
$B$6 = "ML",
INDEX(Data!$B$2:$EO$956,
SMALL(IF(INDEX(Data!$B$2:$EO$956,,MATCH("Case Manager",Data!$1:$1,0)-1,1)="ML",MATCH(ROW(Data!$DZ$2:$DZ$956),ROW(Data!$DZ$2:$DZ$956)),""),ROWS($A$1:A63)),COLUMNS($A$1:A63)),
$B$6 = "RB",
INDEX(Data!$B$2:$EO$956,
SMALL(IF(INDEX(Data!$B$2:$EO$956,,MATCH("Case Manager",Data!$1:$1,0)-1,1)="RB",MATCH(ROW(Data!$DZ$2:$DZ$956),ROW(Data!$DZ$2:$DZ$956)),""),ROWS($A$1:A63)),COLUMNS($A$1:A63)),
$B$6 = "RV",
INDEX(Data!$B$2:$EO$956,
SMALL(IF(INDEX(Data!$B$2:$EO$956,,MATCH("Case Manager",Data!$1:$1,0)-1,1)="RV",MATCH(ROW(Data!$DZ$2:$DZ$956),ROW(Data!$DZ$2:$DZ$956)),""),ROWS($A$1:A63)),COLUMNS($A$1:A63)),
$B$6 = "SG",
INDEX(Data!$B$2:$EO$956,
SMALL(IF(INDEX(Data!$B$2:$EO$956,,MATCH("Case Manager",Data!$1:$1,0)-1,1)="SH",MATCH(ROW(Data!$DZ$2:$DZ$956),ROW(Data!$DZ$2:$DZ$956)),""),ROWS($A$1:A63)),COLUMNS($A$1:A63))
),"")</f>
        <v/>
      </c>
      <c r="C74" s="1" t="str">
        <f>IF(
IFERROR(
INDEX(Data!$1:$1048576,MATCH('Client Lists'!$B74,Data!$B:$B,0),MATCH('Client Lists'!C$11,Data!$1:$1,0)),"")=0,"",
IFERROR(
INDEX(Data!$1:$1048576,MATCH('Client Lists'!$B74,Data!$B:$B,0),MATCH('Client Lists'!C$11,Data!$1:$1,0)),""))</f>
        <v/>
      </c>
      <c r="D74" s="1" t="str">
        <f>IF(
IFERROR(
INDEX(Data!$1:$1048576,MATCH('Client Lists'!$B74,Data!$B:$B,0),MATCH('Client Lists'!D$11,Data!$1:$1,0)),"")=0,"",
IFERROR(
INDEX(Data!$1:$1048576,MATCH('Client Lists'!$B74,Data!$B:$B,0),MATCH('Client Lists'!D$11,Data!$1:$1,0)),""))</f>
        <v/>
      </c>
      <c r="E74" s="1" t="str">
        <f>IF(
IFERROR(
INDEX(Data!$1:$1048576,MATCH('Client Lists'!$B74,Data!$B:$B,0),MATCH('Client Lists'!E$11,Data!$1:$1,0)),"")=0,"",
IFERROR(
INDEX(Data!$1:$1048576,MATCH('Client Lists'!$B74,Data!$B:$B,0),MATCH('Client Lists'!E$11,Data!$1:$1,0)),""))</f>
        <v/>
      </c>
      <c r="F74" s="1" t="str">
        <f>IF(
IFERROR(
INDEX(Data!$1:$1048576,MATCH('Client Lists'!$B74,Data!$B:$B,0),MATCH('Client Lists'!F$11,Data!$1:$1,0)),"")=0,"",
IFERROR(
INDEX(Data!$1:$1048576,MATCH('Client Lists'!$B74,Data!$B:$B,0),MATCH('Client Lists'!F$11,Data!$1:$1,0)),""))</f>
        <v/>
      </c>
      <c r="G74" s="1" t="str">
        <f>IF(
IFERROR(
INDEX(Data!$1:$1048576,MATCH('Client Lists'!$B74,Data!$B:$B,0),MATCH('Client Lists'!G$11,Data!$1:$1,0)),"")=0,"",
IFERROR(
INDEX(Data!$1:$1048576,MATCH('Client Lists'!$B74,Data!$B:$B,0),MATCH('Client Lists'!G$11,Data!$1:$1,0)),""))</f>
        <v/>
      </c>
      <c r="H74" s="1" t="str">
        <f>IF(
IFERROR(
INDEX(Data!$1:$1048576,MATCH('Client Lists'!$B74,Data!$B:$B,0),MATCH('Client Lists'!H$11,Data!$1:$1,0)),"")=0,"",
IFERROR(
INDEX(Data!$1:$1048576,MATCH('Client Lists'!$B74,Data!$B:$B,0),MATCH('Client Lists'!H$11,Data!$1:$1,0)),""))</f>
        <v/>
      </c>
      <c r="I74" s="1" t="str">
        <f>IF(
IFERROR(
INDEX(Data!$1:$1048576,MATCH('Client Lists'!$B74,Data!$B:$B,0),MATCH('Client Lists'!I$11,Data!$1:$1,0)),"")=0,"",
IFERROR(
INDEX(Data!$1:$1048576,MATCH('Client Lists'!$B74,Data!$B:$B,0),MATCH('Client Lists'!I$11,Data!$1:$1,0)),""))</f>
        <v/>
      </c>
      <c r="J74" s="1" t="str">
        <f>IF(
IFERROR(
INDEX(Data!$1:$1048576,MATCH('Client Lists'!$B74,Data!$B:$B,0),MATCH('Client Lists'!J$11,Data!$1:$1,0)),"")=0,"",
IFERROR(
INDEX(Data!$1:$1048576,MATCH('Client Lists'!$B74,Data!$B:$B,0),MATCH('Client Lists'!J$11,Data!$1:$1,0)),""))</f>
        <v/>
      </c>
      <c r="K74" s="1" t="str">
        <f>IF(
IFERROR(
INDEX(Data!$1:$1048576,MATCH('Client Lists'!$B74,Data!$B:$B,0),MATCH('Client Lists'!K$11,Data!$1:$1,0)),"")=0,"",
IFERROR(
INDEX(Data!$1:$1048576,MATCH('Client Lists'!$B74,Data!$B:$B,0),MATCH('Client Lists'!K$11,Data!$1:$1,0)),""))</f>
        <v/>
      </c>
    </row>
    <row r="75" spans="2:11" x14ac:dyDescent="0.45">
      <c r="B75" s="5" t="str">
        <f t="array" ref="B75">IFERROR(_xlfn.IFS(
$B$6 = "Retention Overdue",
INDEX(Data!$B$2:$EO$956,
SMALL(IF(INDEX(Data!$B$2:$EO$956,,MATCH("Call Due",Data!$1:$1,0)-1,1)="Yes",MATCH(ROW(Data!$CN$2:$CN$956),ROW(Data!$CN$2:$CN$956)),""),ROWS($A$1:A64)),COLUMNS($A$1:A64)),
$B$6 = "OWIF-W",
INDEX(Data!$B$2:$EO$956,
SMALL(IF(INDEX(Data!$B$2:$EO$956,,MATCH("Grant Fund",Data!$1:$1,0)-1,1)="OWIF-W",MATCH(ROW(Data!$AO$2:$AO$956),ROW(Data!$AO$2:$AO$956)),""),ROWS($A$1:A64)),COLUMNS($A$1:A64)),
$B$6 = "G2C",
INDEX(Data!$B$2:$EO$956,
SMALL(IF(INDEX(Data!$B$2:$EO$956,,MATCH("Grant Fund",Data!$1:$1,0)-1,1)="Grads2Careers",MATCH(ROW(Data!$AO$2:$AO$956),ROW(Data!$AO$2:$AO$956)),""),ROWS($A$1:A64)),COLUMNS($A$1:A64)),
$B$6 = "OWIF",
INDEX(Data!$B$2:$EO$956,
SMALL(IF(INDEX(Data!$B$2:$EO$956,,MATCH("Grant Fund",Data!$1:$1,0)-1,1)="OWIF",MATCH(ROW(Data!$AO$2:$AO$956),ROW(Data!$AO$2:$AO$956)),""),ROWS($A$1:A64)),COLUMNS($A$1:A64)),
$B$6 = "WIOA",
INDEX(Data!$B$2:$EO$956,
SMALL(IF(INDEX(Data!$B$2:$EO$956,,MATCH("Grant Fund",Data!$1:$1,0)-1,1)="WIOA",MATCH(ROW(Data!$AO$2:$AO$956),ROW(Data!$AO$2:$AO$956)),""),ROWS($A$1:A64)),COLUMNS($A$1:A64)),
$B$6 = "WIOA II",
INDEX(Data!$B$2:$EO$956,
SMALL(IF(INDEX(Data!$B$2:$EO$956,,MATCH("Grant Fund",Data!$1:$1,0)-1,1)="WIOA II",MATCH(ROW(Data!$AO$2:$AO$956),ROW(Data!$AO$2:$AO$956)),""),ROWS($A$1:A64)),COLUMNS($A$1:A64)),
$B$6 = "WIOA III",
INDEX(Data!$B$2:$EO$956,
SMALL(IF(INDEX(Data!$B$2:$EO$956,,MATCH("Grant Fund",Data!$1:$1,0)-1,1)="WIOA III",MATCH(ROW(Data!$AO$2:$AO$956),ROW(Data!$AO$2:$AO$956)),""),ROWS($A$1:A64)),COLUMNS($A$1:A64)),
$B$6 = "Currently Employed",
INDEX(Data!$B$2:$EO$956,
SMALL(IF(INDEX(Data!$B$2:$EO$956,,MATCH("Currently Employed",Data!$1:$1,0)-1,1)="Yes",MATCH(ROW(Data!$DZ$2:$DZ$956),ROW(Data!$DZ$2:$DZ$956)),""),ROWS($A$1:A64)),COLUMNS($A$1:A64)),
$B$6 = "Inactive",
INDEX(Data!$B$2:$EO$956,
SMALL(IF(INDEX(Data!$B$2:$EO$956,,MATCH("Inactive",Data!$1:$1,0)-1,1)="Yes",MATCH(ROW(Data!$DG$2:$DG$956),ROW(Data!$DG$2:$DG$956)),""),ROWS($A$1:A64)),COLUMNS($A$1:A64)),
$B$6 = "Active",
INDEX(Data!$B$2:$EO$956,
SMALL(IF(INDEX(Data!$B$2:$EO$956,,MATCH("Active",Data!$1:$1,0)-1,1)="Yes",MATCH(ROW(Data!$DZ$2:$DZ$956),ROW(Data!$DZ$2:$DZ$956)),""),ROWS($A$1:A64)),COLUMNS($A$1:A64)),
$B$6 = "Status Unknown",
INDEX(Data!$B$2:$EO$956,
SMALL(IF(INDEX(Data!$B$2:$EO$956,,MATCH("Status Unknown",Data!$1:$1,0)-1,1)="Yes",MATCH(ROW(Data!$EB$2:$EB$956),ROW(Data!$EB$2:$EB$956)),""),ROWS($A$1:A64)),COLUMNS($A$1:A64)),
$B$6 = "Enrollment Pending",
INDEX(Data!$B$2:$EO$956,
SMALL(IF(INDEX(Data!$B$2:$EO$956,,MATCH("Enrollment Pending",Data!$1:$1,0)-1,1)="Yes",MATCH(ROW(Data!$DY$2:$DY$956),ROW(Data!$DY$2:$DY$956)),""),ROWS($A$1:A64)),COLUMNS($A$1:A64)),
$B$6 = "Gained Certification",
INDEX(Data!$B$2:$EO$956,
SMALL(IF(INDEX(Data!$B$2:$EO$956,,MATCH("Gained Certification",Data!$1:$1,0)-1,1)="Yes",MATCH(ROW(Data!$DU$2:$DU$956),ROW(Data!$DU$2:$DU$956)),""),ROWS($A$1:A64)),COLUMNS($A$1:A64)),
$B$6 = "No Certification",
INDEX(Data!$B$2:$EO$956,
SMALL(IF(INDEX(Data!$B$2:$EO$956,,MATCH("Gained Certification",Data!$1:$1,0)-1,1)&lt;&gt;"Yes",MATCH(ROW(Data!$DU$2:$DU$956),ROW(Data!$DU$2:$DU$956)),""),ROWS($A$1:A64)),COLUMNS($A$1:A64)),
$B$6 = "Completers Without Employment",
INDEX(Data!$B$2:$EO$967,
SMALL(IF(INDEX(Data!$B$2:$EO$967,,MATCH("Completed Without Employment",Data!$1:$1,0)-1,1)="Yes",MATCH(ROW(Data!$DZ$2:$DZ$967),ROW(Data!$DZ$2:$DZ$967)),""),ROWS($A$1:A64)),COLUMNS($A$1:A64)),
$B$6 = "CH",
INDEX(Data!$B$2:$EO$956,
SMALL(IF(INDEX(Data!$B$2:$EO$956,,MATCH("Case Manager",Data!$1:$1,0)-1,1)="CH",MATCH(ROW(Data!$DZ$2:$DZ$956),ROW(Data!$DZ$2:$DZ$956)),""),ROWS($A$1:A64)),COLUMNS($A$1:A64)),
$B$6 = "ML",
INDEX(Data!$B$2:$EO$956,
SMALL(IF(INDEX(Data!$B$2:$EO$956,,MATCH("Case Manager",Data!$1:$1,0)-1,1)="ML",MATCH(ROW(Data!$DZ$2:$DZ$956),ROW(Data!$DZ$2:$DZ$956)),""),ROWS($A$1:A64)),COLUMNS($A$1:A64)),
$B$6 = "RB",
INDEX(Data!$B$2:$EO$956,
SMALL(IF(INDEX(Data!$B$2:$EO$956,,MATCH("Case Manager",Data!$1:$1,0)-1,1)="RB",MATCH(ROW(Data!$DZ$2:$DZ$956),ROW(Data!$DZ$2:$DZ$956)),""),ROWS($A$1:A64)),COLUMNS($A$1:A64)),
$B$6 = "RV",
INDEX(Data!$B$2:$EO$956,
SMALL(IF(INDEX(Data!$B$2:$EO$956,,MATCH("Case Manager",Data!$1:$1,0)-1,1)="RV",MATCH(ROW(Data!$DZ$2:$DZ$956),ROW(Data!$DZ$2:$DZ$956)),""),ROWS($A$1:A64)),COLUMNS($A$1:A64)),
$B$6 = "SG",
INDEX(Data!$B$2:$EO$956,
SMALL(IF(INDEX(Data!$B$2:$EO$956,,MATCH("Case Manager",Data!$1:$1,0)-1,1)="SH",MATCH(ROW(Data!$DZ$2:$DZ$956),ROW(Data!$DZ$2:$DZ$956)),""),ROWS($A$1:A64)),COLUMNS($A$1:A64))
),"")</f>
        <v/>
      </c>
      <c r="C75" s="1" t="str">
        <f>IF(
IFERROR(
INDEX(Data!$1:$1048576,MATCH('Client Lists'!$B75,Data!$B:$B,0),MATCH('Client Lists'!C$11,Data!$1:$1,0)),"")=0,"",
IFERROR(
INDEX(Data!$1:$1048576,MATCH('Client Lists'!$B75,Data!$B:$B,0),MATCH('Client Lists'!C$11,Data!$1:$1,0)),""))</f>
        <v/>
      </c>
      <c r="D75" s="1" t="str">
        <f>IF(
IFERROR(
INDEX(Data!$1:$1048576,MATCH('Client Lists'!$B75,Data!$B:$B,0),MATCH('Client Lists'!D$11,Data!$1:$1,0)),"")=0,"",
IFERROR(
INDEX(Data!$1:$1048576,MATCH('Client Lists'!$B75,Data!$B:$B,0),MATCH('Client Lists'!D$11,Data!$1:$1,0)),""))</f>
        <v/>
      </c>
      <c r="E75" s="1" t="str">
        <f>IF(
IFERROR(
INDEX(Data!$1:$1048576,MATCH('Client Lists'!$B75,Data!$B:$B,0),MATCH('Client Lists'!E$11,Data!$1:$1,0)),"")=0,"",
IFERROR(
INDEX(Data!$1:$1048576,MATCH('Client Lists'!$B75,Data!$B:$B,0),MATCH('Client Lists'!E$11,Data!$1:$1,0)),""))</f>
        <v/>
      </c>
      <c r="F75" s="1" t="str">
        <f>IF(
IFERROR(
INDEX(Data!$1:$1048576,MATCH('Client Lists'!$B75,Data!$B:$B,0),MATCH('Client Lists'!F$11,Data!$1:$1,0)),"")=0,"",
IFERROR(
INDEX(Data!$1:$1048576,MATCH('Client Lists'!$B75,Data!$B:$B,0),MATCH('Client Lists'!F$11,Data!$1:$1,0)),""))</f>
        <v/>
      </c>
      <c r="G75" s="1" t="str">
        <f>IF(
IFERROR(
INDEX(Data!$1:$1048576,MATCH('Client Lists'!$B75,Data!$B:$B,0),MATCH('Client Lists'!G$11,Data!$1:$1,0)),"")=0,"",
IFERROR(
INDEX(Data!$1:$1048576,MATCH('Client Lists'!$B75,Data!$B:$B,0),MATCH('Client Lists'!G$11,Data!$1:$1,0)),""))</f>
        <v/>
      </c>
      <c r="H75" s="1" t="str">
        <f>IF(
IFERROR(
INDEX(Data!$1:$1048576,MATCH('Client Lists'!$B75,Data!$B:$B,0),MATCH('Client Lists'!H$11,Data!$1:$1,0)),"")=0,"",
IFERROR(
INDEX(Data!$1:$1048576,MATCH('Client Lists'!$B75,Data!$B:$B,0),MATCH('Client Lists'!H$11,Data!$1:$1,0)),""))</f>
        <v/>
      </c>
      <c r="I75" s="1" t="str">
        <f>IF(
IFERROR(
INDEX(Data!$1:$1048576,MATCH('Client Lists'!$B75,Data!$B:$B,0),MATCH('Client Lists'!I$11,Data!$1:$1,0)),"")=0,"",
IFERROR(
INDEX(Data!$1:$1048576,MATCH('Client Lists'!$B75,Data!$B:$B,0),MATCH('Client Lists'!I$11,Data!$1:$1,0)),""))</f>
        <v/>
      </c>
      <c r="J75" s="1" t="str">
        <f>IF(
IFERROR(
INDEX(Data!$1:$1048576,MATCH('Client Lists'!$B75,Data!$B:$B,0),MATCH('Client Lists'!J$11,Data!$1:$1,0)),"")=0,"",
IFERROR(
INDEX(Data!$1:$1048576,MATCH('Client Lists'!$B75,Data!$B:$B,0),MATCH('Client Lists'!J$11,Data!$1:$1,0)),""))</f>
        <v/>
      </c>
      <c r="K75" s="1" t="str">
        <f>IF(
IFERROR(
INDEX(Data!$1:$1048576,MATCH('Client Lists'!$B75,Data!$B:$B,0),MATCH('Client Lists'!K$11,Data!$1:$1,0)),"")=0,"",
IFERROR(
INDEX(Data!$1:$1048576,MATCH('Client Lists'!$B75,Data!$B:$B,0),MATCH('Client Lists'!K$11,Data!$1:$1,0)),""))</f>
        <v/>
      </c>
    </row>
    <row r="76" spans="2:11" x14ac:dyDescent="0.45">
      <c r="B76" s="5" t="str">
        <f t="array" ref="B76">IFERROR(_xlfn.IFS(
$B$6 = "Retention Overdue",
INDEX(Data!$B$2:$EO$956,
SMALL(IF(INDEX(Data!$B$2:$EO$956,,MATCH("Call Due",Data!$1:$1,0)-1,1)="Yes",MATCH(ROW(Data!$CN$2:$CN$956),ROW(Data!$CN$2:$CN$956)),""),ROWS($A$1:A65)),COLUMNS($A$1:A65)),
$B$6 = "OWIF-W",
INDEX(Data!$B$2:$EO$956,
SMALL(IF(INDEX(Data!$B$2:$EO$956,,MATCH("Grant Fund",Data!$1:$1,0)-1,1)="OWIF-W",MATCH(ROW(Data!$AO$2:$AO$956),ROW(Data!$AO$2:$AO$956)),""),ROWS($A$1:A65)),COLUMNS($A$1:A65)),
$B$6 = "G2C",
INDEX(Data!$B$2:$EO$956,
SMALL(IF(INDEX(Data!$B$2:$EO$956,,MATCH("Grant Fund",Data!$1:$1,0)-1,1)="Grads2Careers",MATCH(ROW(Data!$AO$2:$AO$956),ROW(Data!$AO$2:$AO$956)),""),ROWS($A$1:A65)),COLUMNS($A$1:A65)),
$B$6 = "OWIF",
INDEX(Data!$B$2:$EO$956,
SMALL(IF(INDEX(Data!$B$2:$EO$956,,MATCH("Grant Fund",Data!$1:$1,0)-1,1)="OWIF",MATCH(ROW(Data!$AO$2:$AO$956),ROW(Data!$AO$2:$AO$956)),""),ROWS($A$1:A65)),COLUMNS($A$1:A65)),
$B$6 = "WIOA",
INDEX(Data!$B$2:$EO$956,
SMALL(IF(INDEX(Data!$B$2:$EO$956,,MATCH("Grant Fund",Data!$1:$1,0)-1,1)="WIOA",MATCH(ROW(Data!$AO$2:$AO$956),ROW(Data!$AO$2:$AO$956)),""),ROWS($A$1:A65)),COLUMNS($A$1:A65)),
$B$6 = "WIOA II",
INDEX(Data!$B$2:$EO$956,
SMALL(IF(INDEX(Data!$B$2:$EO$956,,MATCH("Grant Fund",Data!$1:$1,0)-1,1)="WIOA II",MATCH(ROW(Data!$AO$2:$AO$956),ROW(Data!$AO$2:$AO$956)),""),ROWS($A$1:A65)),COLUMNS($A$1:A65)),
$B$6 = "WIOA III",
INDEX(Data!$B$2:$EO$956,
SMALL(IF(INDEX(Data!$B$2:$EO$956,,MATCH("Grant Fund",Data!$1:$1,0)-1,1)="WIOA III",MATCH(ROW(Data!$AO$2:$AO$956),ROW(Data!$AO$2:$AO$956)),""),ROWS($A$1:A65)),COLUMNS($A$1:A65)),
$B$6 = "Currently Employed",
INDEX(Data!$B$2:$EO$956,
SMALL(IF(INDEX(Data!$B$2:$EO$956,,MATCH("Currently Employed",Data!$1:$1,0)-1,1)="Yes",MATCH(ROW(Data!$DZ$2:$DZ$956),ROW(Data!$DZ$2:$DZ$956)),""),ROWS($A$1:A65)),COLUMNS($A$1:A65)),
$B$6 = "Inactive",
INDEX(Data!$B$2:$EO$956,
SMALL(IF(INDEX(Data!$B$2:$EO$956,,MATCH("Inactive",Data!$1:$1,0)-1,1)="Yes",MATCH(ROW(Data!$DG$2:$DG$956),ROW(Data!$DG$2:$DG$956)),""),ROWS($A$1:A65)),COLUMNS($A$1:A65)),
$B$6 = "Active",
INDEX(Data!$B$2:$EO$956,
SMALL(IF(INDEX(Data!$B$2:$EO$956,,MATCH("Active",Data!$1:$1,0)-1,1)="Yes",MATCH(ROW(Data!$DZ$2:$DZ$956),ROW(Data!$DZ$2:$DZ$956)),""),ROWS($A$1:A65)),COLUMNS($A$1:A65)),
$B$6 = "Status Unknown",
INDEX(Data!$B$2:$EO$956,
SMALL(IF(INDEX(Data!$B$2:$EO$956,,MATCH("Status Unknown",Data!$1:$1,0)-1,1)="Yes",MATCH(ROW(Data!$EB$2:$EB$956),ROW(Data!$EB$2:$EB$956)),""),ROWS($A$1:A65)),COLUMNS($A$1:A65)),
$B$6 = "Enrollment Pending",
INDEX(Data!$B$2:$EO$956,
SMALL(IF(INDEX(Data!$B$2:$EO$956,,MATCH("Enrollment Pending",Data!$1:$1,0)-1,1)="Yes",MATCH(ROW(Data!$DY$2:$DY$956),ROW(Data!$DY$2:$DY$956)),""),ROWS($A$1:A65)),COLUMNS($A$1:A65)),
$B$6 = "Gained Certification",
INDEX(Data!$B$2:$EO$956,
SMALL(IF(INDEX(Data!$B$2:$EO$956,,MATCH("Gained Certification",Data!$1:$1,0)-1,1)="Yes",MATCH(ROW(Data!$DU$2:$DU$956),ROW(Data!$DU$2:$DU$956)),""),ROWS($A$1:A65)),COLUMNS($A$1:A65)),
$B$6 = "No Certification",
INDEX(Data!$B$2:$EO$956,
SMALL(IF(INDEX(Data!$B$2:$EO$956,,MATCH("Gained Certification",Data!$1:$1,0)-1,1)&lt;&gt;"Yes",MATCH(ROW(Data!$DU$2:$DU$956),ROW(Data!$DU$2:$DU$956)),""),ROWS($A$1:A65)),COLUMNS($A$1:A65)),
$B$6 = "Completers Without Employment",
INDEX(Data!$B$2:$EO$967,
SMALL(IF(INDEX(Data!$B$2:$EO$967,,MATCH("Completed Without Employment",Data!$1:$1,0)-1,1)="Yes",MATCH(ROW(Data!$DZ$2:$DZ$967),ROW(Data!$DZ$2:$DZ$967)),""),ROWS($A$1:A65)),COLUMNS($A$1:A65)),
$B$6 = "CH",
INDEX(Data!$B$2:$EO$956,
SMALL(IF(INDEX(Data!$B$2:$EO$956,,MATCH("Case Manager",Data!$1:$1,0)-1,1)="CH",MATCH(ROW(Data!$DZ$2:$DZ$956),ROW(Data!$DZ$2:$DZ$956)),""),ROWS($A$1:A65)),COLUMNS($A$1:A65)),
$B$6 = "ML",
INDEX(Data!$B$2:$EO$956,
SMALL(IF(INDEX(Data!$B$2:$EO$956,,MATCH("Case Manager",Data!$1:$1,0)-1,1)="ML",MATCH(ROW(Data!$DZ$2:$DZ$956),ROW(Data!$DZ$2:$DZ$956)),""),ROWS($A$1:A65)),COLUMNS($A$1:A65)),
$B$6 = "RB",
INDEX(Data!$B$2:$EO$956,
SMALL(IF(INDEX(Data!$B$2:$EO$956,,MATCH("Case Manager",Data!$1:$1,0)-1,1)="RB",MATCH(ROW(Data!$DZ$2:$DZ$956),ROW(Data!$DZ$2:$DZ$956)),""),ROWS($A$1:A65)),COLUMNS($A$1:A65)),
$B$6 = "RV",
INDEX(Data!$B$2:$EO$956,
SMALL(IF(INDEX(Data!$B$2:$EO$956,,MATCH("Case Manager",Data!$1:$1,0)-1,1)="RV",MATCH(ROW(Data!$DZ$2:$DZ$956),ROW(Data!$DZ$2:$DZ$956)),""),ROWS($A$1:A65)),COLUMNS($A$1:A65)),
$B$6 = "SG",
INDEX(Data!$B$2:$EO$956,
SMALL(IF(INDEX(Data!$B$2:$EO$956,,MATCH("Case Manager",Data!$1:$1,0)-1,1)="SH",MATCH(ROW(Data!$DZ$2:$DZ$956),ROW(Data!$DZ$2:$DZ$956)),""),ROWS($A$1:A65)),COLUMNS($A$1:A65))
),"")</f>
        <v/>
      </c>
      <c r="C76" s="1" t="str">
        <f>IF(
IFERROR(
INDEX(Data!$1:$1048576,MATCH('Client Lists'!$B76,Data!$B:$B,0),MATCH('Client Lists'!C$11,Data!$1:$1,0)),"")=0,"",
IFERROR(
INDEX(Data!$1:$1048576,MATCH('Client Lists'!$B76,Data!$B:$B,0),MATCH('Client Lists'!C$11,Data!$1:$1,0)),""))</f>
        <v/>
      </c>
      <c r="D76" s="1" t="str">
        <f>IF(
IFERROR(
INDEX(Data!$1:$1048576,MATCH('Client Lists'!$B76,Data!$B:$B,0),MATCH('Client Lists'!D$11,Data!$1:$1,0)),"")=0,"",
IFERROR(
INDEX(Data!$1:$1048576,MATCH('Client Lists'!$B76,Data!$B:$B,0),MATCH('Client Lists'!D$11,Data!$1:$1,0)),""))</f>
        <v/>
      </c>
      <c r="E76" s="1" t="str">
        <f>IF(
IFERROR(
INDEX(Data!$1:$1048576,MATCH('Client Lists'!$B76,Data!$B:$B,0),MATCH('Client Lists'!E$11,Data!$1:$1,0)),"")=0,"",
IFERROR(
INDEX(Data!$1:$1048576,MATCH('Client Lists'!$B76,Data!$B:$B,0),MATCH('Client Lists'!E$11,Data!$1:$1,0)),""))</f>
        <v/>
      </c>
      <c r="F76" s="1" t="str">
        <f>IF(
IFERROR(
INDEX(Data!$1:$1048576,MATCH('Client Lists'!$B76,Data!$B:$B,0),MATCH('Client Lists'!F$11,Data!$1:$1,0)),"")=0,"",
IFERROR(
INDEX(Data!$1:$1048576,MATCH('Client Lists'!$B76,Data!$B:$B,0),MATCH('Client Lists'!F$11,Data!$1:$1,0)),""))</f>
        <v/>
      </c>
      <c r="G76" s="1" t="str">
        <f>IF(
IFERROR(
INDEX(Data!$1:$1048576,MATCH('Client Lists'!$B76,Data!$B:$B,0),MATCH('Client Lists'!G$11,Data!$1:$1,0)),"")=0,"",
IFERROR(
INDEX(Data!$1:$1048576,MATCH('Client Lists'!$B76,Data!$B:$B,0),MATCH('Client Lists'!G$11,Data!$1:$1,0)),""))</f>
        <v/>
      </c>
      <c r="H76" s="1" t="str">
        <f>IF(
IFERROR(
INDEX(Data!$1:$1048576,MATCH('Client Lists'!$B76,Data!$B:$B,0),MATCH('Client Lists'!H$11,Data!$1:$1,0)),"")=0,"",
IFERROR(
INDEX(Data!$1:$1048576,MATCH('Client Lists'!$B76,Data!$B:$B,0),MATCH('Client Lists'!H$11,Data!$1:$1,0)),""))</f>
        <v/>
      </c>
      <c r="I76" s="1" t="str">
        <f>IF(
IFERROR(
INDEX(Data!$1:$1048576,MATCH('Client Lists'!$B76,Data!$B:$B,0),MATCH('Client Lists'!I$11,Data!$1:$1,0)),"")=0,"",
IFERROR(
INDEX(Data!$1:$1048576,MATCH('Client Lists'!$B76,Data!$B:$B,0),MATCH('Client Lists'!I$11,Data!$1:$1,0)),""))</f>
        <v/>
      </c>
      <c r="J76" s="1" t="str">
        <f>IF(
IFERROR(
INDEX(Data!$1:$1048576,MATCH('Client Lists'!$B76,Data!$B:$B,0),MATCH('Client Lists'!J$11,Data!$1:$1,0)),"")=0,"",
IFERROR(
INDEX(Data!$1:$1048576,MATCH('Client Lists'!$B76,Data!$B:$B,0),MATCH('Client Lists'!J$11,Data!$1:$1,0)),""))</f>
        <v/>
      </c>
      <c r="K76" s="1" t="str">
        <f>IF(
IFERROR(
INDEX(Data!$1:$1048576,MATCH('Client Lists'!$B76,Data!$B:$B,0),MATCH('Client Lists'!K$11,Data!$1:$1,0)),"")=0,"",
IFERROR(
INDEX(Data!$1:$1048576,MATCH('Client Lists'!$B76,Data!$B:$B,0),MATCH('Client Lists'!K$11,Data!$1:$1,0)),""))</f>
        <v/>
      </c>
    </row>
    <row r="77" spans="2:11" x14ac:dyDescent="0.45">
      <c r="B77" s="5" t="str">
        <f t="array" ref="B77">IFERROR(_xlfn.IFS(
$B$6 = "Retention Overdue",
INDEX(Data!$B$2:$EO$956,
SMALL(IF(INDEX(Data!$B$2:$EO$956,,MATCH("Call Due",Data!$1:$1,0)-1,1)="Yes",MATCH(ROW(Data!$CN$2:$CN$956),ROW(Data!$CN$2:$CN$956)),""),ROWS($A$1:A66)),COLUMNS($A$1:A66)),
$B$6 = "OWIF-W",
INDEX(Data!$B$2:$EO$956,
SMALL(IF(INDEX(Data!$B$2:$EO$956,,MATCH("Grant Fund",Data!$1:$1,0)-1,1)="OWIF-W",MATCH(ROW(Data!$AO$2:$AO$956),ROW(Data!$AO$2:$AO$956)),""),ROWS($A$1:A66)),COLUMNS($A$1:A66)),
$B$6 = "G2C",
INDEX(Data!$B$2:$EO$956,
SMALL(IF(INDEX(Data!$B$2:$EO$956,,MATCH("Grant Fund",Data!$1:$1,0)-1,1)="Grads2Careers",MATCH(ROW(Data!$AO$2:$AO$956),ROW(Data!$AO$2:$AO$956)),""),ROWS($A$1:A66)),COLUMNS($A$1:A66)),
$B$6 = "OWIF",
INDEX(Data!$B$2:$EO$956,
SMALL(IF(INDEX(Data!$B$2:$EO$956,,MATCH("Grant Fund",Data!$1:$1,0)-1,1)="OWIF",MATCH(ROW(Data!$AO$2:$AO$956),ROW(Data!$AO$2:$AO$956)),""),ROWS($A$1:A66)),COLUMNS($A$1:A66)),
$B$6 = "WIOA",
INDEX(Data!$B$2:$EO$956,
SMALL(IF(INDEX(Data!$B$2:$EO$956,,MATCH("Grant Fund",Data!$1:$1,0)-1,1)="WIOA",MATCH(ROW(Data!$AO$2:$AO$956),ROW(Data!$AO$2:$AO$956)),""),ROWS($A$1:A66)),COLUMNS($A$1:A66)),
$B$6 = "WIOA II",
INDEX(Data!$B$2:$EO$956,
SMALL(IF(INDEX(Data!$B$2:$EO$956,,MATCH("Grant Fund",Data!$1:$1,0)-1,1)="WIOA II",MATCH(ROW(Data!$AO$2:$AO$956),ROW(Data!$AO$2:$AO$956)),""),ROWS($A$1:A66)),COLUMNS($A$1:A66)),
$B$6 = "WIOA III",
INDEX(Data!$B$2:$EO$956,
SMALL(IF(INDEX(Data!$B$2:$EO$956,,MATCH("Grant Fund",Data!$1:$1,0)-1,1)="WIOA III",MATCH(ROW(Data!$AO$2:$AO$956),ROW(Data!$AO$2:$AO$956)),""),ROWS($A$1:A66)),COLUMNS($A$1:A66)),
$B$6 = "Currently Employed",
INDEX(Data!$B$2:$EO$956,
SMALL(IF(INDEX(Data!$B$2:$EO$956,,MATCH("Currently Employed",Data!$1:$1,0)-1,1)="Yes",MATCH(ROW(Data!$DZ$2:$DZ$956),ROW(Data!$DZ$2:$DZ$956)),""),ROWS($A$1:A66)),COLUMNS($A$1:A66)),
$B$6 = "Inactive",
INDEX(Data!$B$2:$EO$956,
SMALL(IF(INDEX(Data!$B$2:$EO$956,,MATCH("Inactive",Data!$1:$1,0)-1,1)="Yes",MATCH(ROW(Data!$DG$2:$DG$956),ROW(Data!$DG$2:$DG$956)),""),ROWS($A$1:A66)),COLUMNS($A$1:A66)),
$B$6 = "Active",
INDEX(Data!$B$2:$EO$956,
SMALL(IF(INDEX(Data!$B$2:$EO$956,,MATCH("Active",Data!$1:$1,0)-1,1)="Yes",MATCH(ROW(Data!$DZ$2:$DZ$956),ROW(Data!$DZ$2:$DZ$956)),""),ROWS($A$1:A66)),COLUMNS($A$1:A66)),
$B$6 = "Status Unknown",
INDEX(Data!$B$2:$EO$956,
SMALL(IF(INDEX(Data!$B$2:$EO$956,,MATCH("Status Unknown",Data!$1:$1,0)-1,1)="Yes",MATCH(ROW(Data!$EB$2:$EB$956),ROW(Data!$EB$2:$EB$956)),""),ROWS($A$1:A66)),COLUMNS($A$1:A66)),
$B$6 = "Enrollment Pending",
INDEX(Data!$B$2:$EO$956,
SMALL(IF(INDEX(Data!$B$2:$EO$956,,MATCH("Enrollment Pending",Data!$1:$1,0)-1,1)="Yes",MATCH(ROW(Data!$DY$2:$DY$956),ROW(Data!$DY$2:$DY$956)),""),ROWS($A$1:A66)),COLUMNS($A$1:A66)),
$B$6 = "Gained Certification",
INDEX(Data!$B$2:$EO$956,
SMALL(IF(INDEX(Data!$B$2:$EO$956,,MATCH("Gained Certification",Data!$1:$1,0)-1,1)="Yes",MATCH(ROW(Data!$DU$2:$DU$956),ROW(Data!$DU$2:$DU$956)),""),ROWS($A$1:A66)),COLUMNS($A$1:A66)),
$B$6 = "No Certification",
INDEX(Data!$B$2:$EO$956,
SMALL(IF(INDEX(Data!$B$2:$EO$956,,MATCH("Gained Certification",Data!$1:$1,0)-1,1)&lt;&gt;"Yes",MATCH(ROW(Data!$DU$2:$DU$956),ROW(Data!$DU$2:$DU$956)),""),ROWS($A$1:A66)),COLUMNS($A$1:A66)),
$B$6 = "Completers Without Employment",
INDEX(Data!$B$2:$EO$967,
SMALL(IF(INDEX(Data!$B$2:$EO$967,,MATCH("Completed Without Employment",Data!$1:$1,0)-1,1)="Yes",MATCH(ROW(Data!$DZ$2:$DZ$967),ROW(Data!$DZ$2:$DZ$967)),""),ROWS($A$1:A66)),COLUMNS($A$1:A66)),
$B$6 = "CH",
INDEX(Data!$B$2:$EO$956,
SMALL(IF(INDEX(Data!$B$2:$EO$956,,MATCH("Case Manager",Data!$1:$1,0)-1,1)="CH",MATCH(ROW(Data!$DZ$2:$DZ$956),ROW(Data!$DZ$2:$DZ$956)),""),ROWS($A$1:A66)),COLUMNS($A$1:A66)),
$B$6 = "ML",
INDEX(Data!$B$2:$EO$956,
SMALL(IF(INDEX(Data!$B$2:$EO$956,,MATCH("Case Manager",Data!$1:$1,0)-1,1)="ML",MATCH(ROW(Data!$DZ$2:$DZ$956),ROW(Data!$DZ$2:$DZ$956)),""),ROWS($A$1:A66)),COLUMNS($A$1:A66)),
$B$6 = "RB",
INDEX(Data!$B$2:$EO$956,
SMALL(IF(INDEX(Data!$B$2:$EO$956,,MATCH("Case Manager",Data!$1:$1,0)-1,1)="RB",MATCH(ROW(Data!$DZ$2:$DZ$956),ROW(Data!$DZ$2:$DZ$956)),""),ROWS($A$1:A66)),COLUMNS($A$1:A66)),
$B$6 = "RV",
INDEX(Data!$B$2:$EO$956,
SMALL(IF(INDEX(Data!$B$2:$EO$956,,MATCH("Case Manager",Data!$1:$1,0)-1,1)="RV",MATCH(ROW(Data!$DZ$2:$DZ$956),ROW(Data!$DZ$2:$DZ$956)),""),ROWS($A$1:A66)),COLUMNS($A$1:A66)),
$B$6 = "SG",
INDEX(Data!$B$2:$EO$956,
SMALL(IF(INDEX(Data!$B$2:$EO$956,,MATCH("Case Manager",Data!$1:$1,0)-1,1)="SH",MATCH(ROW(Data!$DZ$2:$DZ$956),ROW(Data!$DZ$2:$DZ$956)),""),ROWS($A$1:A66)),COLUMNS($A$1:A66))
),"")</f>
        <v/>
      </c>
      <c r="C77" s="1" t="str">
        <f>IF(
IFERROR(
INDEX(Data!$1:$1048576,MATCH('Client Lists'!$B77,Data!$B:$B,0),MATCH('Client Lists'!C$11,Data!$1:$1,0)),"")=0,"",
IFERROR(
INDEX(Data!$1:$1048576,MATCH('Client Lists'!$B77,Data!$B:$B,0),MATCH('Client Lists'!C$11,Data!$1:$1,0)),""))</f>
        <v/>
      </c>
      <c r="D77" s="1" t="str">
        <f>IF(
IFERROR(
INDEX(Data!$1:$1048576,MATCH('Client Lists'!$B77,Data!$B:$B,0),MATCH('Client Lists'!D$11,Data!$1:$1,0)),"")=0,"",
IFERROR(
INDEX(Data!$1:$1048576,MATCH('Client Lists'!$B77,Data!$B:$B,0),MATCH('Client Lists'!D$11,Data!$1:$1,0)),""))</f>
        <v/>
      </c>
      <c r="E77" s="1" t="str">
        <f>IF(
IFERROR(
INDEX(Data!$1:$1048576,MATCH('Client Lists'!$B77,Data!$B:$B,0),MATCH('Client Lists'!E$11,Data!$1:$1,0)),"")=0,"",
IFERROR(
INDEX(Data!$1:$1048576,MATCH('Client Lists'!$B77,Data!$B:$B,0),MATCH('Client Lists'!E$11,Data!$1:$1,0)),""))</f>
        <v/>
      </c>
      <c r="F77" s="1" t="str">
        <f>IF(
IFERROR(
INDEX(Data!$1:$1048576,MATCH('Client Lists'!$B77,Data!$B:$B,0),MATCH('Client Lists'!F$11,Data!$1:$1,0)),"")=0,"",
IFERROR(
INDEX(Data!$1:$1048576,MATCH('Client Lists'!$B77,Data!$B:$B,0),MATCH('Client Lists'!F$11,Data!$1:$1,0)),""))</f>
        <v/>
      </c>
      <c r="G77" s="1" t="str">
        <f>IF(
IFERROR(
INDEX(Data!$1:$1048576,MATCH('Client Lists'!$B77,Data!$B:$B,0),MATCH('Client Lists'!G$11,Data!$1:$1,0)),"")=0,"",
IFERROR(
INDEX(Data!$1:$1048576,MATCH('Client Lists'!$B77,Data!$B:$B,0),MATCH('Client Lists'!G$11,Data!$1:$1,0)),""))</f>
        <v/>
      </c>
      <c r="H77" s="1" t="str">
        <f>IF(
IFERROR(
INDEX(Data!$1:$1048576,MATCH('Client Lists'!$B77,Data!$B:$B,0),MATCH('Client Lists'!H$11,Data!$1:$1,0)),"")=0,"",
IFERROR(
INDEX(Data!$1:$1048576,MATCH('Client Lists'!$B77,Data!$B:$B,0),MATCH('Client Lists'!H$11,Data!$1:$1,0)),""))</f>
        <v/>
      </c>
      <c r="I77" s="1" t="str">
        <f>IF(
IFERROR(
INDEX(Data!$1:$1048576,MATCH('Client Lists'!$B77,Data!$B:$B,0),MATCH('Client Lists'!I$11,Data!$1:$1,0)),"")=0,"",
IFERROR(
INDEX(Data!$1:$1048576,MATCH('Client Lists'!$B77,Data!$B:$B,0),MATCH('Client Lists'!I$11,Data!$1:$1,0)),""))</f>
        <v/>
      </c>
      <c r="J77" s="1" t="str">
        <f>IF(
IFERROR(
INDEX(Data!$1:$1048576,MATCH('Client Lists'!$B77,Data!$B:$B,0),MATCH('Client Lists'!J$11,Data!$1:$1,0)),"")=0,"",
IFERROR(
INDEX(Data!$1:$1048576,MATCH('Client Lists'!$B77,Data!$B:$B,0),MATCH('Client Lists'!J$11,Data!$1:$1,0)),""))</f>
        <v/>
      </c>
      <c r="K77" s="1" t="str">
        <f>IF(
IFERROR(
INDEX(Data!$1:$1048576,MATCH('Client Lists'!$B77,Data!$B:$B,0),MATCH('Client Lists'!K$11,Data!$1:$1,0)),"")=0,"",
IFERROR(
INDEX(Data!$1:$1048576,MATCH('Client Lists'!$B77,Data!$B:$B,0),MATCH('Client Lists'!K$11,Data!$1:$1,0)),""))</f>
        <v/>
      </c>
    </row>
    <row r="78" spans="2:11" x14ac:dyDescent="0.45">
      <c r="B78" s="5" t="str">
        <f t="array" ref="B78">IFERROR(_xlfn.IFS(
$B$6 = "Retention Overdue",
INDEX(Data!$B$2:$EO$956,
SMALL(IF(INDEX(Data!$B$2:$EO$956,,MATCH("Call Due",Data!$1:$1,0)-1,1)="Yes",MATCH(ROW(Data!$CN$2:$CN$956),ROW(Data!$CN$2:$CN$956)),""),ROWS($A$1:A67)),COLUMNS($A$1:A67)),
$B$6 = "OWIF-W",
INDEX(Data!$B$2:$EO$956,
SMALL(IF(INDEX(Data!$B$2:$EO$956,,MATCH("Grant Fund",Data!$1:$1,0)-1,1)="OWIF-W",MATCH(ROW(Data!$AO$2:$AO$956),ROW(Data!$AO$2:$AO$956)),""),ROWS($A$1:A67)),COLUMNS($A$1:A67)),
$B$6 = "G2C",
INDEX(Data!$B$2:$EO$956,
SMALL(IF(INDEX(Data!$B$2:$EO$956,,MATCH("Grant Fund",Data!$1:$1,0)-1,1)="Grads2Careers",MATCH(ROW(Data!$AO$2:$AO$956),ROW(Data!$AO$2:$AO$956)),""),ROWS($A$1:A67)),COLUMNS($A$1:A67)),
$B$6 = "OWIF",
INDEX(Data!$B$2:$EO$956,
SMALL(IF(INDEX(Data!$B$2:$EO$956,,MATCH("Grant Fund",Data!$1:$1,0)-1,1)="OWIF",MATCH(ROW(Data!$AO$2:$AO$956),ROW(Data!$AO$2:$AO$956)),""),ROWS($A$1:A67)),COLUMNS($A$1:A67)),
$B$6 = "WIOA",
INDEX(Data!$B$2:$EO$956,
SMALL(IF(INDEX(Data!$B$2:$EO$956,,MATCH("Grant Fund",Data!$1:$1,0)-1,1)="WIOA",MATCH(ROW(Data!$AO$2:$AO$956),ROW(Data!$AO$2:$AO$956)),""),ROWS($A$1:A67)),COLUMNS($A$1:A67)),
$B$6 = "WIOA II",
INDEX(Data!$B$2:$EO$956,
SMALL(IF(INDEX(Data!$B$2:$EO$956,,MATCH("Grant Fund",Data!$1:$1,0)-1,1)="WIOA II",MATCH(ROW(Data!$AO$2:$AO$956),ROW(Data!$AO$2:$AO$956)),""),ROWS($A$1:A67)),COLUMNS($A$1:A67)),
$B$6 = "WIOA III",
INDEX(Data!$B$2:$EO$956,
SMALL(IF(INDEX(Data!$B$2:$EO$956,,MATCH("Grant Fund",Data!$1:$1,0)-1,1)="WIOA III",MATCH(ROW(Data!$AO$2:$AO$956),ROW(Data!$AO$2:$AO$956)),""),ROWS($A$1:A67)),COLUMNS($A$1:A67)),
$B$6 = "Currently Employed",
INDEX(Data!$B$2:$EO$956,
SMALL(IF(INDEX(Data!$B$2:$EO$956,,MATCH("Currently Employed",Data!$1:$1,0)-1,1)="Yes",MATCH(ROW(Data!$DZ$2:$DZ$956),ROW(Data!$DZ$2:$DZ$956)),""),ROWS($A$1:A67)),COLUMNS($A$1:A67)),
$B$6 = "Inactive",
INDEX(Data!$B$2:$EO$956,
SMALL(IF(INDEX(Data!$B$2:$EO$956,,MATCH("Inactive",Data!$1:$1,0)-1,1)="Yes",MATCH(ROW(Data!$DG$2:$DG$956),ROW(Data!$DG$2:$DG$956)),""),ROWS($A$1:A67)),COLUMNS($A$1:A67)),
$B$6 = "Active",
INDEX(Data!$B$2:$EO$956,
SMALL(IF(INDEX(Data!$B$2:$EO$956,,MATCH("Active",Data!$1:$1,0)-1,1)="Yes",MATCH(ROW(Data!$DZ$2:$DZ$956),ROW(Data!$DZ$2:$DZ$956)),""),ROWS($A$1:A67)),COLUMNS($A$1:A67)),
$B$6 = "Status Unknown",
INDEX(Data!$B$2:$EO$956,
SMALL(IF(INDEX(Data!$B$2:$EO$956,,MATCH("Status Unknown",Data!$1:$1,0)-1,1)="Yes",MATCH(ROW(Data!$EB$2:$EB$956),ROW(Data!$EB$2:$EB$956)),""),ROWS($A$1:A67)),COLUMNS($A$1:A67)),
$B$6 = "Enrollment Pending",
INDEX(Data!$B$2:$EO$956,
SMALL(IF(INDEX(Data!$B$2:$EO$956,,MATCH("Enrollment Pending",Data!$1:$1,0)-1,1)="Yes",MATCH(ROW(Data!$DY$2:$DY$956),ROW(Data!$DY$2:$DY$956)),""),ROWS($A$1:A67)),COLUMNS($A$1:A67)),
$B$6 = "Gained Certification",
INDEX(Data!$B$2:$EO$956,
SMALL(IF(INDEX(Data!$B$2:$EO$956,,MATCH("Gained Certification",Data!$1:$1,0)-1,1)="Yes",MATCH(ROW(Data!$DU$2:$DU$956),ROW(Data!$DU$2:$DU$956)),""),ROWS($A$1:A67)),COLUMNS($A$1:A67)),
$B$6 = "No Certification",
INDEX(Data!$B$2:$EO$956,
SMALL(IF(INDEX(Data!$B$2:$EO$956,,MATCH("Gained Certification",Data!$1:$1,0)-1,1)&lt;&gt;"Yes",MATCH(ROW(Data!$DU$2:$DU$956),ROW(Data!$DU$2:$DU$956)),""),ROWS($A$1:A67)),COLUMNS($A$1:A67)),
$B$6 = "Completers Without Employment",
INDEX(Data!$B$2:$EO$967,
SMALL(IF(INDEX(Data!$B$2:$EO$967,,MATCH("Completed Without Employment",Data!$1:$1,0)-1,1)="Yes",MATCH(ROW(Data!$DZ$2:$DZ$967),ROW(Data!$DZ$2:$DZ$967)),""),ROWS($A$1:A67)),COLUMNS($A$1:A67)),
$B$6 = "CH",
INDEX(Data!$B$2:$EO$956,
SMALL(IF(INDEX(Data!$B$2:$EO$956,,MATCH("Case Manager",Data!$1:$1,0)-1,1)="CH",MATCH(ROW(Data!$DZ$2:$DZ$956),ROW(Data!$DZ$2:$DZ$956)),""),ROWS($A$1:A67)),COLUMNS($A$1:A67)),
$B$6 = "ML",
INDEX(Data!$B$2:$EO$956,
SMALL(IF(INDEX(Data!$B$2:$EO$956,,MATCH("Case Manager",Data!$1:$1,0)-1,1)="ML",MATCH(ROW(Data!$DZ$2:$DZ$956),ROW(Data!$DZ$2:$DZ$956)),""),ROWS($A$1:A67)),COLUMNS($A$1:A67)),
$B$6 = "RB",
INDEX(Data!$B$2:$EO$956,
SMALL(IF(INDEX(Data!$B$2:$EO$956,,MATCH("Case Manager",Data!$1:$1,0)-1,1)="RB",MATCH(ROW(Data!$DZ$2:$DZ$956),ROW(Data!$DZ$2:$DZ$956)),""),ROWS($A$1:A67)),COLUMNS($A$1:A67)),
$B$6 = "RV",
INDEX(Data!$B$2:$EO$956,
SMALL(IF(INDEX(Data!$B$2:$EO$956,,MATCH("Case Manager",Data!$1:$1,0)-1,1)="RV",MATCH(ROW(Data!$DZ$2:$DZ$956),ROW(Data!$DZ$2:$DZ$956)),""),ROWS($A$1:A67)),COLUMNS($A$1:A67)),
$B$6 = "SG",
INDEX(Data!$B$2:$EO$956,
SMALL(IF(INDEX(Data!$B$2:$EO$956,,MATCH("Case Manager",Data!$1:$1,0)-1,1)="SH",MATCH(ROW(Data!$DZ$2:$DZ$956),ROW(Data!$DZ$2:$DZ$956)),""),ROWS($A$1:A67)),COLUMNS($A$1:A67))
),"")</f>
        <v/>
      </c>
      <c r="C78" s="1" t="str">
        <f>IF(
IFERROR(
INDEX(Data!$1:$1048576,MATCH('Client Lists'!$B78,Data!$B:$B,0),MATCH('Client Lists'!C$11,Data!$1:$1,0)),"")=0,"",
IFERROR(
INDEX(Data!$1:$1048576,MATCH('Client Lists'!$B78,Data!$B:$B,0),MATCH('Client Lists'!C$11,Data!$1:$1,0)),""))</f>
        <v/>
      </c>
      <c r="D78" s="1" t="str">
        <f>IF(
IFERROR(
INDEX(Data!$1:$1048576,MATCH('Client Lists'!$B78,Data!$B:$B,0),MATCH('Client Lists'!D$11,Data!$1:$1,0)),"")=0,"",
IFERROR(
INDEX(Data!$1:$1048576,MATCH('Client Lists'!$B78,Data!$B:$B,0),MATCH('Client Lists'!D$11,Data!$1:$1,0)),""))</f>
        <v/>
      </c>
      <c r="E78" s="1" t="str">
        <f>IF(
IFERROR(
INDEX(Data!$1:$1048576,MATCH('Client Lists'!$B78,Data!$B:$B,0),MATCH('Client Lists'!E$11,Data!$1:$1,0)),"")=0,"",
IFERROR(
INDEX(Data!$1:$1048576,MATCH('Client Lists'!$B78,Data!$B:$B,0),MATCH('Client Lists'!E$11,Data!$1:$1,0)),""))</f>
        <v/>
      </c>
      <c r="F78" s="1" t="str">
        <f>IF(
IFERROR(
INDEX(Data!$1:$1048576,MATCH('Client Lists'!$B78,Data!$B:$B,0),MATCH('Client Lists'!F$11,Data!$1:$1,0)),"")=0,"",
IFERROR(
INDEX(Data!$1:$1048576,MATCH('Client Lists'!$B78,Data!$B:$B,0),MATCH('Client Lists'!F$11,Data!$1:$1,0)),""))</f>
        <v/>
      </c>
      <c r="G78" s="1" t="str">
        <f>IF(
IFERROR(
INDEX(Data!$1:$1048576,MATCH('Client Lists'!$B78,Data!$B:$B,0),MATCH('Client Lists'!G$11,Data!$1:$1,0)),"")=0,"",
IFERROR(
INDEX(Data!$1:$1048576,MATCH('Client Lists'!$B78,Data!$B:$B,0),MATCH('Client Lists'!G$11,Data!$1:$1,0)),""))</f>
        <v/>
      </c>
      <c r="H78" s="1" t="str">
        <f>IF(
IFERROR(
INDEX(Data!$1:$1048576,MATCH('Client Lists'!$B78,Data!$B:$B,0),MATCH('Client Lists'!H$11,Data!$1:$1,0)),"")=0,"",
IFERROR(
INDEX(Data!$1:$1048576,MATCH('Client Lists'!$B78,Data!$B:$B,0),MATCH('Client Lists'!H$11,Data!$1:$1,0)),""))</f>
        <v/>
      </c>
      <c r="I78" s="1" t="str">
        <f>IF(
IFERROR(
INDEX(Data!$1:$1048576,MATCH('Client Lists'!$B78,Data!$B:$B,0),MATCH('Client Lists'!I$11,Data!$1:$1,0)),"")=0,"",
IFERROR(
INDEX(Data!$1:$1048576,MATCH('Client Lists'!$B78,Data!$B:$B,0),MATCH('Client Lists'!I$11,Data!$1:$1,0)),""))</f>
        <v/>
      </c>
      <c r="J78" s="1" t="str">
        <f>IF(
IFERROR(
INDEX(Data!$1:$1048576,MATCH('Client Lists'!$B78,Data!$B:$B,0),MATCH('Client Lists'!J$11,Data!$1:$1,0)),"")=0,"",
IFERROR(
INDEX(Data!$1:$1048576,MATCH('Client Lists'!$B78,Data!$B:$B,0),MATCH('Client Lists'!J$11,Data!$1:$1,0)),""))</f>
        <v/>
      </c>
      <c r="K78" s="1" t="str">
        <f>IF(
IFERROR(
INDEX(Data!$1:$1048576,MATCH('Client Lists'!$B78,Data!$B:$B,0),MATCH('Client Lists'!K$11,Data!$1:$1,0)),"")=0,"",
IFERROR(
INDEX(Data!$1:$1048576,MATCH('Client Lists'!$B78,Data!$B:$B,0),MATCH('Client Lists'!K$11,Data!$1:$1,0)),""))</f>
        <v/>
      </c>
    </row>
    <row r="79" spans="2:11" x14ac:dyDescent="0.45">
      <c r="B79" s="5" t="str">
        <f t="array" ref="B79">IFERROR(_xlfn.IFS(
$B$6 = "Retention Overdue",
INDEX(Data!$B$2:$EO$956,
SMALL(IF(INDEX(Data!$B$2:$EO$956,,MATCH("Call Due",Data!$1:$1,0)-1,1)="Yes",MATCH(ROW(Data!$CN$2:$CN$956),ROW(Data!$CN$2:$CN$956)),""),ROWS($A$1:A68)),COLUMNS($A$1:A68)),
$B$6 = "OWIF-W",
INDEX(Data!$B$2:$EO$956,
SMALL(IF(INDEX(Data!$B$2:$EO$956,,MATCH("Grant Fund",Data!$1:$1,0)-1,1)="OWIF-W",MATCH(ROW(Data!$AO$2:$AO$956),ROW(Data!$AO$2:$AO$956)),""),ROWS($A$1:A68)),COLUMNS($A$1:A68)),
$B$6 = "G2C",
INDEX(Data!$B$2:$EO$956,
SMALL(IF(INDEX(Data!$B$2:$EO$956,,MATCH("Grant Fund",Data!$1:$1,0)-1,1)="Grads2Careers",MATCH(ROW(Data!$AO$2:$AO$956),ROW(Data!$AO$2:$AO$956)),""),ROWS($A$1:A68)),COLUMNS($A$1:A68)),
$B$6 = "OWIF",
INDEX(Data!$B$2:$EO$956,
SMALL(IF(INDEX(Data!$B$2:$EO$956,,MATCH("Grant Fund",Data!$1:$1,0)-1,1)="OWIF",MATCH(ROW(Data!$AO$2:$AO$956),ROW(Data!$AO$2:$AO$956)),""),ROWS($A$1:A68)),COLUMNS($A$1:A68)),
$B$6 = "WIOA",
INDEX(Data!$B$2:$EO$956,
SMALL(IF(INDEX(Data!$B$2:$EO$956,,MATCH("Grant Fund",Data!$1:$1,0)-1,1)="WIOA",MATCH(ROW(Data!$AO$2:$AO$956),ROW(Data!$AO$2:$AO$956)),""),ROWS($A$1:A68)),COLUMNS($A$1:A68)),
$B$6 = "WIOA II",
INDEX(Data!$B$2:$EO$956,
SMALL(IF(INDEX(Data!$B$2:$EO$956,,MATCH("Grant Fund",Data!$1:$1,0)-1,1)="WIOA II",MATCH(ROW(Data!$AO$2:$AO$956),ROW(Data!$AO$2:$AO$956)),""),ROWS($A$1:A68)),COLUMNS($A$1:A68)),
$B$6 = "WIOA III",
INDEX(Data!$B$2:$EO$956,
SMALL(IF(INDEX(Data!$B$2:$EO$956,,MATCH("Grant Fund",Data!$1:$1,0)-1,1)="WIOA III",MATCH(ROW(Data!$AO$2:$AO$956),ROW(Data!$AO$2:$AO$956)),""),ROWS($A$1:A68)),COLUMNS($A$1:A68)),
$B$6 = "Currently Employed",
INDEX(Data!$B$2:$EO$956,
SMALL(IF(INDEX(Data!$B$2:$EO$956,,MATCH("Currently Employed",Data!$1:$1,0)-1,1)="Yes",MATCH(ROW(Data!$DZ$2:$DZ$956),ROW(Data!$DZ$2:$DZ$956)),""),ROWS($A$1:A68)),COLUMNS($A$1:A68)),
$B$6 = "Inactive",
INDEX(Data!$B$2:$EO$956,
SMALL(IF(INDEX(Data!$B$2:$EO$956,,MATCH("Inactive",Data!$1:$1,0)-1,1)="Yes",MATCH(ROW(Data!$DG$2:$DG$956),ROW(Data!$DG$2:$DG$956)),""),ROWS($A$1:A68)),COLUMNS($A$1:A68)),
$B$6 = "Active",
INDEX(Data!$B$2:$EO$956,
SMALL(IF(INDEX(Data!$B$2:$EO$956,,MATCH("Active",Data!$1:$1,0)-1,1)="Yes",MATCH(ROW(Data!$DZ$2:$DZ$956),ROW(Data!$DZ$2:$DZ$956)),""),ROWS($A$1:A68)),COLUMNS($A$1:A68)),
$B$6 = "Status Unknown",
INDEX(Data!$B$2:$EO$956,
SMALL(IF(INDEX(Data!$B$2:$EO$956,,MATCH("Status Unknown",Data!$1:$1,0)-1,1)="Yes",MATCH(ROW(Data!$EB$2:$EB$956),ROW(Data!$EB$2:$EB$956)),""),ROWS($A$1:A68)),COLUMNS($A$1:A68)),
$B$6 = "Enrollment Pending",
INDEX(Data!$B$2:$EO$956,
SMALL(IF(INDEX(Data!$B$2:$EO$956,,MATCH("Enrollment Pending",Data!$1:$1,0)-1,1)="Yes",MATCH(ROW(Data!$DY$2:$DY$956),ROW(Data!$DY$2:$DY$956)),""),ROWS($A$1:A68)),COLUMNS($A$1:A68)),
$B$6 = "Gained Certification",
INDEX(Data!$B$2:$EO$956,
SMALL(IF(INDEX(Data!$B$2:$EO$956,,MATCH("Gained Certification",Data!$1:$1,0)-1,1)="Yes",MATCH(ROW(Data!$DU$2:$DU$956),ROW(Data!$DU$2:$DU$956)),""),ROWS($A$1:A68)),COLUMNS($A$1:A68)),
$B$6 = "No Certification",
INDEX(Data!$B$2:$EO$956,
SMALL(IF(INDEX(Data!$B$2:$EO$956,,MATCH("Gained Certification",Data!$1:$1,0)-1,1)&lt;&gt;"Yes",MATCH(ROW(Data!$DU$2:$DU$956),ROW(Data!$DU$2:$DU$956)),""),ROWS($A$1:A68)),COLUMNS($A$1:A68)),
$B$6 = "Completers Without Employment",
INDEX(Data!$B$2:$EO$967,
SMALL(IF(INDEX(Data!$B$2:$EO$967,,MATCH("Completed Without Employment",Data!$1:$1,0)-1,1)="Yes",MATCH(ROW(Data!$DZ$2:$DZ$967),ROW(Data!$DZ$2:$DZ$967)),""),ROWS($A$1:A68)),COLUMNS($A$1:A68)),
$B$6 = "CH",
INDEX(Data!$B$2:$EO$956,
SMALL(IF(INDEX(Data!$B$2:$EO$956,,MATCH("Case Manager",Data!$1:$1,0)-1,1)="CH",MATCH(ROW(Data!$DZ$2:$DZ$956),ROW(Data!$DZ$2:$DZ$956)),""),ROWS($A$1:A68)),COLUMNS($A$1:A68)),
$B$6 = "ML",
INDEX(Data!$B$2:$EO$956,
SMALL(IF(INDEX(Data!$B$2:$EO$956,,MATCH("Case Manager",Data!$1:$1,0)-1,1)="ML",MATCH(ROW(Data!$DZ$2:$DZ$956),ROW(Data!$DZ$2:$DZ$956)),""),ROWS($A$1:A68)),COLUMNS($A$1:A68)),
$B$6 = "RB",
INDEX(Data!$B$2:$EO$956,
SMALL(IF(INDEX(Data!$B$2:$EO$956,,MATCH("Case Manager",Data!$1:$1,0)-1,1)="RB",MATCH(ROW(Data!$DZ$2:$DZ$956),ROW(Data!$DZ$2:$DZ$956)),""),ROWS($A$1:A68)),COLUMNS($A$1:A68)),
$B$6 = "RV",
INDEX(Data!$B$2:$EO$956,
SMALL(IF(INDEX(Data!$B$2:$EO$956,,MATCH("Case Manager",Data!$1:$1,0)-1,1)="RV",MATCH(ROW(Data!$DZ$2:$DZ$956),ROW(Data!$DZ$2:$DZ$956)),""),ROWS($A$1:A68)),COLUMNS($A$1:A68)),
$B$6 = "SG",
INDEX(Data!$B$2:$EO$956,
SMALL(IF(INDEX(Data!$B$2:$EO$956,,MATCH("Case Manager",Data!$1:$1,0)-1,1)="SH",MATCH(ROW(Data!$DZ$2:$DZ$956),ROW(Data!$DZ$2:$DZ$956)),""),ROWS($A$1:A68)),COLUMNS($A$1:A68))
),"")</f>
        <v/>
      </c>
      <c r="C79" s="1" t="str">
        <f>IF(
IFERROR(
INDEX(Data!$1:$1048576,MATCH('Client Lists'!$B79,Data!$B:$B,0),MATCH('Client Lists'!C$11,Data!$1:$1,0)),"")=0,"",
IFERROR(
INDEX(Data!$1:$1048576,MATCH('Client Lists'!$B79,Data!$B:$B,0),MATCH('Client Lists'!C$11,Data!$1:$1,0)),""))</f>
        <v/>
      </c>
      <c r="D79" s="1" t="str">
        <f>IF(
IFERROR(
INDEX(Data!$1:$1048576,MATCH('Client Lists'!$B79,Data!$B:$B,0),MATCH('Client Lists'!D$11,Data!$1:$1,0)),"")=0,"",
IFERROR(
INDEX(Data!$1:$1048576,MATCH('Client Lists'!$B79,Data!$B:$B,0),MATCH('Client Lists'!D$11,Data!$1:$1,0)),""))</f>
        <v/>
      </c>
      <c r="E79" s="1" t="str">
        <f>IF(
IFERROR(
INDEX(Data!$1:$1048576,MATCH('Client Lists'!$B79,Data!$B:$B,0),MATCH('Client Lists'!E$11,Data!$1:$1,0)),"")=0,"",
IFERROR(
INDEX(Data!$1:$1048576,MATCH('Client Lists'!$B79,Data!$B:$B,0),MATCH('Client Lists'!E$11,Data!$1:$1,0)),""))</f>
        <v/>
      </c>
      <c r="F79" s="1" t="str">
        <f>IF(
IFERROR(
INDEX(Data!$1:$1048576,MATCH('Client Lists'!$B79,Data!$B:$B,0),MATCH('Client Lists'!F$11,Data!$1:$1,0)),"")=0,"",
IFERROR(
INDEX(Data!$1:$1048576,MATCH('Client Lists'!$B79,Data!$B:$B,0),MATCH('Client Lists'!F$11,Data!$1:$1,0)),""))</f>
        <v/>
      </c>
      <c r="G79" s="1" t="str">
        <f>IF(
IFERROR(
INDEX(Data!$1:$1048576,MATCH('Client Lists'!$B79,Data!$B:$B,0),MATCH('Client Lists'!G$11,Data!$1:$1,0)),"")=0,"",
IFERROR(
INDEX(Data!$1:$1048576,MATCH('Client Lists'!$B79,Data!$B:$B,0),MATCH('Client Lists'!G$11,Data!$1:$1,0)),""))</f>
        <v/>
      </c>
      <c r="H79" s="1" t="str">
        <f>IF(
IFERROR(
INDEX(Data!$1:$1048576,MATCH('Client Lists'!$B79,Data!$B:$B,0),MATCH('Client Lists'!H$11,Data!$1:$1,0)),"")=0,"",
IFERROR(
INDEX(Data!$1:$1048576,MATCH('Client Lists'!$B79,Data!$B:$B,0),MATCH('Client Lists'!H$11,Data!$1:$1,0)),""))</f>
        <v/>
      </c>
      <c r="I79" s="1" t="str">
        <f>IF(
IFERROR(
INDEX(Data!$1:$1048576,MATCH('Client Lists'!$B79,Data!$B:$B,0),MATCH('Client Lists'!I$11,Data!$1:$1,0)),"")=0,"",
IFERROR(
INDEX(Data!$1:$1048576,MATCH('Client Lists'!$B79,Data!$B:$B,0),MATCH('Client Lists'!I$11,Data!$1:$1,0)),""))</f>
        <v/>
      </c>
      <c r="J79" s="1" t="str">
        <f>IF(
IFERROR(
INDEX(Data!$1:$1048576,MATCH('Client Lists'!$B79,Data!$B:$B,0),MATCH('Client Lists'!J$11,Data!$1:$1,0)),"")=0,"",
IFERROR(
INDEX(Data!$1:$1048576,MATCH('Client Lists'!$B79,Data!$B:$B,0),MATCH('Client Lists'!J$11,Data!$1:$1,0)),""))</f>
        <v/>
      </c>
      <c r="K79" s="1" t="str">
        <f>IF(
IFERROR(
INDEX(Data!$1:$1048576,MATCH('Client Lists'!$B79,Data!$B:$B,0),MATCH('Client Lists'!K$11,Data!$1:$1,0)),"")=0,"",
IFERROR(
INDEX(Data!$1:$1048576,MATCH('Client Lists'!$B79,Data!$B:$B,0),MATCH('Client Lists'!K$11,Data!$1:$1,0)),""))</f>
        <v/>
      </c>
    </row>
    <row r="80" spans="2:11" x14ac:dyDescent="0.45">
      <c r="B80" s="5" t="str">
        <f t="array" ref="B80">IFERROR(_xlfn.IFS(
$B$6 = "Retention Overdue",
INDEX(Data!$B$2:$EO$956,
SMALL(IF(INDEX(Data!$B$2:$EO$956,,MATCH("Call Due",Data!$1:$1,0)-1,1)="Yes",MATCH(ROW(Data!$CN$2:$CN$956),ROW(Data!$CN$2:$CN$956)),""),ROWS($A$1:A69)),COLUMNS($A$1:A69)),
$B$6 = "OWIF-W",
INDEX(Data!$B$2:$EO$956,
SMALL(IF(INDEX(Data!$B$2:$EO$956,,MATCH("Grant Fund",Data!$1:$1,0)-1,1)="OWIF-W",MATCH(ROW(Data!$AO$2:$AO$956),ROW(Data!$AO$2:$AO$956)),""),ROWS($A$1:A69)),COLUMNS($A$1:A69)),
$B$6 = "G2C",
INDEX(Data!$B$2:$EO$956,
SMALL(IF(INDEX(Data!$B$2:$EO$956,,MATCH("Grant Fund",Data!$1:$1,0)-1,1)="Grads2Careers",MATCH(ROW(Data!$AO$2:$AO$956),ROW(Data!$AO$2:$AO$956)),""),ROWS($A$1:A69)),COLUMNS($A$1:A69)),
$B$6 = "OWIF",
INDEX(Data!$B$2:$EO$956,
SMALL(IF(INDEX(Data!$B$2:$EO$956,,MATCH("Grant Fund",Data!$1:$1,0)-1,1)="OWIF",MATCH(ROW(Data!$AO$2:$AO$956),ROW(Data!$AO$2:$AO$956)),""),ROWS($A$1:A69)),COLUMNS($A$1:A69)),
$B$6 = "WIOA",
INDEX(Data!$B$2:$EO$956,
SMALL(IF(INDEX(Data!$B$2:$EO$956,,MATCH("Grant Fund",Data!$1:$1,0)-1,1)="WIOA",MATCH(ROW(Data!$AO$2:$AO$956),ROW(Data!$AO$2:$AO$956)),""),ROWS($A$1:A69)),COLUMNS($A$1:A69)),
$B$6 = "WIOA II",
INDEX(Data!$B$2:$EO$956,
SMALL(IF(INDEX(Data!$B$2:$EO$956,,MATCH("Grant Fund",Data!$1:$1,0)-1,1)="WIOA II",MATCH(ROW(Data!$AO$2:$AO$956),ROW(Data!$AO$2:$AO$956)),""),ROWS($A$1:A69)),COLUMNS($A$1:A69)),
$B$6 = "WIOA III",
INDEX(Data!$B$2:$EO$956,
SMALL(IF(INDEX(Data!$B$2:$EO$956,,MATCH("Grant Fund",Data!$1:$1,0)-1,1)="WIOA III",MATCH(ROW(Data!$AO$2:$AO$956),ROW(Data!$AO$2:$AO$956)),""),ROWS($A$1:A69)),COLUMNS($A$1:A69)),
$B$6 = "Currently Employed",
INDEX(Data!$B$2:$EO$956,
SMALL(IF(INDEX(Data!$B$2:$EO$956,,MATCH("Currently Employed",Data!$1:$1,0)-1,1)="Yes",MATCH(ROW(Data!$DZ$2:$DZ$956),ROW(Data!$DZ$2:$DZ$956)),""),ROWS($A$1:A69)),COLUMNS($A$1:A69)),
$B$6 = "Inactive",
INDEX(Data!$B$2:$EO$956,
SMALL(IF(INDEX(Data!$B$2:$EO$956,,MATCH("Inactive",Data!$1:$1,0)-1,1)="Yes",MATCH(ROW(Data!$DG$2:$DG$956),ROW(Data!$DG$2:$DG$956)),""),ROWS($A$1:A69)),COLUMNS($A$1:A69)),
$B$6 = "Active",
INDEX(Data!$B$2:$EO$956,
SMALL(IF(INDEX(Data!$B$2:$EO$956,,MATCH("Active",Data!$1:$1,0)-1,1)="Yes",MATCH(ROW(Data!$DZ$2:$DZ$956),ROW(Data!$DZ$2:$DZ$956)),""),ROWS($A$1:A69)),COLUMNS($A$1:A69)),
$B$6 = "Status Unknown",
INDEX(Data!$B$2:$EO$956,
SMALL(IF(INDEX(Data!$B$2:$EO$956,,MATCH("Status Unknown",Data!$1:$1,0)-1,1)="Yes",MATCH(ROW(Data!$EB$2:$EB$956),ROW(Data!$EB$2:$EB$956)),""),ROWS($A$1:A69)),COLUMNS($A$1:A69)),
$B$6 = "Enrollment Pending",
INDEX(Data!$B$2:$EO$956,
SMALL(IF(INDEX(Data!$B$2:$EO$956,,MATCH("Enrollment Pending",Data!$1:$1,0)-1,1)="Yes",MATCH(ROW(Data!$DY$2:$DY$956),ROW(Data!$DY$2:$DY$956)),""),ROWS($A$1:A69)),COLUMNS($A$1:A69)),
$B$6 = "Gained Certification",
INDEX(Data!$B$2:$EO$956,
SMALL(IF(INDEX(Data!$B$2:$EO$956,,MATCH("Gained Certification",Data!$1:$1,0)-1,1)="Yes",MATCH(ROW(Data!$DU$2:$DU$956),ROW(Data!$DU$2:$DU$956)),""),ROWS($A$1:A69)),COLUMNS($A$1:A69)),
$B$6 = "No Certification",
INDEX(Data!$B$2:$EO$956,
SMALL(IF(INDEX(Data!$B$2:$EO$956,,MATCH("Gained Certification",Data!$1:$1,0)-1,1)&lt;&gt;"Yes",MATCH(ROW(Data!$DU$2:$DU$956),ROW(Data!$DU$2:$DU$956)),""),ROWS($A$1:A69)),COLUMNS($A$1:A69)),
$B$6 = "Completers Without Employment",
INDEX(Data!$B$2:$EO$967,
SMALL(IF(INDEX(Data!$B$2:$EO$967,,MATCH("Completed Without Employment",Data!$1:$1,0)-1,1)="Yes",MATCH(ROW(Data!$DZ$2:$DZ$967),ROW(Data!$DZ$2:$DZ$967)),""),ROWS($A$1:A69)),COLUMNS($A$1:A69)),
$B$6 = "CH",
INDEX(Data!$B$2:$EO$956,
SMALL(IF(INDEX(Data!$B$2:$EO$956,,MATCH("Case Manager",Data!$1:$1,0)-1,1)="CH",MATCH(ROW(Data!$DZ$2:$DZ$956),ROW(Data!$DZ$2:$DZ$956)),""),ROWS($A$1:A69)),COLUMNS($A$1:A69)),
$B$6 = "ML",
INDEX(Data!$B$2:$EO$956,
SMALL(IF(INDEX(Data!$B$2:$EO$956,,MATCH("Case Manager",Data!$1:$1,0)-1,1)="ML",MATCH(ROW(Data!$DZ$2:$DZ$956),ROW(Data!$DZ$2:$DZ$956)),""),ROWS($A$1:A69)),COLUMNS($A$1:A69)),
$B$6 = "RB",
INDEX(Data!$B$2:$EO$956,
SMALL(IF(INDEX(Data!$B$2:$EO$956,,MATCH("Case Manager",Data!$1:$1,0)-1,1)="RB",MATCH(ROW(Data!$DZ$2:$DZ$956),ROW(Data!$DZ$2:$DZ$956)),""),ROWS($A$1:A69)),COLUMNS($A$1:A69)),
$B$6 = "RV",
INDEX(Data!$B$2:$EO$956,
SMALL(IF(INDEX(Data!$B$2:$EO$956,,MATCH("Case Manager",Data!$1:$1,0)-1,1)="RV",MATCH(ROW(Data!$DZ$2:$DZ$956),ROW(Data!$DZ$2:$DZ$956)),""),ROWS($A$1:A69)),COLUMNS($A$1:A69)),
$B$6 = "SG",
INDEX(Data!$B$2:$EO$956,
SMALL(IF(INDEX(Data!$B$2:$EO$956,,MATCH("Case Manager",Data!$1:$1,0)-1,1)="SH",MATCH(ROW(Data!$DZ$2:$DZ$956),ROW(Data!$DZ$2:$DZ$956)),""),ROWS($A$1:A69)),COLUMNS($A$1:A69))
),"")</f>
        <v/>
      </c>
      <c r="C80" s="1" t="str">
        <f>IF(
IFERROR(
INDEX(Data!$1:$1048576,MATCH('Client Lists'!$B80,Data!$B:$B,0),MATCH('Client Lists'!C$11,Data!$1:$1,0)),"")=0,"",
IFERROR(
INDEX(Data!$1:$1048576,MATCH('Client Lists'!$B80,Data!$B:$B,0),MATCH('Client Lists'!C$11,Data!$1:$1,0)),""))</f>
        <v/>
      </c>
      <c r="D80" s="1" t="str">
        <f>IF(
IFERROR(
INDEX(Data!$1:$1048576,MATCH('Client Lists'!$B80,Data!$B:$B,0),MATCH('Client Lists'!D$11,Data!$1:$1,0)),"")=0,"",
IFERROR(
INDEX(Data!$1:$1048576,MATCH('Client Lists'!$B80,Data!$B:$B,0),MATCH('Client Lists'!D$11,Data!$1:$1,0)),""))</f>
        <v/>
      </c>
      <c r="E80" s="1" t="str">
        <f>IF(
IFERROR(
INDEX(Data!$1:$1048576,MATCH('Client Lists'!$B80,Data!$B:$B,0),MATCH('Client Lists'!E$11,Data!$1:$1,0)),"")=0,"",
IFERROR(
INDEX(Data!$1:$1048576,MATCH('Client Lists'!$B80,Data!$B:$B,0),MATCH('Client Lists'!E$11,Data!$1:$1,0)),""))</f>
        <v/>
      </c>
      <c r="F80" s="1" t="str">
        <f>IF(
IFERROR(
INDEX(Data!$1:$1048576,MATCH('Client Lists'!$B80,Data!$B:$B,0),MATCH('Client Lists'!F$11,Data!$1:$1,0)),"")=0,"",
IFERROR(
INDEX(Data!$1:$1048576,MATCH('Client Lists'!$B80,Data!$B:$B,0),MATCH('Client Lists'!F$11,Data!$1:$1,0)),""))</f>
        <v/>
      </c>
      <c r="G80" s="1" t="str">
        <f>IF(
IFERROR(
INDEX(Data!$1:$1048576,MATCH('Client Lists'!$B80,Data!$B:$B,0),MATCH('Client Lists'!G$11,Data!$1:$1,0)),"")=0,"",
IFERROR(
INDEX(Data!$1:$1048576,MATCH('Client Lists'!$B80,Data!$B:$B,0),MATCH('Client Lists'!G$11,Data!$1:$1,0)),""))</f>
        <v/>
      </c>
      <c r="H80" s="1" t="str">
        <f>IF(
IFERROR(
INDEX(Data!$1:$1048576,MATCH('Client Lists'!$B80,Data!$B:$B,0),MATCH('Client Lists'!H$11,Data!$1:$1,0)),"")=0,"",
IFERROR(
INDEX(Data!$1:$1048576,MATCH('Client Lists'!$B80,Data!$B:$B,0),MATCH('Client Lists'!H$11,Data!$1:$1,0)),""))</f>
        <v/>
      </c>
      <c r="I80" s="1" t="str">
        <f>IF(
IFERROR(
INDEX(Data!$1:$1048576,MATCH('Client Lists'!$B80,Data!$B:$B,0),MATCH('Client Lists'!I$11,Data!$1:$1,0)),"")=0,"",
IFERROR(
INDEX(Data!$1:$1048576,MATCH('Client Lists'!$B80,Data!$B:$B,0),MATCH('Client Lists'!I$11,Data!$1:$1,0)),""))</f>
        <v/>
      </c>
      <c r="J80" s="1" t="str">
        <f>IF(
IFERROR(
INDEX(Data!$1:$1048576,MATCH('Client Lists'!$B80,Data!$B:$B,0),MATCH('Client Lists'!J$11,Data!$1:$1,0)),"")=0,"",
IFERROR(
INDEX(Data!$1:$1048576,MATCH('Client Lists'!$B80,Data!$B:$B,0),MATCH('Client Lists'!J$11,Data!$1:$1,0)),""))</f>
        <v/>
      </c>
      <c r="K80" s="1" t="str">
        <f>IF(
IFERROR(
INDEX(Data!$1:$1048576,MATCH('Client Lists'!$B80,Data!$B:$B,0),MATCH('Client Lists'!K$11,Data!$1:$1,0)),"")=0,"",
IFERROR(
INDEX(Data!$1:$1048576,MATCH('Client Lists'!$B80,Data!$B:$B,0),MATCH('Client Lists'!K$11,Data!$1:$1,0)),""))</f>
        <v/>
      </c>
    </row>
    <row r="81" spans="2:11" x14ac:dyDescent="0.45">
      <c r="B81" s="5" t="str">
        <f t="array" ref="B81">IFERROR(_xlfn.IFS(
$B$6 = "Retention Overdue",
INDEX(Data!$B$2:$EO$956,
SMALL(IF(INDEX(Data!$B$2:$EO$956,,MATCH("Call Due",Data!$1:$1,0)-1,1)="Yes",MATCH(ROW(Data!$CN$2:$CN$956),ROW(Data!$CN$2:$CN$956)),""),ROWS($A$1:A70)),COLUMNS($A$1:A70)),
$B$6 = "OWIF-W",
INDEX(Data!$B$2:$EO$956,
SMALL(IF(INDEX(Data!$B$2:$EO$956,,MATCH("Grant Fund",Data!$1:$1,0)-1,1)="OWIF-W",MATCH(ROW(Data!$AO$2:$AO$956),ROW(Data!$AO$2:$AO$956)),""),ROWS($A$1:A70)),COLUMNS($A$1:A70)),
$B$6 = "G2C",
INDEX(Data!$B$2:$EO$956,
SMALL(IF(INDEX(Data!$B$2:$EO$956,,MATCH("Grant Fund",Data!$1:$1,0)-1,1)="Grads2Careers",MATCH(ROW(Data!$AO$2:$AO$956),ROW(Data!$AO$2:$AO$956)),""),ROWS($A$1:A70)),COLUMNS($A$1:A70)),
$B$6 = "OWIF",
INDEX(Data!$B$2:$EO$956,
SMALL(IF(INDEX(Data!$B$2:$EO$956,,MATCH("Grant Fund",Data!$1:$1,0)-1,1)="OWIF",MATCH(ROW(Data!$AO$2:$AO$956),ROW(Data!$AO$2:$AO$956)),""),ROWS($A$1:A70)),COLUMNS($A$1:A70)),
$B$6 = "WIOA",
INDEX(Data!$B$2:$EO$956,
SMALL(IF(INDEX(Data!$B$2:$EO$956,,MATCH("Grant Fund",Data!$1:$1,0)-1,1)="WIOA",MATCH(ROW(Data!$AO$2:$AO$956),ROW(Data!$AO$2:$AO$956)),""),ROWS($A$1:A70)),COLUMNS($A$1:A70)),
$B$6 = "WIOA II",
INDEX(Data!$B$2:$EO$956,
SMALL(IF(INDEX(Data!$B$2:$EO$956,,MATCH("Grant Fund",Data!$1:$1,0)-1,1)="WIOA II",MATCH(ROW(Data!$AO$2:$AO$956),ROW(Data!$AO$2:$AO$956)),""),ROWS($A$1:A70)),COLUMNS($A$1:A70)),
$B$6 = "WIOA III",
INDEX(Data!$B$2:$EO$956,
SMALL(IF(INDEX(Data!$B$2:$EO$956,,MATCH("Grant Fund",Data!$1:$1,0)-1,1)="WIOA III",MATCH(ROW(Data!$AO$2:$AO$956),ROW(Data!$AO$2:$AO$956)),""),ROWS($A$1:A70)),COLUMNS($A$1:A70)),
$B$6 = "Currently Employed",
INDEX(Data!$B$2:$EO$956,
SMALL(IF(INDEX(Data!$B$2:$EO$956,,MATCH("Currently Employed",Data!$1:$1,0)-1,1)="Yes",MATCH(ROW(Data!$DZ$2:$DZ$956),ROW(Data!$DZ$2:$DZ$956)),""),ROWS($A$1:A70)),COLUMNS($A$1:A70)),
$B$6 = "Inactive",
INDEX(Data!$B$2:$EO$956,
SMALL(IF(INDEX(Data!$B$2:$EO$956,,MATCH("Inactive",Data!$1:$1,0)-1,1)="Yes",MATCH(ROW(Data!$DG$2:$DG$956),ROW(Data!$DG$2:$DG$956)),""),ROWS($A$1:A70)),COLUMNS($A$1:A70)),
$B$6 = "Active",
INDEX(Data!$B$2:$EO$956,
SMALL(IF(INDEX(Data!$B$2:$EO$956,,MATCH("Active",Data!$1:$1,0)-1,1)="Yes",MATCH(ROW(Data!$DZ$2:$DZ$956),ROW(Data!$DZ$2:$DZ$956)),""),ROWS($A$1:A70)),COLUMNS($A$1:A70)),
$B$6 = "Status Unknown",
INDEX(Data!$B$2:$EO$956,
SMALL(IF(INDEX(Data!$B$2:$EO$956,,MATCH("Status Unknown",Data!$1:$1,0)-1,1)="Yes",MATCH(ROW(Data!$EB$2:$EB$956),ROW(Data!$EB$2:$EB$956)),""),ROWS($A$1:A70)),COLUMNS($A$1:A70)),
$B$6 = "Enrollment Pending",
INDEX(Data!$B$2:$EO$956,
SMALL(IF(INDEX(Data!$B$2:$EO$956,,MATCH("Enrollment Pending",Data!$1:$1,0)-1,1)="Yes",MATCH(ROW(Data!$DY$2:$DY$956),ROW(Data!$DY$2:$DY$956)),""),ROWS($A$1:A70)),COLUMNS($A$1:A70)),
$B$6 = "Gained Certification",
INDEX(Data!$B$2:$EO$956,
SMALL(IF(INDEX(Data!$B$2:$EO$956,,MATCH("Gained Certification",Data!$1:$1,0)-1,1)="Yes",MATCH(ROW(Data!$DU$2:$DU$956),ROW(Data!$DU$2:$DU$956)),""),ROWS($A$1:A70)),COLUMNS($A$1:A70)),
$B$6 = "No Certification",
INDEX(Data!$B$2:$EO$956,
SMALL(IF(INDEX(Data!$B$2:$EO$956,,MATCH("Gained Certification",Data!$1:$1,0)-1,1)&lt;&gt;"Yes",MATCH(ROW(Data!$DU$2:$DU$956),ROW(Data!$DU$2:$DU$956)),""),ROWS($A$1:A70)),COLUMNS($A$1:A70)),
$B$6 = "Completers Without Employment",
INDEX(Data!$B$2:$EO$967,
SMALL(IF(INDEX(Data!$B$2:$EO$967,,MATCH("Completed Without Employment",Data!$1:$1,0)-1,1)="Yes",MATCH(ROW(Data!$DZ$2:$DZ$967),ROW(Data!$DZ$2:$DZ$967)),""),ROWS($A$1:A70)),COLUMNS($A$1:A70)),
$B$6 = "CH",
INDEX(Data!$B$2:$EO$956,
SMALL(IF(INDEX(Data!$B$2:$EO$956,,MATCH("Case Manager",Data!$1:$1,0)-1,1)="CH",MATCH(ROW(Data!$DZ$2:$DZ$956),ROW(Data!$DZ$2:$DZ$956)),""),ROWS($A$1:A70)),COLUMNS($A$1:A70)),
$B$6 = "ML",
INDEX(Data!$B$2:$EO$956,
SMALL(IF(INDEX(Data!$B$2:$EO$956,,MATCH("Case Manager",Data!$1:$1,0)-1,1)="ML",MATCH(ROW(Data!$DZ$2:$DZ$956),ROW(Data!$DZ$2:$DZ$956)),""),ROWS($A$1:A70)),COLUMNS($A$1:A70)),
$B$6 = "RB",
INDEX(Data!$B$2:$EO$956,
SMALL(IF(INDEX(Data!$B$2:$EO$956,,MATCH("Case Manager",Data!$1:$1,0)-1,1)="RB",MATCH(ROW(Data!$DZ$2:$DZ$956),ROW(Data!$DZ$2:$DZ$956)),""),ROWS($A$1:A70)),COLUMNS($A$1:A70)),
$B$6 = "RV",
INDEX(Data!$B$2:$EO$956,
SMALL(IF(INDEX(Data!$B$2:$EO$956,,MATCH("Case Manager",Data!$1:$1,0)-1,1)="RV",MATCH(ROW(Data!$DZ$2:$DZ$956),ROW(Data!$DZ$2:$DZ$956)),""),ROWS($A$1:A70)),COLUMNS($A$1:A70)),
$B$6 = "SG",
INDEX(Data!$B$2:$EO$956,
SMALL(IF(INDEX(Data!$B$2:$EO$956,,MATCH("Case Manager",Data!$1:$1,0)-1,1)="SH",MATCH(ROW(Data!$DZ$2:$DZ$956),ROW(Data!$DZ$2:$DZ$956)),""),ROWS($A$1:A70)),COLUMNS($A$1:A70))
),"")</f>
        <v/>
      </c>
      <c r="C81" s="1" t="str">
        <f>IF(
IFERROR(
INDEX(Data!$1:$1048576,MATCH('Client Lists'!$B81,Data!$B:$B,0),MATCH('Client Lists'!C$11,Data!$1:$1,0)),"")=0,"",
IFERROR(
INDEX(Data!$1:$1048576,MATCH('Client Lists'!$B81,Data!$B:$B,0),MATCH('Client Lists'!C$11,Data!$1:$1,0)),""))</f>
        <v/>
      </c>
      <c r="D81" s="1" t="str">
        <f>IF(
IFERROR(
INDEX(Data!$1:$1048576,MATCH('Client Lists'!$B81,Data!$B:$B,0),MATCH('Client Lists'!D$11,Data!$1:$1,0)),"")=0,"",
IFERROR(
INDEX(Data!$1:$1048576,MATCH('Client Lists'!$B81,Data!$B:$B,0),MATCH('Client Lists'!D$11,Data!$1:$1,0)),""))</f>
        <v/>
      </c>
      <c r="E81" s="1" t="str">
        <f>IF(
IFERROR(
INDEX(Data!$1:$1048576,MATCH('Client Lists'!$B81,Data!$B:$B,0),MATCH('Client Lists'!E$11,Data!$1:$1,0)),"")=0,"",
IFERROR(
INDEX(Data!$1:$1048576,MATCH('Client Lists'!$B81,Data!$B:$B,0),MATCH('Client Lists'!E$11,Data!$1:$1,0)),""))</f>
        <v/>
      </c>
      <c r="F81" s="1" t="str">
        <f>IF(
IFERROR(
INDEX(Data!$1:$1048576,MATCH('Client Lists'!$B81,Data!$B:$B,0),MATCH('Client Lists'!F$11,Data!$1:$1,0)),"")=0,"",
IFERROR(
INDEX(Data!$1:$1048576,MATCH('Client Lists'!$B81,Data!$B:$B,0),MATCH('Client Lists'!F$11,Data!$1:$1,0)),""))</f>
        <v/>
      </c>
      <c r="G81" s="1" t="str">
        <f>IF(
IFERROR(
INDEX(Data!$1:$1048576,MATCH('Client Lists'!$B81,Data!$B:$B,0),MATCH('Client Lists'!G$11,Data!$1:$1,0)),"")=0,"",
IFERROR(
INDEX(Data!$1:$1048576,MATCH('Client Lists'!$B81,Data!$B:$B,0),MATCH('Client Lists'!G$11,Data!$1:$1,0)),""))</f>
        <v/>
      </c>
      <c r="H81" s="1" t="str">
        <f>IF(
IFERROR(
INDEX(Data!$1:$1048576,MATCH('Client Lists'!$B81,Data!$B:$B,0),MATCH('Client Lists'!H$11,Data!$1:$1,0)),"")=0,"",
IFERROR(
INDEX(Data!$1:$1048576,MATCH('Client Lists'!$B81,Data!$B:$B,0),MATCH('Client Lists'!H$11,Data!$1:$1,0)),""))</f>
        <v/>
      </c>
      <c r="I81" s="1" t="str">
        <f>IF(
IFERROR(
INDEX(Data!$1:$1048576,MATCH('Client Lists'!$B81,Data!$B:$B,0),MATCH('Client Lists'!I$11,Data!$1:$1,0)),"")=0,"",
IFERROR(
INDEX(Data!$1:$1048576,MATCH('Client Lists'!$B81,Data!$B:$B,0),MATCH('Client Lists'!I$11,Data!$1:$1,0)),""))</f>
        <v/>
      </c>
      <c r="J81" s="1" t="str">
        <f>IF(
IFERROR(
INDEX(Data!$1:$1048576,MATCH('Client Lists'!$B81,Data!$B:$B,0),MATCH('Client Lists'!J$11,Data!$1:$1,0)),"")=0,"",
IFERROR(
INDEX(Data!$1:$1048576,MATCH('Client Lists'!$B81,Data!$B:$B,0),MATCH('Client Lists'!J$11,Data!$1:$1,0)),""))</f>
        <v/>
      </c>
      <c r="K81" s="1" t="str">
        <f>IF(
IFERROR(
INDEX(Data!$1:$1048576,MATCH('Client Lists'!$B81,Data!$B:$B,0),MATCH('Client Lists'!K$11,Data!$1:$1,0)),"")=0,"",
IFERROR(
INDEX(Data!$1:$1048576,MATCH('Client Lists'!$B81,Data!$B:$B,0),MATCH('Client Lists'!K$11,Data!$1:$1,0)),""))</f>
        <v/>
      </c>
    </row>
    <row r="82" spans="2:11" x14ac:dyDescent="0.45">
      <c r="B82" s="5" t="str">
        <f t="array" ref="B82">IFERROR(_xlfn.IFS(
$B$6 = "Retention Overdue",
INDEX(Data!$B$2:$EO$956,
SMALL(IF(INDEX(Data!$B$2:$EO$956,,MATCH("Call Due",Data!$1:$1,0)-1,1)="Yes",MATCH(ROW(Data!$CN$2:$CN$956),ROW(Data!$CN$2:$CN$956)),""),ROWS($A$1:A71)),COLUMNS($A$1:A71)),
$B$6 = "OWIF-W",
INDEX(Data!$B$2:$EO$956,
SMALL(IF(INDEX(Data!$B$2:$EO$956,,MATCH("Grant Fund",Data!$1:$1,0)-1,1)="OWIF-W",MATCH(ROW(Data!$AO$2:$AO$956),ROW(Data!$AO$2:$AO$956)),""),ROWS($A$1:A71)),COLUMNS($A$1:A71)),
$B$6 = "G2C",
INDEX(Data!$B$2:$EO$956,
SMALL(IF(INDEX(Data!$B$2:$EO$956,,MATCH("Grant Fund",Data!$1:$1,0)-1,1)="Grads2Careers",MATCH(ROW(Data!$AO$2:$AO$956),ROW(Data!$AO$2:$AO$956)),""),ROWS($A$1:A71)),COLUMNS($A$1:A71)),
$B$6 = "OWIF",
INDEX(Data!$B$2:$EO$956,
SMALL(IF(INDEX(Data!$B$2:$EO$956,,MATCH("Grant Fund",Data!$1:$1,0)-1,1)="OWIF",MATCH(ROW(Data!$AO$2:$AO$956),ROW(Data!$AO$2:$AO$956)),""),ROWS($A$1:A71)),COLUMNS($A$1:A71)),
$B$6 = "WIOA",
INDEX(Data!$B$2:$EO$956,
SMALL(IF(INDEX(Data!$B$2:$EO$956,,MATCH("Grant Fund",Data!$1:$1,0)-1,1)="WIOA",MATCH(ROW(Data!$AO$2:$AO$956),ROW(Data!$AO$2:$AO$956)),""),ROWS($A$1:A71)),COLUMNS($A$1:A71)),
$B$6 = "WIOA II",
INDEX(Data!$B$2:$EO$956,
SMALL(IF(INDEX(Data!$B$2:$EO$956,,MATCH("Grant Fund",Data!$1:$1,0)-1,1)="WIOA II",MATCH(ROW(Data!$AO$2:$AO$956),ROW(Data!$AO$2:$AO$956)),""),ROWS($A$1:A71)),COLUMNS($A$1:A71)),
$B$6 = "WIOA III",
INDEX(Data!$B$2:$EO$956,
SMALL(IF(INDEX(Data!$B$2:$EO$956,,MATCH("Grant Fund",Data!$1:$1,0)-1,1)="WIOA III",MATCH(ROW(Data!$AO$2:$AO$956),ROW(Data!$AO$2:$AO$956)),""),ROWS($A$1:A71)),COLUMNS($A$1:A71)),
$B$6 = "Currently Employed",
INDEX(Data!$B$2:$EO$956,
SMALL(IF(INDEX(Data!$B$2:$EO$956,,MATCH("Currently Employed",Data!$1:$1,0)-1,1)="Yes",MATCH(ROW(Data!$DZ$2:$DZ$956),ROW(Data!$DZ$2:$DZ$956)),""),ROWS($A$1:A71)),COLUMNS($A$1:A71)),
$B$6 = "Inactive",
INDEX(Data!$B$2:$EO$956,
SMALL(IF(INDEX(Data!$B$2:$EO$956,,MATCH("Inactive",Data!$1:$1,0)-1,1)="Yes",MATCH(ROW(Data!$DG$2:$DG$956),ROW(Data!$DG$2:$DG$956)),""),ROWS($A$1:A71)),COLUMNS($A$1:A71)),
$B$6 = "Active",
INDEX(Data!$B$2:$EO$956,
SMALL(IF(INDEX(Data!$B$2:$EO$956,,MATCH("Active",Data!$1:$1,0)-1,1)="Yes",MATCH(ROW(Data!$DZ$2:$DZ$956),ROW(Data!$DZ$2:$DZ$956)),""),ROWS($A$1:A71)),COLUMNS($A$1:A71)),
$B$6 = "Status Unknown",
INDEX(Data!$B$2:$EO$956,
SMALL(IF(INDEX(Data!$B$2:$EO$956,,MATCH("Status Unknown",Data!$1:$1,0)-1,1)="Yes",MATCH(ROW(Data!$EB$2:$EB$956),ROW(Data!$EB$2:$EB$956)),""),ROWS($A$1:A71)),COLUMNS($A$1:A71)),
$B$6 = "Enrollment Pending",
INDEX(Data!$B$2:$EO$956,
SMALL(IF(INDEX(Data!$B$2:$EO$956,,MATCH("Enrollment Pending",Data!$1:$1,0)-1,1)="Yes",MATCH(ROW(Data!$DY$2:$DY$956),ROW(Data!$DY$2:$DY$956)),""),ROWS($A$1:A71)),COLUMNS($A$1:A71)),
$B$6 = "Gained Certification",
INDEX(Data!$B$2:$EO$956,
SMALL(IF(INDEX(Data!$B$2:$EO$956,,MATCH("Gained Certification",Data!$1:$1,0)-1,1)="Yes",MATCH(ROW(Data!$DU$2:$DU$956),ROW(Data!$DU$2:$DU$956)),""),ROWS($A$1:A71)),COLUMNS($A$1:A71)),
$B$6 = "No Certification",
INDEX(Data!$B$2:$EO$956,
SMALL(IF(INDEX(Data!$B$2:$EO$956,,MATCH("Gained Certification",Data!$1:$1,0)-1,1)&lt;&gt;"Yes",MATCH(ROW(Data!$DU$2:$DU$956),ROW(Data!$DU$2:$DU$956)),""),ROWS($A$1:A71)),COLUMNS($A$1:A71)),
$B$6 = "Completers Without Employment",
INDEX(Data!$B$2:$EO$967,
SMALL(IF(INDEX(Data!$B$2:$EO$967,,MATCH("Completed Without Employment",Data!$1:$1,0)-1,1)="Yes",MATCH(ROW(Data!$DZ$2:$DZ$967),ROW(Data!$DZ$2:$DZ$967)),""),ROWS($A$1:A71)),COLUMNS($A$1:A71)),
$B$6 = "CH",
INDEX(Data!$B$2:$EO$956,
SMALL(IF(INDEX(Data!$B$2:$EO$956,,MATCH("Case Manager",Data!$1:$1,0)-1,1)="CH",MATCH(ROW(Data!$DZ$2:$DZ$956),ROW(Data!$DZ$2:$DZ$956)),""),ROWS($A$1:A71)),COLUMNS($A$1:A71)),
$B$6 = "ML",
INDEX(Data!$B$2:$EO$956,
SMALL(IF(INDEX(Data!$B$2:$EO$956,,MATCH("Case Manager",Data!$1:$1,0)-1,1)="ML",MATCH(ROW(Data!$DZ$2:$DZ$956),ROW(Data!$DZ$2:$DZ$956)),""),ROWS($A$1:A71)),COLUMNS($A$1:A71)),
$B$6 = "RB",
INDEX(Data!$B$2:$EO$956,
SMALL(IF(INDEX(Data!$B$2:$EO$956,,MATCH("Case Manager",Data!$1:$1,0)-1,1)="RB",MATCH(ROW(Data!$DZ$2:$DZ$956),ROW(Data!$DZ$2:$DZ$956)),""),ROWS($A$1:A71)),COLUMNS($A$1:A71)),
$B$6 = "RV",
INDEX(Data!$B$2:$EO$956,
SMALL(IF(INDEX(Data!$B$2:$EO$956,,MATCH("Case Manager",Data!$1:$1,0)-1,1)="RV",MATCH(ROW(Data!$DZ$2:$DZ$956),ROW(Data!$DZ$2:$DZ$956)),""),ROWS($A$1:A71)),COLUMNS($A$1:A71)),
$B$6 = "SG",
INDEX(Data!$B$2:$EO$956,
SMALL(IF(INDEX(Data!$B$2:$EO$956,,MATCH("Case Manager",Data!$1:$1,0)-1,1)="SH",MATCH(ROW(Data!$DZ$2:$DZ$956),ROW(Data!$DZ$2:$DZ$956)),""),ROWS($A$1:A71)),COLUMNS($A$1:A71))
),"")</f>
        <v/>
      </c>
      <c r="C82" s="1" t="str">
        <f>IF(
IFERROR(
INDEX(Data!$1:$1048576,MATCH('Client Lists'!$B82,Data!$B:$B,0),MATCH('Client Lists'!C$11,Data!$1:$1,0)),"")=0,"",
IFERROR(
INDEX(Data!$1:$1048576,MATCH('Client Lists'!$B82,Data!$B:$B,0),MATCH('Client Lists'!C$11,Data!$1:$1,0)),""))</f>
        <v/>
      </c>
      <c r="D82" s="1" t="str">
        <f>IF(
IFERROR(
INDEX(Data!$1:$1048576,MATCH('Client Lists'!$B82,Data!$B:$B,0),MATCH('Client Lists'!D$11,Data!$1:$1,0)),"")=0,"",
IFERROR(
INDEX(Data!$1:$1048576,MATCH('Client Lists'!$B82,Data!$B:$B,0),MATCH('Client Lists'!D$11,Data!$1:$1,0)),""))</f>
        <v/>
      </c>
      <c r="E82" s="1" t="str">
        <f>IF(
IFERROR(
INDEX(Data!$1:$1048576,MATCH('Client Lists'!$B82,Data!$B:$B,0),MATCH('Client Lists'!E$11,Data!$1:$1,0)),"")=0,"",
IFERROR(
INDEX(Data!$1:$1048576,MATCH('Client Lists'!$B82,Data!$B:$B,0),MATCH('Client Lists'!E$11,Data!$1:$1,0)),""))</f>
        <v/>
      </c>
      <c r="F82" s="1" t="str">
        <f>IF(
IFERROR(
INDEX(Data!$1:$1048576,MATCH('Client Lists'!$B82,Data!$B:$B,0),MATCH('Client Lists'!F$11,Data!$1:$1,0)),"")=0,"",
IFERROR(
INDEX(Data!$1:$1048576,MATCH('Client Lists'!$B82,Data!$B:$B,0),MATCH('Client Lists'!F$11,Data!$1:$1,0)),""))</f>
        <v/>
      </c>
      <c r="G82" s="1" t="str">
        <f>IF(
IFERROR(
INDEX(Data!$1:$1048576,MATCH('Client Lists'!$B82,Data!$B:$B,0),MATCH('Client Lists'!G$11,Data!$1:$1,0)),"")=0,"",
IFERROR(
INDEX(Data!$1:$1048576,MATCH('Client Lists'!$B82,Data!$B:$B,0),MATCH('Client Lists'!G$11,Data!$1:$1,0)),""))</f>
        <v/>
      </c>
      <c r="H82" s="1" t="str">
        <f>IF(
IFERROR(
INDEX(Data!$1:$1048576,MATCH('Client Lists'!$B82,Data!$B:$B,0),MATCH('Client Lists'!H$11,Data!$1:$1,0)),"")=0,"",
IFERROR(
INDEX(Data!$1:$1048576,MATCH('Client Lists'!$B82,Data!$B:$B,0),MATCH('Client Lists'!H$11,Data!$1:$1,0)),""))</f>
        <v/>
      </c>
      <c r="I82" s="1" t="str">
        <f>IF(
IFERROR(
INDEX(Data!$1:$1048576,MATCH('Client Lists'!$B82,Data!$B:$B,0),MATCH('Client Lists'!I$11,Data!$1:$1,0)),"")=0,"",
IFERROR(
INDEX(Data!$1:$1048576,MATCH('Client Lists'!$B82,Data!$B:$B,0),MATCH('Client Lists'!I$11,Data!$1:$1,0)),""))</f>
        <v/>
      </c>
      <c r="J82" s="1" t="str">
        <f>IF(
IFERROR(
INDEX(Data!$1:$1048576,MATCH('Client Lists'!$B82,Data!$B:$B,0),MATCH('Client Lists'!J$11,Data!$1:$1,0)),"")=0,"",
IFERROR(
INDEX(Data!$1:$1048576,MATCH('Client Lists'!$B82,Data!$B:$B,0),MATCH('Client Lists'!J$11,Data!$1:$1,0)),""))</f>
        <v/>
      </c>
      <c r="K82" s="1" t="str">
        <f>IF(
IFERROR(
INDEX(Data!$1:$1048576,MATCH('Client Lists'!$B82,Data!$B:$B,0),MATCH('Client Lists'!K$11,Data!$1:$1,0)),"")=0,"",
IFERROR(
INDEX(Data!$1:$1048576,MATCH('Client Lists'!$B82,Data!$B:$B,0),MATCH('Client Lists'!K$11,Data!$1:$1,0)),""))</f>
        <v/>
      </c>
    </row>
    <row r="83" spans="2:11" x14ac:dyDescent="0.45">
      <c r="B83" s="5" t="str">
        <f t="array" ref="B83">IFERROR(_xlfn.IFS(
$B$6 = "Retention Overdue",
INDEX(Data!$B$2:$EO$956,
SMALL(IF(INDEX(Data!$B$2:$EO$956,,MATCH("Call Due",Data!$1:$1,0)-1,1)="Yes",MATCH(ROW(Data!$CN$2:$CN$956),ROW(Data!$CN$2:$CN$956)),""),ROWS($A$1:A72)),COLUMNS($A$1:A72)),
$B$6 = "OWIF-W",
INDEX(Data!$B$2:$EO$956,
SMALL(IF(INDEX(Data!$B$2:$EO$956,,MATCH("Grant Fund",Data!$1:$1,0)-1,1)="OWIF-W",MATCH(ROW(Data!$AO$2:$AO$956),ROW(Data!$AO$2:$AO$956)),""),ROWS($A$1:A72)),COLUMNS($A$1:A72)),
$B$6 = "G2C",
INDEX(Data!$B$2:$EO$956,
SMALL(IF(INDEX(Data!$B$2:$EO$956,,MATCH("Grant Fund",Data!$1:$1,0)-1,1)="Grads2Careers",MATCH(ROW(Data!$AO$2:$AO$956),ROW(Data!$AO$2:$AO$956)),""),ROWS($A$1:A72)),COLUMNS($A$1:A72)),
$B$6 = "OWIF",
INDEX(Data!$B$2:$EO$956,
SMALL(IF(INDEX(Data!$B$2:$EO$956,,MATCH("Grant Fund",Data!$1:$1,0)-1,1)="OWIF",MATCH(ROW(Data!$AO$2:$AO$956),ROW(Data!$AO$2:$AO$956)),""),ROWS($A$1:A72)),COLUMNS($A$1:A72)),
$B$6 = "WIOA",
INDEX(Data!$B$2:$EO$956,
SMALL(IF(INDEX(Data!$B$2:$EO$956,,MATCH("Grant Fund",Data!$1:$1,0)-1,1)="WIOA",MATCH(ROW(Data!$AO$2:$AO$956),ROW(Data!$AO$2:$AO$956)),""),ROWS($A$1:A72)),COLUMNS($A$1:A72)),
$B$6 = "WIOA II",
INDEX(Data!$B$2:$EO$956,
SMALL(IF(INDEX(Data!$B$2:$EO$956,,MATCH("Grant Fund",Data!$1:$1,0)-1,1)="WIOA II",MATCH(ROW(Data!$AO$2:$AO$956),ROW(Data!$AO$2:$AO$956)),""),ROWS($A$1:A72)),COLUMNS($A$1:A72)),
$B$6 = "WIOA III",
INDEX(Data!$B$2:$EO$956,
SMALL(IF(INDEX(Data!$B$2:$EO$956,,MATCH("Grant Fund",Data!$1:$1,0)-1,1)="WIOA III",MATCH(ROW(Data!$AO$2:$AO$956),ROW(Data!$AO$2:$AO$956)),""),ROWS($A$1:A72)),COLUMNS($A$1:A72)),
$B$6 = "Currently Employed",
INDEX(Data!$B$2:$EO$956,
SMALL(IF(INDEX(Data!$B$2:$EO$956,,MATCH("Currently Employed",Data!$1:$1,0)-1,1)="Yes",MATCH(ROW(Data!$DZ$2:$DZ$956),ROW(Data!$DZ$2:$DZ$956)),""),ROWS($A$1:A72)),COLUMNS($A$1:A72)),
$B$6 = "Inactive",
INDEX(Data!$B$2:$EO$956,
SMALL(IF(INDEX(Data!$B$2:$EO$956,,MATCH("Inactive",Data!$1:$1,0)-1,1)="Yes",MATCH(ROW(Data!$DG$2:$DG$956),ROW(Data!$DG$2:$DG$956)),""),ROWS($A$1:A72)),COLUMNS($A$1:A72)),
$B$6 = "Active",
INDEX(Data!$B$2:$EO$956,
SMALL(IF(INDEX(Data!$B$2:$EO$956,,MATCH("Active",Data!$1:$1,0)-1,1)="Yes",MATCH(ROW(Data!$DZ$2:$DZ$956),ROW(Data!$DZ$2:$DZ$956)),""),ROWS($A$1:A72)),COLUMNS($A$1:A72)),
$B$6 = "Status Unknown",
INDEX(Data!$B$2:$EO$956,
SMALL(IF(INDEX(Data!$B$2:$EO$956,,MATCH("Status Unknown",Data!$1:$1,0)-1,1)="Yes",MATCH(ROW(Data!$EB$2:$EB$956),ROW(Data!$EB$2:$EB$956)),""),ROWS($A$1:A72)),COLUMNS($A$1:A72)),
$B$6 = "Enrollment Pending",
INDEX(Data!$B$2:$EO$956,
SMALL(IF(INDEX(Data!$B$2:$EO$956,,MATCH("Enrollment Pending",Data!$1:$1,0)-1,1)="Yes",MATCH(ROW(Data!$DY$2:$DY$956),ROW(Data!$DY$2:$DY$956)),""),ROWS($A$1:A72)),COLUMNS($A$1:A72)),
$B$6 = "Gained Certification",
INDEX(Data!$B$2:$EO$956,
SMALL(IF(INDEX(Data!$B$2:$EO$956,,MATCH("Gained Certification",Data!$1:$1,0)-1,1)="Yes",MATCH(ROW(Data!$DU$2:$DU$956),ROW(Data!$DU$2:$DU$956)),""),ROWS($A$1:A72)),COLUMNS($A$1:A72)),
$B$6 = "No Certification",
INDEX(Data!$B$2:$EO$956,
SMALL(IF(INDEX(Data!$B$2:$EO$956,,MATCH("Gained Certification",Data!$1:$1,0)-1,1)&lt;&gt;"Yes",MATCH(ROW(Data!$DU$2:$DU$956),ROW(Data!$DU$2:$DU$956)),""),ROWS($A$1:A72)),COLUMNS($A$1:A72)),
$B$6 = "Completers Without Employment",
INDEX(Data!$B$2:$EO$967,
SMALL(IF(INDEX(Data!$B$2:$EO$967,,MATCH("Completed Without Employment",Data!$1:$1,0)-1,1)="Yes",MATCH(ROW(Data!$DZ$2:$DZ$967),ROW(Data!$DZ$2:$DZ$967)),""),ROWS($A$1:A72)),COLUMNS($A$1:A72)),
$B$6 = "CH",
INDEX(Data!$B$2:$EO$956,
SMALL(IF(INDEX(Data!$B$2:$EO$956,,MATCH("Case Manager",Data!$1:$1,0)-1,1)="CH",MATCH(ROW(Data!$DZ$2:$DZ$956),ROW(Data!$DZ$2:$DZ$956)),""),ROWS($A$1:A72)),COLUMNS($A$1:A72)),
$B$6 = "ML",
INDEX(Data!$B$2:$EO$956,
SMALL(IF(INDEX(Data!$B$2:$EO$956,,MATCH("Case Manager",Data!$1:$1,0)-1,1)="ML",MATCH(ROW(Data!$DZ$2:$DZ$956),ROW(Data!$DZ$2:$DZ$956)),""),ROWS($A$1:A72)),COLUMNS($A$1:A72)),
$B$6 = "RB",
INDEX(Data!$B$2:$EO$956,
SMALL(IF(INDEX(Data!$B$2:$EO$956,,MATCH("Case Manager",Data!$1:$1,0)-1,1)="RB",MATCH(ROW(Data!$DZ$2:$DZ$956),ROW(Data!$DZ$2:$DZ$956)),""),ROWS($A$1:A72)),COLUMNS($A$1:A72)),
$B$6 = "RV",
INDEX(Data!$B$2:$EO$956,
SMALL(IF(INDEX(Data!$B$2:$EO$956,,MATCH("Case Manager",Data!$1:$1,0)-1,1)="RV",MATCH(ROW(Data!$DZ$2:$DZ$956),ROW(Data!$DZ$2:$DZ$956)),""),ROWS($A$1:A72)),COLUMNS($A$1:A72)),
$B$6 = "SG",
INDEX(Data!$B$2:$EO$956,
SMALL(IF(INDEX(Data!$B$2:$EO$956,,MATCH("Case Manager",Data!$1:$1,0)-1,1)="SH",MATCH(ROW(Data!$DZ$2:$DZ$956),ROW(Data!$DZ$2:$DZ$956)),""),ROWS($A$1:A72)),COLUMNS($A$1:A72))
),"")</f>
        <v/>
      </c>
      <c r="C83" s="1" t="str">
        <f>IF(
IFERROR(
INDEX(Data!$1:$1048576,MATCH('Client Lists'!$B83,Data!$B:$B,0),MATCH('Client Lists'!C$11,Data!$1:$1,0)),"")=0,"",
IFERROR(
INDEX(Data!$1:$1048576,MATCH('Client Lists'!$B83,Data!$B:$B,0),MATCH('Client Lists'!C$11,Data!$1:$1,0)),""))</f>
        <v/>
      </c>
      <c r="D83" s="1" t="str">
        <f>IF(
IFERROR(
INDEX(Data!$1:$1048576,MATCH('Client Lists'!$B83,Data!$B:$B,0),MATCH('Client Lists'!D$11,Data!$1:$1,0)),"")=0,"",
IFERROR(
INDEX(Data!$1:$1048576,MATCH('Client Lists'!$B83,Data!$B:$B,0),MATCH('Client Lists'!D$11,Data!$1:$1,0)),""))</f>
        <v/>
      </c>
      <c r="E83" s="1" t="str">
        <f>IF(
IFERROR(
INDEX(Data!$1:$1048576,MATCH('Client Lists'!$B83,Data!$B:$B,0),MATCH('Client Lists'!E$11,Data!$1:$1,0)),"")=0,"",
IFERROR(
INDEX(Data!$1:$1048576,MATCH('Client Lists'!$B83,Data!$B:$B,0),MATCH('Client Lists'!E$11,Data!$1:$1,0)),""))</f>
        <v/>
      </c>
      <c r="F83" s="1" t="str">
        <f>IF(
IFERROR(
INDEX(Data!$1:$1048576,MATCH('Client Lists'!$B83,Data!$B:$B,0),MATCH('Client Lists'!F$11,Data!$1:$1,0)),"")=0,"",
IFERROR(
INDEX(Data!$1:$1048576,MATCH('Client Lists'!$B83,Data!$B:$B,0),MATCH('Client Lists'!F$11,Data!$1:$1,0)),""))</f>
        <v/>
      </c>
      <c r="G83" s="1" t="str">
        <f>IF(
IFERROR(
INDEX(Data!$1:$1048576,MATCH('Client Lists'!$B83,Data!$B:$B,0),MATCH('Client Lists'!G$11,Data!$1:$1,0)),"")=0,"",
IFERROR(
INDEX(Data!$1:$1048576,MATCH('Client Lists'!$B83,Data!$B:$B,0),MATCH('Client Lists'!G$11,Data!$1:$1,0)),""))</f>
        <v/>
      </c>
      <c r="H83" s="1" t="str">
        <f>IF(
IFERROR(
INDEX(Data!$1:$1048576,MATCH('Client Lists'!$B83,Data!$B:$B,0),MATCH('Client Lists'!H$11,Data!$1:$1,0)),"")=0,"",
IFERROR(
INDEX(Data!$1:$1048576,MATCH('Client Lists'!$B83,Data!$B:$B,0),MATCH('Client Lists'!H$11,Data!$1:$1,0)),""))</f>
        <v/>
      </c>
      <c r="I83" s="1" t="str">
        <f>IF(
IFERROR(
INDEX(Data!$1:$1048576,MATCH('Client Lists'!$B83,Data!$B:$B,0),MATCH('Client Lists'!I$11,Data!$1:$1,0)),"")=0,"",
IFERROR(
INDEX(Data!$1:$1048576,MATCH('Client Lists'!$B83,Data!$B:$B,0),MATCH('Client Lists'!I$11,Data!$1:$1,0)),""))</f>
        <v/>
      </c>
      <c r="J83" s="1" t="str">
        <f>IF(
IFERROR(
INDEX(Data!$1:$1048576,MATCH('Client Lists'!$B83,Data!$B:$B,0),MATCH('Client Lists'!J$11,Data!$1:$1,0)),"")=0,"",
IFERROR(
INDEX(Data!$1:$1048576,MATCH('Client Lists'!$B83,Data!$B:$B,0),MATCH('Client Lists'!J$11,Data!$1:$1,0)),""))</f>
        <v/>
      </c>
      <c r="K83" s="1" t="str">
        <f>IF(
IFERROR(
INDEX(Data!$1:$1048576,MATCH('Client Lists'!$B83,Data!$B:$B,0),MATCH('Client Lists'!K$11,Data!$1:$1,0)),"")=0,"",
IFERROR(
INDEX(Data!$1:$1048576,MATCH('Client Lists'!$B83,Data!$B:$B,0),MATCH('Client Lists'!K$11,Data!$1:$1,0)),""))</f>
        <v/>
      </c>
    </row>
    <row r="84" spans="2:11" x14ac:dyDescent="0.45">
      <c r="B84" s="5" t="str">
        <f t="array" ref="B84">IFERROR(_xlfn.IFS(
$B$6 = "Retention Overdue",
INDEX(Data!$B$2:$EO$956,
SMALL(IF(INDEX(Data!$B$2:$EO$956,,MATCH("Call Due",Data!$1:$1,0)-1,1)="Yes",MATCH(ROW(Data!$CN$2:$CN$956),ROW(Data!$CN$2:$CN$956)),""),ROWS($A$1:A73)),COLUMNS($A$1:A73)),
$B$6 = "OWIF-W",
INDEX(Data!$B$2:$EO$956,
SMALL(IF(INDEX(Data!$B$2:$EO$956,,MATCH("Grant Fund",Data!$1:$1,0)-1,1)="OWIF-W",MATCH(ROW(Data!$AO$2:$AO$956),ROW(Data!$AO$2:$AO$956)),""),ROWS($A$1:A73)),COLUMNS($A$1:A73)),
$B$6 = "G2C",
INDEX(Data!$B$2:$EO$956,
SMALL(IF(INDEX(Data!$B$2:$EO$956,,MATCH("Grant Fund",Data!$1:$1,0)-1,1)="Grads2Careers",MATCH(ROW(Data!$AO$2:$AO$956),ROW(Data!$AO$2:$AO$956)),""),ROWS($A$1:A73)),COLUMNS($A$1:A73)),
$B$6 = "OWIF",
INDEX(Data!$B$2:$EO$956,
SMALL(IF(INDEX(Data!$B$2:$EO$956,,MATCH("Grant Fund",Data!$1:$1,0)-1,1)="OWIF",MATCH(ROW(Data!$AO$2:$AO$956),ROW(Data!$AO$2:$AO$956)),""),ROWS($A$1:A73)),COLUMNS($A$1:A73)),
$B$6 = "WIOA",
INDEX(Data!$B$2:$EO$956,
SMALL(IF(INDEX(Data!$B$2:$EO$956,,MATCH("Grant Fund",Data!$1:$1,0)-1,1)="WIOA",MATCH(ROW(Data!$AO$2:$AO$956),ROW(Data!$AO$2:$AO$956)),""),ROWS($A$1:A73)),COLUMNS($A$1:A73)),
$B$6 = "WIOA II",
INDEX(Data!$B$2:$EO$956,
SMALL(IF(INDEX(Data!$B$2:$EO$956,,MATCH("Grant Fund",Data!$1:$1,0)-1,1)="WIOA II",MATCH(ROW(Data!$AO$2:$AO$956),ROW(Data!$AO$2:$AO$956)),""),ROWS($A$1:A73)),COLUMNS($A$1:A73)),
$B$6 = "WIOA III",
INDEX(Data!$B$2:$EO$956,
SMALL(IF(INDEX(Data!$B$2:$EO$956,,MATCH("Grant Fund",Data!$1:$1,0)-1,1)="WIOA III",MATCH(ROW(Data!$AO$2:$AO$956),ROW(Data!$AO$2:$AO$956)),""),ROWS($A$1:A73)),COLUMNS($A$1:A73)),
$B$6 = "Currently Employed",
INDEX(Data!$B$2:$EO$956,
SMALL(IF(INDEX(Data!$B$2:$EO$956,,MATCH("Currently Employed",Data!$1:$1,0)-1,1)="Yes",MATCH(ROW(Data!$DZ$2:$DZ$956),ROW(Data!$DZ$2:$DZ$956)),""),ROWS($A$1:A73)),COLUMNS($A$1:A73)),
$B$6 = "Inactive",
INDEX(Data!$B$2:$EO$956,
SMALL(IF(INDEX(Data!$B$2:$EO$956,,MATCH("Inactive",Data!$1:$1,0)-1,1)="Yes",MATCH(ROW(Data!$DG$2:$DG$956),ROW(Data!$DG$2:$DG$956)),""),ROWS($A$1:A73)),COLUMNS($A$1:A73)),
$B$6 = "Active",
INDEX(Data!$B$2:$EO$956,
SMALL(IF(INDEX(Data!$B$2:$EO$956,,MATCH("Active",Data!$1:$1,0)-1,1)="Yes",MATCH(ROW(Data!$DZ$2:$DZ$956),ROW(Data!$DZ$2:$DZ$956)),""),ROWS($A$1:A73)),COLUMNS($A$1:A73)),
$B$6 = "Status Unknown",
INDEX(Data!$B$2:$EO$956,
SMALL(IF(INDEX(Data!$B$2:$EO$956,,MATCH("Status Unknown",Data!$1:$1,0)-1,1)="Yes",MATCH(ROW(Data!$EB$2:$EB$956),ROW(Data!$EB$2:$EB$956)),""),ROWS($A$1:A73)),COLUMNS($A$1:A73)),
$B$6 = "Enrollment Pending",
INDEX(Data!$B$2:$EO$956,
SMALL(IF(INDEX(Data!$B$2:$EO$956,,MATCH("Enrollment Pending",Data!$1:$1,0)-1,1)="Yes",MATCH(ROW(Data!$DY$2:$DY$956),ROW(Data!$DY$2:$DY$956)),""),ROWS($A$1:A73)),COLUMNS($A$1:A73)),
$B$6 = "Gained Certification",
INDEX(Data!$B$2:$EO$956,
SMALL(IF(INDEX(Data!$B$2:$EO$956,,MATCH("Gained Certification",Data!$1:$1,0)-1,1)="Yes",MATCH(ROW(Data!$DU$2:$DU$956),ROW(Data!$DU$2:$DU$956)),""),ROWS($A$1:A73)),COLUMNS($A$1:A73)),
$B$6 = "No Certification",
INDEX(Data!$B$2:$EO$956,
SMALL(IF(INDEX(Data!$B$2:$EO$956,,MATCH("Gained Certification",Data!$1:$1,0)-1,1)&lt;&gt;"Yes",MATCH(ROW(Data!$DU$2:$DU$956),ROW(Data!$DU$2:$DU$956)),""),ROWS($A$1:A73)),COLUMNS($A$1:A73)),
$B$6 = "Completers Without Employment",
INDEX(Data!$B$2:$EO$967,
SMALL(IF(INDEX(Data!$B$2:$EO$967,,MATCH("Completed Without Employment",Data!$1:$1,0)-1,1)="Yes",MATCH(ROW(Data!$DZ$2:$DZ$967),ROW(Data!$DZ$2:$DZ$967)),""),ROWS($A$1:A73)),COLUMNS($A$1:A73)),
$B$6 = "CH",
INDEX(Data!$B$2:$EO$956,
SMALL(IF(INDEX(Data!$B$2:$EO$956,,MATCH("Case Manager",Data!$1:$1,0)-1,1)="CH",MATCH(ROW(Data!$DZ$2:$DZ$956),ROW(Data!$DZ$2:$DZ$956)),""),ROWS($A$1:A73)),COLUMNS($A$1:A73)),
$B$6 = "ML",
INDEX(Data!$B$2:$EO$956,
SMALL(IF(INDEX(Data!$B$2:$EO$956,,MATCH("Case Manager",Data!$1:$1,0)-1,1)="ML",MATCH(ROW(Data!$DZ$2:$DZ$956),ROW(Data!$DZ$2:$DZ$956)),""),ROWS($A$1:A73)),COLUMNS($A$1:A73)),
$B$6 = "RB",
INDEX(Data!$B$2:$EO$956,
SMALL(IF(INDEX(Data!$B$2:$EO$956,,MATCH("Case Manager",Data!$1:$1,0)-1,1)="RB",MATCH(ROW(Data!$DZ$2:$DZ$956),ROW(Data!$DZ$2:$DZ$956)),""),ROWS($A$1:A73)),COLUMNS($A$1:A73)),
$B$6 = "RV",
INDEX(Data!$B$2:$EO$956,
SMALL(IF(INDEX(Data!$B$2:$EO$956,,MATCH("Case Manager",Data!$1:$1,0)-1,1)="RV",MATCH(ROW(Data!$DZ$2:$DZ$956),ROW(Data!$DZ$2:$DZ$956)),""),ROWS($A$1:A73)),COLUMNS($A$1:A73)),
$B$6 = "SG",
INDEX(Data!$B$2:$EO$956,
SMALL(IF(INDEX(Data!$B$2:$EO$956,,MATCH("Case Manager",Data!$1:$1,0)-1,1)="SH",MATCH(ROW(Data!$DZ$2:$DZ$956),ROW(Data!$DZ$2:$DZ$956)),""),ROWS($A$1:A73)),COLUMNS($A$1:A73))
),"")</f>
        <v/>
      </c>
      <c r="C84" s="1" t="str">
        <f>IF(
IFERROR(
INDEX(Data!$1:$1048576,MATCH('Client Lists'!$B84,Data!$B:$B,0),MATCH('Client Lists'!C$11,Data!$1:$1,0)),"")=0,"",
IFERROR(
INDEX(Data!$1:$1048576,MATCH('Client Lists'!$B84,Data!$B:$B,0),MATCH('Client Lists'!C$11,Data!$1:$1,0)),""))</f>
        <v/>
      </c>
      <c r="D84" s="1" t="str">
        <f>IF(
IFERROR(
INDEX(Data!$1:$1048576,MATCH('Client Lists'!$B84,Data!$B:$B,0),MATCH('Client Lists'!D$11,Data!$1:$1,0)),"")=0,"",
IFERROR(
INDEX(Data!$1:$1048576,MATCH('Client Lists'!$B84,Data!$B:$B,0),MATCH('Client Lists'!D$11,Data!$1:$1,0)),""))</f>
        <v/>
      </c>
      <c r="E84" s="1" t="str">
        <f>IF(
IFERROR(
INDEX(Data!$1:$1048576,MATCH('Client Lists'!$B84,Data!$B:$B,0),MATCH('Client Lists'!E$11,Data!$1:$1,0)),"")=0,"",
IFERROR(
INDEX(Data!$1:$1048576,MATCH('Client Lists'!$B84,Data!$B:$B,0),MATCH('Client Lists'!E$11,Data!$1:$1,0)),""))</f>
        <v/>
      </c>
      <c r="F84" s="1" t="str">
        <f>IF(
IFERROR(
INDEX(Data!$1:$1048576,MATCH('Client Lists'!$B84,Data!$B:$B,0),MATCH('Client Lists'!F$11,Data!$1:$1,0)),"")=0,"",
IFERROR(
INDEX(Data!$1:$1048576,MATCH('Client Lists'!$B84,Data!$B:$B,0),MATCH('Client Lists'!F$11,Data!$1:$1,0)),""))</f>
        <v/>
      </c>
      <c r="G84" s="1" t="str">
        <f>IF(
IFERROR(
INDEX(Data!$1:$1048576,MATCH('Client Lists'!$B84,Data!$B:$B,0),MATCH('Client Lists'!G$11,Data!$1:$1,0)),"")=0,"",
IFERROR(
INDEX(Data!$1:$1048576,MATCH('Client Lists'!$B84,Data!$B:$B,0),MATCH('Client Lists'!G$11,Data!$1:$1,0)),""))</f>
        <v/>
      </c>
      <c r="H84" s="1" t="str">
        <f>IF(
IFERROR(
INDEX(Data!$1:$1048576,MATCH('Client Lists'!$B84,Data!$B:$B,0),MATCH('Client Lists'!H$11,Data!$1:$1,0)),"")=0,"",
IFERROR(
INDEX(Data!$1:$1048576,MATCH('Client Lists'!$B84,Data!$B:$B,0),MATCH('Client Lists'!H$11,Data!$1:$1,0)),""))</f>
        <v/>
      </c>
      <c r="I84" s="1" t="str">
        <f>IF(
IFERROR(
INDEX(Data!$1:$1048576,MATCH('Client Lists'!$B84,Data!$B:$B,0),MATCH('Client Lists'!I$11,Data!$1:$1,0)),"")=0,"",
IFERROR(
INDEX(Data!$1:$1048576,MATCH('Client Lists'!$B84,Data!$B:$B,0),MATCH('Client Lists'!I$11,Data!$1:$1,0)),""))</f>
        <v/>
      </c>
      <c r="J84" s="1" t="str">
        <f>IF(
IFERROR(
INDEX(Data!$1:$1048576,MATCH('Client Lists'!$B84,Data!$B:$B,0),MATCH('Client Lists'!J$11,Data!$1:$1,0)),"")=0,"",
IFERROR(
INDEX(Data!$1:$1048576,MATCH('Client Lists'!$B84,Data!$B:$B,0),MATCH('Client Lists'!J$11,Data!$1:$1,0)),""))</f>
        <v/>
      </c>
      <c r="K84" s="1" t="str">
        <f>IF(
IFERROR(
INDEX(Data!$1:$1048576,MATCH('Client Lists'!$B84,Data!$B:$B,0),MATCH('Client Lists'!K$11,Data!$1:$1,0)),"")=0,"",
IFERROR(
INDEX(Data!$1:$1048576,MATCH('Client Lists'!$B84,Data!$B:$B,0),MATCH('Client Lists'!K$11,Data!$1:$1,0)),""))</f>
        <v/>
      </c>
    </row>
    <row r="85" spans="2:11" x14ac:dyDescent="0.45">
      <c r="B85" s="5" t="str">
        <f t="array" ref="B85">IFERROR(_xlfn.IFS(
$B$6 = "Retention Overdue",
INDEX(Data!$B$2:$EO$956,
SMALL(IF(INDEX(Data!$B$2:$EO$956,,MATCH("Call Due",Data!$1:$1,0)-1,1)="Yes",MATCH(ROW(Data!$CN$2:$CN$956),ROW(Data!$CN$2:$CN$956)),""),ROWS($A$1:A74)),COLUMNS($A$1:A74)),
$B$6 = "OWIF-W",
INDEX(Data!$B$2:$EO$956,
SMALL(IF(INDEX(Data!$B$2:$EO$956,,MATCH("Grant Fund",Data!$1:$1,0)-1,1)="OWIF-W",MATCH(ROW(Data!$AO$2:$AO$956),ROW(Data!$AO$2:$AO$956)),""),ROWS($A$1:A74)),COLUMNS($A$1:A74)),
$B$6 = "G2C",
INDEX(Data!$B$2:$EO$956,
SMALL(IF(INDEX(Data!$B$2:$EO$956,,MATCH("Grant Fund",Data!$1:$1,0)-1,1)="Grads2Careers",MATCH(ROW(Data!$AO$2:$AO$956),ROW(Data!$AO$2:$AO$956)),""),ROWS($A$1:A74)),COLUMNS($A$1:A74)),
$B$6 = "OWIF",
INDEX(Data!$B$2:$EO$956,
SMALL(IF(INDEX(Data!$B$2:$EO$956,,MATCH("Grant Fund",Data!$1:$1,0)-1,1)="OWIF",MATCH(ROW(Data!$AO$2:$AO$956),ROW(Data!$AO$2:$AO$956)),""),ROWS($A$1:A74)),COLUMNS($A$1:A74)),
$B$6 = "WIOA",
INDEX(Data!$B$2:$EO$956,
SMALL(IF(INDEX(Data!$B$2:$EO$956,,MATCH("Grant Fund",Data!$1:$1,0)-1,1)="WIOA",MATCH(ROW(Data!$AO$2:$AO$956),ROW(Data!$AO$2:$AO$956)),""),ROWS($A$1:A74)),COLUMNS($A$1:A74)),
$B$6 = "WIOA II",
INDEX(Data!$B$2:$EO$956,
SMALL(IF(INDEX(Data!$B$2:$EO$956,,MATCH("Grant Fund",Data!$1:$1,0)-1,1)="WIOA II",MATCH(ROW(Data!$AO$2:$AO$956),ROW(Data!$AO$2:$AO$956)),""),ROWS($A$1:A74)),COLUMNS($A$1:A74)),
$B$6 = "WIOA III",
INDEX(Data!$B$2:$EO$956,
SMALL(IF(INDEX(Data!$B$2:$EO$956,,MATCH("Grant Fund",Data!$1:$1,0)-1,1)="WIOA III",MATCH(ROW(Data!$AO$2:$AO$956),ROW(Data!$AO$2:$AO$956)),""),ROWS($A$1:A74)),COLUMNS($A$1:A74)),
$B$6 = "Currently Employed",
INDEX(Data!$B$2:$EO$956,
SMALL(IF(INDEX(Data!$B$2:$EO$956,,MATCH("Currently Employed",Data!$1:$1,0)-1,1)="Yes",MATCH(ROW(Data!$DZ$2:$DZ$956),ROW(Data!$DZ$2:$DZ$956)),""),ROWS($A$1:A74)),COLUMNS($A$1:A74)),
$B$6 = "Inactive",
INDEX(Data!$B$2:$EO$956,
SMALL(IF(INDEX(Data!$B$2:$EO$956,,MATCH("Inactive",Data!$1:$1,0)-1,1)="Yes",MATCH(ROW(Data!$DG$2:$DG$956),ROW(Data!$DG$2:$DG$956)),""),ROWS($A$1:A74)),COLUMNS($A$1:A74)),
$B$6 = "Active",
INDEX(Data!$B$2:$EO$956,
SMALL(IF(INDEX(Data!$B$2:$EO$956,,MATCH("Active",Data!$1:$1,0)-1,1)="Yes",MATCH(ROW(Data!$DZ$2:$DZ$956),ROW(Data!$DZ$2:$DZ$956)),""),ROWS($A$1:A74)),COLUMNS($A$1:A74)),
$B$6 = "Status Unknown",
INDEX(Data!$B$2:$EO$956,
SMALL(IF(INDEX(Data!$B$2:$EO$956,,MATCH("Status Unknown",Data!$1:$1,0)-1,1)="Yes",MATCH(ROW(Data!$EB$2:$EB$956),ROW(Data!$EB$2:$EB$956)),""),ROWS($A$1:A74)),COLUMNS($A$1:A74)),
$B$6 = "Enrollment Pending",
INDEX(Data!$B$2:$EO$956,
SMALL(IF(INDEX(Data!$B$2:$EO$956,,MATCH("Enrollment Pending",Data!$1:$1,0)-1,1)="Yes",MATCH(ROW(Data!$DY$2:$DY$956),ROW(Data!$DY$2:$DY$956)),""),ROWS($A$1:A74)),COLUMNS($A$1:A74)),
$B$6 = "Gained Certification",
INDEX(Data!$B$2:$EO$956,
SMALL(IF(INDEX(Data!$B$2:$EO$956,,MATCH("Gained Certification",Data!$1:$1,0)-1,1)="Yes",MATCH(ROW(Data!$DU$2:$DU$956),ROW(Data!$DU$2:$DU$956)),""),ROWS($A$1:A74)),COLUMNS($A$1:A74)),
$B$6 = "No Certification",
INDEX(Data!$B$2:$EO$956,
SMALL(IF(INDEX(Data!$B$2:$EO$956,,MATCH("Gained Certification",Data!$1:$1,0)-1,1)&lt;&gt;"Yes",MATCH(ROW(Data!$DU$2:$DU$956),ROW(Data!$DU$2:$DU$956)),""),ROWS($A$1:A74)),COLUMNS($A$1:A74)),
$B$6 = "Completers Without Employment",
INDEX(Data!$B$2:$EO$967,
SMALL(IF(INDEX(Data!$B$2:$EO$967,,MATCH("Completed Without Employment",Data!$1:$1,0)-1,1)="Yes",MATCH(ROW(Data!$DZ$2:$DZ$967),ROW(Data!$DZ$2:$DZ$967)),""),ROWS($A$1:A74)),COLUMNS($A$1:A74)),
$B$6 = "CH",
INDEX(Data!$B$2:$EO$956,
SMALL(IF(INDEX(Data!$B$2:$EO$956,,MATCH("Case Manager",Data!$1:$1,0)-1,1)="CH",MATCH(ROW(Data!$DZ$2:$DZ$956),ROW(Data!$DZ$2:$DZ$956)),""),ROWS($A$1:A74)),COLUMNS($A$1:A74)),
$B$6 = "ML",
INDEX(Data!$B$2:$EO$956,
SMALL(IF(INDEX(Data!$B$2:$EO$956,,MATCH("Case Manager",Data!$1:$1,0)-1,1)="ML",MATCH(ROW(Data!$DZ$2:$DZ$956),ROW(Data!$DZ$2:$DZ$956)),""),ROWS($A$1:A74)),COLUMNS($A$1:A74)),
$B$6 = "RB",
INDEX(Data!$B$2:$EO$956,
SMALL(IF(INDEX(Data!$B$2:$EO$956,,MATCH("Case Manager",Data!$1:$1,0)-1,1)="RB",MATCH(ROW(Data!$DZ$2:$DZ$956),ROW(Data!$DZ$2:$DZ$956)),""),ROWS($A$1:A74)),COLUMNS($A$1:A74)),
$B$6 = "RV",
INDEX(Data!$B$2:$EO$956,
SMALL(IF(INDEX(Data!$B$2:$EO$956,,MATCH("Case Manager",Data!$1:$1,0)-1,1)="RV",MATCH(ROW(Data!$DZ$2:$DZ$956),ROW(Data!$DZ$2:$DZ$956)),""),ROWS($A$1:A74)),COLUMNS($A$1:A74)),
$B$6 = "SG",
INDEX(Data!$B$2:$EO$956,
SMALL(IF(INDEX(Data!$B$2:$EO$956,,MATCH("Case Manager",Data!$1:$1,0)-1,1)="SH",MATCH(ROW(Data!$DZ$2:$DZ$956),ROW(Data!$DZ$2:$DZ$956)),""),ROWS($A$1:A74)),COLUMNS($A$1:A74))
),"")</f>
        <v/>
      </c>
      <c r="C85" s="1" t="str">
        <f>IF(
IFERROR(
INDEX(Data!$1:$1048576,MATCH('Client Lists'!$B85,Data!$B:$B,0),MATCH('Client Lists'!C$11,Data!$1:$1,0)),"")=0,"",
IFERROR(
INDEX(Data!$1:$1048576,MATCH('Client Lists'!$B85,Data!$B:$B,0),MATCH('Client Lists'!C$11,Data!$1:$1,0)),""))</f>
        <v/>
      </c>
      <c r="D85" s="1" t="str">
        <f>IF(
IFERROR(
INDEX(Data!$1:$1048576,MATCH('Client Lists'!$B85,Data!$B:$B,0),MATCH('Client Lists'!D$11,Data!$1:$1,0)),"")=0,"",
IFERROR(
INDEX(Data!$1:$1048576,MATCH('Client Lists'!$B85,Data!$B:$B,0),MATCH('Client Lists'!D$11,Data!$1:$1,0)),""))</f>
        <v/>
      </c>
      <c r="E85" s="1" t="str">
        <f>IF(
IFERROR(
INDEX(Data!$1:$1048576,MATCH('Client Lists'!$B85,Data!$B:$B,0),MATCH('Client Lists'!E$11,Data!$1:$1,0)),"")=0,"",
IFERROR(
INDEX(Data!$1:$1048576,MATCH('Client Lists'!$B85,Data!$B:$B,0),MATCH('Client Lists'!E$11,Data!$1:$1,0)),""))</f>
        <v/>
      </c>
      <c r="F85" s="1" t="str">
        <f>IF(
IFERROR(
INDEX(Data!$1:$1048576,MATCH('Client Lists'!$B85,Data!$B:$B,0),MATCH('Client Lists'!F$11,Data!$1:$1,0)),"")=0,"",
IFERROR(
INDEX(Data!$1:$1048576,MATCH('Client Lists'!$B85,Data!$B:$B,0),MATCH('Client Lists'!F$11,Data!$1:$1,0)),""))</f>
        <v/>
      </c>
      <c r="G85" s="1" t="str">
        <f>IF(
IFERROR(
INDEX(Data!$1:$1048576,MATCH('Client Lists'!$B85,Data!$B:$B,0),MATCH('Client Lists'!G$11,Data!$1:$1,0)),"")=0,"",
IFERROR(
INDEX(Data!$1:$1048576,MATCH('Client Lists'!$B85,Data!$B:$B,0),MATCH('Client Lists'!G$11,Data!$1:$1,0)),""))</f>
        <v/>
      </c>
      <c r="H85" s="1" t="str">
        <f>IF(
IFERROR(
INDEX(Data!$1:$1048576,MATCH('Client Lists'!$B85,Data!$B:$B,0),MATCH('Client Lists'!H$11,Data!$1:$1,0)),"")=0,"",
IFERROR(
INDEX(Data!$1:$1048576,MATCH('Client Lists'!$B85,Data!$B:$B,0),MATCH('Client Lists'!H$11,Data!$1:$1,0)),""))</f>
        <v/>
      </c>
      <c r="I85" s="1" t="str">
        <f>IF(
IFERROR(
INDEX(Data!$1:$1048576,MATCH('Client Lists'!$B85,Data!$B:$B,0),MATCH('Client Lists'!I$11,Data!$1:$1,0)),"")=0,"",
IFERROR(
INDEX(Data!$1:$1048576,MATCH('Client Lists'!$B85,Data!$B:$B,0),MATCH('Client Lists'!I$11,Data!$1:$1,0)),""))</f>
        <v/>
      </c>
      <c r="J85" s="1" t="str">
        <f>IF(
IFERROR(
INDEX(Data!$1:$1048576,MATCH('Client Lists'!$B85,Data!$B:$B,0),MATCH('Client Lists'!J$11,Data!$1:$1,0)),"")=0,"",
IFERROR(
INDEX(Data!$1:$1048576,MATCH('Client Lists'!$B85,Data!$B:$B,0),MATCH('Client Lists'!J$11,Data!$1:$1,0)),""))</f>
        <v/>
      </c>
      <c r="K85" s="1" t="str">
        <f>IF(
IFERROR(
INDEX(Data!$1:$1048576,MATCH('Client Lists'!$B85,Data!$B:$B,0),MATCH('Client Lists'!K$11,Data!$1:$1,0)),"")=0,"",
IFERROR(
INDEX(Data!$1:$1048576,MATCH('Client Lists'!$B85,Data!$B:$B,0),MATCH('Client Lists'!K$11,Data!$1:$1,0)),""))</f>
        <v/>
      </c>
    </row>
    <row r="86" spans="2:11" x14ac:dyDescent="0.45">
      <c r="B86" s="5" t="str">
        <f t="array" ref="B86">IFERROR(_xlfn.IFS(
$B$6 = "Retention Overdue",
INDEX(Data!$B$2:$EO$956,
SMALL(IF(INDEX(Data!$B$2:$EO$956,,MATCH("Call Due",Data!$1:$1,0)-1,1)="Yes",MATCH(ROW(Data!$CN$2:$CN$956),ROW(Data!$CN$2:$CN$956)),""),ROWS($A$1:A75)),COLUMNS($A$1:A75)),
$B$6 = "OWIF-W",
INDEX(Data!$B$2:$EO$956,
SMALL(IF(INDEX(Data!$B$2:$EO$956,,MATCH("Grant Fund",Data!$1:$1,0)-1,1)="OWIF-W",MATCH(ROW(Data!$AO$2:$AO$956),ROW(Data!$AO$2:$AO$956)),""),ROWS($A$1:A75)),COLUMNS($A$1:A75)),
$B$6 = "G2C",
INDEX(Data!$B$2:$EO$956,
SMALL(IF(INDEX(Data!$B$2:$EO$956,,MATCH("Grant Fund",Data!$1:$1,0)-1,1)="Grads2Careers",MATCH(ROW(Data!$AO$2:$AO$956),ROW(Data!$AO$2:$AO$956)),""),ROWS($A$1:A75)),COLUMNS($A$1:A75)),
$B$6 = "OWIF",
INDEX(Data!$B$2:$EO$956,
SMALL(IF(INDEX(Data!$B$2:$EO$956,,MATCH("Grant Fund",Data!$1:$1,0)-1,1)="OWIF",MATCH(ROW(Data!$AO$2:$AO$956),ROW(Data!$AO$2:$AO$956)),""),ROWS($A$1:A75)),COLUMNS($A$1:A75)),
$B$6 = "WIOA",
INDEX(Data!$B$2:$EO$956,
SMALL(IF(INDEX(Data!$B$2:$EO$956,,MATCH("Grant Fund",Data!$1:$1,0)-1,1)="WIOA",MATCH(ROW(Data!$AO$2:$AO$956),ROW(Data!$AO$2:$AO$956)),""),ROWS($A$1:A75)),COLUMNS($A$1:A75)),
$B$6 = "WIOA II",
INDEX(Data!$B$2:$EO$956,
SMALL(IF(INDEX(Data!$B$2:$EO$956,,MATCH("Grant Fund",Data!$1:$1,0)-1,1)="WIOA II",MATCH(ROW(Data!$AO$2:$AO$956),ROW(Data!$AO$2:$AO$956)),""),ROWS($A$1:A75)),COLUMNS($A$1:A75)),
$B$6 = "WIOA III",
INDEX(Data!$B$2:$EO$956,
SMALL(IF(INDEX(Data!$B$2:$EO$956,,MATCH("Grant Fund",Data!$1:$1,0)-1,1)="WIOA III",MATCH(ROW(Data!$AO$2:$AO$956),ROW(Data!$AO$2:$AO$956)),""),ROWS($A$1:A75)),COLUMNS($A$1:A75)),
$B$6 = "Currently Employed",
INDEX(Data!$B$2:$EO$956,
SMALL(IF(INDEX(Data!$B$2:$EO$956,,MATCH("Currently Employed",Data!$1:$1,0)-1,1)="Yes",MATCH(ROW(Data!$DZ$2:$DZ$956),ROW(Data!$DZ$2:$DZ$956)),""),ROWS($A$1:A75)),COLUMNS($A$1:A75)),
$B$6 = "Inactive",
INDEX(Data!$B$2:$EO$956,
SMALL(IF(INDEX(Data!$B$2:$EO$956,,MATCH("Inactive",Data!$1:$1,0)-1,1)="Yes",MATCH(ROW(Data!$DG$2:$DG$956),ROW(Data!$DG$2:$DG$956)),""),ROWS($A$1:A75)),COLUMNS($A$1:A75)),
$B$6 = "Active",
INDEX(Data!$B$2:$EO$956,
SMALL(IF(INDEX(Data!$B$2:$EO$956,,MATCH("Active",Data!$1:$1,0)-1,1)="Yes",MATCH(ROW(Data!$DZ$2:$DZ$956),ROW(Data!$DZ$2:$DZ$956)),""),ROWS($A$1:A75)),COLUMNS($A$1:A75)),
$B$6 = "Status Unknown",
INDEX(Data!$B$2:$EO$956,
SMALL(IF(INDEX(Data!$B$2:$EO$956,,MATCH("Status Unknown",Data!$1:$1,0)-1,1)="Yes",MATCH(ROW(Data!$EB$2:$EB$956),ROW(Data!$EB$2:$EB$956)),""),ROWS($A$1:A75)),COLUMNS($A$1:A75)),
$B$6 = "Enrollment Pending",
INDEX(Data!$B$2:$EO$956,
SMALL(IF(INDEX(Data!$B$2:$EO$956,,MATCH("Enrollment Pending",Data!$1:$1,0)-1,1)="Yes",MATCH(ROW(Data!$DY$2:$DY$956),ROW(Data!$DY$2:$DY$956)),""),ROWS($A$1:A75)),COLUMNS($A$1:A75)),
$B$6 = "Gained Certification",
INDEX(Data!$B$2:$EO$956,
SMALL(IF(INDEX(Data!$B$2:$EO$956,,MATCH("Gained Certification",Data!$1:$1,0)-1,1)="Yes",MATCH(ROW(Data!$DU$2:$DU$956),ROW(Data!$DU$2:$DU$956)),""),ROWS($A$1:A75)),COLUMNS($A$1:A75)),
$B$6 = "No Certification",
INDEX(Data!$B$2:$EO$956,
SMALL(IF(INDEX(Data!$B$2:$EO$956,,MATCH("Gained Certification",Data!$1:$1,0)-1,1)&lt;&gt;"Yes",MATCH(ROW(Data!$DU$2:$DU$956),ROW(Data!$DU$2:$DU$956)),""),ROWS($A$1:A75)),COLUMNS($A$1:A75)),
$B$6 = "Completers Without Employment",
INDEX(Data!$B$2:$EO$967,
SMALL(IF(INDEX(Data!$B$2:$EO$967,,MATCH("Completed Without Employment",Data!$1:$1,0)-1,1)="Yes",MATCH(ROW(Data!$DZ$2:$DZ$967),ROW(Data!$DZ$2:$DZ$967)),""),ROWS($A$1:A75)),COLUMNS($A$1:A75)),
$B$6 = "CH",
INDEX(Data!$B$2:$EO$956,
SMALL(IF(INDEX(Data!$B$2:$EO$956,,MATCH("Case Manager",Data!$1:$1,0)-1,1)="CH",MATCH(ROW(Data!$DZ$2:$DZ$956),ROW(Data!$DZ$2:$DZ$956)),""),ROWS($A$1:A75)),COLUMNS($A$1:A75)),
$B$6 = "ML",
INDEX(Data!$B$2:$EO$956,
SMALL(IF(INDEX(Data!$B$2:$EO$956,,MATCH("Case Manager",Data!$1:$1,0)-1,1)="ML",MATCH(ROW(Data!$DZ$2:$DZ$956),ROW(Data!$DZ$2:$DZ$956)),""),ROWS($A$1:A75)),COLUMNS($A$1:A75)),
$B$6 = "RB",
INDEX(Data!$B$2:$EO$956,
SMALL(IF(INDEX(Data!$B$2:$EO$956,,MATCH("Case Manager",Data!$1:$1,0)-1,1)="RB",MATCH(ROW(Data!$DZ$2:$DZ$956),ROW(Data!$DZ$2:$DZ$956)),""),ROWS($A$1:A75)),COLUMNS($A$1:A75)),
$B$6 = "RV",
INDEX(Data!$B$2:$EO$956,
SMALL(IF(INDEX(Data!$B$2:$EO$956,,MATCH("Case Manager",Data!$1:$1,0)-1,1)="RV",MATCH(ROW(Data!$DZ$2:$DZ$956),ROW(Data!$DZ$2:$DZ$956)),""),ROWS($A$1:A75)),COLUMNS($A$1:A75)),
$B$6 = "SG",
INDEX(Data!$B$2:$EO$956,
SMALL(IF(INDEX(Data!$B$2:$EO$956,,MATCH("Case Manager",Data!$1:$1,0)-1,1)="SH",MATCH(ROW(Data!$DZ$2:$DZ$956),ROW(Data!$DZ$2:$DZ$956)),""),ROWS($A$1:A75)),COLUMNS($A$1:A75))
),"")</f>
        <v/>
      </c>
      <c r="C86" s="1" t="str">
        <f>IF(
IFERROR(
INDEX(Data!$1:$1048576,MATCH('Client Lists'!$B86,Data!$B:$B,0),MATCH('Client Lists'!C$11,Data!$1:$1,0)),"")=0,"",
IFERROR(
INDEX(Data!$1:$1048576,MATCH('Client Lists'!$B86,Data!$B:$B,0),MATCH('Client Lists'!C$11,Data!$1:$1,0)),""))</f>
        <v/>
      </c>
      <c r="D86" s="1" t="str">
        <f>IF(
IFERROR(
INDEX(Data!$1:$1048576,MATCH('Client Lists'!$B86,Data!$B:$B,0),MATCH('Client Lists'!D$11,Data!$1:$1,0)),"")=0,"",
IFERROR(
INDEX(Data!$1:$1048576,MATCH('Client Lists'!$B86,Data!$B:$B,0),MATCH('Client Lists'!D$11,Data!$1:$1,0)),""))</f>
        <v/>
      </c>
      <c r="E86" s="1" t="str">
        <f>IF(
IFERROR(
INDEX(Data!$1:$1048576,MATCH('Client Lists'!$B86,Data!$B:$B,0),MATCH('Client Lists'!E$11,Data!$1:$1,0)),"")=0,"",
IFERROR(
INDEX(Data!$1:$1048576,MATCH('Client Lists'!$B86,Data!$B:$B,0),MATCH('Client Lists'!E$11,Data!$1:$1,0)),""))</f>
        <v/>
      </c>
      <c r="F86" s="1" t="str">
        <f>IF(
IFERROR(
INDEX(Data!$1:$1048576,MATCH('Client Lists'!$B86,Data!$B:$B,0),MATCH('Client Lists'!F$11,Data!$1:$1,0)),"")=0,"",
IFERROR(
INDEX(Data!$1:$1048576,MATCH('Client Lists'!$B86,Data!$B:$B,0),MATCH('Client Lists'!F$11,Data!$1:$1,0)),""))</f>
        <v/>
      </c>
      <c r="G86" s="1" t="str">
        <f>IF(
IFERROR(
INDEX(Data!$1:$1048576,MATCH('Client Lists'!$B86,Data!$B:$B,0),MATCH('Client Lists'!G$11,Data!$1:$1,0)),"")=0,"",
IFERROR(
INDEX(Data!$1:$1048576,MATCH('Client Lists'!$B86,Data!$B:$B,0),MATCH('Client Lists'!G$11,Data!$1:$1,0)),""))</f>
        <v/>
      </c>
      <c r="H86" s="1" t="str">
        <f>IF(
IFERROR(
INDEX(Data!$1:$1048576,MATCH('Client Lists'!$B86,Data!$B:$B,0),MATCH('Client Lists'!H$11,Data!$1:$1,0)),"")=0,"",
IFERROR(
INDEX(Data!$1:$1048576,MATCH('Client Lists'!$B86,Data!$B:$B,0),MATCH('Client Lists'!H$11,Data!$1:$1,0)),""))</f>
        <v/>
      </c>
      <c r="I86" s="1" t="str">
        <f>IF(
IFERROR(
INDEX(Data!$1:$1048576,MATCH('Client Lists'!$B86,Data!$B:$B,0),MATCH('Client Lists'!I$11,Data!$1:$1,0)),"")=0,"",
IFERROR(
INDEX(Data!$1:$1048576,MATCH('Client Lists'!$B86,Data!$B:$B,0),MATCH('Client Lists'!I$11,Data!$1:$1,0)),""))</f>
        <v/>
      </c>
      <c r="J86" s="1" t="str">
        <f>IF(
IFERROR(
INDEX(Data!$1:$1048576,MATCH('Client Lists'!$B86,Data!$B:$B,0),MATCH('Client Lists'!J$11,Data!$1:$1,0)),"")=0,"",
IFERROR(
INDEX(Data!$1:$1048576,MATCH('Client Lists'!$B86,Data!$B:$B,0),MATCH('Client Lists'!J$11,Data!$1:$1,0)),""))</f>
        <v/>
      </c>
      <c r="K86" s="1" t="str">
        <f>IF(
IFERROR(
INDEX(Data!$1:$1048576,MATCH('Client Lists'!$B86,Data!$B:$B,0),MATCH('Client Lists'!K$11,Data!$1:$1,0)),"")=0,"",
IFERROR(
INDEX(Data!$1:$1048576,MATCH('Client Lists'!$B86,Data!$B:$B,0),MATCH('Client Lists'!K$11,Data!$1:$1,0)),""))</f>
        <v/>
      </c>
    </row>
    <row r="87" spans="2:11" x14ac:dyDescent="0.45">
      <c r="B87" s="5" t="str">
        <f t="array" ref="B87">IFERROR(_xlfn.IFS(
$B$6 = "Retention Overdue",
INDEX(Data!$B$2:$EO$956,
SMALL(IF(INDEX(Data!$B$2:$EO$956,,MATCH("Call Due",Data!$1:$1,0)-1,1)="Yes",MATCH(ROW(Data!$CN$2:$CN$956),ROW(Data!$CN$2:$CN$956)),""),ROWS($A$1:A76)),COLUMNS($A$1:A76)),
$B$6 = "OWIF-W",
INDEX(Data!$B$2:$EO$956,
SMALL(IF(INDEX(Data!$B$2:$EO$956,,MATCH("Grant Fund",Data!$1:$1,0)-1,1)="OWIF-W",MATCH(ROW(Data!$AO$2:$AO$956),ROW(Data!$AO$2:$AO$956)),""),ROWS($A$1:A76)),COLUMNS($A$1:A76)),
$B$6 = "G2C",
INDEX(Data!$B$2:$EO$956,
SMALL(IF(INDEX(Data!$B$2:$EO$956,,MATCH("Grant Fund",Data!$1:$1,0)-1,1)="Grads2Careers",MATCH(ROW(Data!$AO$2:$AO$956),ROW(Data!$AO$2:$AO$956)),""),ROWS($A$1:A76)),COLUMNS($A$1:A76)),
$B$6 = "OWIF",
INDEX(Data!$B$2:$EO$956,
SMALL(IF(INDEX(Data!$B$2:$EO$956,,MATCH("Grant Fund",Data!$1:$1,0)-1,1)="OWIF",MATCH(ROW(Data!$AO$2:$AO$956),ROW(Data!$AO$2:$AO$956)),""),ROWS($A$1:A76)),COLUMNS($A$1:A76)),
$B$6 = "WIOA",
INDEX(Data!$B$2:$EO$956,
SMALL(IF(INDEX(Data!$B$2:$EO$956,,MATCH("Grant Fund",Data!$1:$1,0)-1,1)="WIOA",MATCH(ROW(Data!$AO$2:$AO$956),ROW(Data!$AO$2:$AO$956)),""),ROWS($A$1:A76)),COLUMNS($A$1:A76)),
$B$6 = "WIOA II",
INDEX(Data!$B$2:$EO$956,
SMALL(IF(INDEX(Data!$B$2:$EO$956,,MATCH("Grant Fund",Data!$1:$1,0)-1,1)="WIOA II",MATCH(ROW(Data!$AO$2:$AO$956),ROW(Data!$AO$2:$AO$956)),""),ROWS($A$1:A76)),COLUMNS($A$1:A76)),
$B$6 = "WIOA III",
INDEX(Data!$B$2:$EO$956,
SMALL(IF(INDEX(Data!$B$2:$EO$956,,MATCH("Grant Fund",Data!$1:$1,0)-1,1)="WIOA III",MATCH(ROW(Data!$AO$2:$AO$956),ROW(Data!$AO$2:$AO$956)),""),ROWS($A$1:A76)),COLUMNS($A$1:A76)),
$B$6 = "Currently Employed",
INDEX(Data!$B$2:$EO$956,
SMALL(IF(INDEX(Data!$B$2:$EO$956,,MATCH("Currently Employed",Data!$1:$1,0)-1,1)="Yes",MATCH(ROW(Data!$DZ$2:$DZ$956),ROW(Data!$DZ$2:$DZ$956)),""),ROWS($A$1:A76)),COLUMNS($A$1:A76)),
$B$6 = "Inactive",
INDEX(Data!$B$2:$EO$956,
SMALL(IF(INDEX(Data!$B$2:$EO$956,,MATCH("Inactive",Data!$1:$1,0)-1,1)="Yes",MATCH(ROW(Data!$DG$2:$DG$956),ROW(Data!$DG$2:$DG$956)),""),ROWS($A$1:A76)),COLUMNS($A$1:A76)),
$B$6 = "Active",
INDEX(Data!$B$2:$EO$956,
SMALL(IF(INDEX(Data!$B$2:$EO$956,,MATCH("Active",Data!$1:$1,0)-1,1)="Yes",MATCH(ROW(Data!$DZ$2:$DZ$956),ROW(Data!$DZ$2:$DZ$956)),""),ROWS($A$1:A76)),COLUMNS($A$1:A76)),
$B$6 = "Status Unknown",
INDEX(Data!$B$2:$EO$956,
SMALL(IF(INDEX(Data!$B$2:$EO$956,,MATCH("Status Unknown",Data!$1:$1,0)-1,1)="Yes",MATCH(ROW(Data!$EB$2:$EB$956),ROW(Data!$EB$2:$EB$956)),""),ROWS($A$1:A76)),COLUMNS($A$1:A76)),
$B$6 = "Enrollment Pending",
INDEX(Data!$B$2:$EO$956,
SMALL(IF(INDEX(Data!$B$2:$EO$956,,MATCH("Enrollment Pending",Data!$1:$1,0)-1,1)="Yes",MATCH(ROW(Data!$DY$2:$DY$956),ROW(Data!$DY$2:$DY$956)),""),ROWS($A$1:A76)),COLUMNS($A$1:A76)),
$B$6 = "Gained Certification",
INDEX(Data!$B$2:$EO$956,
SMALL(IF(INDEX(Data!$B$2:$EO$956,,MATCH("Gained Certification",Data!$1:$1,0)-1,1)="Yes",MATCH(ROW(Data!$DU$2:$DU$956),ROW(Data!$DU$2:$DU$956)),""),ROWS($A$1:A76)),COLUMNS($A$1:A76)),
$B$6 = "No Certification",
INDEX(Data!$B$2:$EO$956,
SMALL(IF(INDEX(Data!$B$2:$EO$956,,MATCH("Gained Certification",Data!$1:$1,0)-1,1)&lt;&gt;"Yes",MATCH(ROW(Data!$DU$2:$DU$956),ROW(Data!$DU$2:$DU$956)),""),ROWS($A$1:A76)),COLUMNS($A$1:A76)),
$B$6 = "Completers Without Employment",
INDEX(Data!$B$2:$EO$967,
SMALL(IF(INDEX(Data!$B$2:$EO$967,,MATCH("Completed Without Employment",Data!$1:$1,0)-1,1)="Yes",MATCH(ROW(Data!$DZ$2:$DZ$967),ROW(Data!$DZ$2:$DZ$967)),""),ROWS($A$1:A76)),COLUMNS($A$1:A76)),
$B$6 = "CH",
INDEX(Data!$B$2:$EO$956,
SMALL(IF(INDEX(Data!$B$2:$EO$956,,MATCH("Case Manager",Data!$1:$1,0)-1,1)="CH",MATCH(ROW(Data!$DZ$2:$DZ$956),ROW(Data!$DZ$2:$DZ$956)),""),ROWS($A$1:A76)),COLUMNS($A$1:A76)),
$B$6 = "ML",
INDEX(Data!$B$2:$EO$956,
SMALL(IF(INDEX(Data!$B$2:$EO$956,,MATCH("Case Manager",Data!$1:$1,0)-1,1)="ML",MATCH(ROW(Data!$DZ$2:$DZ$956),ROW(Data!$DZ$2:$DZ$956)),""),ROWS($A$1:A76)),COLUMNS($A$1:A76)),
$B$6 = "RB",
INDEX(Data!$B$2:$EO$956,
SMALL(IF(INDEX(Data!$B$2:$EO$956,,MATCH("Case Manager",Data!$1:$1,0)-1,1)="RB",MATCH(ROW(Data!$DZ$2:$DZ$956),ROW(Data!$DZ$2:$DZ$956)),""),ROWS($A$1:A76)),COLUMNS($A$1:A76)),
$B$6 = "RV",
INDEX(Data!$B$2:$EO$956,
SMALL(IF(INDEX(Data!$B$2:$EO$956,,MATCH("Case Manager",Data!$1:$1,0)-1,1)="RV",MATCH(ROW(Data!$DZ$2:$DZ$956),ROW(Data!$DZ$2:$DZ$956)),""),ROWS($A$1:A76)),COLUMNS($A$1:A76)),
$B$6 = "SG",
INDEX(Data!$B$2:$EO$956,
SMALL(IF(INDEX(Data!$B$2:$EO$956,,MATCH("Case Manager",Data!$1:$1,0)-1,1)="SH",MATCH(ROW(Data!$DZ$2:$DZ$956),ROW(Data!$DZ$2:$DZ$956)),""),ROWS($A$1:A76)),COLUMNS($A$1:A76))
),"")</f>
        <v/>
      </c>
      <c r="C87" s="1" t="str">
        <f>IF(
IFERROR(
INDEX(Data!$1:$1048576,MATCH('Client Lists'!$B87,Data!$B:$B,0),MATCH('Client Lists'!C$11,Data!$1:$1,0)),"")=0,"",
IFERROR(
INDEX(Data!$1:$1048576,MATCH('Client Lists'!$B87,Data!$B:$B,0),MATCH('Client Lists'!C$11,Data!$1:$1,0)),""))</f>
        <v/>
      </c>
      <c r="D87" s="1" t="str">
        <f>IF(
IFERROR(
INDEX(Data!$1:$1048576,MATCH('Client Lists'!$B87,Data!$B:$B,0),MATCH('Client Lists'!D$11,Data!$1:$1,0)),"")=0,"",
IFERROR(
INDEX(Data!$1:$1048576,MATCH('Client Lists'!$B87,Data!$B:$B,0),MATCH('Client Lists'!D$11,Data!$1:$1,0)),""))</f>
        <v/>
      </c>
      <c r="E87" s="1" t="str">
        <f>IF(
IFERROR(
INDEX(Data!$1:$1048576,MATCH('Client Lists'!$B87,Data!$B:$B,0),MATCH('Client Lists'!E$11,Data!$1:$1,0)),"")=0,"",
IFERROR(
INDEX(Data!$1:$1048576,MATCH('Client Lists'!$B87,Data!$B:$B,0),MATCH('Client Lists'!E$11,Data!$1:$1,0)),""))</f>
        <v/>
      </c>
      <c r="F87" s="1" t="str">
        <f>IF(
IFERROR(
INDEX(Data!$1:$1048576,MATCH('Client Lists'!$B87,Data!$B:$B,0),MATCH('Client Lists'!F$11,Data!$1:$1,0)),"")=0,"",
IFERROR(
INDEX(Data!$1:$1048576,MATCH('Client Lists'!$B87,Data!$B:$B,0),MATCH('Client Lists'!F$11,Data!$1:$1,0)),""))</f>
        <v/>
      </c>
      <c r="G87" s="1" t="str">
        <f>IF(
IFERROR(
INDEX(Data!$1:$1048576,MATCH('Client Lists'!$B87,Data!$B:$B,0),MATCH('Client Lists'!G$11,Data!$1:$1,0)),"")=0,"",
IFERROR(
INDEX(Data!$1:$1048576,MATCH('Client Lists'!$B87,Data!$B:$B,0),MATCH('Client Lists'!G$11,Data!$1:$1,0)),""))</f>
        <v/>
      </c>
      <c r="H87" s="1" t="str">
        <f>IF(
IFERROR(
INDEX(Data!$1:$1048576,MATCH('Client Lists'!$B87,Data!$B:$B,0),MATCH('Client Lists'!H$11,Data!$1:$1,0)),"")=0,"",
IFERROR(
INDEX(Data!$1:$1048576,MATCH('Client Lists'!$B87,Data!$B:$B,0),MATCH('Client Lists'!H$11,Data!$1:$1,0)),""))</f>
        <v/>
      </c>
      <c r="I87" s="1" t="str">
        <f>IF(
IFERROR(
INDEX(Data!$1:$1048576,MATCH('Client Lists'!$B87,Data!$B:$B,0),MATCH('Client Lists'!I$11,Data!$1:$1,0)),"")=0,"",
IFERROR(
INDEX(Data!$1:$1048576,MATCH('Client Lists'!$B87,Data!$B:$B,0),MATCH('Client Lists'!I$11,Data!$1:$1,0)),""))</f>
        <v/>
      </c>
      <c r="J87" s="1" t="str">
        <f>IF(
IFERROR(
INDEX(Data!$1:$1048576,MATCH('Client Lists'!$B87,Data!$B:$B,0),MATCH('Client Lists'!J$11,Data!$1:$1,0)),"")=0,"",
IFERROR(
INDEX(Data!$1:$1048576,MATCH('Client Lists'!$B87,Data!$B:$B,0),MATCH('Client Lists'!J$11,Data!$1:$1,0)),""))</f>
        <v/>
      </c>
      <c r="K87" s="1" t="str">
        <f>IF(
IFERROR(
INDEX(Data!$1:$1048576,MATCH('Client Lists'!$B87,Data!$B:$B,0),MATCH('Client Lists'!K$11,Data!$1:$1,0)),"")=0,"",
IFERROR(
INDEX(Data!$1:$1048576,MATCH('Client Lists'!$B87,Data!$B:$B,0),MATCH('Client Lists'!K$11,Data!$1:$1,0)),""))</f>
        <v/>
      </c>
    </row>
    <row r="88" spans="2:11" x14ac:dyDescent="0.45">
      <c r="B88" s="5" t="str">
        <f t="array" ref="B88">IFERROR(_xlfn.IFS(
$B$6 = "Retention Overdue",
INDEX(Data!$B$2:$EO$956,
SMALL(IF(INDEX(Data!$B$2:$EO$956,,MATCH("Call Due",Data!$1:$1,0)-1,1)="Yes",MATCH(ROW(Data!$CN$2:$CN$956),ROW(Data!$CN$2:$CN$956)),""),ROWS($A$1:A77)),COLUMNS($A$1:A77)),
$B$6 = "OWIF-W",
INDEX(Data!$B$2:$EO$956,
SMALL(IF(INDEX(Data!$B$2:$EO$956,,MATCH("Grant Fund",Data!$1:$1,0)-1,1)="OWIF-W",MATCH(ROW(Data!$AO$2:$AO$956),ROW(Data!$AO$2:$AO$956)),""),ROWS($A$1:A77)),COLUMNS($A$1:A77)),
$B$6 = "G2C",
INDEX(Data!$B$2:$EO$956,
SMALL(IF(INDEX(Data!$B$2:$EO$956,,MATCH("Grant Fund",Data!$1:$1,0)-1,1)="Grads2Careers",MATCH(ROW(Data!$AO$2:$AO$956),ROW(Data!$AO$2:$AO$956)),""),ROWS($A$1:A77)),COLUMNS($A$1:A77)),
$B$6 = "OWIF",
INDEX(Data!$B$2:$EO$956,
SMALL(IF(INDEX(Data!$B$2:$EO$956,,MATCH("Grant Fund",Data!$1:$1,0)-1,1)="OWIF",MATCH(ROW(Data!$AO$2:$AO$956),ROW(Data!$AO$2:$AO$956)),""),ROWS($A$1:A77)),COLUMNS($A$1:A77)),
$B$6 = "WIOA",
INDEX(Data!$B$2:$EO$956,
SMALL(IF(INDEX(Data!$B$2:$EO$956,,MATCH("Grant Fund",Data!$1:$1,0)-1,1)="WIOA",MATCH(ROW(Data!$AO$2:$AO$956),ROW(Data!$AO$2:$AO$956)),""),ROWS($A$1:A77)),COLUMNS($A$1:A77)),
$B$6 = "WIOA II",
INDEX(Data!$B$2:$EO$956,
SMALL(IF(INDEX(Data!$B$2:$EO$956,,MATCH("Grant Fund",Data!$1:$1,0)-1,1)="WIOA II",MATCH(ROW(Data!$AO$2:$AO$956),ROW(Data!$AO$2:$AO$956)),""),ROWS($A$1:A77)),COLUMNS($A$1:A77)),
$B$6 = "WIOA III",
INDEX(Data!$B$2:$EO$956,
SMALL(IF(INDEX(Data!$B$2:$EO$956,,MATCH("Grant Fund",Data!$1:$1,0)-1,1)="WIOA III",MATCH(ROW(Data!$AO$2:$AO$956),ROW(Data!$AO$2:$AO$956)),""),ROWS($A$1:A77)),COLUMNS($A$1:A77)),
$B$6 = "Currently Employed",
INDEX(Data!$B$2:$EO$956,
SMALL(IF(INDEX(Data!$B$2:$EO$956,,MATCH("Currently Employed",Data!$1:$1,0)-1,1)="Yes",MATCH(ROW(Data!$DZ$2:$DZ$956),ROW(Data!$DZ$2:$DZ$956)),""),ROWS($A$1:A77)),COLUMNS($A$1:A77)),
$B$6 = "Inactive",
INDEX(Data!$B$2:$EO$956,
SMALL(IF(INDEX(Data!$B$2:$EO$956,,MATCH("Inactive",Data!$1:$1,0)-1,1)="Yes",MATCH(ROW(Data!$DG$2:$DG$956),ROW(Data!$DG$2:$DG$956)),""),ROWS($A$1:A77)),COLUMNS($A$1:A77)),
$B$6 = "Active",
INDEX(Data!$B$2:$EO$956,
SMALL(IF(INDEX(Data!$B$2:$EO$956,,MATCH("Active",Data!$1:$1,0)-1,1)="Yes",MATCH(ROW(Data!$DZ$2:$DZ$956),ROW(Data!$DZ$2:$DZ$956)),""),ROWS($A$1:A77)),COLUMNS($A$1:A77)),
$B$6 = "Status Unknown",
INDEX(Data!$B$2:$EO$956,
SMALL(IF(INDEX(Data!$B$2:$EO$956,,MATCH("Status Unknown",Data!$1:$1,0)-1,1)="Yes",MATCH(ROW(Data!$EB$2:$EB$956),ROW(Data!$EB$2:$EB$956)),""),ROWS($A$1:A77)),COLUMNS($A$1:A77)),
$B$6 = "Enrollment Pending",
INDEX(Data!$B$2:$EO$956,
SMALL(IF(INDEX(Data!$B$2:$EO$956,,MATCH("Enrollment Pending",Data!$1:$1,0)-1,1)="Yes",MATCH(ROW(Data!$DY$2:$DY$956),ROW(Data!$DY$2:$DY$956)),""),ROWS($A$1:A77)),COLUMNS($A$1:A77)),
$B$6 = "Gained Certification",
INDEX(Data!$B$2:$EO$956,
SMALL(IF(INDEX(Data!$B$2:$EO$956,,MATCH("Gained Certification",Data!$1:$1,0)-1,1)="Yes",MATCH(ROW(Data!$DU$2:$DU$956),ROW(Data!$DU$2:$DU$956)),""),ROWS($A$1:A77)),COLUMNS($A$1:A77)),
$B$6 = "No Certification",
INDEX(Data!$B$2:$EO$956,
SMALL(IF(INDEX(Data!$B$2:$EO$956,,MATCH("Gained Certification",Data!$1:$1,0)-1,1)&lt;&gt;"Yes",MATCH(ROW(Data!$DU$2:$DU$956),ROW(Data!$DU$2:$DU$956)),""),ROWS($A$1:A77)),COLUMNS($A$1:A77)),
$B$6 = "Completers Without Employment",
INDEX(Data!$B$2:$EO$967,
SMALL(IF(INDEX(Data!$B$2:$EO$967,,MATCH("Completed Without Employment",Data!$1:$1,0)-1,1)="Yes",MATCH(ROW(Data!$DZ$2:$DZ$967),ROW(Data!$DZ$2:$DZ$967)),""),ROWS($A$1:A77)),COLUMNS($A$1:A77)),
$B$6 = "CH",
INDEX(Data!$B$2:$EO$956,
SMALL(IF(INDEX(Data!$B$2:$EO$956,,MATCH("Case Manager",Data!$1:$1,0)-1,1)="CH",MATCH(ROW(Data!$DZ$2:$DZ$956),ROW(Data!$DZ$2:$DZ$956)),""),ROWS($A$1:A77)),COLUMNS($A$1:A77)),
$B$6 = "ML",
INDEX(Data!$B$2:$EO$956,
SMALL(IF(INDEX(Data!$B$2:$EO$956,,MATCH("Case Manager",Data!$1:$1,0)-1,1)="ML",MATCH(ROW(Data!$DZ$2:$DZ$956),ROW(Data!$DZ$2:$DZ$956)),""),ROWS($A$1:A77)),COLUMNS($A$1:A77)),
$B$6 = "RB",
INDEX(Data!$B$2:$EO$956,
SMALL(IF(INDEX(Data!$B$2:$EO$956,,MATCH("Case Manager",Data!$1:$1,0)-1,1)="RB",MATCH(ROW(Data!$DZ$2:$DZ$956),ROW(Data!$DZ$2:$DZ$956)),""),ROWS($A$1:A77)),COLUMNS($A$1:A77)),
$B$6 = "RV",
INDEX(Data!$B$2:$EO$956,
SMALL(IF(INDEX(Data!$B$2:$EO$956,,MATCH("Case Manager",Data!$1:$1,0)-1,1)="RV",MATCH(ROW(Data!$DZ$2:$DZ$956),ROW(Data!$DZ$2:$DZ$956)),""),ROWS($A$1:A77)),COLUMNS($A$1:A77)),
$B$6 = "SG",
INDEX(Data!$B$2:$EO$956,
SMALL(IF(INDEX(Data!$B$2:$EO$956,,MATCH("Case Manager",Data!$1:$1,0)-1,1)="SH",MATCH(ROW(Data!$DZ$2:$DZ$956),ROW(Data!$DZ$2:$DZ$956)),""),ROWS($A$1:A77)),COLUMNS($A$1:A77))
),"")</f>
        <v/>
      </c>
      <c r="C88" s="1" t="str">
        <f>IF(
IFERROR(
INDEX(Data!$1:$1048576,MATCH('Client Lists'!$B88,Data!$B:$B,0),MATCH('Client Lists'!C$11,Data!$1:$1,0)),"")=0,"",
IFERROR(
INDEX(Data!$1:$1048576,MATCH('Client Lists'!$B88,Data!$B:$B,0),MATCH('Client Lists'!C$11,Data!$1:$1,0)),""))</f>
        <v/>
      </c>
      <c r="D88" s="1" t="str">
        <f>IF(
IFERROR(
INDEX(Data!$1:$1048576,MATCH('Client Lists'!$B88,Data!$B:$B,0),MATCH('Client Lists'!D$11,Data!$1:$1,0)),"")=0,"",
IFERROR(
INDEX(Data!$1:$1048576,MATCH('Client Lists'!$B88,Data!$B:$B,0),MATCH('Client Lists'!D$11,Data!$1:$1,0)),""))</f>
        <v/>
      </c>
      <c r="E88" s="1" t="str">
        <f>IF(
IFERROR(
INDEX(Data!$1:$1048576,MATCH('Client Lists'!$B88,Data!$B:$B,0),MATCH('Client Lists'!E$11,Data!$1:$1,0)),"")=0,"",
IFERROR(
INDEX(Data!$1:$1048576,MATCH('Client Lists'!$B88,Data!$B:$B,0),MATCH('Client Lists'!E$11,Data!$1:$1,0)),""))</f>
        <v/>
      </c>
      <c r="F88" s="1" t="str">
        <f>IF(
IFERROR(
INDEX(Data!$1:$1048576,MATCH('Client Lists'!$B88,Data!$B:$B,0),MATCH('Client Lists'!F$11,Data!$1:$1,0)),"")=0,"",
IFERROR(
INDEX(Data!$1:$1048576,MATCH('Client Lists'!$B88,Data!$B:$B,0),MATCH('Client Lists'!F$11,Data!$1:$1,0)),""))</f>
        <v/>
      </c>
      <c r="G88" s="1" t="str">
        <f>IF(
IFERROR(
INDEX(Data!$1:$1048576,MATCH('Client Lists'!$B88,Data!$B:$B,0),MATCH('Client Lists'!G$11,Data!$1:$1,0)),"")=0,"",
IFERROR(
INDEX(Data!$1:$1048576,MATCH('Client Lists'!$B88,Data!$B:$B,0),MATCH('Client Lists'!G$11,Data!$1:$1,0)),""))</f>
        <v/>
      </c>
      <c r="H88" s="1" t="str">
        <f>IF(
IFERROR(
INDEX(Data!$1:$1048576,MATCH('Client Lists'!$B88,Data!$B:$B,0),MATCH('Client Lists'!H$11,Data!$1:$1,0)),"")=0,"",
IFERROR(
INDEX(Data!$1:$1048576,MATCH('Client Lists'!$B88,Data!$B:$B,0),MATCH('Client Lists'!H$11,Data!$1:$1,0)),""))</f>
        <v/>
      </c>
      <c r="I88" s="1" t="str">
        <f>IF(
IFERROR(
INDEX(Data!$1:$1048576,MATCH('Client Lists'!$B88,Data!$B:$B,0),MATCH('Client Lists'!I$11,Data!$1:$1,0)),"")=0,"",
IFERROR(
INDEX(Data!$1:$1048576,MATCH('Client Lists'!$B88,Data!$B:$B,0),MATCH('Client Lists'!I$11,Data!$1:$1,0)),""))</f>
        <v/>
      </c>
      <c r="J88" s="1" t="str">
        <f>IF(
IFERROR(
INDEX(Data!$1:$1048576,MATCH('Client Lists'!$B88,Data!$B:$B,0),MATCH('Client Lists'!J$11,Data!$1:$1,0)),"")=0,"",
IFERROR(
INDEX(Data!$1:$1048576,MATCH('Client Lists'!$B88,Data!$B:$B,0),MATCH('Client Lists'!J$11,Data!$1:$1,0)),""))</f>
        <v/>
      </c>
      <c r="K88" s="1" t="str">
        <f>IF(
IFERROR(
INDEX(Data!$1:$1048576,MATCH('Client Lists'!$B88,Data!$B:$B,0),MATCH('Client Lists'!K$11,Data!$1:$1,0)),"")=0,"",
IFERROR(
INDEX(Data!$1:$1048576,MATCH('Client Lists'!$B88,Data!$B:$B,0),MATCH('Client Lists'!K$11,Data!$1:$1,0)),""))</f>
        <v/>
      </c>
    </row>
    <row r="89" spans="2:11" x14ac:dyDescent="0.45">
      <c r="B89" s="5" t="str">
        <f t="array" ref="B89">IFERROR(_xlfn.IFS(
$B$6 = "Retention Overdue",
INDEX(Data!$B$2:$EO$956,
SMALL(IF(INDEX(Data!$B$2:$EO$956,,MATCH("Call Due",Data!$1:$1,0)-1,1)="Yes",MATCH(ROW(Data!$CN$2:$CN$956),ROW(Data!$CN$2:$CN$956)),""),ROWS($A$1:A78)),COLUMNS($A$1:A78)),
$B$6 = "OWIF-W",
INDEX(Data!$B$2:$EO$956,
SMALL(IF(INDEX(Data!$B$2:$EO$956,,MATCH("Grant Fund",Data!$1:$1,0)-1,1)="OWIF-W",MATCH(ROW(Data!$AO$2:$AO$956),ROW(Data!$AO$2:$AO$956)),""),ROWS($A$1:A78)),COLUMNS($A$1:A78)),
$B$6 = "G2C",
INDEX(Data!$B$2:$EO$956,
SMALL(IF(INDEX(Data!$B$2:$EO$956,,MATCH("Grant Fund",Data!$1:$1,0)-1,1)="Grads2Careers",MATCH(ROW(Data!$AO$2:$AO$956),ROW(Data!$AO$2:$AO$956)),""),ROWS($A$1:A78)),COLUMNS($A$1:A78)),
$B$6 = "OWIF",
INDEX(Data!$B$2:$EO$956,
SMALL(IF(INDEX(Data!$B$2:$EO$956,,MATCH("Grant Fund",Data!$1:$1,0)-1,1)="OWIF",MATCH(ROW(Data!$AO$2:$AO$956),ROW(Data!$AO$2:$AO$956)),""),ROWS($A$1:A78)),COLUMNS($A$1:A78)),
$B$6 = "WIOA",
INDEX(Data!$B$2:$EO$956,
SMALL(IF(INDEX(Data!$B$2:$EO$956,,MATCH("Grant Fund",Data!$1:$1,0)-1,1)="WIOA",MATCH(ROW(Data!$AO$2:$AO$956),ROW(Data!$AO$2:$AO$956)),""),ROWS($A$1:A78)),COLUMNS($A$1:A78)),
$B$6 = "WIOA II",
INDEX(Data!$B$2:$EO$956,
SMALL(IF(INDEX(Data!$B$2:$EO$956,,MATCH("Grant Fund",Data!$1:$1,0)-1,1)="WIOA II",MATCH(ROW(Data!$AO$2:$AO$956),ROW(Data!$AO$2:$AO$956)),""),ROWS($A$1:A78)),COLUMNS($A$1:A78)),
$B$6 = "WIOA III",
INDEX(Data!$B$2:$EO$956,
SMALL(IF(INDEX(Data!$B$2:$EO$956,,MATCH("Grant Fund",Data!$1:$1,0)-1,1)="WIOA III",MATCH(ROW(Data!$AO$2:$AO$956),ROW(Data!$AO$2:$AO$956)),""),ROWS($A$1:A78)),COLUMNS($A$1:A78)),
$B$6 = "Currently Employed",
INDEX(Data!$B$2:$EO$956,
SMALL(IF(INDEX(Data!$B$2:$EO$956,,MATCH("Currently Employed",Data!$1:$1,0)-1,1)="Yes",MATCH(ROW(Data!$DZ$2:$DZ$956),ROW(Data!$DZ$2:$DZ$956)),""),ROWS($A$1:A78)),COLUMNS($A$1:A78)),
$B$6 = "Inactive",
INDEX(Data!$B$2:$EO$956,
SMALL(IF(INDEX(Data!$B$2:$EO$956,,MATCH("Inactive",Data!$1:$1,0)-1,1)="Yes",MATCH(ROW(Data!$DG$2:$DG$956),ROW(Data!$DG$2:$DG$956)),""),ROWS($A$1:A78)),COLUMNS($A$1:A78)),
$B$6 = "Active",
INDEX(Data!$B$2:$EO$956,
SMALL(IF(INDEX(Data!$B$2:$EO$956,,MATCH("Active",Data!$1:$1,0)-1,1)="Yes",MATCH(ROW(Data!$DZ$2:$DZ$956),ROW(Data!$DZ$2:$DZ$956)),""),ROWS($A$1:A78)),COLUMNS($A$1:A78)),
$B$6 = "Status Unknown",
INDEX(Data!$B$2:$EO$956,
SMALL(IF(INDEX(Data!$B$2:$EO$956,,MATCH("Status Unknown",Data!$1:$1,0)-1,1)="Yes",MATCH(ROW(Data!$EB$2:$EB$956),ROW(Data!$EB$2:$EB$956)),""),ROWS($A$1:A78)),COLUMNS($A$1:A78)),
$B$6 = "Enrollment Pending",
INDEX(Data!$B$2:$EO$956,
SMALL(IF(INDEX(Data!$B$2:$EO$956,,MATCH("Enrollment Pending",Data!$1:$1,0)-1,1)="Yes",MATCH(ROW(Data!$DY$2:$DY$956),ROW(Data!$DY$2:$DY$956)),""),ROWS($A$1:A78)),COLUMNS($A$1:A78)),
$B$6 = "Gained Certification",
INDEX(Data!$B$2:$EO$956,
SMALL(IF(INDEX(Data!$B$2:$EO$956,,MATCH("Gained Certification",Data!$1:$1,0)-1,1)="Yes",MATCH(ROW(Data!$DU$2:$DU$956),ROW(Data!$DU$2:$DU$956)),""),ROWS($A$1:A78)),COLUMNS($A$1:A78)),
$B$6 = "No Certification",
INDEX(Data!$B$2:$EO$956,
SMALL(IF(INDEX(Data!$B$2:$EO$956,,MATCH("Gained Certification",Data!$1:$1,0)-1,1)&lt;&gt;"Yes",MATCH(ROW(Data!$DU$2:$DU$956),ROW(Data!$DU$2:$DU$956)),""),ROWS($A$1:A78)),COLUMNS($A$1:A78)),
$B$6 = "Completers Without Employment",
INDEX(Data!$B$2:$EO$967,
SMALL(IF(INDEX(Data!$B$2:$EO$967,,MATCH("Completed Without Employment",Data!$1:$1,0)-1,1)="Yes",MATCH(ROW(Data!$DZ$2:$DZ$967),ROW(Data!$DZ$2:$DZ$967)),""),ROWS($A$1:A78)),COLUMNS($A$1:A78)),
$B$6 = "CH",
INDEX(Data!$B$2:$EO$956,
SMALL(IF(INDEX(Data!$B$2:$EO$956,,MATCH("Case Manager",Data!$1:$1,0)-1,1)="CH",MATCH(ROW(Data!$DZ$2:$DZ$956),ROW(Data!$DZ$2:$DZ$956)),""),ROWS($A$1:A78)),COLUMNS($A$1:A78)),
$B$6 = "ML",
INDEX(Data!$B$2:$EO$956,
SMALL(IF(INDEX(Data!$B$2:$EO$956,,MATCH("Case Manager",Data!$1:$1,0)-1,1)="ML",MATCH(ROW(Data!$DZ$2:$DZ$956),ROW(Data!$DZ$2:$DZ$956)),""),ROWS($A$1:A78)),COLUMNS($A$1:A78)),
$B$6 = "RB",
INDEX(Data!$B$2:$EO$956,
SMALL(IF(INDEX(Data!$B$2:$EO$956,,MATCH("Case Manager",Data!$1:$1,0)-1,1)="RB",MATCH(ROW(Data!$DZ$2:$DZ$956),ROW(Data!$DZ$2:$DZ$956)),""),ROWS($A$1:A78)),COLUMNS($A$1:A78)),
$B$6 = "RV",
INDEX(Data!$B$2:$EO$956,
SMALL(IF(INDEX(Data!$B$2:$EO$956,,MATCH("Case Manager",Data!$1:$1,0)-1,1)="RV",MATCH(ROW(Data!$DZ$2:$DZ$956),ROW(Data!$DZ$2:$DZ$956)),""),ROWS($A$1:A78)),COLUMNS($A$1:A78)),
$B$6 = "SG",
INDEX(Data!$B$2:$EO$956,
SMALL(IF(INDEX(Data!$B$2:$EO$956,,MATCH("Case Manager",Data!$1:$1,0)-1,1)="SH",MATCH(ROW(Data!$DZ$2:$DZ$956),ROW(Data!$DZ$2:$DZ$956)),""),ROWS($A$1:A78)),COLUMNS($A$1:A78))
),"")</f>
        <v/>
      </c>
      <c r="C89" s="1" t="str">
        <f>IF(
IFERROR(
INDEX(Data!$1:$1048576,MATCH('Client Lists'!$B89,Data!$B:$B,0),MATCH('Client Lists'!C$11,Data!$1:$1,0)),"")=0,"",
IFERROR(
INDEX(Data!$1:$1048576,MATCH('Client Lists'!$B89,Data!$B:$B,0),MATCH('Client Lists'!C$11,Data!$1:$1,0)),""))</f>
        <v/>
      </c>
      <c r="D89" s="1" t="str">
        <f>IF(
IFERROR(
INDEX(Data!$1:$1048576,MATCH('Client Lists'!$B89,Data!$B:$B,0),MATCH('Client Lists'!D$11,Data!$1:$1,0)),"")=0,"",
IFERROR(
INDEX(Data!$1:$1048576,MATCH('Client Lists'!$B89,Data!$B:$B,0),MATCH('Client Lists'!D$11,Data!$1:$1,0)),""))</f>
        <v/>
      </c>
      <c r="E89" s="1" t="str">
        <f>IF(
IFERROR(
INDEX(Data!$1:$1048576,MATCH('Client Lists'!$B89,Data!$B:$B,0),MATCH('Client Lists'!E$11,Data!$1:$1,0)),"")=0,"",
IFERROR(
INDEX(Data!$1:$1048576,MATCH('Client Lists'!$B89,Data!$B:$B,0),MATCH('Client Lists'!E$11,Data!$1:$1,0)),""))</f>
        <v/>
      </c>
      <c r="F89" s="1" t="str">
        <f>IF(
IFERROR(
INDEX(Data!$1:$1048576,MATCH('Client Lists'!$B89,Data!$B:$B,0),MATCH('Client Lists'!F$11,Data!$1:$1,0)),"")=0,"",
IFERROR(
INDEX(Data!$1:$1048576,MATCH('Client Lists'!$B89,Data!$B:$B,0),MATCH('Client Lists'!F$11,Data!$1:$1,0)),""))</f>
        <v/>
      </c>
      <c r="G89" s="1" t="str">
        <f>IF(
IFERROR(
INDEX(Data!$1:$1048576,MATCH('Client Lists'!$B89,Data!$B:$B,0),MATCH('Client Lists'!G$11,Data!$1:$1,0)),"")=0,"",
IFERROR(
INDEX(Data!$1:$1048576,MATCH('Client Lists'!$B89,Data!$B:$B,0),MATCH('Client Lists'!G$11,Data!$1:$1,0)),""))</f>
        <v/>
      </c>
      <c r="H89" s="1" t="str">
        <f>IF(
IFERROR(
INDEX(Data!$1:$1048576,MATCH('Client Lists'!$B89,Data!$B:$B,0),MATCH('Client Lists'!H$11,Data!$1:$1,0)),"")=0,"",
IFERROR(
INDEX(Data!$1:$1048576,MATCH('Client Lists'!$B89,Data!$B:$B,0),MATCH('Client Lists'!H$11,Data!$1:$1,0)),""))</f>
        <v/>
      </c>
      <c r="I89" s="1" t="str">
        <f>IF(
IFERROR(
INDEX(Data!$1:$1048576,MATCH('Client Lists'!$B89,Data!$B:$B,0),MATCH('Client Lists'!I$11,Data!$1:$1,0)),"")=0,"",
IFERROR(
INDEX(Data!$1:$1048576,MATCH('Client Lists'!$B89,Data!$B:$B,0),MATCH('Client Lists'!I$11,Data!$1:$1,0)),""))</f>
        <v/>
      </c>
      <c r="J89" s="1" t="str">
        <f>IF(
IFERROR(
INDEX(Data!$1:$1048576,MATCH('Client Lists'!$B89,Data!$B:$B,0),MATCH('Client Lists'!J$11,Data!$1:$1,0)),"")=0,"",
IFERROR(
INDEX(Data!$1:$1048576,MATCH('Client Lists'!$B89,Data!$B:$B,0),MATCH('Client Lists'!J$11,Data!$1:$1,0)),""))</f>
        <v/>
      </c>
      <c r="K89" s="1" t="str">
        <f>IF(
IFERROR(
INDEX(Data!$1:$1048576,MATCH('Client Lists'!$B89,Data!$B:$B,0),MATCH('Client Lists'!K$11,Data!$1:$1,0)),"")=0,"",
IFERROR(
INDEX(Data!$1:$1048576,MATCH('Client Lists'!$B89,Data!$B:$B,0),MATCH('Client Lists'!K$11,Data!$1:$1,0)),""))</f>
        <v/>
      </c>
    </row>
    <row r="90" spans="2:11" x14ac:dyDescent="0.45">
      <c r="B90" s="5" t="str">
        <f t="array" ref="B90">IFERROR(_xlfn.IFS(
$B$6 = "Retention Overdue",
INDEX(Data!$B$2:$EO$956,
SMALL(IF(INDEX(Data!$B$2:$EO$956,,MATCH("Call Due",Data!$1:$1,0)-1,1)="Yes",MATCH(ROW(Data!$CN$2:$CN$956),ROW(Data!$CN$2:$CN$956)),""),ROWS($A$1:A79)),COLUMNS($A$1:A79)),
$B$6 = "OWIF-W",
INDEX(Data!$B$2:$EO$956,
SMALL(IF(INDEX(Data!$B$2:$EO$956,,MATCH("Grant Fund",Data!$1:$1,0)-1,1)="OWIF-W",MATCH(ROW(Data!$AO$2:$AO$956),ROW(Data!$AO$2:$AO$956)),""),ROWS($A$1:A79)),COLUMNS($A$1:A79)),
$B$6 = "G2C",
INDEX(Data!$B$2:$EO$956,
SMALL(IF(INDEX(Data!$B$2:$EO$956,,MATCH("Grant Fund",Data!$1:$1,0)-1,1)="Grads2Careers",MATCH(ROW(Data!$AO$2:$AO$956),ROW(Data!$AO$2:$AO$956)),""),ROWS($A$1:A79)),COLUMNS($A$1:A79)),
$B$6 = "OWIF",
INDEX(Data!$B$2:$EO$956,
SMALL(IF(INDEX(Data!$B$2:$EO$956,,MATCH("Grant Fund",Data!$1:$1,0)-1,1)="OWIF",MATCH(ROW(Data!$AO$2:$AO$956),ROW(Data!$AO$2:$AO$956)),""),ROWS($A$1:A79)),COLUMNS($A$1:A79)),
$B$6 = "WIOA",
INDEX(Data!$B$2:$EO$956,
SMALL(IF(INDEX(Data!$B$2:$EO$956,,MATCH("Grant Fund",Data!$1:$1,0)-1,1)="WIOA",MATCH(ROW(Data!$AO$2:$AO$956),ROW(Data!$AO$2:$AO$956)),""),ROWS($A$1:A79)),COLUMNS($A$1:A79)),
$B$6 = "WIOA II",
INDEX(Data!$B$2:$EO$956,
SMALL(IF(INDEX(Data!$B$2:$EO$956,,MATCH("Grant Fund",Data!$1:$1,0)-1,1)="WIOA II",MATCH(ROW(Data!$AO$2:$AO$956),ROW(Data!$AO$2:$AO$956)),""),ROWS($A$1:A79)),COLUMNS($A$1:A79)),
$B$6 = "WIOA III",
INDEX(Data!$B$2:$EO$956,
SMALL(IF(INDEX(Data!$B$2:$EO$956,,MATCH("Grant Fund",Data!$1:$1,0)-1,1)="WIOA III",MATCH(ROW(Data!$AO$2:$AO$956),ROW(Data!$AO$2:$AO$956)),""),ROWS($A$1:A79)),COLUMNS($A$1:A79)),
$B$6 = "Currently Employed",
INDEX(Data!$B$2:$EO$956,
SMALL(IF(INDEX(Data!$B$2:$EO$956,,MATCH("Currently Employed",Data!$1:$1,0)-1,1)="Yes",MATCH(ROW(Data!$DZ$2:$DZ$956),ROW(Data!$DZ$2:$DZ$956)),""),ROWS($A$1:A79)),COLUMNS($A$1:A79)),
$B$6 = "Inactive",
INDEX(Data!$B$2:$EO$956,
SMALL(IF(INDEX(Data!$B$2:$EO$956,,MATCH("Inactive",Data!$1:$1,0)-1,1)="Yes",MATCH(ROW(Data!$DG$2:$DG$956),ROW(Data!$DG$2:$DG$956)),""),ROWS($A$1:A79)),COLUMNS($A$1:A79)),
$B$6 = "Active",
INDEX(Data!$B$2:$EO$956,
SMALL(IF(INDEX(Data!$B$2:$EO$956,,MATCH("Active",Data!$1:$1,0)-1,1)="Yes",MATCH(ROW(Data!$DZ$2:$DZ$956),ROW(Data!$DZ$2:$DZ$956)),""),ROWS($A$1:A79)),COLUMNS($A$1:A79)),
$B$6 = "Status Unknown",
INDEX(Data!$B$2:$EO$956,
SMALL(IF(INDEX(Data!$B$2:$EO$956,,MATCH("Status Unknown",Data!$1:$1,0)-1,1)="Yes",MATCH(ROW(Data!$EB$2:$EB$956),ROW(Data!$EB$2:$EB$956)),""),ROWS($A$1:A79)),COLUMNS($A$1:A79)),
$B$6 = "Enrollment Pending",
INDEX(Data!$B$2:$EO$956,
SMALL(IF(INDEX(Data!$B$2:$EO$956,,MATCH("Enrollment Pending",Data!$1:$1,0)-1,1)="Yes",MATCH(ROW(Data!$DY$2:$DY$956),ROW(Data!$DY$2:$DY$956)),""),ROWS($A$1:A79)),COLUMNS($A$1:A79)),
$B$6 = "Gained Certification",
INDEX(Data!$B$2:$EO$956,
SMALL(IF(INDEX(Data!$B$2:$EO$956,,MATCH("Gained Certification",Data!$1:$1,0)-1,1)="Yes",MATCH(ROW(Data!$DU$2:$DU$956),ROW(Data!$DU$2:$DU$956)),""),ROWS($A$1:A79)),COLUMNS($A$1:A79)),
$B$6 = "No Certification",
INDEX(Data!$B$2:$EO$956,
SMALL(IF(INDEX(Data!$B$2:$EO$956,,MATCH("Gained Certification",Data!$1:$1,0)-1,1)&lt;&gt;"Yes",MATCH(ROW(Data!$DU$2:$DU$956),ROW(Data!$DU$2:$DU$956)),""),ROWS($A$1:A79)),COLUMNS($A$1:A79)),
$B$6 = "Completers Without Employment",
INDEX(Data!$B$2:$EO$967,
SMALL(IF(INDEX(Data!$B$2:$EO$967,,MATCH("Completed Without Employment",Data!$1:$1,0)-1,1)="Yes",MATCH(ROW(Data!$DZ$2:$DZ$967),ROW(Data!$DZ$2:$DZ$967)),""),ROWS($A$1:A79)),COLUMNS($A$1:A79)),
$B$6 = "CH",
INDEX(Data!$B$2:$EO$956,
SMALL(IF(INDEX(Data!$B$2:$EO$956,,MATCH("Case Manager",Data!$1:$1,0)-1,1)="CH",MATCH(ROW(Data!$DZ$2:$DZ$956),ROW(Data!$DZ$2:$DZ$956)),""),ROWS($A$1:A79)),COLUMNS($A$1:A79)),
$B$6 = "ML",
INDEX(Data!$B$2:$EO$956,
SMALL(IF(INDEX(Data!$B$2:$EO$956,,MATCH("Case Manager",Data!$1:$1,0)-1,1)="ML",MATCH(ROW(Data!$DZ$2:$DZ$956),ROW(Data!$DZ$2:$DZ$956)),""),ROWS($A$1:A79)),COLUMNS($A$1:A79)),
$B$6 = "RB",
INDEX(Data!$B$2:$EO$956,
SMALL(IF(INDEX(Data!$B$2:$EO$956,,MATCH("Case Manager",Data!$1:$1,0)-1,1)="RB",MATCH(ROW(Data!$DZ$2:$DZ$956),ROW(Data!$DZ$2:$DZ$956)),""),ROWS($A$1:A79)),COLUMNS($A$1:A79)),
$B$6 = "RV",
INDEX(Data!$B$2:$EO$956,
SMALL(IF(INDEX(Data!$B$2:$EO$956,,MATCH("Case Manager",Data!$1:$1,0)-1,1)="RV",MATCH(ROW(Data!$DZ$2:$DZ$956),ROW(Data!$DZ$2:$DZ$956)),""),ROWS($A$1:A79)),COLUMNS($A$1:A79)),
$B$6 = "SG",
INDEX(Data!$B$2:$EO$956,
SMALL(IF(INDEX(Data!$B$2:$EO$956,,MATCH("Case Manager",Data!$1:$1,0)-1,1)="SH",MATCH(ROW(Data!$DZ$2:$DZ$956),ROW(Data!$DZ$2:$DZ$956)),""),ROWS($A$1:A79)),COLUMNS($A$1:A79))
),"")</f>
        <v/>
      </c>
      <c r="C90" s="1" t="str">
        <f>IF(
IFERROR(
INDEX(Data!$1:$1048576,MATCH('Client Lists'!$B90,Data!$B:$B,0),MATCH('Client Lists'!C$11,Data!$1:$1,0)),"")=0,"",
IFERROR(
INDEX(Data!$1:$1048576,MATCH('Client Lists'!$B90,Data!$B:$B,0),MATCH('Client Lists'!C$11,Data!$1:$1,0)),""))</f>
        <v/>
      </c>
      <c r="D90" s="1" t="str">
        <f>IF(
IFERROR(
INDEX(Data!$1:$1048576,MATCH('Client Lists'!$B90,Data!$B:$B,0),MATCH('Client Lists'!D$11,Data!$1:$1,0)),"")=0,"",
IFERROR(
INDEX(Data!$1:$1048576,MATCH('Client Lists'!$B90,Data!$B:$B,0),MATCH('Client Lists'!D$11,Data!$1:$1,0)),""))</f>
        <v/>
      </c>
      <c r="E90" s="1" t="str">
        <f>IF(
IFERROR(
INDEX(Data!$1:$1048576,MATCH('Client Lists'!$B90,Data!$B:$B,0),MATCH('Client Lists'!E$11,Data!$1:$1,0)),"")=0,"",
IFERROR(
INDEX(Data!$1:$1048576,MATCH('Client Lists'!$B90,Data!$B:$B,0),MATCH('Client Lists'!E$11,Data!$1:$1,0)),""))</f>
        <v/>
      </c>
      <c r="F90" s="1" t="str">
        <f>IF(
IFERROR(
INDEX(Data!$1:$1048576,MATCH('Client Lists'!$B90,Data!$B:$B,0),MATCH('Client Lists'!F$11,Data!$1:$1,0)),"")=0,"",
IFERROR(
INDEX(Data!$1:$1048576,MATCH('Client Lists'!$B90,Data!$B:$B,0),MATCH('Client Lists'!F$11,Data!$1:$1,0)),""))</f>
        <v/>
      </c>
      <c r="G90" s="1" t="str">
        <f>IF(
IFERROR(
INDEX(Data!$1:$1048576,MATCH('Client Lists'!$B90,Data!$B:$B,0),MATCH('Client Lists'!G$11,Data!$1:$1,0)),"")=0,"",
IFERROR(
INDEX(Data!$1:$1048576,MATCH('Client Lists'!$B90,Data!$B:$B,0),MATCH('Client Lists'!G$11,Data!$1:$1,0)),""))</f>
        <v/>
      </c>
      <c r="H90" s="1" t="str">
        <f>IF(
IFERROR(
INDEX(Data!$1:$1048576,MATCH('Client Lists'!$B90,Data!$B:$B,0),MATCH('Client Lists'!H$11,Data!$1:$1,0)),"")=0,"",
IFERROR(
INDEX(Data!$1:$1048576,MATCH('Client Lists'!$B90,Data!$B:$B,0),MATCH('Client Lists'!H$11,Data!$1:$1,0)),""))</f>
        <v/>
      </c>
      <c r="I90" s="1" t="str">
        <f>IF(
IFERROR(
INDEX(Data!$1:$1048576,MATCH('Client Lists'!$B90,Data!$B:$B,0),MATCH('Client Lists'!I$11,Data!$1:$1,0)),"")=0,"",
IFERROR(
INDEX(Data!$1:$1048576,MATCH('Client Lists'!$B90,Data!$B:$B,0),MATCH('Client Lists'!I$11,Data!$1:$1,0)),""))</f>
        <v/>
      </c>
      <c r="J90" s="1" t="str">
        <f>IF(
IFERROR(
INDEX(Data!$1:$1048576,MATCH('Client Lists'!$B90,Data!$B:$B,0),MATCH('Client Lists'!J$11,Data!$1:$1,0)),"")=0,"",
IFERROR(
INDEX(Data!$1:$1048576,MATCH('Client Lists'!$B90,Data!$B:$B,0),MATCH('Client Lists'!J$11,Data!$1:$1,0)),""))</f>
        <v/>
      </c>
      <c r="K90" s="1" t="str">
        <f>IF(
IFERROR(
INDEX(Data!$1:$1048576,MATCH('Client Lists'!$B90,Data!$B:$B,0),MATCH('Client Lists'!K$11,Data!$1:$1,0)),"")=0,"",
IFERROR(
INDEX(Data!$1:$1048576,MATCH('Client Lists'!$B90,Data!$B:$B,0),MATCH('Client Lists'!K$11,Data!$1:$1,0)),""))</f>
        <v/>
      </c>
    </row>
    <row r="91" spans="2:11" x14ac:dyDescent="0.45">
      <c r="B91" s="5" t="str">
        <f t="array" ref="B91">IFERROR(_xlfn.IFS(
$B$6 = "Retention Overdue",
INDEX(Data!$B$2:$EO$956,
SMALL(IF(INDEX(Data!$B$2:$EO$956,,MATCH("Call Due",Data!$1:$1,0)-1,1)="Yes",MATCH(ROW(Data!$CN$2:$CN$956),ROW(Data!$CN$2:$CN$956)),""),ROWS($A$1:A80)),COLUMNS($A$1:A80)),
$B$6 = "OWIF-W",
INDEX(Data!$B$2:$EO$956,
SMALL(IF(INDEX(Data!$B$2:$EO$956,,MATCH("Grant Fund",Data!$1:$1,0)-1,1)="OWIF-W",MATCH(ROW(Data!$AO$2:$AO$956),ROW(Data!$AO$2:$AO$956)),""),ROWS($A$1:A80)),COLUMNS($A$1:A80)),
$B$6 = "G2C",
INDEX(Data!$B$2:$EO$956,
SMALL(IF(INDEX(Data!$B$2:$EO$956,,MATCH("Grant Fund",Data!$1:$1,0)-1,1)="Grads2Careers",MATCH(ROW(Data!$AO$2:$AO$956),ROW(Data!$AO$2:$AO$956)),""),ROWS($A$1:A80)),COLUMNS($A$1:A80)),
$B$6 = "OWIF",
INDEX(Data!$B$2:$EO$956,
SMALL(IF(INDEX(Data!$B$2:$EO$956,,MATCH("Grant Fund",Data!$1:$1,0)-1,1)="OWIF",MATCH(ROW(Data!$AO$2:$AO$956),ROW(Data!$AO$2:$AO$956)),""),ROWS($A$1:A80)),COLUMNS($A$1:A80)),
$B$6 = "WIOA",
INDEX(Data!$B$2:$EO$956,
SMALL(IF(INDEX(Data!$B$2:$EO$956,,MATCH("Grant Fund",Data!$1:$1,0)-1,1)="WIOA",MATCH(ROW(Data!$AO$2:$AO$956),ROW(Data!$AO$2:$AO$956)),""),ROWS($A$1:A80)),COLUMNS($A$1:A80)),
$B$6 = "WIOA II",
INDEX(Data!$B$2:$EO$956,
SMALL(IF(INDEX(Data!$B$2:$EO$956,,MATCH("Grant Fund",Data!$1:$1,0)-1,1)="WIOA II",MATCH(ROW(Data!$AO$2:$AO$956),ROW(Data!$AO$2:$AO$956)),""),ROWS($A$1:A80)),COLUMNS($A$1:A80)),
$B$6 = "WIOA III",
INDEX(Data!$B$2:$EO$956,
SMALL(IF(INDEX(Data!$B$2:$EO$956,,MATCH("Grant Fund",Data!$1:$1,0)-1,1)="WIOA III",MATCH(ROW(Data!$AO$2:$AO$956),ROW(Data!$AO$2:$AO$956)),""),ROWS($A$1:A80)),COLUMNS($A$1:A80)),
$B$6 = "Currently Employed",
INDEX(Data!$B$2:$EO$956,
SMALL(IF(INDEX(Data!$B$2:$EO$956,,MATCH("Currently Employed",Data!$1:$1,0)-1,1)="Yes",MATCH(ROW(Data!$DZ$2:$DZ$956),ROW(Data!$DZ$2:$DZ$956)),""),ROWS($A$1:A80)),COLUMNS($A$1:A80)),
$B$6 = "Inactive",
INDEX(Data!$B$2:$EO$956,
SMALL(IF(INDEX(Data!$B$2:$EO$956,,MATCH("Inactive",Data!$1:$1,0)-1,1)="Yes",MATCH(ROW(Data!$DG$2:$DG$956),ROW(Data!$DG$2:$DG$956)),""),ROWS($A$1:A80)),COLUMNS($A$1:A80)),
$B$6 = "Active",
INDEX(Data!$B$2:$EO$956,
SMALL(IF(INDEX(Data!$B$2:$EO$956,,MATCH("Active",Data!$1:$1,0)-1,1)="Yes",MATCH(ROW(Data!$DZ$2:$DZ$956),ROW(Data!$DZ$2:$DZ$956)),""),ROWS($A$1:A80)),COLUMNS($A$1:A80)),
$B$6 = "Status Unknown",
INDEX(Data!$B$2:$EO$956,
SMALL(IF(INDEX(Data!$B$2:$EO$956,,MATCH("Status Unknown",Data!$1:$1,0)-1,1)="Yes",MATCH(ROW(Data!$EB$2:$EB$956),ROW(Data!$EB$2:$EB$956)),""),ROWS($A$1:A80)),COLUMNS($A$1:A80)),
$B$6 = "Enrollment Pending",
INDEX(Data!$B$2:$EO$956,
SMALL(IF(INDEX(Data!$B$2:$EO$956,,MATCH("Enrollment Pending",Data!$1:$1,0)-1,1)="Yes",MATCH(ROW(Data!$DY$2:$DY$956),ROW(Data!$DY$2:$DY$956)),""),ROWS($A$1:A80)),COLUMNS($A$1:A80)),
$B$6 = "Gained Certification",
INDEX(Data!$B$2:$EO$956,
SMALL(IF(INDEX(Data!$B$2:$EO$956,,MATCH("Gained Certification",Data!$1:$1,0)-1,1)="Yes",MATCH(ROW(Data!$DU$2:$DU$956),ROW(Data!$DU$2:$DU$956)),""),ROWS($A$1:A80)),COLUMNS($A$1:A80)),
$B$6 = "No Certification",
INDEX(Data!$B$2:$EO$956,
SMALL(IF(INDEX(Data!$B$2:$EO$956,,MATCH("Gained Certification",Data!$1:$1,0)-1,1)&lt;&gt;"Yes",MATCH(ROW(Data!$DU$2:$DU$956),ROW(Data!$DU$2:$DU$956)),""),ROWS($A$1:A80)),COLUMNS($A$1:A80)),
$B$6 = "Completers Without Employment",
INDEX(Data!$B$2:$EO$967,
SMALL(IF(INDEX(Data!$B$2:$EO$967,,MATCH("Completed Without Employment",Data!$1:$1,0)-1,1)="Yes",MATCH(ROW(Data!$DZ$2:$DZ$967),ROW(Data!$DZ$2:$DZ$967)),""),ROWS($A$1:A80)),COLUMNS($A$1:A80)),
$B$6 = "CH",
INDEX(Data!$B$2:$EO$956,
SMALL(IF(INDEX(Data!$B$2:$EO$956,,MATCH("Case Manager",Data!$1:$1,0)-1,1)="CH",MATCH(ROW(Data!$DZ$2:$DZ$956),ROW(Data!$DZ$2:$DZ$956)),""),ROWS($A$1:A80)),COLUMNS($A$1:A80)),
$B$6 = "ML",
INDEX(Data!$B$2:$EO$956,
SMALL(IF(INDEX(Data!$B$2:$EO$956,,MATCH("Case Manager",Data!$1:$1,0)-1,1)="ML",MATCH(ROW(Data!$DZ$2:$DZ$956),ROW(Data!$DZ$2:$DZ$956)),""),ROWS($A$1:A80)),COLUMNS($A$1:A80)),
$B$6 = "RB",
INDEX(Data!$B$2:$EO$956,
SMALL(IF(INDEX(Data!$B$2:$EO$956,,MATCH("Case Manager",Data!$1:$1,0)-1,1)="RB",MATCH(ROW(Data!$DZ$2:$DZ$956),ROW(Data!$DZ$2:$DZ$956)),""),ROWS($A$1:A80)),COLUMNS($A$1:A80)),
$B$6 = "RV",
INDEX(Data!$B$2:$EO$956,
SMALL(IF(INDEX(Data!$B$2:$EO$956,,MATCH("Case Manager",Data!$1:$1,0)-1,1)="RV",MATCH(ROW(Data!$DZ$2:$DZ$956),ROW(Data!$DZ$2:$DZ$956)),""),ROWS($A$1:A80)),COLUMNS($A$1:A80)),
$B$6 = "SG",
INDEX(Data!$B$2:$EO$956,
SMALL(IF(INDEX(Data!$B$2:$EO$956,,MATCH("Case Manager",Data!$1:$1,0)-1,1)="SH",MATCH(ROW(Data!$DZ$2:$DZ$956),ROW(Data!$DZ$2:$DZ$956)),""),ROWS($A$1:A80)),COLUMNS($A$1:A80))
),"")</f>
        <v/>
      </c>
      <c r="C91" s="1" t="str">
        <f>IF(
IFERROR(
INDEX(Data!$1:$1048576,MATCH('Client Lists'!$B91,Data!$B:$B,0),MATCH('Client Lists'!C$11,Data!$1:$1,0)),"")=0,"",
IFERROR(
INDEX(Data!$1:$1048576,MATCH('Client Lists'!$B91,Data!$B:$B,0),MATCH('Client Lists'!C$11,Data!$1:$1,0)),""))</f>
        <v/>
      </c>
      <c r="D91" s="1" t="str">
        <f>IF(
IFERROR(
INDEX(Data!$1:$1048576,MATCH('Client Lists'!$B91,Data!$B:$B,0),MATCH('Client Lists'!D$11,Data!$1:$1,0)),"")=0,"",
IFERROR(
INDEX(Data!$1:$1048576,MATCH('Client Lists'!$B91,Data!$B:$B,0),MATCH('Client Lists'!D$11,Data!$1:$1,0)),""))</f>
        <v/>
      </c>
      <c r="E91" s="1" t="str">
        <f>IF(
IFERROR(
INDEX(Data!$1:$1048576,MATCH('Client Lists'!$B91,Data!$B:$B,0),MATCH('Client Lists'!E$11,Data!$1:$1,0)),"")=0,"",
IFERROR(
INDEX(Data!$1:$1048576,MATCH('Client Lists'!$B91,Data!$B:$B,0),MATCH('Client Lists'!E$11,Data!$1:$1,0)),""))</f>
        <v/>
      </c>
      <c r="F91" s="1" t="str">
        <f>IF(
IFERROR(
INDEX(Data!$1:$1048576,MATCH('Client Lists'!$B91,Data!$B:$B,0),MATCH('Client Lists'!F$11,Data!$1:$1,0)),"")=0,"",
IFERROR(
INDEX(Data!$1:$1048576,MATCH('Client Lists'!$B91,Data!$B:$B,0),MATCH('Client Lists'!F$11,Data!$1:$1,0)),""))</f>
        <v/>
      </c>
      <c r="G91" s="1" t="str">
        <f>IF(
IFERROR(
INDEX(Data!$1:$1048576,MATCH('Client Lists'!$B91,Data!$B:$B,0),MATCH('Client Lists'!G$11,Data!$1:$1,0)),"")=0,"",
IFERROR(
INDEX(Data!$1:$1048576,MATCH('Client Lists'!$B91,Data!$B:$B,0),MATCH('Client Lists'!G$11,Data!$1:$1,0)),""))</f>
        <v/>
      </c>
      <c r="H91" s="1" t="str">
        <f>IF(
IFERROR(
INDEX(Data!$1:$1048576,MATCH('Client Lists'!$B91,Data!$B:$B,0),MATCH('Client Lists'!H$11,Data!$1:$1,0)),"")=0,"",
IFERROR(
INDEX(Data!$1:$1048576,MATCH('Client Lists'!$B91,Data!$B:$B,0),MATCH('Client Lists'!H$11,Data!$1:$1,0)),""))</f>
        <v/>
      </c>
      <c r="I91" s="1" t="str">
        <f>IF(
IFERROR(
INDEX(Data!$1:$1048576,MATCH('Client Lists'!$B91,Data!$B:$B,0),MATCH('Client Lists'!I$11,Data!$1:$1,0)),"")=0,"",
IFERROR(
INDEX(Data!$1:$1048576,MATCH('Client Lists'!$B91,Data!$B:$B,0),MATCH('Client Lists'!I$11,Data!$1:$1,0)),""))</f>
        <v/>
      </c>
      <c r="J91" s="1" t="str">
        <f>IF(
IFERROR(
INDEX(Data!$1:$1048576,MATCH('Client Lists'!$B91,Data!$B:$B,0),MATCH('Client Lists'!J$11,Data!$1:$1,0)),"")=0,"",
IFERROR(
INDEX(Data!$1:$1048576,MATCH('Client Lists'!$B91,Data!$B:$B,0),MATCH('Client Lists'!J$11,Data!$1:$1,0)),""))</f>
        <v/>
      </c>
      <c r="K91" s="1" t="str">
        <f>IF(
IFERROR(
INDEX(Data!$1:$1048576,MATCH('Client Lists'!$B91,Data!$B:$B,0),MATCH('Client Lists'!K$11,Data!$1:$1,0)),"")=0,"",
IFERROR(
INDEX(Data!$1:$1048576,MATCH('Client Lists'!$B91,Data!$B:$B,0),MATCH('Client Lists'!K$11,Data!$1:$1,0)),""))</f>
        <v/>
      </c>
    </row>
    <row r="92" spans="2:11" x14ac:dyDescent="0.45">
      <c r="B92" s="5" t="str">
        <f t="array" ref="B92">IFERROR(_xlfn.IFS(
$B$6 = "Retention Overdue",
INDEX(Data!$B$2:$EO$956,
SMALL(IF(INDEX(Data!$B$2:$EO$956,,MATCH("Call Due",Data!$1:$1,0)-1,1)="Yes",MATCH(ROW(Data!$CN$2:$CN$956),ROW(Data!$CN$2:$CN$956)),""),ROWS($A$1:A81)),COLUMNS($A$1:A81)),
$B$6 = "OWIF-W",
INDEX(Data!$B$2:$EO$956,
SMALL(IF(INDEX(Data!$B$2:$EO$956,,MATCH("Grant Fund",Data!$1:$1,0)-1,1)="OWIF-W",MATCH(ROW(Data!$AO$2:$AO$956),ROW(Data!$AO$2:$AO$956)),""),ROWS($A$1:A81)),COLUMNS($A$1:A81)),
$B$6 = "G2C",
INDEX(Data!$B$2:$EO$956,
SMALL(IF(INDEX(Data!$B$2:$EO$956,,MATCH("Grant Fund",Data!$1:$1,0)-1,1)="Grads2Careers",MATCH(ROW(Data!$AO$2:$AO$956),ROW(Data!$AO$2:$AO$956)),""),ROWS($A$1:A81)),COLUMNS($A$1:A81)),
$B$6 = "OWIF",
INDEX(Data!$B$2:$EO$956,
SMALL(IF(INDEX(Data!$B$2:$EO$956,,MATCH("Grant Fund",Data!$1:$1,0)-1,1)="OWIF",MATCH(ROW(Data!$AO$2:$AO$956),ROW(Data!$AO$2:$AO$956)),""),ROWS($A$1:A81)),COLUMNS($A$1:A81)),
$B$6 = "WIOA",
INDEX(Data!$B$2:$EO$956,
SMALL(IF(INDEX(Data!$B$2:$EO$956,,MATCH("Grant Fund",Data!$1:$1,0)-1,1)="WIOA",MATCH(ROW(Data!$AO$2:$AO$956),ROW(Data!$AO$2:$AO$956)),""),ROWS($A$1:A81)),COLUMNS($A$1:A81)),
$B$6 = "WIOA II",
INDEX(Data!$B$2:$EO$956,
SMALL(IF(INDEX(Data!$B$2:$EO$956,,MATCH("Grant Fund",Data!$1:$1,0)-1,1)="WIOA II",MATCH(ROW(Data!$AO$2:$AO$956),ROW(Data!$AO$2:$AO$956)),""),ROWS($A$1:A81)),COLUMNS($A$1:A81)),
$B$6 = "WIOA III",
INDEX(Data!$B$2:$EO$956,
SMALL(IF(INDEX(Data!$B$2:$EO$956,,MATCH("Grant Fund",Data!$1:$1,0)-1,1)="WIOA III",MATCH(ROW(Data!$AO$2:$AO$956),ROW(Data!$AO$2:$AO$956)),""),ROWS($A$1:A81)),COLUMNS($A$1:A81)),
$B$6 = "Currently Employed",
INDEX(Data!$B$2:$EO$956,
SMALL(IF(INDEX(Data!$B$2:$EO$956,,MATCH("Currently Employed",Data!$1:$1,0)-1,1)="Yes",MATCH(ROW(Data!$DZ$2:$DZ$956),ROW(Data!$DZ$2:$DZ$956)),""),ROWS($A$1:A81)),COLUMNS($A$1:A81)),
$B$6 = "Inactive",
INDEX(Data!$B$2:$EO$956,
SMALL(IF(INDEX(Data!$B$2:$EO$956,,MATCH("Inactive",Data!$1:$1,0)-1,1)="Yes",MATCH(ROW(Data!$DG$2:$DG$956),ROW(Data!$DG$2:$DG$956)),""),ROWS($A$1:A81)),COLUMNS($A$1:A81)),
$B$6 = "Active",
INDEX(Data!$B$2:$EO$956,
SMALL(IF(INDEX(Data!$B$2:$EO$956,,MATCH("Active",Data!$1:$1,0)-1,1)="Yes",MATCH(ROW(Data!$DZ$2:$DZ$956),ROW(Data!$DZ$2:$DZ$956)),""),ROWS($A$1:A81)),COLUMNS($A$1:A81)),
$B$6 = "Status Unknown",
INDEX(Data!$B$2:$EO$956,
SMALL(IF(INDEX(Data!$B$2:$EO$956,,MATCH("Status Unknown",Data!$1:$1,0)-1,1)="Yes",MATCH(ROW(Data!$EB$2:$EB$956),ROW(Data!$EB$2:$EB$956)),""),ROWS($A$1:A81)),COLUMNS($A$1:A81)),
$B$6 = "Enrollment Pending",
INDEX(Data!$B$2:$EO$956,
SMALL(IF(INDEX(Data!$B$2:$EO$956,,MATCH("Enrollment Pending",Data!$1:$1,0)-1,1)="Yes",MATCH(ROW(Data!$DY$2:$DY$956),ROW(Data!$DY$2:$DY$956)),""),ROWS($A$1:A81)),COLUMNS($A$1:A81)),
$B$6 = "Gained Certification",
INDEX(Data!$B$2:$EO$956,
SMALL(IF(INDEX(Data!$B$2:$EO$956,,MATCH("Gained Certification",Data!$1:$1,0)-1,1)="Yes",MATCH(ROW(Data!$DU$2:$DU$956),ROW(Data!$DU$2:$DU$956)),""),ROWS($A$1:A81)),COLUMNS($A$1:A81)),
$B$6 = "No Certification",
INDEX(Data!$B$2:$EO$956,
SMALL(IF(INDEX(Data!$B$2:$EO$956,,MATCH("Gained Certification",Data!$1:$1,0)-1,1)&lt;&gt;"Yes",MATCH(ROW(Data!$DU$2:$DU$956),ROW(Data!$DU$2:$DU$956)),""),ROWS($A$1:A81)),COLUMNS($A$1:A81)),
$B$6 = "Completers Without Employment",
INDEX(Data!$B$2:$EO$967,
SMALL(IF(INDEX(Data!$B$2:$EO$967,,MATCH("Completed Without Employment",Data!$1:$1,0)-1,1)="Yes",MATCH(ROW(Data!$DZ$2:$DZ$967),ROW(Data!$DZ$2:$DZ$967)),""),ROWS($A$1:A81)),COLUMNS($A$1:A81)),
$B$6 = "CH",
INDEX(Data!$B$2:$EO$956,
SMALL(IF(INDEX(Data!$B$2:$EO$956,,MATCH("Case Manager",Data!$1:$1,0)-1,1)="CH",MATCH(ROW(Data!$DZ$2:$DZ$956),ROW(Data!$DZ$2:$DZ$956)),""),ROWS($A$1:A81)),COLUMNS($A$1:A81)),
$B$6 = "ML",
INDEX(Data!$B$2:$EO$956,
SMALL(IF(INDEX(Data!$B$2:$EO$956,,MATCH("Case Manager",Data!$1:$1,0)-1,1)="ML",MATCH(ROW(Data!$DZ$2:$DZ$956),ROW(Data!$DZ$2:$DZ$956)),""),ROWS($A$1:A81)),COLUMNS($A$1:A81)),
$B$6 = "RB",
INDEX(Data!$B$2:$EO$956,
SMALL(IF(INDEX(Data!$B$2:$EO$956,,MATCH("Case Manager",Data!$1:$1,0)-1,1)="RB",MATCH(ROW(Data!$DZ$2:$DZ$956),ROW(Data!$DZ$2:$DZ$956)),""),ROWS($A$1:A81)),COLUMNS($A$1:A81)),
$B$6 = "RV",
INDEX(Data!$B$2:$EO$956,
SMALL(IF(INDEX(Data!$B$2:$EO$956,,MATCH("Case Manager",Data!$1:$1,0)-1,1)="RV",MATCH(ROW(Data!$DZ$2:$DZ$956),ROW(Data!$DZ$2:$DZ$956)),""),ROWS($A$1:A81)),COLUMNS($A$1:A81)),
$B$6 = "SG",
INDEX(Data!$B$2:$EO$956,
SMALL(IF(INDEX(Data!$B$2:$EO$956,,MATCH("Case Manager",Data!$1:$1,0)-1,1)="SH",MATCH(ROW(Data!$DZ$2:$DZ$956),ROW(Data!$DZ$2:$DZ$956)),""),ROWS($A$1:A81)),COLUMNS($A$1:A81))
),"")</f>
        <v/>
      </c>
      <c r="C92" s="1" t="str">
        <f>IF(
IFERROR(
INDEX(Data!$1:$1048576,MATCH('Client Lists'!$B92,Data!$B:$B,0),MATCH('Client Lists'!C$11,Data!$1:$1,0)),"")=0,"",
IFERROR(
INDEX(Data!$1:$1048576,MATCH('Client Lists'!$B92,Data!$B:$B,0),MATCH('Client Lists'!C$11,Data!$1:$1,0)),""))</f>
        <v/>
      </c>
      <c r="D92" s="1" t="str">
        <f>IF(
IFERROR(
INDEX(Data!$1:$1048576,MATCH('Client Lists'!$B92,Data!$B:$B,0),MATCH('Client Lists'!D$11,Data!$1:$1,0)),"")=0,"",
IFERROR(
INDEX(Data!$1:$1048576,MATCH('Client Lists'!$B92,Data!$B:$B,0),MATCH('Client Lists'!D$11,Data!$1:$1,0)),""))</f>
        <v/>
      </c>
      <c r="E92" s="1" t="str">
        <f>IF(
IFERROR(
INDEX(Data!$1:$1048576,MATCH('Client Lists'!$B92,Data!$B:$B,0),MATCH('Client Lists'!E$11,Data!$1:$1,0)),"")=0,"",
IFERROR(
INDEX(Data!$1:$1048576,MATCH('Client Lists'!$B92,Data!$B:$B,0),MATCH('Client Lists'!E$11,Data!$1:$1,0)),""))</f>
        <v/>
      </c>
      <c r="F92" s="1" t="str">
        <f>IF(
IFERROR(
INDEX(Data!$1:$1048576,MATCH('Client Lists'!$B92,Data!$B:$B,0),MATCH('Client Lists'!F$11,Data!$1:$1,0)),"")=0,"",
IFERROR(
INDEX(Data!$1:$1048576,MATCH('Client Lists'!$B92,Data!$B:$B,0),MATCH('Client Lists'!F$11,Data!$1:$1,0)),""))</f>
        <v/>
      </c>
      <c r="G92" s="1" t="str">
        <f>IF(
IFERROR(
INDEX(Data!$1:$1048576,MATCH('Client Lists'!$B92,Data!$B:$B,0),MATCH('Client Lists'!G$11,Data!$1:$1,0)),"")=0,"",
IFERROR(
INDEX(Data!$1:$1048576,MATCH('Client Lists'!$B92,Data!$B:$B,0),MATCH('Client Lists'!G$11,Data!$1:$1,0)),""))</f>
        <v/>
      </c>
      <c r="H92" s="1" t="str">
        <f>IF(
IFERROR(
INDEX(Data!$1:$1048576,MATCH('Client Lists'!$B92,Data!$B:$B,0),MATCH('Client Lists'!H$11,Data!$1:$1,0)),"")=0,"",
IFERROR(
INDEX(Data!$1:$1048576,MATCH('Client Lists'!$B92,Data!$B:$B,0),MATCH('Client Lists'!H$11,Data!$1:$1,0)),""))</f>
        <v/>
      </c>
      <c r="I92" s="1" t="str">
        <f>IF(
IFERROR(
INDEX(Data!$1:$1048576,MATCH('Client Lists'!$B92,Data!$B:$B,0),MATCH('Client Lists'!I$11,Data!$1:$1,0)),"")=0,"",
IFERROR(
INDEX(Data!$1:$1048576,MATCH('Client Lists'!$B92,Data!$B:$B,0),MATCH('Client Lists'!I$11,Data!$1:$1,0)),""))</f>
        <v/>
      </c>
      <c r="J92" s="1" t="str">
        <f>IF(
IFERROR(
INDEX(Data!$1:$1048576,MATCH('Client Lists'!$B92,Data!$B:$B,0),MATCH('Client Lists'!J$11,Data!$1:$1,0)),"")=0,"",
IFERROR(
INDEX(Data!$1:$1048576,MATCH('Client Lists'!$B92,Data!$B:$B,0),MATCH('Client Lists'!J$11,Data!$1:$1,0)),""))</f>
        <v/>
      </c>
      <c r="K92" s="1" t="str">
        <f>IF(
IFERROR(
INDEX(Data!$1:$1048576,MATCH('Client Lists'!$B92,Data!$B:$B,0),MATCH('Client Lists'!K$11,Data!$1:$1,0)),"")=0,"",
IFERROR(
INDEX(Data!$1:$1048576,MATCH('Client Lists'!$B92,Data!$B:$B,0),MATCH('Client Lists'!K$11,Data!$1:$1,0)),""))</f>
        <v/>
      </c>
    </row>
    <row r="93" spans="2:11" x14ac:dyDescent="0.45">
      <c r="B93" s="5" t="str">
        <f t="array" ref="B93">IFERROR(_xlfn.IFS(
$B$6 = "Retention Overdue",
INDEX(Data!$B$2:$EO$956,
SMALL(IF(INDEX(Data!$B$2:$EO$956,,MATCH("Call Due",Data!$1:$1,0)-1,1)="Yes",MATCH(ROW(Data!$CN$2:$CN$956),ROW(Data!$CN$2:$CN$956)),""),ROWS($A$1:A82)),COLUMNS($A$1:A82)),
$B$6 = "OWIF-W",
INDEX(Data!$B$2:$EO$956,
SMALL(IF(INDEX(Data!$B$2:$EO$956,,MATCH("Grant Fund",Data!$1:$1,0)-1,1)="OWIF-W",MATCH(ROW(Data!$AO$2:$AO$956),ROW(Data!$AO$2:$AO$956)),""),ROWS($A$1:A82)),COLUMNS($A$1:A82)),
$B$6 = "G2C",
INDEX(Data!$B$2:$EO$956,
SMALL(IF(INDEX(Data!$B$2:$EO$956,,MATCH("Grant Fund",Data!$1:$1,0)-1,1)="Grads2Careers",MATCH(ROW(Data!$AO$2:$AO$956),ROW(Data!$AO$2:$AO$956)),""),ROWS($A$1:A82)),COLUMNS($A$1:A82)),
$B$6 = "OWIF",
INDEX(Data!$B$2:$EO$956,
SMALL(IF(INDEX(Data!$B$2:$EO$956,,MATCH("Grant Fund",Data!$1:$1,0)-1,1)="OWIF",MATCH(ROW(Data!$AO$2:$AO$956),ROW(Data!$AO$2:$AO$956)),""),ROWS($A$1:A82)),COLUMNS($A$1:A82)),
$B$6 = "WIOA",
INDEX(Data!$B$2:$EO$956,
SMALL(IF(INDEX(Data!$B$2:$EO$956,,MATCH("Grant Fund",Data!$1:$1,0)-1,1)="WIOA",MATCH(ROW(Data!$AO$2:$AO$956),ROW(Data!$AO$2:$AO$956)),""),ROWS($A$1:A82)),COLUMNS($A$1:A82)),
$B$6 = "WIOA II",
INDEX(Data!$B$2:$EO$956,
SMALL(IF(INDEX(Data!$B$2:$EO$956,,MATCH("Grant Fund",Data!$1:$1,0)-1,1)="WIOA II",MATCH(ROW(Data!$AO$2:$AO$956),ROW(Data!$AO$2:$AO$956)),""),ROWS($A$1:A82)),COLUMNS($A$1:A82)),
$B$6 = "WIOA III",
INDEX(Data!$B$2:$EO$956,
SMALL(IF(INDEX(Data!$B$2:$EO$956,,MATCH("Grant Fund",Data!$1:$1,0)-1,1)="WIOA III",MATCH(ROW(Data!$AO$2:$AO$956),ROW(Data!$AO$2:$AO$956)),""),ROWS($A$1:A82)),COLUMNS($A$1:A82)),
$B$6 = "Currently Employed",
INDEX(Data!$B$2:$EO$956,
SMALL(IF(INDEX(Data!$B$2:$EO$956,,MATCH("Currently Employed",Data!$1:$1,0)-1,1)="Yes",MATCH(ROW(Data!$DZ$2:$DZ$956),ROW(Data!$DZ$2:$DZ$956)),""),ROWS($A$1:A82)),COLUMNS($A$1:A82)),
$B$6 = "Inactive",
INDEX(Data!$B$2:$EO$956,
SMALL(IF(INDEX(Data!$B$2:$EO$956,,MATCH("Inactive",Data!$1:$1,0)-1,1)="Yes",MATCH(ROW(Data!$DG$2:$DG$956),ROW(Data!$DG$2:$DG$956)),""),ROWS($A$1:A82)),COLUMNS($A$1:A82)),
$B$6 = "Active",
INDEX(Data!$B$2:$EO$956,
SMALL(IF(INDEX(Data!$B$2:$EO$956,,MATCH("Active",Data!$1:$1,0)-1,1)="Yes",MATCH(ROW(Data!$DZ$2:$DZ$956),ROW(Data!$DZ$2:$DZ$956)),""),ROWS($A$1:A82)),COLUMNS($A$1:A82)),
$B$6 = "Status Unknown",
INDEX(Data!$B$2:$EO$956,
SMALL(IF(INDEX(Data!$B$2:$EO$956,,MATCH("Status Unknown",Data!$1:$1,0)-1,1)="Yes",MATCH(ROW(Data!$EB$2:$EB$956),ROW(Data!$EB$2:$EB$956)),""),ROWS($A$1:A82)),COLUMNS($A$1:A82)),
$B$6 = "Enrollment Pending",
INDEX(Data!$B$2:$EO$956,
SMALL(IF(INDEX(Data!$B$2:$EO$956,,MATCH("Enrollment Pending",Data!$1:$1,0)-1,1)="Yes",MATCH(ROW(Data!$DY$2:$DY$956),ROW(Data!$DY$2:$DY$956)),""),ROWS($A$1:A82)),COLUMNS($A$1:A82)),
$B$6 = "Gained Certification",
INDEX(Data!$B$2:$EO$956,
SMALL(IF(INDEX(Data!$B$2:$EO$956,,MATCH("Gained Certification",Data!$1:$1,0)-1,1)="Yes",MATCH(ROW(Data!$DU$2:$DU$956),ROW(Data!$DU$2:$DU$956)),""),ROWS($A$1:A82)),COLUMNS($A$1:A82)),
$B$6 = "No Certification",
INDEX(Data!$B$2:$EO$956,
SMALL(IF(INDEX(Data!$B$2:$EO$956,,MATCH("Gained Certification",Data!$1:$1,0)-1,1)&lt;&gt;"Yes",MATCH(ROW(Data!$DU$2:$DU$956),ROW(Data!$DU$2:$DU$956)),""),ROWS($A$1:A82)),COLUMNS($A$1:A82)),
$B$6 = "Completers Without Employment",
INDEX(Data!$B$2:$EO$967,
SMALL(IF(INDEX(Data!$B$2:$EO$967,,MATCH("Completed Without Employment",Data!$1:$1,0)-1,1)="Yes",MATCH(ROW(Data!$DZ$2:$DZ$967),ROW(Data!$DZ$2:$DZ$967)),""),ROWS($A$1:A82)),COLUMNS($A$1:A82)),
$B$6 = "CH",
INDEX(Data!$B$2:$EO$956,
SMALL(IF(INDEX(Data!$B$2:$EO$956,,MATCH("Case Manager",Data!$1:$1,0)-1,1)="CH",MATCH(ROW(Data!$DZ$2:$DZ$956),ROW(Data!$DZ$2:$DZ$956)),""),ROWS($A$1:A82)),COLUMNS($A$1:A82)),
$B$6 = "ML",
INDEX(Data!$B$2:$EO$956,
SMALL(IF(INDEX(Data!$B$2:$EO$956,,MATCH("Case Manager",Data!$1:$1,0)-1,1)="ML",MATCH(ROW(Data!$DZ$2:$DZ$956),ROW(Data!$DZ$2:$DZ$956)),""),ROWS($A$1:A82)),COLUMNS($A$1:A82)),
$B$6 = "RB",
INDEX(Data!$B$2:$EO$956,
SMALL(IF(INDEX(Data!$B$2:$EO$956,,MATCH("Case Manager",Data!$1:$1,0)-1,1)="RB",MATCH(ROW(Data!$DZ$2:$DZ$956),ROW(Data!$DZ$2:$DZ$956)),""),ROWS($A$1:A82)),COLUMNS($A$1:A82)),
$B$6 = "RV",
INDEX(Data!$B$2:$EO$956,
SMALL(IF(INDEX(Data!$B$2:$EO$956,,MATCH("Case Manager",Data!$1:$1,0)-1,1)="RV",MATCH(ROW(Data!$DZ$2:$DZ$956),ROW(Data!$DZ$2:$DZ$956)),""),ROWS($A$1:A82)),COLUMNS($A$1:A82)),
$B$6 = "SG",
INDEX(Data!$B$2:$EO$956,
SMALL(IF(INDEX(Data!$B$2:$EO$956,,MATCH("Case Manager",Data!$1:$1,0)-1,1)="SH",MATCH(ROW(Data!$DZ$2:$DZ$956),ROW(Data!$DZ$2:$DZ$956)),""),ROWS($A$1:A82)),COLUMNS($A$1:A82))
),"")</f>
        <v/>
      </c>
      <c r="C93" s="1" t="str">
        <f>IF(
IFERROR(
INDEX(Data!$1:$1048576,MATCH('Client Lists'!$B93,Data!$B:$B,0),MATCH('Client Lists'!C$11,Data!$1:$1,0)),"")=0,"",
IFERROR(
INDEX(Data!$1:$1048576,MATCH('Client Lists'!$B93,Data!$B:$B,0),MATCH('Client Lists'!C$11,Data!$1:$1,0)),""))</f>
        <v/>
      </c>
      <c r="D93" s="1" t="str">
        <f>IF(
IFERROR(
INDEX(Data!$1:$1048576,MATCH('Client Lists'!$B93,Data!$B:$B,0),MATCH('Client Lists'!D$11,Data!$1:$1,0)),"")=0,"",
IFERROR(
INDEX(Data!$1:$1048576,MATCH('Client Lists'!$B93,Data!$B:$B,0),MATCH('Client Lists'!D$11,Data!$1:$1,0)),""))</f>
        <v/>
      </c>
      <c r="E93" s="1" t="str">
        <f>IF(
IFERROR(
INDEX(Data!$1:$1048576,MATCH('Client Lists'!$B93,Data!$B:$B,0),MATCH('Client Lists'!E$11,Data!$1:$1,0)),"")=0,"",
IFERROR(
INDEX(Data!$1:$1048576,MATCH('Client Lists'!$B93,Data!$B:$B,0),MATCH('Client Lists'!E$11,Data!$1:$1,0)),""))</f>
        <v/>
      </c>
      <c r="F93" s="1" t="str">
        <f>IF(
IFERROR(
INDEX(Data!$1:$1048576,MATCH('Client Lists'!$B93,Data!$B:$B,0),MATCH('Client Lists'!F$11,Data!$1:$1,0)),"")=0,"",
IFERROR(
INDEX(Data!$1:$1048576,MATCH('Client Lists'!$B93,Data!$B:$B,0),MATCH('Client Lists'!F$11,Data!$1:$1,0)),""))</f>
        <v/>
      </c>
      <c r="G93" s="1" t="str">
        <f>IF(
IFERROR(
INDEX(Data!$1:$1048576,MATCH('Client Lists'!$B93,Data!$B:$B,0),MATCH('Client Lists'!G$11,Data!$1:$1,0)),"")=0,"",
IFERROR(
INDEX(Data!$1:$1048576,MATCH('Client Lists'!$B93,Data!$B:$B,0),MATCH('Client Lists'!G$11,Data!$1:$1,0)),""))</f>
        <v/>
      </c>
      <c r="H93" s="1" t="str">
        <f>IF(
IFERROR(
INDEX(Data!$1:$1048576,MATCH('Client Lists'!$B93,Data!$B:$B,0),MATCH('Client Lists'!H$11,Data!$1:$1,0)),"")=0,"",
IFERROR(
INDEX(Data!$1:$1048576,MATCH('Client Lists'!$B93,Data!$B:$B,0),MATCH('Client Lists'!H$11,Data!$1:$1,0)),""))</f>
        <v/>
      </c>
      <c r="I93" s="1" t="str">
        <f>IF(
IFERROR(
INDEX(Data!$1:$1048576,MATCH('Client Lists'!$B93,Data!$B:$B,0),MATCH('Client Lists'!I$11,Data!$1:$1,0)),"")=0,"",
IFERROR(
INDEX(Data!$1:$1048576,MATCH('Client Lists'!$B93,Data!$B:$B,0),MATCH('Client Lists'!I$11,Data!$1:$1,0)),""))</f>
        <v/>
      </c>
      <c r="J93" s="1" t="str">
        <f>IF(
IFERROR(
INDEX(Data!$1:$1048576,MATCH('Client Lists'!$B93,Data!$B:$B,0),MATCH('Client Lists'!J$11,Data!$1:$1,0)),"")=0,"",
IFERROR(
INDEX(Data!$1:$1048576,MATCH('Client Lists'!$B93,Data!$B:$B,0),MATCH('Client Lists'!J$11,Data!$1:$1,0)),""))</f>
        <v/>
      </c>
      <c r="K93" s="1" t="str">
        <f>IF(
IFERROR(
INDEX(Data!$1:$1048576,MATCH('Client Lists'!$B93,Data!$B:$B,0),MATCH('Client Lists'!K$11,Data!$1:$1,0)),"")=0,"",
IFERROR(
INDEX(Data!$1:$1048576,MATCH('Client Lists'!$B93,Data!$B:$B,0),MATCH('Client Lists'!K$11,Data!$1:$1,0)),""))</f>
        <v/>
      </c>
    </row>
    <row r="94" spans="2:11" x14ac:dyDescent="0.45">
      <c r="B94" s="5" t="str">
        <f t="array" ref="B94">IFERROR(_xlfn.IFS(
$B$6 = "Retention Overdue",
INDEX(Data!$B$2:$EO$956,
SMALL(IF(INDEX(Data!$B$2:$EO$956,,MATCH("Call Due",Data!$1:$1,0)-1,1)="Yes",MATCH(ROW(Data!$CN$2:$CN$956),ROW(Data!$CN$2:$CN$956)),""),ROWS($A$1:A83)),COLUMNS($A$1:A83)),
$B$6 = "OWIF-W",
INDEX(Data!$B$2:$EO$956,
SMALL(IF(INDEX(Data!$B$2:$EO$956,,MATCH("Grant Fund",Data!$1:$1,0)-1,1)="OWIF-W",MATCH(ROW(Data!$AO$2:$AO$956),ROW(Data!$AO$2:$AO$956)),""),ROWS($A$1:A83)),COLUMNS($A$1:A83)),
$B$6 = "G2C",
INDEX(Data!$B$2:$EO$956,
SMALL(IF(INDEX(Data!$B$2:$EO$956,,MATCH("Grant Fund",Data!$1:$1,0)-1,1)="Grads2Careers",MATCH(ROW(Data!$AO$2:$AO$956),ROW(Data!$AO$2:$AO$956)),""),ROWS($A$1:A83)),COLUMNS($A$1:A83)),
$B$6 = "OWIF",
INDEX(Data!$B$2:$EO$956,
SMALL(IF(INDEX(Data!$B$2:$EO$956,,MATCH("Grant Fund",Data!$1:$1,0)-1,1)="OWIF",MATCH(ROW(Data!$AO$2:$AO$956),ROW(Data!$AO$2:$AO$956)),""),ROWS($A$1:A83)),COLUMNS($A$1:A83)),
$B$6 = "WIOA",
INDEX(Data!$B$2:$EO$956,
SMALL(IF(INDEX(Data!$B$2:$EO$956,,MATCH("Grant Fund",Data!$1:$1,0)-1,1)="WIOA",MATCH(ROW(Data!$AO$2:$AO$956),ROW(Data!$AO$2:$AO$956)),""),ROWS($A$1:A83)),COLUMNS($A$1:A83)),
$B$6 = "WIOA II",
INDEX(Data!$B$2:$EO$956,
SMALL(IF(INDEX(Data!$B$2:$EO$956,,MATCH("Grant Fund",Data!$1:$1,0)-1,1)="WIOA II",MATCH(ROW(Data!$AO$2:$AO$956),ROW(Data!$AO$2:$AO$956)),""),ROWS($A$1:A83)),COLUMNS($A$1:A83)),
$B$6 = "WIOA III",
INDEX(Data!$B$2:$EO$956,
SMALL(IF(INDEX(Data!$B$2:$EO$956,,MATCH("Grant Fund",Data!$1:$1,0)-1,1)="WIOA III",MATCH(ROW(Data!$AO$2:$AO$956),ROW(Data!$AO$2:$AO$956)),""),ROWS($A$1:A83)),COLUMNS($A$1:A83)),
$B$6 = "Currently Employed",
INDEX(Data!$B$2:$EO$956,
SMALL(IF(INDEX(Data!$B$2:$EO$956,,MATCH("Currently Employed",Data!$1:$1,0)-1,1)="Yes",MATCH(ROW(Data!$DZ$2:$DZ$956),ROW(Data!$DZ$2:$DZ$956)),""),ROWS($A$1:A83)),COLUMNS($A$1:A83)),
$B$6 = "Inactive",
INDEX(Data!$B$2:$EO$956,
SMALL(IF(INDEX(Data!$B$2:$EO$956,,MATCH("Inactive",Data!$1:$1,0)-1,1)="Yes",MATCH(ROW(Data!$DG$2:$DG$956),ROW(Data!$DG$2:$DG$956)),""),ROWS($A$1:A83)),COLUMNS($A$1:A83)),
$B$6 = "Active",
INDEX(Data!$B$2:$EO$956,
SMALL(IF(INDEX(Data!$B$2:$EO$956,,MATCH("Active",Data!$1:$1,0)-1,1)="Yes",MATCH(ROW(Data!$DZ$2:$DZ$956),ROW(Data!$DZ$2:$DZ$956)),""),ROWS($A$1:A83)),COLUMNS($A$1:A83)),
$B$6 = "Status Unknown",
INDEX(Data!$B$2:$EO$956,
SMALL(IF(INDEX(Data!$B$2:$EO$956,,MATCH("Status Unknown",Data!$1:$1,0)-1,1)="Yes",MATCH(ROW(Data!$EB$2:$EB$956),ROW(Data!$EB$2:$EB$956)),""),ROWS($A$1:A83)),COLUMNS($A$1:A83)),
$B$6 = "Enrollment Pending",
INDEX(Data!$B$2:$EO$956,
SMALL(IF(INDEX(Data!$B$2:$EO$956,,MATCH("Enrollment Pending",Data!$1:$1,0)-1,1)="Yes",MATCH(ROW(Data!$DY$2:$DY$956),ROW(Data!$DY$2:$DY$956)),""),ROWS($A$1:A83)),COLUMNS($A$1:A83)),
$B$6 = "Gained Certification",
INDEX(Data!$B$2:$EO$956,
SMALL(IF(INDEX(Data!$B$2:$EO$956,,MATCH("Gained Certification",Data!$1:$1,0)-1,1)="Yes",MATCH(ROW(Data!$DU$2:$DU$956),ROW(Data!$DU$2:$DU$956)),""),ROWS($A$1:A83)),COLUMNS($A$1:A83)),
$B$6 = "No Certification",
INDEX(Data!$B$2:$EO$956,
SMALL(IF(INDEX(Data!$B$2:$EO$956,,MATCH("Gained Certification",Data!$1:$1,0)-1,1)&lt;&gt;"Yes",MATCH(ROW(Data!$DU$2:$DU$956),ROW(Data!$DU$2:$DU$956)),""),ROWS($A$1:A83)),COLUMNS($A$1:A83)),
$B$6 = "Completers Without Employment",
INDEX(Data!$B$2:$EO$967,
SMALL(IF(INDEX(Data!$B$2:$EO$967,,MATCH("Completed Without Employment",Data!$1:$1,0)-1,1)="Yes",MATCH(ROW(Data!$DZ$2:$DZ$967),ROW(Data!$DZ$2:$DZ$967)),""),ROWS($A$1:A83)),COLUMNS($A$1:A83)),
$B$6 = "CH",
INDEX(Data!$B$2:$EO$956,
SMALL(IF(INDEX(Data!$B$2:$EO$956,,MATCH("Case Manager",Data!$1:$1,0)-1,1)="CH",MATCH(ROW(Data!$DZ$2:$DZ$956),ROW(Data!$DZ$2:$DZ$956)),""),ROWS($A$1:A83)),COLUMNS($A$1:A83)),
$B$6 = "ML",
INDEX(Data!$B$2:$EO$956,
SMALL(IF(INDEX(Data!$B$2:$EO$956,,MATCH("Case Manager",Data!$1:$1,0)-1,1)="ML",MATCH(ROW(Data!$DZ$2:$DZ$956),ROW(Data!$DZ$2:$DZ$956)),""),ROWS($A$1:A83)),COLUMNS($A$1:A83)),
$B$6 = "RB",
INDEX(Data!$B$2:$EO$956,
SMALL(IF(INDEX(Data!$B$2:$EO$956,,MATCH("Case Manager",Data!$1:$1,0)-1,1)="RB",MATCH(ROW(Data!$DZ$2:$DZ$956),ROW(Data!$DZ$2:$DZ$956)),""),ROWS($A$1:A83)),COLUMNS($A$1:A83)),
$B$6 = "RV",
INDEX(Data!$B$2:$EO$956,
SMALL(IF(INDEX(Data!$B$2:$EO$956,,MATCH("Case Manager",Data!$1:$1,0)-1,1)="RV",MATCH(ROW(Data!$DZ$2:$DZ$956),ROW(Data!$DZ$2:$DZ$956)),""),ROWS($A$1:A83)),COLUMNS($A$1:A83)),
$B$6 = "SG",
INDEX(Data!$B$2:$EO$956,
SMALL(IF(INDEX(Data!$B$2:$EO$956,,MATCH("Case Manager",Data!$1:$1,0)-1,1)="SH",MATCH(ROW(Data!$DZ$2:$DZ$956),ROW(Data!$DZ$2:$DZ$956)),""),ROWS($A$1:A83)),COLUMNS($A$1:A83))
),"")</f>
        <v/>
      </c>
      <c r="C94" s="1" t="str">
        <f>IF(
IFERROR(
INDEX(Data!$1:$1048576,MATCH('Client Lists'!$B94,Data!$B:$B,0),MATCH('Client Lists'!C$11,Data!$1:$1,0)),"")=0,"",
IFERROR(
INDEX(Data!$1:$1048576,MATCH('Client Lists'!$B94,Data!$B:$B,0),MATCH('Client Lists'!C$11,Data!$1:$1,0)),""))</f>
        <v/>
      </c>
      <c r="D94" s="1" t="str">
        <f>IF(
IFERROR(
INDEX(Data!$1:$1048576,MATCH('Client Lists'!$B94,Data!$B:$B,0),MATCH('Client Lists'!D$11,Data!$1:$1,0)),"")=0,"",
IFERROR(
INDEX(Data!$1:$1048576,MATCH('Client Lists'!$B94,Data!$B:$B,0),MATCH('Client Lists'!D$11,Data!$1:$1,0)),""))</f>
        <v/>
      </c>
      <c r="E94" s="1" t="str">
        <f>IF(
IFERROR(
INDEX(Data!$1:$1048576,MATCH('Client Lists'!$B94,Data!$B:$B,0),MATCH('Client Lists'!E$11,Data!$1:$1,0)),"")=0,"",
IFERROR(
INDEX(Data!$1:$1048576,MATCH('Client Lists'!$B94,Data!$B:$B,0),MATCH('Client Lists'!E$11,Data!$1:$1,0)),""))</f>
        <v/>
      </c>
      <c r="F94" s="1" t="str">
        <f>IF(
IFERROR(
INDEX(Data!$1:$1048576,MATCH('Client Lists'!$B94,Data!$B:$B,0),MATCH('Client Lists'!F$11,Data!$1:$1,0)),"")=0,"",
IFERROR(
INDEX(Data!$1:$1048576,MATCH('Client Lists'!$B94,Data!$B:$B,0),MATCH('Client Lists'!F$11,Data!$1:$1,0)),""))</f>
        <v/>
      </c>
      <c r="G94" s="1" t="str">
        <f>IF(
IFERROR(
INDEX(Data!$1:$1048576,MATCH('Client Lists'!$B94,Data!$B:$B,0),MATCH('Client Lists'!G$11,Data!$1:$1,0)),"")=0,"",
IFERROR(
INDEX(Data!$1:$1048576,MATCH('Client Lists'!$B94,Data!$B:$B,0),MATCH('Client Lists'!G$11,Data!$1:$1,0)),""))</f>
        <v/>
      </c>
      <c r="H94" s="1" t="str">
        <f>IF(
IFERROR(
INDEX(Data!$1:$1048576,MATCH('Client Lists'!$B94,Data!$B:$B,0),MATCH('Client Lists'!H$11,Data!$1:$1,0)),"")=0,"",
IFERROR(
INDEX(Data!$1:$1048576,MATCH('Client Lists'!$B94,Data!$B:$B,0),MATCH('Client Lists'!H$11,Data!$1:$1,0)),""))</f>
        <v/>
      </c>
      <c r="I94" s="1" t="str">
        <f>IF(
IFERROR(
INDEX(Data!$1:$1048576,MATCH('Client Lists'!$B94,Data!$B:$B,0),MATCH('Client Lists'!I$11,Data!$1:$1,0)),"")=0,"",
IFERROR(
INDEX(Data!$1:$1048576,MATCH('Client Lists'!$B94,Data!$B:$B,0),MATCH('Client Lists'!I$11,Data!$1:$1,0)),""))</f>
        <v/>
      </c>
      <c r="J94" s="1" t="str">
        <f>IF(
IFERROR(
INDEX(Data!$1:$1048576,MATCH('Client Lists'!$B94,Data!$B:$B,0),MATCH('Client Lists'!J$11,Data!$1:$1,0)),"")=0,"",
IFERROR(
INDEX(Data!$1:$1048576,MATCH('Client Lists'!$B94,Data!$B:$B,0),MATCH('Client Lists'!J$11,Data!$1:$1,0)),""))</f>
        <v/>
      </c>
      <c r="K94" s="1" t="str">
        <f>IF(
IFERROR(
INDEX(Data!$1:$1048576,MATCH('Client Lists'!$B94,Data!$B:$B,0),MATCH('Client Lists'!K$11,Data!$1:$1,0)),"")=0,"",
IFERROR(
INDEX(Data!$1:$1048576,MATCH('Client Lists'!$B94,Data!$B:$B,0),MATCH('Client Lists'!K$11,Data!$1:$1,0)),""))</f>
        <v/>
      </c>
    </row>
    <row r="95" spans="2:11" x14ac:dyDescent="0.45">
      <c r="B95" s="5" t="str">
        <f t="array" ref="B95">IFERROR(_xlfn.IFS(
$B$6 = "Retention Overdue",
INDEX(Data!$B$2:$EO$956,
SMALL(IF(INDEX(Data!$B$2:$EO$956,,MATCH("Call Due",Data!$1:$1,0)-1,1)="Yes",MATCH(ROW(Data!$CN$2:$CN$956),ROW(Data!$CN$2:$CN$956)),""),ROWS($A$1:A84)),COLUMNS($A$1:A84)),
$B$6 = "OWIF-W",
INDEX(Data!$B$2:$EO$956,
SMALL(IF(INDEX(Data!$B$2:$EO$956,,MATCH("Grant Fund",Data!$1:$1,0)-1,1)="OWIF-W",MATCH(ROW(Data!$AO$2:$AO$956),ROW(Data!$AO$2:$AO$956)),""),ROWS($A$1:A84)),COLUMNS($A$1:A84)),
$B$6 = "G2C",
INDEX(Data!$B$2:$EO$956,
SMALL(IF(INDEX(Data!$B$2:$EO$956,,MATCH("Grant Fund",Data!$1:$1,0)-1,1)="Grads2Careers",MATCH(ROW(Data!$AO$2:$AO$956),ROW(Data!$AO$2:$AO$956)),""),ROWS($A$1:A84)),COLUMNS($A$1:A84)),
$B$6 = "OWIF",
INDEX(Data!$B$2:$EO$956,
SMALL(IF(INDEX(Data!$B$2:$EO$956,,MATCH("Grant Fund",Data!$1:$1,0)-1,1)="OWIF",MATCH(ROW(Data!$AO$2:$AO$956),ROW(Data!$AO$2:$AO$956)),""),ROWS($A$1:A84)),COLUMNS($A$1:A84)),
$B$6 = "WIOA",
INDEX(Data!$B$2:$EO$956,
SMALL(IF(INDEX(Data!$B$2:$EO$956,,MATCH("Grant Fund",Data!$1:$1,0)-1,1)="WIOA",MATCH(ROW(Data!$AO$2:$AO$956),ROW(Data!$AO$2:$AO$956)),""),ROWS($A$1:A84)),COLUMNS($A$1:A84)),
$B$6 = "WIOA II",
INDEX(Data!$B$2:$EO$956,
SMALL(IF(INDEX(Data!$B$2:$EO$956,,MATCH("Grant Fund",Data!$1:$1,0)-1,1)="WIOA II",MATCH(ROW(Data!$AO$2:$AO$956),ROW(Data!$AO$2:$AO$956)),""),ROWS($A$1:A84)),COLUMNS($A$1:A84)),
$B$6 = "WIOA III",
INDEX(Data!$B$2:$EO$956,
SMALL(IF(INDEX(Data!$B$2:$EO$956,,MATCH("Grant Fund",Data!$1:$1,0)-1,1)="WIOA III",MATCH(ROW(Data!$AO$2:$AO$956),ROW(Data!$AO$2:$AO$956)),""),ROWS($A$1:A84)),COLUMNS($A$1:A84)),
$B$6 = "Currently Employed",
INDEX(Data!$B$2:$EO$956,
SMALL(IF(INDEX(Data!$B$2:$EO$956,,MATCH("Currently Employed",Data!$1:$1,0)-1,1)="Yes",MATCH(ROW(Data!$DZ$2:$DZ$956),ROW(Data!$DZ$2:$DZ$956)),""),ROWS($A$1:A84)),COLUMNS($A$1:A84)),
$B$6 = "Inactive",
INDEX(Data!$B$2:$EO$956,
SMALL(IF(INDEX(Data!$B$2:$EO$956,,MATCH("Inactive",Data!$1:$1,0)-1,1)="Yes",MATCH(ROW(Data!$DG$2:$DG$956),ROW(Data!$DG$2:$DG$956)),""),ROWS($A$1:A84)),COLUMNS($A$1:A84)),
$B$6 = "Active",
INDEX(Data!$B$2:$EO$956,
SMALL(IF(INDEX(Data!$B$2:$EO$956,,MATCH("Active",Data!$1:$1,0)-1,1)="Yes",MATCH(ROW(Data!$DZ$2:$DZ$956),ROW(Data!$DZ$2:$DZ$956)),""),ROWS($A$1:A84)),COLUMNS($A$1:A84)),
$B$6 = "Status Unknown",
INDEX(Data!$B$2:$EO$956,
SMALL(IF(INDEX(Data!$B$2:$EO$956,,MATCH("Status Unknown",Data!$1:$1,0)-1,1)="Yes",MATCH(ROW(Data!$EB$2:$EB$956),ROW(Data!$EB$2:$EB$956)),""),ROWS($A$1:A84)),COLUMNS($A$1:A84)),
$B$6 = "Enrollment Pending",
INDEX(Data!$B$2:$EO$956,
SMALL(IF(INDEX(Data!$B$2:$EO$956,,MATCH("Enrollment Pending",Data!$1:$1,0)-1,1)="Yes",MATCH(ROW(Data!$DY$2:$DY$956),ROW(Data!$DY$2:$DY$956)),""),ROWS($A$1:A84)),COLUMNS($A$1:A84)),
$B$6 = "Gained Certification",
INDEX(Data!$B$2:$EO$956,
SMALL(IF(INDEX(Data!$B$2:$EO$956,,MATCH("Gained Certification",Data!$1:$1,0)-1,1)="Yes",MATCH(ROW(Data!$DU$2:$DU$956),ROW(Data!$DU$2:$DU$956)),""),ROWS($A$1:A84)),COLUMNS($A$1:A84)),
$B$6 = "No Certification",
INDEX(Data!$B$2:$EO$956,
SMALL(IF(INDEX(Data!$B$2:$EO$956,,MATCH("Gained Certification",Data!$1:$1,0)-1,1)&lt;&gt;"Yes",MATCH(ROW(Data!$DU$2:$DU$956),ROW(Data!$DU$2:$DU$956)),""),ROWS($A$1:A84)),COLUMNS($A$1:A84)),
$B$6 = "Completers Without Employment",
INDEX(Data!$B$2:$EO$967,
SMALL(IF(INDEX(Data!$B$2:$EO$967,,MATCH("Completed Without Employment",Data!$1:$1,0)-1,1)="Yes",MATCH(ROW(Data!$DZ$2:$DZ$967),ROW(Data!$DZ$2:$DZ$967)),""),ROWS($A$1:A84)),COLUMNS($A$1:A84)),
$B$6 = "CH",
INDEX(Data!$B$2:$EO$956,
SMALL(IF(INDEX(Data!$B$2:$EO$956,,MATCH("Case Manager",Data!$1:$1,0)-1,1)="CH",MATCH(ROW(Data!$DZ$2:$DZ$956),ROW(Data!$DZ$2:$DZ$956)),""),ROWS($A$1:A84)),COLUMNS($A$1:A84)),
$B$6 = "ML",
INDEX(Data!$B$2:$EO$956,
SMALL(IF(INDEX(Data!$B$2:$EO$956,,MATCH("Case Manager",Data!$1:$1,0)-1,1)="ML",MATCH(ROW(Data!$DZ$2:$DZ$956),ROW(Data!$DZ$2:$DZ$956)),""),ROWS($A$1:A84)),COLUMNS($A$1:A84)),
$B$6 = "RB",
INDEX(Data!$B$2:$EO$956,
SMALL(IF(INDEX(Data!$B$2:$EO$956,,MATCH("Case Manager",Data!$1:$1,0)-1,1)="RB",MATCH(ROW(Data!$DZ$2:$DZ$956),ROW(Data!$DZ$2:$DZ$956)),""),ROWS($A$1:A84)),COLUMNS($A$1:A84)),
$B$6 = "RV",
INDEX(Data!$B$2:$EO$956,
SMALL(IF(INDEX(Data!$B$2:$EO$956,,MATCH("Case Manager",Data!$1:$1,0)-1,1)="RV",MATCH(ROW(Data!$DZ$2:$DZ$956),ROW(Data!$DZ$2:$DZ$956)),""),ROWS($A$1:A84)),COLUMNS($A$1:A84)),
$B$6 = "SG",
INDEX(Data!$B$2:$EO$956,
SMALL(IF(INDEX(Data!$B$2:$EO$956,,MATCH("Case Manager",Data!$1:$1,0)-1,1)="SH",MATCH(ROW(Data!$DZ$2:$DZ$956),ROW(Data!$DZ$2:$DZ$956)),""),ROWS($A$1:A84)),COLUMNS($A$1:A84))
),"")</f>
        <v/>
      </c>
      <c r="C95" s="1" t="str">
        <f>IF(
IFERROR(
INDEX(Data!$1:$1048576,MATCH('Client Lists'!$B95,Data!$B:$B,0),MATCH('Client Lists'!C$11,Data!$1:$1,0)),"")=0,"",
IFERROR(
INDEX(Data!$1:$1048576,MATCH('Client Lists'!$B95,Data!$B:$B,0),MATCH('Client Lists'!C$11,Data!$1:$1,0)),""))</f>
        <v/>
      </c>
      <c r="D95" s="1" t="str">
        <f>IF(
IFERROR(
INDEX(Data!$1:$1048576,MATCH('Client Lists'!$B95,Data!$B:$B,0),MATCH('Client Lists'!D$11,Data!$1:$1,0)),"")=0,"",
IFERROR(
INDEX(Data!$1:$1048576,MATCH('Client Lists'!$B95,Data!$B:$B,0),MATCH('Client Lists'!D$11,Data!$1:$1,0)),""))</f>
        <v/>
      </c>
      <c r="E95" s="1" t="str">
        <f>IF(
IFERROR(
INDEX(Data!$1:$1048576,MATCH('Client Lists'!$B95,Data!$B:$B,0),MATCH('Client Lists'!E$11,Data!$1:$1,0)),"")=0,"",
IFERROR(
INDEX(Data!$1:$1048576,MATCH('Client Lists'!$B95,Data!$B:$B,0),MATCH('Client Lists'!E$11,Data!$1:$1,0)),""))</f>
        <v/>
      </c>
      <c r="F95" s="1" t="str">
        <f>IF(
IFERROR(
INDEX(Data!$1:$1048576,MATCH('Client Lists'!$B95,Data!$B:$B,0),MATCH('Client Lists'!F$11,Data!$1:$1,0)),"")=0,"",
IFERROR(
INDEX(Data!$1:$1048576,MATCH('Client Lists'!$B95,Data!$B:$B,0),MATCH('Client Lists'!F$11,Data!$1:$1,0)),""))</f>
        <v/>
      </c>
      <c r="G95" s="1" t="str">
        <f>IF(
IFERROR(
INDEX(Data!$1:$1048576,MATCH('Client Lists'!$B95,Data!$B:$B,0),MATCH('Client Lists'!G$11,Data!$1:$1,0)),"")=0,"",
IFERROR(
INDEX(Data!$1:$1048576,MATCH('Client Lists'!$B95,Data!$B:$B,0),MATCH('Client Lists'!G$11,Data!$1:$1,0)),""))</f>
        <v/>
      </c>
      <c r="H95" s="1" t="str">
        <f>IF(
IFERROR(
INDEX(Data!$1:$1048576,MATCH('Client Lists'!$B95,Data!$B:$B,0),MATCH('Client Lists'!H$11,Data!$1:$1,0)),"")=0,"",
IFERROR(
INDEX(Data!$1:$1048576,MATCH('Client Lists'!$B95,Data!$B:$B,0),MATCH('Client Lists'!H$11,Data!$1:$1,0)),""))</f>
        <v/>
      </c>
      <c r="I95" s="1" t="str">
        <f>IF(
IFERROR(
INDEX(Data!$1:$1048576,MATCH('Client Lists'!$B95,Data!$B:$B,0),MATCH('Client Lists'!I$11,Data!$1:$1,0)),"")=0,"",
IFERROR(
INDEX(Data!$1:$1048576,MATCH('Client Lists'!$B95,Data!$B:$B,0),MATCH('Client Lists'!I$11,Data!$1:$1,0)),""))</f>
        <v/>
      </c>
      <c r="J95" s="1" t="str">
        <f>IF(
IFERROR(
INDEX(Data!$1:$1048576,MATCH('Client Lists'!$B95,Data!$B:$B,0),MATCH('Client Lists'!J$11,Data!$1:$1,0)),"")=0,"",
IFERROR(
INDEX(Data!$1:$1048576,MATCH('Client Lists'!$B95,Data!$B:$B,0),MATCH('Client Lists'!J$11,Data!$1:$1,0)),""))</f>
        <v/>
      </c>
      <c r="K95" s="1" t="str">
        <f>IF(
IFERROR(
INDEX(Data!$1:$1048576,MATCH('Client Lists'!$B95,Data!$B:$B,0),MATCH('Client Lists'!K$11,Data!$1:$1,0)),"")=0,"",
IFERROR(
INDEX(Data!$1:$1048576,MATCH('Client Lists'!$B95,Data!$B:$B,0),MATCH('Client Lists'!K$11,Data!$1:$1,0)),""))</f>
        <v/>
      </c>
    </row>
    <row r="96" spans="2:11" x14ac:dyDescent="0.45">
      <c r="B96" s="5" t="str">
        <f t="array" ref="B96">IFERROR(_xlfn.IFS(
$B$6 = "Retention Overdue",
INDEX(Data!$B$2:$EO$956,
SMALL(IF(INDEX(Data!$B$2:$EO$956,,MATCH("Call Due",Data!$1:$1,0)-1,1)="Yes",MATCH(ROW(Data!$CN$2:$CN$956),ROW(Data!$CN$2:$CN$956)),""),ROWS($A$1:A85)),COLUMNS($A$1:A85)),
$B$6 = "OWIF-W",
INDEX(Data!$B$2:$EO$956,
SMALL(IF(INDEX(Data!$B$2:$EO$956,,MATCH("Grant Fund",Data!$1:$1,0)-1,1)="OWIF-W",MATCH(ROW(Data!$AO$2:$AO$956),ROW(Data!$AO$2:$AO$956)),""),ROWS($A$1:A85)),COLUMNS($A$1:A85)),
$B$6 = "G2C",
INDEX(Data!$B$2:$EO$956,
SMALL(IF(INDEX(Data!$B$2:$EO$956,,MATCH("Grant Fund",Data!$1:$1,0)-1,1)="Grads2Careers",MATCH(ROW(Data!$AO$2:$AO$956),ROW(Data!$AO$2:$AO$956)),""),ROWS($A$1:A85)),COLUMNS($A$1:A85)),
$B$6 = "OWIF",
INDEX(Data!$B$2:$EO$956,
SMALL(IF(INDEX(Data!$B$2:$EO$956,,MATCH("Grant Fund",Data!$1:$1,0)-1,1)="OWIF",MATCH(ROW(Data!$AO$2:$AO$956),ROW(Data!$AO$2:$AO$956)),""),ROWS($A$1:A85)),COLUMNS($A$1:A85)),
$B$6 = "WIOA",
INDEX(Data!$B$2:$EO$956,
SMALL(IF(INDEX(Data!$B$2:$EO$956,,MATCH("Grant Fund",Data!$1:$1,0)-1,1)="WIOA",MATCH(ROW(Data!$AO$2:$AO$956),ROW(Data!$AO$2:$AO$956)),""),ROWS($A$1:A85)),COLUMNS($A$1:A85)),
$B$6 = "WIOA II",
INDEX(Data!$B$2:$EO$956,
SMALL(IF(INDEX(Data!$B$2:$EO$956,,MATCH("Grant Fund",Data!$1:$1,0)-1,1)="WIOA II",MATCH(ROW(Data!$AO$2:$AO$956),ROW(Data!$AO$2:$AO$956)),""),ROWS($A$1:A85)),COLUMNS($A$1:A85)),
$B$6 = "WIOA III",
INDEX(Data!$B$2:$EO$956,
SMALL(IF(INDEX(Data!$B$2:$EO$956,,MATCH("Grant Fund",Data!$1:$1,0)-1,1)="WIOA III",MATCH(ROW(Data!$AO$2:$AO$956),ROW(Data!$AO$2:$AO$956)),""),ROWS($A$1:A85)),COLUMNS($A$1:A85)),
$B$6 = "Currently Employed",
INDEX(Data!$B$2:$EO$956,
SMALL(IF(INDEX(Data!$B$2:$EO$956,,MATCH("Currently Employed",Data!$1:$1,0)-1,1)="Yes",MATCH(ROW(Data!$DZ$2:$DZ$956),ROW(Data!$DZ$2:$DZ$956)),""),ROWS($A$1:A85)),COLUMNS($A$1:A85)),
$B$6 = "Inactive",
INDEX(Data!$B$2:$EO$956,
SMALL(IF(INDEX(Data!$B$2:$EO$956,,MATCH("Inactive",Data!$1:$1,0)-1,1)="Yes",MATCH(ROW(Data!$DG$2:$DG$956),ROW(Data!$DG$2:$DG$956)),""),ROWS($A$1:A85)),COLUMNS($A$1:A85)),
$B$6 = "Active",
INDEX(Data!$B$2:$EO$956,
SMALL(IF(INDEX(Data!$B$2:$EO$956,,MATCH("Active",Data!$1:$1,0)-1,1)="Yes",MATCH(ROW(Data!$DZ$2:$DZ$956),ROW(Data!$DZ$2:$DZ$956)),""),ROWS($A$1:A85)),COLUMNS($A$1:A85)),
$B$6 = "Status Unknown",
INDEX(Data!$B$2:$EO$956,
SMALL(IF(INDEX(Data!$B$2:$EO$956,,MATCH("Status Unknown",Data!$1:$1,0)-1,1)="Yes",MATCH(ROW(Data!$EB$2:$EB$956),ROW(Data!$EB$2:$EB$956)),""),ROWS($A$1:A85)),COLUMNS($A$1:A85)),
$B$6 = "Enrollment Pending",
INDEX(Data!$B$2:$EO$956,
SMALL(IF(INDEX(Data!$B$2:$EO$956,,MATCH("Enrollment Pending",Data!$1:$1,0)-1,1)="Yes",MATCH(ROW(Data!$DY$2:$DY$956),ROW(Data!$DY$2:$DY$956)),""),ROWS($A$1:A85)),COLUMNS($A$1:A85)),
$B$6 = "Gained Certification",
INDEX(Data!$B$2:$EO$956,
SMALL(IF(INDEX(Data!$B$2:$EO$956,,MATCH("Gained Certification",Data!$1:$1,0)-1,1)="Yes",MATCH(ROW(Data!$DU$2:$DU$956),ROW(Data!$DU$2:$DU$956)),""),ROWS($A$1:A85)),COLUMNS($A$1:A85)),
$B$6 = "No Certification",
INDEX(Data!$B$2:$EO$956,
SMALL(IF(INDEX(Data!$B$2:$EO$956,,MATCH("Gained Certification",Data!$1:$1,0)-1,1)&lt;&gt;"Yes",MATCH(ROW(Data!$DU$2:$DU$956),ROW(Data!$DU$2:$DU$956)),""),ROWS($A$1:A85)),COLUMNS($A$1:A85)),
$B$6 = "Completers Without Employment",
INDEX(Data!$B$2:$EO$967,
SMALL(IF(INDEX(Data!$B$2:$EO$967,,MATCH("Completed Without Employment",Data!$1:$1,0)-1,1)="Yes",MATCH(ROW(Data!$DZ$2:$DZ$967),ROW(Data!$DZ$2:$DZ$967)),""),ROWS($A$1:A85)),COLUMNS($A$1:A85)),
$B$6 = "CH",
INDEX(Data!$B$2:$EO$956,
SMALL(IF(INDEX(Data!$B$2:$EO$956,,MATCH("Case Manager",Data!$1:$1,0)-1,1)="CH",MATCH(ROW(Data!$DZ$2:$DZ$956),ROW(Data!$DZ$2:$DZ$956)),""),ROWS($A$1:A85)),COLUMNS($A$1:A85)),
$B$6 = "ML",
INDEX(Data!$B$2:$EO$956,
SMALL(IF(INDEX(Data!$B$2:$EO$956,,MATCH("Case Manager",Data!$1:$1,0)-1,1)="ML",MATCH(ROW(Data!$DZ$2:$DZ$956),ROW(Data!$DZ$2:$DZ$956)),""),ROWS($A$1:A85)),COLUMNS($A$1:A85)),
$B$6 = "RB",
INDEX(Data!$B$2:$EO$956,
SMALL(IF(INDEX(Data!$B$2:$EO$956,,MATCH("Case Manager",Data!$1:$1,0)-1,1)="RB",MATCH(ROW(Data!$DZ$2:$DZ$956),ROW(Data!$DZ$2:$DZ$956)),""),ROWS($A$1:A85)),COLUMNS($A$1:A85)),
$B$6 = "RV",
INDEX(Data!$B$2:$EO$956,
SMALL(IF(INDEX(Data!$B$2:$EO$956,,MATCH("Case Manager",Data!$1:$1,0)-1,1)="RV",MATCH(ROW(Data!$DZ$2:$DZ$956),ROW(Data!$DZ$2:$DZ$956)),""),ROWS($A$1:A85)),COLUMNS($A$1:A85)),
$B$6 = "SG",
INDEX(Data!$B$2:$EO$956,
SMALL(IF(INDEX(Data!$B$2:$EO$956,,MATCH("Case Manager",Data!$1:$1,0)-1,1)="SH",MATCH(ROW(Data!$DZ$2:$DZ$956),ROW(Data!$DZ$2:$DZ$956)),""),ROWS($A$1:A85)),COLUMNS($A$1:A85))
),"")</f>
        <v/>
      </c>
      <c r="C96" s="1" t="str">
        <f>IF(
IFERROR(
INDEX(Data!$1:$1048576,MATCH('Client Lists'!$B96,Data!$B:$B,0),MATCH('Client Lists'!C$11,Data!$1:$1,0)),"")=0,"",
IFERROR(
INDEX(Data!$1:$1048576,MATCH('Client Lists'!$B96,Data!$B:$B,0),MATCH('Client Lists'!C$11,Data!$1:$1,0)),""))</f>
        <v/>
      </c>
      <c r="D96" s="1" t="str">
        <f>IF(
IFERROR(
INDEX(Data!$1:$1048576,MATCH('Client Lists'!$B96,Data!$B:$B,0),MATCH('Client Lists'!D$11,Data!$1:$1,0)),"")=0,"",
IFERROR(
INDEX(Data!$1:$1048576,MATCH('Client Lists'!$B96,Data!$B:$B,0),MATCH('Client Lists'!D$11,Data!$1:$1,0)),""))</f>
        <v/>
      </c>
      <c r="E96" s="1" t="str">
        <f>IF(
IFERROR(
INDEX(Data!$1:$1048576,MATCH('Client Lists'!$B96,Data!$B:$B,0),MATCH('Client Lists'!E$11,Data!$1:$1,0)),"")=0,"",
IFERROR(
INDEX(Data!$1:$1048576,MATCH('Client Lists'!$B96,Data!$B:$B,0),MATCH('Client Lists'!E$11,Data!$1:$1,0)),""))</f>
        <v/>
      </c>
      <c r="F96" s="1" t="str">
        <f>IF(
IFERROR(
INDEX(Data!$1:$1048576,MATCH('Client Lists'!$B96,Data!$B:$B,0),MATCH('Client Lists'!F$11,Data!$1:$1,0)),"")=0,"",
IFERROR(
INDEX(Data!$1:$1048576,MATCH('Client Lists'!$B96,Data!$B:$B,0),MATCH('Client Lists'!F$11,Data!$1:$1,0)),""))</f>
        <v/>
      </c>
      <c r="G96" s="1" t="str">
        <f>IF(
IFERROR(
INDEX(Data!$1:$1048576,MATCH('Client Lists'!$B96,Data!$B:$B,0),MATCH('Client Lists'!G$11,Data!$1:$1,0)),"")=0,"",
IFERROR(
INDEX(Data!$1:$1048576,MATCH('Client Lists'!$B96,Data!$B:$B,0),MATCH('Client Lists'!G$11,Data!$1:$1,0)),""))</f>
        <v/>
      </c>
      <c r="H96" s="1" t="str">
        <f>IF(
IFERROR(
INDEX(Data!$1:$1048576,MATCH('Client Lists'!$B96,Data!$B:$B,0),MATCH('Client Lists'!H$11,Data!$1:$1,0)),"")=0,"",
IFERROR(
INDEX(Data!$1:$1048576,MATCH('Client Lists'!$B96,Data!$B:$B,0),MATCH('Client Lists'!H$11,Data!$1:$1,0)),""))</f>
        <v/>
      </c>
      <c r="I96" s="1" t="str">
        <f>IF(
IFERROR(
INDEX(Data!$1:$1048576,MATCH('Client Lists'!$B96,Data!$B:$B,0),MATCH('Client Lists'!I$11,Data!$1:$1,0)),"")=0,"",
IFERROR(
INDEX(Data!$1:$1048576,MATCH('Client Lists'!$B96,Data!$B:$B,0),MATCH('Client Lists'!I$11,Data!$1:$1,0)),""))</f>
        <v/>
      </c>
      <c r="J96" s="1" t="str">
        <f>IF(
IFERROR(
INDEX(Data!$1:$1048576,MATCH('Client Lists'!$B96,Data!$B:$B,0),MATCH('Client Lists'!J$11,Data!$1:$1,0)),"")=0,"",
IFERROR(
INDEX(Data!$1:$1048576,MATCH('Client Lists'!$B96,Data!$B:$B,0),MATCH('Client Lists'!J$11,Data!$1:$1,0)),""))</f>
        <v/>
      </c>
      <c r="K96" s="1" t="str">
        <f>IF(
IFERROR(
INDEX(Data!$1:$1048576,MATCH('Client Lists'!$B96,Data!$B:$B,0),MATCH('Client Lists'!K$11,Data!$1:$1,0)),"")=0,"",
IFERROR(
INDEX(Data!$1:$1048576,MATCH('Client Lists'!$B96,Data!$B:$B,0),MATCH('Client Lists'!K$11,Data!$1:$1,0)),""))</f>
        <v/>
      </c>
    </row>
    <row r="97" spans="2:11" x14ac:dyDescent="0.45">
      <c r="B97" s="5" t="str">
        <f t="array" ref="B97">IFERROR(_xlfn.IFS(
$B$6 = "Retention Overdue",
INDEX(Data!$B$2:$EO$956,
SMALL(IF(INDEX(Data!$B$2:$EO$956,,MATCH("Call Due",Data!$1:$1,0)-1,1)="Yes",MATCH(ROW(Data!$CN$2:$CN$956),ROW(Data!$CN$2:$CN$956)),""),ROWS($A$1:A86)),COLUMNS($A$1:A86)),
$B$6 = "OWIF-W",
INDEX(Data!$B$2:$EO$956,
SMALL(IF(INDEX(Data!$B$2:$EO$956,,MATCH("Grant Fund",Data!$1:$1,0)-1,1)="OWIF-W",MATCH(ROW(Data!$AO$2:$AO$956),ROW(Data!$AO$2:$AO$956)),""),ROWS($A$1:A86)),COLUMNS($A$1:A86)),
$B$6 = "G2C",
INDEX(Data!$B$2:$EO$956,
SMALL(IF(INDEX(Data!$B$2:$EO$956,,MATCH("Grant Fund",Data!$1:$1,0)-1,1)="Grads2Careers",MATCH(ROW(Data!$AO$2:$AO$956),ROW(Data!$AO$2:$AO$956)),""),ROWS($A$1:A86)),COLUMNS($A$1:A86)),
$B$6 = "OWIF",
INDEX(Data!$B$2:$EO$956,
SMALL(IF(INDEX(Data!$B$2:$EO$956,,MATCH("Grant Fund",Data!$1:$1,0)-1,1)="OWIF",MATCH(ROW(Data!$AO$2:$AO$956),ROW(Data!$AO$2:$AO$956)),""),ROWS($A$1:A86)),COLUMNS($A$1:A86)),
$B$6 = "WIOA",
INDEX(Data!$B$2:$EO$956,
SMALL(IF(INDEX(Data!$B$2:$EO$956,,MATCH("Grant Fund",Data!$1:$1,0)-1,1)="WIOA",MATCH(ROW(Data!$AO$2:$AO$956),ROW(Data!$AO$2:$AO$956)),""),ROWS($A$1:A86)),COLUMNS($A$1:A86)),
$B$6 = "WIOA II",
INDEX(Data!$B$2:$EO$956,
SMALL(IF(INDEX(Data!$B$2:$EO$956,,MATCH("Grant Fund",Data!$1:$1,0)-1,1)="WIOA II",MATCH(ROW(Data!$AO$2:$AO$956),ROW(Data!$AO$2:$AO$956)),""),ROWS($A$1:A86)),COLUMNS($A$1:A86)),
$B$6 = "WIOA III",
INDEX(Data!$B$2:$EO$956,
SMALL(IF(INDEX(Data!$B$2:$EO$956,,MATCH("Grant Fund",Data!$1:$1,0)-1,1)="WIOA III",MATCH(ROW(Data!$AO$2:$AO$956),ROW(Data!$AO$2:$AO$956)),""),ROWS($A$1:A86)),COLUMNS($A$1:A86)),
$B$6 = "Currently Employed",
INDEX(Data!$B$2:$EO$956,
SMALL(IF(INDEX(Data!$B$2:$EO$956,,MATCH("Currently Employed",Data!$1:$1,0)-1,1)="Yes",MATCH(ROW(Data!$DZ$2:$DZ$956),ROW(Data!$DZ$2:$DZ$956)),""),ROWS($A$1:A86)),COLUMNS($A$1:A86)),
$B$6 = "Inactive",
INDEX(Data!$B$2:$EO$956,
SMALL(IF(INDEX(Data!$B$2:$EO$956,,MATCH("Inactive",Data!$1:$1,0)-1,1)="Yes",MATCH(ROW(Data!$DG$2:$DG$956),ROW(Data!$DG$2:$DG$956)),""),ROWS($A$1:A86)),COLUMNS($A$1:A86)),
$B$6 = "Active",
INDEX(Data!$B$2:$EO$956,
SMALL(IF(INDEX(Data!$B$2:$EO$956,,MATCH("Active",Data!$1:$1,0)-1,1)="Yes",MATCH(ROW(Data!$DZ$2:$DZ$956),ROW(Data!$DZ$2:$DZ$956)),""),ROWS($A$1:A86)),COLUMNS($A$1:A86)),
$B$6 = "Status Unknown",
INDEX(Data!$B$2:$EO$956,
SMALL(IF(INDEX(Data!$B$2:$EO$956,,MATCH("Status Unknown",Data!$1:$1,0)-1,1)="Yes",MATCH(ROW(Data!$EB$2:$EB$956),ROW(Data!$EB$2:$EB$956)),""),ROWS($A$1:A86)),COLUMNS($A$1:A86)),
$B$6 = "Enrollment Pending",
INDEX(Data!$B$2:$EO$956,
SMALL(IF(INDEX(Data!$B$2:$EO$956,,MATCH("Enrollment Pending",Data!$1:$1,0)-1,1)="Yes",MATCH(ROW(Data!$DY$2:$DY$956),ROW(Data!$DY$2:$DY$956)),""),ROWS($A$1:A86)),COLUMNS($A$1:A86)),
$B$6 = "Gained Certification",
INDEX(Data!$B$2:$EO$956,
SMALL(IF(INDEX(Data!$B$2:$EO$956,,MATCH("Gained Certification",Data!$1:$1,0)-1,1)="Yes",MATCH(ROW(Data!$DU$2:$DU$956),ROW(Data!$DU$2:$DU$956)),""),ROWS($A$1:A86)),COLUMNS($A$1:A86)),
$B$6 = "No Certification",
INDEX(Data!$B$2:$EO$956,
SMALL(IF(INDEX(Data!$B$2:$EO$956,,MATCH("Gained Certification",Data!$1:$1,0)-1,1)&lt;&gt;"Yes",MATCH(ROW(Data!$DU$2:$DU$956),ROW(Data!$DU$2:$DU$956)),""),ROWS($A$1:A86)),COLUMNS($A$1:A86)),
$B$6 = "Completers Without Employment",
INDEX(Data!$B$2:$EO$967,
SMALL(IF(INDEX(Data!$B$2:$EO$967,,MATCH("Completed Without Employment",Data!$1:$1,0)-1,1)="Yes",MATCH(ROW(Data!$DZ$2:$DZ$967),ROW(Data!$DZ$2:$DZ$967)),""),ROWS($A$1:A86)),COLUMNS($A$1:A86)),
$B$6 = "CH",
INDEX(Data!$B$2:$EO$956,
SMALL(IF(INDEX(Data!$B$2:$EO$956,,MATCH("Case Manager",Data!$1:$1,0)-1,1)="CH",MATCH(ROW(Data!$DZ$2:$DZ$956),ROW(Data!$DZ$2:$DZ$956)),""),ROWS($A$1:A86)),COLUMNS($A$1:A86)),
$B$6 = "ML",
INDEX(Data!$B$2:$EO$956,
SMALL(IF(INDEX(Data!$B$2:$EO$956,,MATCH("Case Manager",Data!$1:$1,0)-1,1)="ML",MATCH(ROW(Data!$DZ$2:$DZ$956),ROW(Data!$DZ$2:$DZ$956)),""),ROWS($A$1:A86)),COLUMNS($A$1:A86)),
$B$6 = "RB",
INDEX(Data!$B$2:$EO$956,
SMALL(IF(INDEX(Data!$B$2:$EO$956,,MATCH("Case Manager",Data!$1:$1,0)-1,1)="RB",MATCH(ROW(Data!$DZ$2:$DZ$956),ROW(Data!$DZ$2:$DZ$956)),""),ROWS($A$1:A86)),COLUMNS($A$1:A86)),
$B$6 = "RV",
INDEX(Data!$B$2:$EO$956,
SMALL(IF(INDEX(Data!$B$2:$EO$956,,MATCH("Case Manager",Data!$1:$1,0)-1,1)="RV",MATCH(ROW(Data!$DZ$2:$DZ$956),ROW(Data!$DZ$2:$DZ$956)),""),ROWS($A$1:A86)),COLUMNS($A$1:A86)),
$B$6 = "SG",
INDEX(Data!$B$2:$EO$956,
SMALL(IF(INDEX(Data!$B$2:$EO$956,,MATCH("Case Manager",Data!$1:$1,0)-1,1)="SH",MATCH(ROW(Data!$DZ$2:$DZ$956),ROW(Data!$DZ$2:$DZ$956)),""),ROWS($A$1:A86)),COLUMNS($A$1:A86))
),"")</f>
        <v/>
      </c>
      <c r="C97" s="1" t="str">
        <f>IF(
IFERROR(
INDEX(Data!$1:$1048576,MATCH('Client Lists'!$B97,Data!$B:$B,0),MATCH('Client Lists'!C$11,Data!$1:$1,0)),"")=0,"",
IFERROR(
INDEX(Data!$1:$1048576,MATCH('Client Lists'!$B97,Data!$B:$B,0),MATCH('Client Lists'!C$11,Data!$1:$1,0)),""))</f>
        <v/>
      </c>
      <c r="D97" s="1" t="str">
        <f>IF(
IFERROR(
INDEX(Data!$1:$1048576,MATCH('Client Lists'!$B97,Data!$B:$B,0),MATCH('Client Lists'!D$11,Data!$1:$1,0)),"")=0,"",
IFERROR(
INDEX(Data!$1:$1048576,MATCH('Client Lists'!$B97,Data!$B:$B,0),MATCH('Client Lists'!D$11,Data!$1:$1,0)),""))</f>
        <v/>
      </c>
      <c r="E97" s="1" t="str">
        <f>IF(
IFERROR(
INDEX(Data!$1:$1048576,MATCH('Client Lists'!$B97,Data!$B:$B,0),MATCH('Client Lists'!E$11,Data!$1:$1,0)),"")=0,"",
IFERROR(
INDEX(Data!$1:$1048576,MATCH('Client Lists'!$B97,Data!$B:$B,0),MATCH('Client Lists'!E$11,Data!$1:$1,0)),""))</f>
        <v/>
      </c>
      <c r="F97" s="1" t="str">
        <f>IF(
IFERROR(
INDEX(Data!$1:$1048576,MATCH('Client Lists'!$B97,Data!$B:$B,0),MATCH('Client Lists'!F$11,Data!$1:$1,0)),"")=0,"",
IFERROR(
INDEX(Data!$1:$1048576,MATCH('Client Lists'!$B97,Data!$B:$B,0),MATCH('Client Lists'!F$11,Data!$1:$1,0)),""))</f>
        <v/>
      </c>
      <c r="G97" s="1" t="str">
        <f>IF(
IFERROR(
INDEX(Data!$1:$1048576,MATCH('Client Lists'!$B97,Data!$B:$B,0),MATCH('Client Lists'!G$11,Data!$1:$1,0)),"")=0,"",
IFERROR(
INDEX(Data!$1:$1048576,MATCH('Client Lists'!$B97,Data!$B:$B,0),MATCH('Client Lists'!G$11,Data!$1:$1,0)),""))</f>
        <v/>
      </c>
      <c r="H97" s="1" t="str">
        <f>IF(
IFERROR(
INDEX(Data!$1:$1048576,MATCH('Client Lists'!$B97,Data!$B:$B,0),MATCH('Client Lists'!H$11,Data!$1:$1,0)),"")=0,"",
IFERROR(
INDEX(Data!$1:$1048576,MATCH('Client Lists'!$B97,Data!$B:$B,0),MATCH('Client Lists'!H$11,Data!$1:$1,0)),""))</f>
        <v/>
      </c>
      <c r="I97" s="1" t="str">
        <f>IF(
IFERROR(
INDEX(Data!$1:$1048576,MATCH('Client Lists'!$B97,Data!$B:$B,0),MATCH('Client Lists'!I$11,Data!$1:$1,0)),"")=0,"",
IFERROR(
INDEX(Data!$1:$1048576,MATCH('Client Lists'!$B97,Data!$B:$B,0),MATCH('Client Lists'!I$11,Data!$1:$1,0)),""))</f>
        <v/>
      </c>
      <c r="J97" s="1" t="str">
        <f>IF(
IFERROR(
INDEX(Data!$1:$1048576,MATCH('Client Lists'!$B97,Data!$B:$B,0),MATCH('Client Lists'!J$11,Data!$1:$1,0)),"")=0,"",
IFERROR(
INDEX(Data!$1:$1048576,MATCH('Client Lists'!$B97,Data!$B:$B,0),MATCH('Client Lists'!J$11,Data!$1:$1,0)),""))</f>
        <v/>
      </c>
      <c r="K97" s="1" t="str">
        <f>IF(
IFERROR(
INDEX(Data!$1:$1048576,MATCH('Client Lists'!$B97,Data!$B:$B,0),MATCH('Client Lists'!K$11,Data!$1:$1,0)),"")=0,"",
IFERROR(
INDEX(Data!$1:$1048576,MATCH('Client Lists'!$B97,Data!$B:$B,0),MATCH('Client Lists'!K$11,Data!$1:$1,0)),""))</f>
        <v/>
      </c>
    </row>
    <row r="98" spans="2:11" x14ac:dyDescent="0.45">
      <c r="B98" s="5" t="str">
        <f t="array" ref="B98">IFERROR(_xlfn.IFS(
$B$6 = "Retention Overdue",
INDEX(Data!$B$2:$EO$956,
SMALL(IF(INDEX(Data!$B$2:$EO$956,,MATCH("Call Due",Data!$1:$1,0)-1,1)="Yes",MATCH(ROW(Data!$CN$2:$CN$956),ROW(Data!$CN$2:$CN$956)),""),ROWS($A$1:A87)),COLUMNS($A$1:A87)),
$B$6 = "OWIF-W",
INDEX(Data!$B$2:$EO$956,
SMALL(IF(INDEX(Data!$B$2:$EO$956,,MATCH("Grant Fund",Data!$1:$1,0)-1,1)="OWIF-W",MATCH(ROW(Data!$AO$2:$AO$956),ROW(Data!$AO$2:$AO$956)),""),ROWS($A$1:A87)),COLUMNS($A$1:A87)),
$B$6 = "G2C",
INDEX(Data!$B$2:$EO$956,
SMALL(IF(INDEX(Data!$B$2:$EO$956,,MATCH("Grant Fund",Data!$1:$1,0)-1,1)="Grads2Careers",MATCH(ROW(Data!$AO$2:$AO$956),ROW(Data!$AO$2:$AO$956)),""),ROWS($A$1:A87)),COLUMNS($A$1:A87)),
$B$6 = "OWIF",
INDEX(Data!$B$2:$EO$956,
SMALL(IF(INDEX(Data!$B$2:$EO$956,,MATCH("Grant Fund",Data!$1:$1,0)-1,1)="OWIF",MATCH(ROW(Data!$AO$2:$AO$956),ROW(Data!$AO$2:$AO$956)),""),ROWS($A$1:A87)),COLUMNS($A$1:A87)),
$B$6 = "WIOA",
INDEX(Data!$B$2:$EO$956,
SMALL(IF(INDEX(Data!$B$2:$EO$956,,MATCH("Grant Fund",Data!$1:$1,0)-1,1)="WIOA",MATCH(ROW(Data!$AO$2:$AO$956),ROW(Data!$AO$2:$AO$956)),""),ROWS($A$1:A87)),COLUMNS($A$1:A87)),
$B$6 = "WIOA II",
INDEX(Data!$B$2:$EO$956,
SMALL(IF(INDEX(Data!$B$2:$EO$956,,MATCH("Grant Fund",Data!$1:$1,0)-1,1)="WIOA II",MATCH(ROW(Data!$AO$2:$AO$956),ROW(Data!$AO$2:$AO$956)),""),ROWS($A$1:A87)),COLUMNS($A$1:A87)),
$B$6 = "WIOA III",
INDEX(Data!$B$2:$EO$956,
SMALL(IF(INDEX(Data!$B$2:$EO$956,,MATCH("Grant Fund",Data!$1:$1,0)-1,1)="WIOA III",MATCH(ROW(Data!$AO$2:$AO$956),ROW(Data!$AO$2:$AO$956)),""),ROWS($A$1:A87)),COLUMNS($A$1:A87)),
$B$6 = "Currently Employed",
INDEX(Data!$B$2:$EO$956,
SMALL(IF(INDEX(Data!$B$2:$EO$956,,MATCH("Currently Employed",Data!$1:$1,0)-1,1)="Yes",MATCH(ROW(Data!$DZ$2:$DZ$956),ROW(Data!$DZ$2:$DZ$956)),""),ROWS($A$1:A87)),COLUMNS($A$1:A87)),
$B$6 = "Inactive",
INDEX(Data!$B$2:$EO$956,
SMALL(IF(INDEX(Data!$B$2:$EO$956,,MATCH("Inactive",Data!$1:$1,0)-1,1)="Yes",MATCH(ROW(Data!$DG$2:$DG$956),ROW(Data!$DG$2:$DG$956)),""),ROWS($A$1:A87)),COLUMNS($A$1:A87)),
$B$6 = "Active",
INDEX(Data!$B$2:$EO$956,
SMALL(IF(INDEX(Data!$B$2:$EO$956,,MATCH("Active",Data!$1:$1,0)-1,1)="Yes",MATCH(ROW(Data!$DZ$2:$DZ$956),ROW(Data!$DZ$2:$DZ$956)),""),ROWS($A$1:A87)),COLUMNS($A$1:A87)),
$B$6 = "Status Unknown",
INDEX(Data!$B$2:$EO$956,
SMALL(IF(INDEX(Data!$B$2:$EO$956,,MATCH("Status Unknown",Data!$1:$1,0)-1,1)="Yes",MATCH(ROW(Data!$EB$2:$EB$956),ROW(Data!$EB$2:$EB$956)),""),ROWS($A$1:A87)),COLUMNS($A$1:A87)),
$B$6 = "Enrollment Pending",
INDEX(Data!$B$2:$EO$956,
SMALL(IF(INDEX(Data!$B$2:$EO$956,,MATCH("Enrollment Pending",Data!$1:$1,0)-1,1)="Yes",MATCH(ROW(Data!$DY$2:$DY$956),ROW(Data!$DY$2:$DY$956)),""),ROWS($A$1:A87)),COLUMNS($A$1:A87)),
$B$6 = "Gained Certification",
INDEX(Data!$B$2:$EO$956,
SMALL(IF(INDEX(Data!$B$2:$EO$956,,MATCH("Gained Certification",Data!$1:$1,0)-1,1)="Yes",MATCH(ROW(Data!$DU$2:$DU$956),ROW(Data!$DU$2:$DU$956)),""),ROWS($A$1:A87)),COLUMNS($A$1:A87)),
$B$6 = "No Certification",
INDEX(Data!$B$2:$EO$956,
SMALL(IF(INDEX(Data!$B$2:$EO$956,,MATCH("Gained Certification",Data!$1:$1,0)-1,1)&lt;&gt;"Yes",MATCH(ROW(Data!$DU$2:$DU$956),ROW(Data!$DU$2:$DU$956)),""),ROWS($A$1:A87)),COLUMNS($A$1:A87)),
$B$6 = "Completers Without Employment",
INDEX(Data!$B$2:$EO$967,
SMALL(IF(INDEX(Data!$B$2:$EO$967,,MATCH("Completed Without Employment",Data!$1:$1,0)-1,1)="Yes",MATCH(ROW(Data!$DZ$2:$DZ$967),ROW(Data!$DZ$2:$DZ$967)),""),ROWS($A$1:A87)),COLUMNS($A$1:A87)),
$B$6 = "CH",
INDEX(Data!$B$2:$EO$956,
SMALL(IF(INDEX(Data!$B$2:$EO$956,,MATCH("Case Manager",Data!$1:$1,0)-1,1)="CH",MATCH(ROW(Data!$DZ$2:$DZ$956),ROW(Data!$DZ$2:$DZ$956)),""),ROWS($A$1:A87)),COLUMNS($A$1:A87)),
$B$6 = "ML",
INDEX(Data!$B$2:$EO$956,
SMALL(IF(INDEX(Data!$B$2:$EO$956,,MATCH("Case Manager",Data!$1:$1,0)-1,1)="ML",MATCH(ROW(Data!$DZ$2:$DZ$956),ROW(Data!$DZ$2:$DZ$956)),""),ROWS($A$1:A87)),COLUMNS($A$1:A87)),
$B$6 = "RB",
INDEX(Data!$B$2:$EO$956,
SMALL(IF(INDEX(Data!$B$2:$EO$956,,MATCH("Case Manager",Data!$1:$1,0)-1,1)="RB",MATCH(ROW(Data!$DZ$2:$DZ$956),ROW(Data!$DZ$2:$DZ$956)),""),ROWS($A$1:A87)),COLUMNS($A$1:A87)),
$B$6 = "RV",
INDEX(Data!$B$2:$EO$956,
SMALL(IF(INDEX(Data!$B$2:$EO$956,,MATCH("Case Manager",Data!$1:$1,0)-1,1)="RV",MATCH(ROW(Data!$DZ$2:$DZ$956),ROW(Data!$DZ$2:$DZ$956)),""),ROWS($A$1:A87)),COLUMNS($A$1:A87)),
$B$6 = "SG",
INDEX(Data!$B$2:$EO$956,
SMALL(IF(INDEX(Data!$B$2:$EO$956,,MATCH("Case Manager",Data!$1:$1,0)-1,1)="SH",MATCH(ROW(Data!$DZ$2:$DZ$956),ROW(Data!$DZ$2:$DZ$956)),""),ROWS($A$1:A87)),COLUMNS($A$1:A87))
),"")</f>
        <v/>
      </c>
      <c r="C98" s="1" t="str">
        <f>IF(
IFERROR(
INDEX(Data!$1:$1048576,MATCH('Client Lists'!$B98,Data!$B:$B,0),MATCH('Client Lists'!C$11,Data!$1:$1,0)),"")=0,"",
IFERROR(
INDEX(Data!$1:$1048576,MATCH('Client Lists'!$B98,Data!$B:$B,0),MATCH('Client Lists'!C$11,Data!$1:$1,0)),""))</f>
        <v/>
      </c>
      <c r="D98" s="1" t="str">
        <f>IF(
IFERROR(
INDEX(Data!$1:$1048576,MATCH('Client Lists'!$B98,Data!$B:$B,0),MATCH('Client Lists'!D$11,Data!$1:$1,0)),"")=0,"",
IFERROR(
INDEX(Data!$1:$1048576,MATCH('Client Lists'!$B98,Data!$B:$B,0),MATCH('Client Lists'!D$11,Data!$1:$1,0)),""))</f>
        <v/>
      </c>
      <c r="E98" s="1" t="str">
        <f>IF(
IFERROR(
INDEX(Data!$1:$1048576,MATCH('Client Lists'!$B98,Data!$B:$B,0),MATCH('Client Lists'!E$11,Data!$1:$1,0)),"")=0,"",
IFERROR(
INDEX(Data!$1:$1048576,MATCH('Client Lists'!$B98,Data!$B:$B,0),MATCH('Client Lists'!E$11,Data!$1:$1,0)),""))</f>
        <v/>
      </c>
      <c r="F98" s="1" t="str">
        <f>IF(
IFERROR(
INDEX(Data!$1:$1048576,MATCH('Client Lists'!$B98,Data!$B:$B,0),MATCH('Client Lists'!F$11,Data!$1:$1,0)),"")=0,"",
IFERROR(
INDEX(Data!$1:$1048576,MATCH('Client Lists'!$B98,Data!$B:$B,0),MATCH('Client Lists'!F$11,Data!$1:$1,0)),""))</f>
        <v/>
      </c>
      <c r="G98" s="1" t="str">
        <f>IF(
IFERROR(
INDEX(Data!$1:$1048576,MATCH('Client Lists'!$B98,Data!$B:$B,0),MATCH('Client Lists'!G$11,Data!$1:$1,0)),"")=0,"",
IFERROR(
INDEX(Data!$1:$1048576,MATCH('Client Lists'!$B98,Data!$B:$B,0),MATCH('Client Lists'!G$11,Data!$1:$1,0)),""))</f>
        <v/>
      </c>
      <c r="H98" s="1" t="str">
        <f>IF(
IFERROR(
INDEX(Data!$1:$1048576,MATCH('Client Lists'!$B98,Data!$B:$B,0),MATCH('Client Lists'!H$11,Data!$1:$1,0)),"")=0,"",
IFERROR(
INDEX(Data!$1:$1048576,MATCH('Client Lists'!$B98,Data!$B:$B,0),MATCH('Client Lists'!H$11,Data!$1:$1,0)),""))</f>
        <v/>
      </c>
      <c r="I98" s="1" t="str">
        <f>IF(
IFERROR(
INDEX(Data!$1:$1048576,MATCH('Client Lists'!$B98,Data!$B:$B,0),MATCH('Client Lists'!I$11,Data!$1:$1,0)),"")=0,"",
IFERROR(
INDEX(Data!$1:$1048576,MATCH('Client Lists'!$B98,Data!$B:$B,0),MATCH('Client Lists'!I$11,Data!$1:$1,0)),""))</f>
        <v/>
      </c>
      <c r="J98" s="1" t="str">
        <f>IF(
IFERROR(
INDEX(Data!$1:$1048576,MATCH('Client Lists'!$B98,Data!$B:$B,0),MATCH('Client Lists'!J$11,Data!$1:$1,0)),"")=0,"",
IFERROR(
INDEX(Data!$1:$1048576,MATCH('Client Lists'!$B98,Data!$B:$B,0),MATCH('Client Lists'!J$11,Data!$1:$1,0)),""))</f>
        <v/>
      </c>
      <c r="K98" s="1" t="str">
        <f>IF(
IFERROR(
INDEX(Data!$1:$1048576,MATCH('Client Lists'!$B98,Data!$B:$B,0),MATCH('Client Lists'!K$11,Data!$1:$1,0)),"")=0,"",
IFERROR(
INDEX(Data!$1:$1048576,MATCH('Client Lists'!$B98,Data!$B:$B,0),MATCH('Client Lists'!K$11,Data!$1:$1,0)),""))</f>
        <v/>
      </c>
    </row>
    <row r="99" spans="2:11" x14ac:dyDescent="0.45">
      <c r="B99" s="5" t="str">
        <f t="array" ref="B99">IFERROR(_xlfn.IFS(
$B$6 = "Retention Overdue",
INDEX(Data!$B$2:$EO$956,
SMALL(IF(INDEX(Data!$B$2:$EO$956,,MATCH("Call Due",Data!$1:$1,0)-1,1)="Yes",MATCH(ROW(Data!$CN$2:$CN$956),ROW(Data!$CN$2:$CN$956)),""),ROWS($A$1:A88)),COLUMNS($A$1:A88)),
$B$6 = "OWIF-W",
INDEX(Data!$B$2:$EO$956,
SMALL(IF(INDEX(Data!$B$2:$EO$956,,MATCH("Grant Fund",Data!$1:$1,0)-1,1)="OWIF-W",MATCH(ROW(Data!$AO$2:$AO$956),ROW(Data!$AO$2:$AO$956)),""),ROWS($A$1:A88)),COLUMNS($A$1:A88)),
$B$6 = "G2C",
INDEX(Data!$B$2:$EO$956,
SMALL(IF(INDEX(Data!$B$2:$EO$956,,MATCH("Grant Fund",Data!$1:$1,0)-1,1)="Grads2Careers",MATCH(ROW(Data!$AO$2:$AO$956),ROW(Data!$AO$2:$AO$956)),""),ROWS($A$1:A88)),COLUMNS($A$1:A88)),
$B$6 = "OWIF",
INDEX(Data!$B$2:$EO$956,
SMALL(IF(INDEX(Data!$B$2:$EO$956,,MATCH("Grant Fund",Data!$1:$1,0)-1,1)="OWIF",MATCH(ROW(Data!$AO$2:$AO$956),ROW(Data!$AO$2:$AO$956)),""),ROWS($A$1:A88)),COLUMNS($A$1:A88)),
$B$6 = "WIOA",
INDEX(Data!$B$2:$EO$956,
SMALL(IF(INDEX(Data!$B$2:$EO$956,,MATCH("Grant Fund",Data!$1:$1,0)-1,1)="WIOA",MATCH(ROW(Data!$AO$2:$AO$956),ROW(Data!$AO$2:$AO$956)),""),ROWS($A$1:A88)),COLUMNS($A$1:A88)),
$B$6 = "WIOA II",
INDEX(Data!$B$2:$EO$956,
SMALL(IF(INDEX(Data!$B$2:$EO$956,,MATCH("Grant Fund",Data!$1:$1,0)-1,1)="WIOA II",MATCH(ROW(Data!$AO$2:$AO$956),ROW(Data!$AO$2:$AO$956)),""),ROWS($A$1:A88)),COLUMNS($A$1:A88)),
$B$6 = "WIOA III",
INDEX(Data!$B$2:$EO$956,
SMALL(IF(INDEX(Data!$B$2:$EO$956,,MATCH("Grant Fund",Data!$1:$1,0)-1,1)="WIOA III",MATCH(ROW(Data!$AO$2:$AO$956),ROW(Data!$AO$2:$AO$956)),""),ROWS($A$1:A88)),COLUMNS($A$1:A88)),
$B$6 = "Currently Employed",
INDEX(Data!$B$2:$EO$956,
SMALL(IF(INDEX(Data!$B$2:$EO$956,,MATCH("Currently Employed",Data!$1:$1,0)-1,1)="Yes",MATCH(ROW(Data!$DZ$2:$DZ$956),ROW(Data!$DZ$2:$DZ$956)),""),ROWS($A$1:A88)),COLUMNS($A$1:A88)),
$B$6 = "Inactive",
INDEX(Data!$B$2:$EO$956,
SMALL(IF(INDEX(Data!$B$2:$EO$956,,MATCH("Inactive",Data!$1:$1,0)-1,1)="Yes",MATCH(ROW(Data!$DG$2:$DG$956),ROW(Data!$DG$2:$DG$956)),""),ROWS($A$1:A88)),COLUMNS($A$1:A88)),
$B$6 = "Active",
INDEX(Data!$B$2:$EO$956,
SMALL(IF(INDEX(Data!$B$2:$EO$956,,MATCH("Active",Data!$1:$1,0)-1,1)="Yes",MATCH(ROW(Data!$DZ$2:$DZ$956),ROW(Data!$DZ$2:$DZ$956)),""),ROWS($A$1:A88)),COLUMNS($A$1:A88)),
$B$6 = "Status Unknown",
INDEX(Data!$B$2:$EO$956,
SMALL(IF(INDEX(Data!$B$2:$EO$956,,MATCH("Status Unknown",Data!$1:$1,0)-1,1)="Yes",MATCH(ROW(Data!$EB$2:$EB$956),ROW(Data!$EB$2:$EB$956)),""),ROWS($A$1:A88)),COLUMNS($A$1:A88)),
$B$6 = "Enrollment Pending",
INDEX(Data!$B$2:$EO$956,
SMALL(IF(INDEX(Data!$B$2:$EO$956,,MATCH("Enrollment Pending",Data!$1:$1,0)-1,1)="Yes",MATCH(ROW(Data!$DY$2:$DY$956),ROW(Data!$DY$2:$DY$956)),""),ROWS($A$1:A88)),COLUMNS($A$1:A88)),
$B$6 = "Gained Certification",
INDEX(Data!$B$2:$EO$956,
SMALL(IF(INDEX(Data!$B$2:$EO$956,,MATCH("Gained Certification",Data!$1:$1,0)-1,1)="Yes",MATCH(ROW(Data!$DU$2:$DU$956),ROW(Data!$DU$2:$DU$956)),""),ROWS($A$1:A88)),COLUMNS($A$1:A88)),
$B$6 = "No Certification",
INDEX(Data!$B$2:$EO$956,
SMALL(IF(INDEX(Data!$B$2:$EO$956,,MATCH("Gained Certification",Data!$1:$1,0)-1,1)&lt;&gt;"Yes",MATCH(ROW(Data!$DU$2:$DU$956),ROW(Data!$DU$2:$DU$956)),""),ROWS($A$1:A88)),COLUMNS($A$1:A88)),
$B$6 = "Completers Without Employment",
INDEX(Data!$B$2:$EO$967,
SMALL(IF(INDEX(Data!$B$2:$EO$967,,MATCH("Completed Without Employment",Data!$1:$1,0)-1,1)="Yes",MATCH(ROW(Data!$DZ$2:$DZ$967),ROW(Data!$DZ$2:$DZ$967)),""),ROWS($A$1:A88)),COLUMNS($A$1:A88)),
$B$6 = "CH",
INDEX(Data!$B$2:$EO$956,
SMALL(IF(INDEX(Data!$B$2:$EO$956,,MATCH("Case Manager",Data!$1:$1,0)-1,1)="CH",MATCH(ROW(Data!$DZ$2:$DZ$956),ROW(Data!$DZ$2:$DZ$956)),""),ROWS($A$1:A88)),COLUMNS($A$1:A88)),
$B$6 = "ML",
INDEX(Data!$B$2:$EO$956,
SMALL(IF(INDEX(Data!$B$2:$EO$956,,MATCH("Case Manager",Data!$1:$1,0)-1,1)="ML",MATCH(ROW(Data!$DZ$2:$DZ$956),ROW(Data!$DZ$2:$DZ$956)),""),ROWS($A$1:A88)),COLUMNS($A$1:A88)),
$B$6 = "RB",
INDEX(Data!$B$2:$EO$956,
SMALL(IF(INDEX(Data!$B$2:$EO$956,,MATCH("Case Manager",Data!$1:$1,0)-1,1)="RB",MATCH(ROW(Data!$DZ$2:$DZ$956),ROW(Data!$DZ$2:$DZ$956)),""),ROWS($A$1:A88)),COLUMNS($A$1:A88)),
$B$6 = "RV",
INDEX(Data!$B$2:$EO$956,
SMALL(IF(INDEX(Data!$B$2:$EO$956,,MATCH("Case Manager",Data!$1:$1,0)-1,1)="RV",MATCH(ROW(Data!$DZ$2:$DZ$956),ROW(Data!$DZ$2:$DZ$956)),""),ROWS($A$1:A88)),COLUMNS($A$1:A88)),
$B$6 = "SG",
INDEX(Data!$B$2:$EO$956,
SMALL(IF(INDEX(Data!$B$2:$EO$956,,MATCH("Case Manager",Data!$1:$1,0)-1,1)="SH",MATCH(ROW(Data!$DZ$2:$DZ$956),ROW(Data!$DZ$2:$DZ$956)),""),ROWS($A$1:A88)),COLUMNS($A$1:A88))
),"")</f>
        <v/>
      </c>
      <c r="C99" s="1" t="str">
        <f>IF(
IFERROR(
INDEX(Data!$1:$1048576,MATCH('Client Lists'!$B99,Data!$B:$B,0),MATCH('Client Lists'!C$11,Data!$1:$1,0)),"")=0,"",
IFERROR(
INDEX(Data!$1:$1048576,MATCH('Client Lists'!$B99,Data!$B:$B,0),MATCH('Client Lists'!C$11,Data!$1:$1,0)),""))</f>
        <v/>
      </c>
      <c r="D99" s="1" t="str">
        <f>IF(
IFERROR(
INDEX(Data!$1:$1048576,MATCH('Client Lists'!$B99,Data!$B:$B,0),MATCH('Client Lists'!D$11,Data!$1:$1,0)),"")=0,"",
IFERROR(
INDEX(Data!$1:$1048576,MATCH('Client Lists'!$B99,Data!$B:$B,0),MATCH('Client Lists'!D$11,Data!$1:$1,0)),""))</f>
        <v/>
      </c>
      <c r="E99" s="1" t="str">
        <f>IF(
IFERROR(
INDEX(Data!$1:$1048576,MATCH('Client Lists'!$B99,Data!$B:$B,0),MATCH('Client Lists'!E$11,Data!$1:$1,0)),"")=0,"",
IFERROR(
INDEX(Data!$1:$1048576,MATCH('Client Lists'!$B99,Data!$B:$B,0),MATCH('Client Lists'!E$11,Data!$1:$1,0)),""))</f>
        <v/>
      </c>
      <c r="F99" s="1" t="str">
        <f>IF(
IFERROR(
INDEX(Data!$1:$1048576,MATCH('Client Lists'!$B99,Data!$B:$B,0),MATCH('Client Lists'!F$11,Data!$1:$1,0)),"")=0,"",
IFERROR(
INDEX(Data!$1:$1048576,MATCH('Client Lists'!$B99,Data!$B:$B,0),MATCH('Client Lists'!F$11,Data!$1:$1,0)),""))</f>
        <v/>
      </c>
      <c r="G99" s="1" t="str">
        <f>IF(
IFERROR(
INDEX(Data!$1:$1048576,MATCH('Client Lists'!$B99,Data!$B:$B,0),MATCH('Client Lists'!G$11,Data!$1:$1,0)),"")=0,"",
IFERROR(
INDEX(Data!$1:$1048576,MATCH('Client Lists'!$B99,Data!$B:$B,0),MATCH('Client Lists'!G$11,Data!$1:$1,0)),""))</f>
        <v/>
      </c>
      <c r="H99" s="1" t="str">
        <f>IF(
IFERROR(
INDEX(Data!$1:$1048576,MATCH('Client Lists'!$B99,Data!$B:$B,0),MATCH('Client Lists'!H$11,Data!$1:$1,0)),"")=0,"",
IFERROR(
INDEX(Data!$1:$1048576,MATCH('Client Lists'!$B99,Data!$B:$B,0),MATCH('Client Lists'!H$11,Data!$1:$1,0)),""))</f>
        <v/>
      </c>
      <c r="I99" s="1" t="str">
        <f>IF(
IFERROR(
INDEX(Data!$1:$1048576,MATCH('Client Lists'!$B99,Data!$B:$B,0),MATCH('Client Lists'!I$11,Data!$1:$1,0)),"")=0,"",
IFERROR(
INDEX(Data!$1:$1048576,MATCH('Client Lists'!$B99,Data!$B:$B,0),MATCH('Client Lists'!I$11,Data!$1:$1,0)),""))</f>
        <v/>
      </c>
      <c r="J99" s="1" t="str">
        <f>IF(
IFERROR(
INDEX(Data!$1:$1048576,MATCH('Client Lists'!$B99,Data!$B:$B,0),MATCH('Client Lists'!J$11,Data!$1:$1,0)),"")=0,"",
IFERROR(
INDEX(Data!$1:$1048576,MATCH('Client Lists'!$B99,Data!$B:$B,0),MATCH('Client Lists'!J$11,Data!$1:$1,0)),""))</f>
        <v/>
      </c>
      <c r="K99" s="1" t="str">
        <f>IF(
IFERROR(
INDEX(Data!$1:$1048576,MATCH('Client Lists'!$B99,Data!$B:$B,0),MATCH('Client Lists'!K$11,Data!$1:$1,0)),"")=0,"",
IFERROR(
INDEX(Data!$1:$1048576,MATCH('Client Lists'!$B99,Data!$B:$B,0),MATCH('Client Lists'!K$11,Data!$1:$1,0)),""))</f>
        <v/>
      </c>
    </row>
    <row r="100" spans="2:11" x14ac:dyDescent="0.45">
      <c r="B100" s="5" t="str">
        <f t="array" ref="B100">IFERROR(_xlfn.IFS(
$B$6 = "Retention Overdue",
INDEX(Data!$B$2:$EO$956,
SMALL(IF(INDEX(Data!$B$2:$EO$956,,MATCH("Call Due",Data!$1:$1,0)-1,1)="Yes",MATCH(ROW(Data!$CN$2:$CN$956),ROW(Data!$CN$2:$CN$956)),""),ROWS($A$1:A89)),COLUMNS($A$1:A89)),
$B$6 = "OWIF-W",
INDEX(Data!$B$2:$EO$956,
SMALL(IF(INDEX(Data!$B$2:$EO$956,,MATCH("Grant Fund",Data!$1:$1,0)-1,1)="OWIF-W",MATCH(ROW(Data!$AO$2:$AO$956),ROW(Data!$AO$2:$AO$956)),""),ROWS($A$1:A89)),COLUMNS($A$1:A89)),
$B$6 = "G2C",
INDEX(Data!$B$2:$EO$956,
SMALL(IF(INDEX(Data!$B$2:$EO$956,,MATCH("Grant Fund",Data!$1:$1,0)-1,1)="Grads2Careers",MATCH(ROW(Data!$AO$2:$AO$956),ROW(Data!$AO$2:$AO$956)),""),ROWS($A$1:A89)),COLUMNS($A$1:A89)),
$B$6 = "OWIF",
INDEX(Data!$B$2:$EO$956,
SMALL(IF(INDEX(Data!$B$2:$EO$956,,MATCH("Grant Fund",Data!$1:$1,0)-1,1)="OWIF",MATCH(ROW(Data!$AO$2:$AO$956),ROW(Data!$AO$2:$AO$956)),""),ROWS($A$1:A89)),COLUMNS($A$1:A89)),
$B$6 = "WIOA",
INDEX(Data!$B$2:$EO$956,
SMALL(IF(INDEX(Data!$B$2:$EO$956,,MATCH("Grant Fund",Data!$1:$1,0)-1,1)="WIOA",MATCH(ROW(Data!$AO$2:$AO$956),ROW(Data!$AO$2:$AO$956)),""),ROWS($A$1:A89)),COLUMNS($A$1:A89)),
$B$6 = "WIOA II",
INDEX(Data!$B$2:$EO$956,
SMALL(IF(INDEX(Data!$B$2:$EO$956,,MATCH("Grant Fund",Data!$1:$1,0)-1,1)="WIOA II",MATCH(ROW(Data!$AO$2:$AO$956),ROW(Data!$AO$2:$AO$956)),""),ROWS($A$1:A89)),COLUMNS($A$1:A89)),
$B$6 = "WIOA III",
INDEX(Data!$B$2:$EO$956,
SMALL(IF(INDEX(Data!$B$2:$EO$956,,MATCH("Grant Fund",Data!$1:$1,0)-1,1)="WIOA III",MATCH(ROW(Data!$AO$2:$AO$956),ROW(Data!$AO$2:$AO$956)),""),ROWS($A$1:A89)),COLUMNS($A$1:A89)),
$B$6 = "Currently Employed",
INDEX(Data!$B$2:$EO$956,
SMALL(IF(INDEX(Data!$B$2:$EO$956,,MATCH("Currently Employed",Data!$1:$1,0)-1,1)="Yes",MATCH(ROW(Data!$DZ$2:$DZ$956),ROW(Data!$DZ$2:$DZ$956)),""),ROWS($A$1:A89)),COLUMNS($A$1:A89)),
$B$6 = "Inactive",
INDEX(Data!$B$2:$EO$956,
SMALL(IF(INDEX(Data!$B$2:$EO$956,,MATCH("Inactive",Data!$1:$1,0)-1,1)="Yes",MATCH(ROW(Data!$DG$2:$DG$956),ROW(Data!$DG$2:$DG$956)),""),ROWS($A$1:A89)),COLUMNS($A$1:A89)),
$B$6 = "Active",
INDEX(Data!$B$2:$EO$956,
SMALL(IF(INDEX(Data!$B$2:$EO$956,,MATCH("Active",Data!$1:$1,0)-1,1)="Yes",MATCH(ROW(Data!$DZ$2:$DZ$956),ROW(Data!$DZ$2:$DZ$956)),""),ROWS($A$1:A89)),COLUMNS($A$1:A89)),
$B$6 = "Status Unknown",
INDEX(Data!$B$2:$EO$956,
SMALL(IF(INDEX(Data!$B$2:$EO$956,,MATCH("Status Unknown",Data!$1:$1,0)-1,1)="Yes",MATCH(ROW(Data!$EB$2:$EB$956),ROW(Data!$EB$2:$EB$956)),""),ROWS($A$1:A89)),COLUMNS($A$1:A89)),
$B$6 = "Enrollment Pending",
INDEX(Data!$B$2:$EO$956,
SMALL(IF(INDEX(Data!$B$2:$EO$956,,MATCH("Enrollment Pending",Data!$1:$1,0)-1,1)="Yes",MATCH(ROW(Data!$DY$2:$DY$956),ROW(Data!$DY$2:$DY$956)),""),ROWS($A$1:A89)),COLUMNS($A$1:A89)),
$B$6 = "Gained Certification",
INDEX(Data!$B$2:$EO$956,
SMALL(IF(INDEX(Data!$B$2:$EO$956,,MATCH("Gained Certification",Data!$1:$1,0)-1,1)="Yes",MATCH(ROW(Data!$DU$2:$DU$956),ROW(Data!$DU$2:$DU$956)),""),ROWS($A$1:A89)),COLUMNS($A$1:A89)),
$B$6 = "No Certification",
INDEX(Data!$B$2:$EO$956,
SMALL(IF(INDEX(Data!$B$2:$EO$956,,MATCH("Gained Certification",Data!$1:$1,0)-1,1)&lt;&gt;"Yes",MATCH(ROW(Data!$DU$2:$DU$956),ROW(Data!$DU$2:$DU$956)),""),ROWS($A$1:A89)),COLUMNS($A$1:A89)),
$B$6 = "Completers Without Employment",
INDEX(Data!$B$2:$EO$967,
SMALL(IF(INDEX(Data!$B$2:$EO$967,,MATCH("Completed Without Employment",Data!$1:$1,0)-1,1)="Yes",MATCH(ROW(Data!$DZ$2:$DZ$967),ROW(Data!$DZ$2:$DZ$967)),""),ROWS($A$1:A89)),COLUMNS($A$1:A89)),
$B$6 = "CH",
INDEX(Data!$B$2:$EO$956,
SMALL(IF(INDEX(Data!$B$2:$EO$956,,MATCH("Case Manager",Data!$1:$1,0)-1,1)="CH",MATCH(ROW(Data!$DZ$2:$DZ$956),ROW(Data!$DZ$2:$DZ$956)),""),ROWS($A$1:A89)),COLUMNS($A$1:A89)),
$B$6 = "ML",
INDEX(Data!$B$2:$EO$956,
SMALL(IF(INDEX(Data!$B$2:$EO$956,,MATCH("Case Manager",Data!$1:$1,0)-1,1)="ML",MATCH(ROW(Data!$DZ$2:$DZ$956),ROW(Data!$DZ$2:$DZ$956)),""),ROWS($A$1:A89)),COLUMNS($A$1:A89)),
$B$6 = "RB",
INDEX(Data!$B$2:$EO$956,
SMALL(IF(INDEX(Data!$B$2:$EO$956,,MATCH("Case Manager",Data!$1:$1,0)-1,1)="RB",MATCH(ROW(Data!$DZ$2:$DZ$956),ROW(Data!$DZ$2:$DZ$956)),""),ROWS($A$1:A89)),COLUMNS($A$1:A89)),
$B$6 = "RV",
INDEX(Data!$B$2:$EO$956,
SMALL(IF(INDEX(Data!$B$2:$EO$956,,MATCH("Case Manager",Data!$1:$1,0)-1,1)="RV",MATCH(ROW(Data!$DZ$2:$DZ$956),ROW(Data!$DZ$2:$DZ$956)),""),ROWS($A$1:A89)),COLUMNS($A$1:A89)),
$B$6 = "SG",
INDEX(Data!$B$2:$EO$956,
SMALL(IF(INDEX(Data!$B$2:$EO$956,,MATCH("Case Manager",Data!$1:$1,0)-1,1)="SH",MATCH(ROW(Data!$DZ$2:$DZ$956),ROW(Data!$DZ$2:$DZ$956)),""),ROWS($A$1:A89)),COLUMNS($A$1:A89))
),"")</f>
        <v/>
      </c>
      <c r="C100" s="1" t="str">
        <f>IF(
IFERROR(
INDEX(Data!$1:$1048576,MATCH('Client Lists'!$B100,Data!$B:$B,0),MATCH('Client Lists'!C$11,Data!$1:$1,0)),"")=0,"",
IFERROR(
INDEX(Data!$1:$1048576,MATCH('Client Lists'!$B100,Data!$B:$B,0),MATCH('Client Lists'!C$11,Data!$1:$1,0)),""))</f>
        <v/>
      </c>
      <c r="D100" s="1" t="str">
        <f>IF(
IFERROR(
INDEX(Data!$1:$1048576,MATCH('Client Lists'!$B100,Data!$B:$B,0),MATCH('Client Lists'!D$11,Data!$1:$1,0)),"")=0,"",
IFERROR(
INDEX(Data!$1:$1048576,MATCH('Client Lists'!$B100,Data!$B:$B,0),MATCH('Client Lists'!D$11,Data!$1:$1,0)),""))</f>
        <v/>
      </c>
      <c r="E100" s="1" t="str">
        <f>IF(
IFERROR(
INDEX(Data!$1:$1048576,MATCH('Client Lists'!$B100,Data!$B:$B,0),MATCH('Client Lists'!E$11,Data!$1:$1,0)),"")=0,"",
IFERROR(
INDEX(Data!$1:$1048576,MATCH('Client Lists'!$B100,Data!$B:$B,0),MATCH('Client Lists'!E$11,Data!$1:$1,0)),""))</f>
        <v/>
      </c>
      <c r="F100" s="1" t="str">
        <f>IF(
IFERROR(
INDEX(Data!$1:$1048576,MATCH('Client Lists'!$B100,Data!$B:$B,0),MATCH('Client Lists'!F$11,Data!$1:$1,0)),"")=0,"",
IFERROR(
INDEX(Data!$1:$1048576,MATCH('Client Lists'!$B100,Data!$B:$B,0),MATCH('Client Lists'!F$11,Data!$1:$1,0)),""))</f>
        <v/>
      </c>
      <c r="G100" s="1" t="str">
        <f>IF(
IFERROR(
INDEX(Data!$1:$1048576,MATCH('Client Lists'!$B100,Data!$B:$B,0),MATCH('Client Lists'!G$11,Data!$1:$1,0)),"")=0,"",
IFERROR(
INDEX(Data!$1:$1048576,MATCH('Client Lists'!$B100,Data!$B:$B,0),MATCH('Client Lists'!G$11,Data!$1:$1,0)),""))</f>
        <v/>
      </c>
      <c r="H100" s="1" t="str">
        <f>IF(
IFERROR(
INDEX(Data!$1:$1048576,MATCH('Client Lists'!$B100,Data!$B:$B,0),MATCH('Client Lists'!H$11,Data!$1:$1,0)),"")=0,"",
IFERROR(
INDEX(Data!$1:$1048576,MATCH('Client Lists'!$B100,Data!$B:$B,0),MATCH('Client Lists'!H$11,Data!$1:$1,0)),""))</f>
        <v/>
      </c>
      <c r="I100" s="1" t="str">
        <f>IF(
IFERROR(
INDEX(Data!$1:$1048576,MATCH('Client Lists'!$B100,Data!$B:$B,0),MATCH('Client Lists'!I$11,Data!$1:$1,0)),"")=0,"",
IFERROR(
INDEX(Data!$1:$1048576,MATCH('Client Lists'!$B100,Data!$B:$B,0),MATCH('Client Lists'!I$11,Data!$1:$1,0)),""))</f>
        <v/>
      </c>
      <c r="J100" s="1" t="str">
        <f>IF(
IFERROR(
INDEX(Data!$1:$1048576,MATCH('Client Lists'!$B100,Data!$B:$B,0),MATCH('Client Lists'!J$11,Data!$1:$1,0)),"")=0,"",
IFERROR(
INDEX(Data!$1:$1048576,MATCH('Client Lists'!$B100,Data!$B:$B,0),MATCH('Client Lists'!J$11,Data!$1:$1,0)),""))</f>
        <v/>
      </c>
      <c r="K100" s="1" t="str">
        <f>IF(
IFERROR(
INDEX(Data!$1:$1048576,MATCH('Client Lists'!$B100,Data!$B:$B,0),MATCH('Client Lists'!K$11,Data!$1:$1,0)),"")=0,"",
IFERROR(
INDEX(Data!$1:$1048576,MATCH('Client Lists'!$B100,Data!$B:$B,0),MATCH('Client Lists'!K$11,Data!$1:$1,0)),""))</f>
        <v/>
      </c>
    </row>
    <row r="101" spans="2:11" x14ac:dyDescent="0.45">
      <c r="B101" s="5" t="str">
        <f t="array" ref="B101">IFERROR(_xlfn.IFS(
$B$6 = "Retention Overdue",
INDEX(Data!$B$2:$EO$956,
SMALL(IF(INDEX(Data!$B$2:$EO$956,,MATCH("Call Due",Data!$1:$1,0)-1,1)="Yes",MATCH(ROW(Data!$CN$2:$CN$956),ROW(Data!$CN$2:$CN$956)),""),ROWS($A$1:A90)),COLUMNS($A$1:A90)),
$B$6 = "OWIF-W",
INDEX(Data!$B$2:$EO$956,
SMALL(IF(INDEX(Data!$B$2:$EO$956,,MATCH("Grant Fund",Data!$1:$1,0)-1,1)="OWIF-W",MATCH(ROW(Data!$AO$2:$AO$956),ROW(Data!$AO$2:$AO$956)),""),ROWS($A$1:A90)),COLUMNS($A$1:A90)),
$B$6 = "G2C",
INDEX(Data!$B$2:$EO$956,
SMALL(IF(INDEX(Data!$B$2:$EO$956,,MATCH("Grant Fund",Data!$1:$1,0)-1,1)="Grads2Careers",MATCH(ROW(Data!$AO$2:$AO$956),ROW(Data!$AO$2:$AO$956)),""),ROWS($A$1:A90)),COLUMNS($A$1:A90)),
$B$6 = "OWIF",
INDEX(Data!$B$2:$EO$956,
SMALL(IF(INDEX(Data!$B$2:$EO$956,,MATCH("Grant Fund",Data!$1:$1,0)-1,1)="OWIF",MATCH(ROW(Data!$AO$2:$AO$956),ROW(Data!$AO$2:$AO$956)),""),ROWS($A$1:A90)),COLUMNS($A$1:A90)),
$B$6 = "WIOA",
INDEX(Data!$B$2:$EO$956,
SMALL(IF(INDEX(Data!$B$2:$EO$956,,MATCH("Grant Fund",Data!$1:$1,0)-1,1)="WIOA",MATCH(ROW(Data!$AO$2:$AO$956),ROW(Data!$AO$2:$AO$956)),""),ROWS($A$1:A90)),COLUMNS($A$1:A90)),
$B$6 = "WIOA II",
INDEX(Data!$B$2:$EO$956,
SMALL(IF(INDEX(Data!$B$2:$EO$956,,MATCH("Grant Fund",Data!$1:$1,0)-1,1)="WIOA II",MATCH(ROW(Data!$AO$2:$AO$956),ROW(Data!$AO$2:$AO$956)),""),ROWS($A$1:A90)),COLUMNS($A$1:A90)),
$B$6 = "WIOA III",
INDEX(Data!$B$2:$EO$956,
SMALL(IF(INDEX(Data!$B$2:$EO$956,,MATCH("Grant Fund",Data!$1:$1,0)-1,1)="WIOA III",MATCH(ROW(Data!$AO$2:$AO$956),ROW(Data!$AO$2:$AO$956)),""),ROWS($A$1:A90)),COLUMNS($A$1:A90)),
$B$6 = "Currently Employed",
INDEX(Data!$B$2:$EO$956,
SMALL(IF(INDEX(Data!$B$2:$EO$956,,MATCH("Currently Employed",Data!$1:$1,0)-1,1)="Yes",MATCH(ROW(Data!$DZ$2:$DZ$956),ROW(Data!$DZ$2:$DZ$956)),""),ROWS($A$1:A90)),COLUMNS($A$1:A90)),
$B$6 = "Inactive",
INDEX(Data!$B$2:$EO$956,
SMALL(IF(INDEX(Data!$B$2:$EO$956,,MATCH("Inactive",Data!$1:$1,0)-1,1)="Yes",MATCH(ROW(Data!$DG$2:$DG$956),ROW(Data!$DG$2:$DG$956)),""),ROWS($A$1:A90)),COLUMNS($A$1:A90)),
$B$6 = "Active",
INDEX(Data!$B$2:$EO$956,
SMALL(IF(INDEX(Data!$B$2:$EO$956,,MATCH("Active",Data!$1:$1,0)-1,1)="Yes",MATCH(ROW(Data!$DZ$2:$DZ$956),ROW(Data!$DZ$2:$DZ$956)),""),ROWS($A$1:A90)),COLUMNS($A$1:A90)),
$B$6 = "Status Unknown",
INDEX(Data!$B$2:$EO$956,
SMALL(IF(INDEX(Data!$B$2:$EO$956,,MATCH("Status Unknown",Data!$1:$1,0)-1,1)="Yes",MATCH(ROW(Data!$EB$2:$EB$956),ROW(Data!$EB$2:$EB$956)),""),ROWS($A$1:A90)),COLUMNS($A$1:A90)),
$B$6 = "Enrollment Pending",
INDEX(Data!$B$2:$EO$956,
SMALL(IF(INDEX(Data!$B$2:$EO$956,,MATCH("Enrollment Pending",Data!$1:$1,0)-1,1)="Yes",MATCH(ROW(Data!$DY$2:$DY$956),ROW(Data!$DY$2:$DY$956)),""),ROWS($A$1:A90)),COLUMNS($A$1:A90)),
$B$6 = "Gained Certification",
INDEX(Data!$B$2:$EO$956,
SMALL(IF(INDEX(Data!$B$2:$EO$956,,MATCH("Gained Certification",Data!$1:$1,0)-1,1)="Yes",MATCH(ROW(Data!$DU$2:$DU$956),ROW(Data!$DU$2:$DU$956)),""),ROWS($A$1:A90)),COLUMNS($A$1:A90)),
$B$6 = "No Certification",
INDEX(Data!$B$2:$EO$956,
SMALL(IF(INDEX(Data!$B$2:$EO$956,,MATCH("Gained Certification",Data!$1:$1,0)-1,1)&lt;&gt;"Yes",MATCH(ROW(Data!$DU$2:$DU$956),ROW(Data!$DU$2:$DU$956)),""),ROWS($A$1:A90)),COLUMNS($A$1:A90)),
$B$6 = "Completers Without Employment",
INDEX(Data!$B$2:$EO$967,
SMALL(IF(INDEX(Data!$B$2:$EO$967,,MATCH("Completed Without Employment",Data!$1:$1,0)-1,1)="Yes",MATCH(ROW(Data!$DZ$2:$DZ$967),ROW(Data!$DZ$2:$DZ$967)),""),ROWS($A$1:A90)),COLUMNS($A$1:A90)),
$B$6 = "CH",
INDEX(Data!$B$2:$EO$956,
SMALL(IF(INDEX(Data!$B$2:$EO$956,,MATCH("Case Manager",Data!$1:$1,0)-1,1)="CH",MATCH(ROW(Data!$DZ$2:$DZ$956),ROW(Data!$DZ$2:$DZ$956)),""),ROWS($A$1:A90)),COLUMNS($A$1:A90)),
$B$6 = "ML",
INDEX(Data!$B$2:$EO$956,
SMALL(IF(INDEX(Data!$B$2:$EO$956,,MATCH("Case Manager",Data!$1:$1,0)-1,1)="ML",MATCH(ROW(Data!$DZ$2:$DZ$956),ROW(Data!$DZ$2:$DZ$956)),""),ROWS($A$1:A90)),COLUMNS($A$1:A90)),
$B$6 = "RB",
INDEX(Data!$B$2:$EO$956,
SMALL(IF(INDEX(Data!$B$2:$EO$956,,MATCH("Case Manager",Data!$1:$1,0)-1,1)="RB",MATCH(ROW(Data!$DZ$2:$DZ$956),ROW(Data!$DZ$2:$DZ$956)),""),ROWS($A$1:A90)),COLUMNS($A$1:A90)),
$B$6 = "RV",
INDEX(Data!$B$2:$EO$956,
SMALL(IF(INDEX(Data!$B$2:$EO$956,,MATCH("Case Manager",Data!$1:$1,0)-1,1)="RV",MATCH(ROW(Data!$DZ$2:$DZ$956),ROW(Data!$DZ$2:$DZ$956)),""),ROWS($A$1:A90)),COLUMNS($A$1:A90)),
$B$6 = "SG",
INDEX(Data!$B$2:$EO$956,
SMALL(IF(INDEX(Data!$B$2:$EO$956,,MATCH("Case Manager",Data!$1:$1,0)-1,1)="SH",MATCH(ROW(Data!$DZ$2:$DZ$956),ROW(Data!$DZ$2:$DZ$956)),""),ROWS($A$1:A90)),COLUMNS($A$1:A90))
),"")</f>
        <v/>
      </c>
      <c r="C101" s="1" t="str">
        <f>IF(
IFERROR(
INDEX(Data!$1:$1048576,MATCH('Client Lists'!$B101,Data!$B:$B,0),MATCH('Client Lists'!C$11,Data!$1:$1,0)),"")=0,"",
IFERROR(
INDEX(Data!$1:$1048576,MATCH('Client Lists'!$B101,Data!$B:$B,0),MATCH('Client Lists'!C$11,Data!$1:$1,0)),""))</f>
        <v/>
      </c>
      <c r="D101" s="1" t="str">
        <f>IF(
IFERROR(
INDEX(Data!$1:$1048576,MATCH('Client Lists'!$B101,Data!$B:$B,0),MATCH('Client Lists'!D$11,Data!$1:$1,0)),"")=0,"",
IFERROR(
INDEX(Data!$1:$1048576,MATCH('Client Lists'!$B101,Data!$B:$B,0),MATCH('Client Lists'!D$11,Data!$1:$1,0)),""))</f>
        <v/>
      </c>
      <c r="E101" s="1" t="str">
        <f>IF(
IFERROR(
INDEX(Data!$1:$1048576,MATCH('Client Lists'!$B101,Data!$B:$B,0),MATCH('Client Lists'!E$11,Data!$1:$1,0)),"")=0,"",
IFERROR(
INDEX(Data!$1:$1048576,MATCH('Client Lists'!$B101,Data!$B:$B,0),MATCH('Client Lists'!E$11,Data!$1:$1,0)),""))</f>
        <v/>
      </c>
      <c r="F101" s="1" t="str">
        <f>IF(
IFERROR(
INDEX(Data!$1:$1048576,MATCH('Client Lists'!$B101,Data!$B:$B,0),MATCH('Client Lists'!F$11,Data!$1:$1,0)),"")=0,"",
IFERROR(
INDEX(Data!$1:$1048576,MATCH('Client Lists'!$B101,Data!$B:$B,0),MATCH('Client Lists'!F$11,Data!$1:$1,0)),""))</f>
        <v/>
      </c>
      <c r="G101" s="1" t="str">
        <f>IF(
IFERROR(
INDEX(Data!$1:$1048576,MATCH('Client Lists'!$B101,Data!$B:$B,0),MATCH('Client Lists'!G$11,Data!$1:$1,0)),"")=0,"",
IFERROR(
INDEX(Data!$1:$1048576,MATCH('Client Lists'!$B101,Data!$B:$B,0),MATCH('Client Lists'!G$11,Data!$1:$1,0)),""))</f>
        <v/>
      </c>
      <c r="H101" s="1" t="str">
        <f>IF(
IFERROR(
INDEX(Data!$1:$1048576,MATCH('Client Lists'!$B101,Data!$B:$B,0),MATCH('Client Lists'!H$11,Data!$1:$1,0)),"")=0,"",
IFERROR(
INDEX(Data!$1:$1048576,MATCH('Client Lists'!$B101,Data!$B:$B,0),MATCH('Client Lists'!H$11,Data!$1:$1,0)),""))</f>
        <v/>
      </c>
      <c r="I101" s="1" t="str">
        <f>IF(
IFERROR(
INDEX(Data!$1:$1048576,MATCH('Client Lists'!$B101,Data!$B:$B,0),MATCH('Client Lists'!I$11,Data!$1:$1,0)),"")=0,"",
IFERROR(
INDEX(Data!$1:$1048576,MATCH('Client Lists'!$B101,Data!$B:$B,0),MATCH('Client Lists'!I$11,Data!$1:$1,0)),""))</f>
        <v/>
      </c>
      <c r="J101" s="1" t="str">
        <f>IF(
IFERROR(
INDEX(Data!$1:$1048576,MATCH('Client Lists'!$B101,Data!$B:$B,0),MATCH('Client Lists'!J$11,Data!$1:$1,0)),"")=0,"",
IFERROR(
INDEX(Data!$1:$1048576,MATCH('Client Lists'!$B101,Data!$B:$B,0),MATCH('Client Lists'!J$11,Data!$1:$1,0)),""))</f>
        <v/>
      </c>
      <c r="K101" s="1" t="str">
        <f>IF(
IFERROR(
INDEX(Data!$1:$1048576,MATCH('Client Lists'!$B101,Data!$B:$B,0),MATCH('Client Lists'!K$11,Data!$1:$1,0)),"")=0,"",
IFERROR(
INDEX(Data!$1:$1048576,MATCH('Client Lists'!$B101,Data!$B:$B,0),MATCH('Client Lists'!K$11,Data!$1:$1,0)),""))</f>
        <v/>
      </c>
    </row>
    <row r="102" spans="2:11" x14ac:dyDescent="0.45">
      <c r="B102" s="5" t="str">
        <f t="array" ref="B102">IFERROR(_xlfn.IFS(
$B$6 = "Retention Overdue",
INDEX(Data!$B$2:$EO$956,
SMALL(IF(INDEX(Data!$B$2:$EO$956,,MATCH("Call Due",Data!$1:$1,0)-1,1)="Yes",MATCH(ROW(Data!$CN$2:$CN$956),ROW(Data!$CN$2:$CN$956)),""),ROWS($A$1:A91)),COLUMNS($A$1:A91)),
$B$6 = "OWIF-W",
INDEX(Data!$B$2:$EO$956,
SMALL(IF(INDEX(Data!$B$2:$EO$956,,MATCH("Grant Fund",Data!$1:$1,0)-1,1)="OWIF-W",MATCH(ROW(Data!$AO$2:$AO$956),ROW(Data!$AO$2:$AO$956)),""),ROWS($A$1:A91)),COLUMNS($A$1:A91)),
$B$6 = "G2C",
INDEX(Data!$B$2:$EO$956,
SMALL(IF(INDEX(Data!$B$2:$EO$956,,MATCH("Grant Fund",Data!$1:$1,0)-1,1)="Grads2Careers",MATCH(ROW(Data!$AO$2:$AO$956),ROW(Data!$AO$2:$AO$956)),""),ROWS($A$1:A91)),COLUMNS($A$1:A91)),
$B$6 = "OWIF",
INDEX(Data!$B$2:$EO$956,
SMALL(IF(INDEX(Data!$B$2:$EO$956,,MATCH("Grant Fund",Data!$1:$1,0)-1,1)="OWIF",MATCH(ROW(Data!$AO$2:$AO$956),ROW(Data!$AO$2:$AO$956)),""),ROWS($A$1:A91)),COLUMNS($A$1:A91)),
$B$6 = "WIOA",
INDEX(Data!$B$2:$EO$956,
SMALL(IF(INDEX(Data!$B$2:$EO$956,,MATCH("Grant Fund",Data!$1:$1,0)-1,1)="WIOA",MATCH(ROW(Data!$AO$2:$AO$956),ROW(Data!$AO$2:$AO$956)),""),ROWS($A$1:A91)),COLUMNS($A$1:A91)),
$B$6 = "WIOA II",
INDEX(Data!$B$2:$EO$956,
SMALL(IF(INDEX(Data!$B$2:$EO$956,,MATCH("Grant Fund",Data!$1:$1,0)-1,1)="WIOA II",MATCH(ROW(Data!$AO$2:$AO$956),ROW(Data!$AO$2:$AO$956)),""),ROWS($A$1:A91)),COLUMNS($A$1:A91)),
$B$6 = "WIOA III",
INDEX(Data!$B$2:$EO$956,
SMALL(IF(INDEX(Data!$B$2:$EO$956,,MATCH("Grant Fund",Data!$1:$1,0)-1,1)="WIOA III",MATCH(ROW(Data!$AO$2:$AO$956),ROW(Data!$AO$2:$AO$956)),""),ROWS($A$1:A91)),COLUMNS($A$1:A91)),
$B$6 = "Currently Employed",
INDEX(Data!$B$2:$EO$956,
SMALL(IF(INDEX(Data!$B$2:$EO$956,,MATCH("Currently Employed",Data!$1:$1,0)-1,1)="Yes",MATCH(ROW(Data!$DZ$2:$DZ$956),ROW(Data!$DZ$2:$DZ$956)),""),ROWS($A$1:A91)),COLUMNS($A$1:A91)),
$B$6 = "Inactive",
INDEX(Data!$B$2:$EO$956,
SMALL(IF(INDEX(Data!$B$2:$EO$956,,MATCH("Inactive",Data!$1:$1,0)-1,1)="Yes",MATCH(ROW(Data!$DG$2:$DG$956),ROW(Data!$DG$2:$DG$956)),""),ROWS($A$1:A91)),COLUMNS($A$1:A91)),
$B$6 = "Active",
INDEX(Data!$B$2:$EO$956,
SMALL(IF(INDEX(Data!$B$2:$EO$956,,MATCH("Active",Data!$1:$1,0)-1,1)="Yes",MATCH(ROW(Data!$DZ$2:$DZ$956),ROW(Data!$DZ$2:$DZ$956)),""),ROWS($A$1:A91)),COLUMNS($A$1:A91)),
$B$6 = "Status Unknown",
INDEX(Data!$B$2:$EO$956,
SMALL(IF(INDEX(Data!$B$2:$EO$956,,MATCH("Status Unknown",Data!$1:$1,0)-1,1)="Yes",MATCH(ROW(Data!$EB$2:$EB$956),ROW(Data!$EB$2:$EB$956)),""),ROWS($A$1:A91)),COLUMNS($A$1:A91)),
$B$6 = "Enrollment Pending",
INDEX(Data!$B$2:$EO$956,
SMALL(IF(INDEX(Data!$B$2:$EO$956,,MATCH("Enrollment Pending",Data!$1:$1,0)-1,1)="Yes",MATCH(ROW(Data!$DY$2:$DY$956),ROW(Data!$DY$2:$DY$956)),""),ROWS($A$1:A91)),COLUMNS($A$1:A91)),
$B$6 = "Gained Certification",
INDEX(Data!$B$2:$EO$956,
SMALL(IF(INDEX(Data!$B$2:$EO$956,,MATCH("Gained Certification",Data!$1:$1,0)-1,1)="Yes",MATCH(ROW(Data!$DU$2:$DU$956),ROW(Data!$DU$2:$DU$956)),""),ROWS($A$1:A91)),COLUMNS($A$1:A91)),
$B$6 = "No Certification",
INDEX(Data!$B$2:$EO$956,
SMALL(IF(INDEX(Data!$B$2:$EO$956,,MATCH("Gained Certification",Data!$1:$1,0)-1,1)&lt;&gt;"Yes",MATCH(ROW(Data!$DU$2:$DU$956),ROW(Data!$DU$2:$DU$956)),""),ROWS($A$1:A91)),COLUMNS($A$1:A91)),
$B$6 = "Completers Without Employment",
INDEX(Data!$B$2:$EO$967,
SMALL(IF(INDEX(Data!$B$2:$EO$967,,MATCH("Completed Without Employment",Data!$1:$1,0)-1,1)="Yes",MATCH(ROW(Data!$DZ$2:$DZ$967),ROW(Data!$DZ$2:$DZ$967)),""),ROWS($A$1:A91)),COLUMNS($A$1:A91)),
$B$6 = "CH",
INDEX(Data!$B$2:$EO$956,
SMALL(IF(INDEX(Data!$B$2:$EO$956,,MATCH("Case Manager",Data!$1:$1,0)-1,1)="CH",MATCH(ROW(Data!$DZ$2:$DZ$956),ROW(Data!$DZ$2:$DZ$956)),""),ROWS($A$1:A91)),COLUMNS($A$1:A91)),
$B$6 = "ML",
INDEX(Data!$B$2:$EO$956,
SMALL(IF(INDEX(Data!$B$2:$EO$956,,MATCH("Case Manager",Data!$1:$1,0)-1,1)="ML",MATCH(ROW(Data!$DZ$2:$DZ$956),ROW(Data!$DZ$2:$DZ$956)),""),ROWS($A$1:A91)),COLUMNS($A$1:A91)),
$B$6 = "RB",
INDEX(Data!$B$2:$EO$956,
SMALL(IF(INDEX(Data!$B$2:$EO$956,,MATCH("Case Manager",Data!$1:$1,0)-1,1)="RB",MATCH(ROW(Data!$DZ$2:$DZ$956),ROW(Data!$DZ$2:$DZ$956)),""),ROWS($A$1:A91)),COLUMNS($A$1:A91)),
$B$6 = "RV",
INDEX(Data!$B$2:$EO$956,
SMALL(IF(INDEX(Data!$B$2:$EO$956,,MATCH("Case Manager",Data!$1:$1,0)-1,1)="RV",MATCH(ROW(Data!$DZ$2:$DZ$956),ROW(Data!$DZ$2:$DZ$956)),""),ROWS($A$1:A91)),COLUMNS($A$1:A91)),
$B$6 = "SG",
INDEX(Data!$B$2:$EO$956,
SMALL(IF(INDEX(Data!$B$2:$EO$956,,MATCH("Case Manager",Data!$1:$1,0)-1,1)="SH",MATCH(ROW(Data!$DZ$2:$DZ$956),ROW(Data!$DZ$2:$DZ$956)),""),ROWS($A$1:A91)),COLUMNS($A$1:A91))
),"")</f>
        <v/>
      </c>
      <c r="C102" s="1" t="str">
        <f>IF(
IFERROR(
INDEX(Data!$1:$1048576,MATCH('Client Lists'!$B102,Data!$B:$B,0),MATCH('Client Lists'!C$11,Data!$1:$1,0)),"")=0,"",
IFERROR(
INDEX(Data!$1:$1048576,MATCH('Client Lists'!$B102,Data!$B:$B,0),MATCH('Client Lists'!C$11,Data!$1:$1,0)),""))</f>
        <v/>
      </c>
      <c r="D102" s="1" t="str">
        <f>IF(
IFERROR(
INDEX(Data!$1:$1048576,MATCH('Client Lists'!$B102,Data!$B:$B,0),MATCH('Client Lists'!D$11,Data!$1:$1,0)),"")=0,"",
IFERROR(
INDEX(Data!$1:$1048576,MATCH('Client Lists'!$B102,Data!$B:$B,0),MATCH('Client Lists'!D$11,Data!$1:$1,0)),""))</f>
        <v/>
      </c>
      <c r="E102" s="1" t="str">
        <f>IF(
IFERROR(
INDEX(Data!$1:$1048576,MATCH('Client Lists'!$B102,Data!$B:$B,0),MATCH('Client Lists'!E$11,Data!$1:$1,0)),"")=0,"",
IFERROR(
INDEX(Data!$1:$1048576,MATCH('Client Lists'!$B102,Data!$B:$B,0),MATCH('Client Lists'!E$11,Data!$1:$1,0)),""))</f>
        <v/>
      </c>
      <c r="F102" s="1" t="str">
        <f>IF(
IFERROR(
INDEX(Data!$1:$1048576,MATCH('Client Lists'!$B102,Data!$B:$B,0),MATCH('Client Lists'!F$11,Data!$1:$1,0)),"")=0,"",
IFERROR(
INDEX(Data!$1:$1048576,MATCH('Client Lists'!$B102,Data!$B:$B,0),MATCH('Client Lists'!F$11,Data!$1:$1,0)),""))</f>
        <v/>
      </c>
      <c r="G102" s="1" t="str">
        <f>IF(
IFERROR(
INDEX(Data!$1:$1048576,MATCH('Client Lists'!$B102,Data!$B:$B,0),MATCH('Client Lists'!G$11,Data!$1:$1,0)),"")=0,"",
IFERROR(
INDEX(Data!$1:$1048576,MATCH('Client Lists'!$B102,Data!$B:$B,0),MATCH('Client Lists'!G$11,Data!$1:$1,0)),""))</f>
        <v/>
      </c>
      <c r="H102" s="1" t="str">
        <f>IF(
IFERROR(
INDEX(Data!$1:$1048576,MATCH('Client Lists'!$B102,Data!$B:$B,0),MATCH('Client Lists'!H$11,Data!$1:$1,0)),"")=0,"",
IFERROR(
INDEX(Data!$1:$1048576,MATCH('Client Lists'!$B102,Data!$B:$B,0),MATCH('Client Lists'!H$11,Data!$1:$1,0)),""))</f>
        <v/>
      </c>
      <c r="I102" s="1" t="str">
        <f>IF(
IFERROR(
INDEX(Data!$1:$1048576,MATCH('Client Lists'!$B102,Data!$B:$B,0),MATCH('Client Lists'!I$11,Data!$1:$1,0)),"")=0,"",
IFERROR(
INDEX(Data!$1:$1048576,MATCH('Client Lists'!$B102,Data!$B:$B,0),MATCH('Client Lists'!I$11,Data!$1:$1,0)),""))</f>
        <v/>
      </c>
      <c r="J102" s="1" t="str">
        <f>IF(
IFERROR(
INDEX(Data!$1:$1048576,MATCH('Client Lists'!$B102,Data!$B:$B,0),MATCH('Client Lists'!J$11,Data!$1:$1,0)),"")=0,"",
IFERROR(
INDEX(Data!$1:$1048576,MATCH('Client Lists'!$B102,Data!$B:$B,0),MATCH('Client Lists'!J$11,Data!$1:$1,0)),""))</f>
        <v/>
      </c>
      <c r="K102" s="1" t="str">
        <f>IF(
IFERROR(
INDEX(Data!$1:$1048576,MATCH('Client Lists'!$B102,Data!$B:$B,0),MATCH('Client Lists'!K$11,Data!$1:$1,0)),"")=0,"",
IFERROR(
INDEX(Data!$1:$1048576,MATCH('Client Lists'!$B102,Data!$B:$B,0),MATCH('Client Lists'!K$11,Data!$1:$1,0)),""))</f>
        <v/>
      </c>
    </row>
    <row r="103" spans="2:11" x14ac:dyDescent="0.45">
      <c r="B103" s="5" t="str">
        <f t="array" ref="B103">IFERROR(_xlfn.IFS(
$B$6 = "Retention Overdue",
INDEX(Data!$B$2:$EO$956,
SMALL(IF(INDEX(Data!$B$2:$EO$956,,MATCH("Call Due",Data!$1:$1,0)-1,1)="Yes",MATCH(ROW(Data!$CN$2:$CN$956),ROW(Data!$CN$2:$CN$956)),""),ROWS($A$1:A92)),COLUMNS($A$1:A92)),
$B$6 = "OWIF-W",
INDEX(Data!$B$2:$EO$956,
SMALL(IF(INDEX(Data!$B$2:$EO$956,,MATCH("Grant Fund",Data!$1:$1,0)-1,1)="OWIF-W",MATCH(ROW(Data!$AO$2:$AO$956),ROW(Data!$AO$2:$AO$956)),""),ROWS($A$1:A92)),COLUMNS($A$1:A92)),
$B$6 = "G2C",
INDEX(Data!$B$2:$EO$956,
SMALL(IF(INDEX(Data!$B$2:$EO$956,,MATCH("Grant Fund",Data!$1:$1,0)-1,1)="Grads2Careers",MATCH(ROW(Data!$AO$2:$AO$956),ROW(Data!$AO$2:$AO$956)),""),ROWS($A$1:A92)),COLUMNS($A$1:A92)),
$B$6 = "OWIF",
INDEX(Data!$B$2:$EO$956,
SMALL(IF(INDEX(Data!$B$2:$EO$956,,MATCH("Grant Fund",Data!$1:$1,0)-1,1)="OWIF",MATCH(ROW(Data!$AO$2:$AO$956),ROW(Data!$AO$2:$AO$956)),""),ROWS($A$1:A92)),COLUMNS($A$1:A92)),
$B$6 = "WIOA",
INDEX(Data!$B$2:$EO$956,
SMALL(IF(INDEX(Data!$B$2:$EO$956,,MATCH("Grant Fund",Data!$1:$1,0)-1,1)="WIOA",MATCH(ROW(Data!$AO$2:$AO$956),ROW(Data!$AO$2:$AO$956)),""),ROWS($A$1:A92)),COLUMNS($A$1:A92)),
$B$6 = "WIOA II",
INDEX(Data!$B$2:$EO$956,
SMALL(IF(INDEX(Data!$B$2:$EO$956,,MATCH("Grant Fund",Data!$1:$1,0)-1,1)="WIOA II",MATCH(ROW(Data!$AO$2:$AO$956),ROW(Data!$AO$2:$AO$956)),""),ROWS($A$1:A92)),COLUMNS($A$1:A92)),
$B$6 = "WIOA III",
INDEX(Data!$B$2:$EO$956,
SMALL(IF(INDEX(Data!$B$2:$EO$956,,MATCH("Grant Fund",Data!$1:$1,0)-1,1)="WIOA III",MATCH(ROW(Data!$AO$2:$AO$956),ROW(Data!$AO$2:$AO$956)),""),ROWS($A$1:A92)),COLUMNS($A$1:A92)),
$B$6 = "Currently Employed",
INDEX(Data!$B$2:$EO$956,
SMALL(IF(INDEX(Data!$B$2:$EO$956,,MATCH("Currently Employed",Data!$1:$1,0)-1,1)="Yes",MATCH(ROW(Data!$DZ$2:$DZ$956),ROW(Data!$DZ$2:$DZ$956)),""),ROWS($A$1:A92)),COLUMNS($A$1:A92)),
$B$6 = "Inactive",
INDEX(Data!$B$2:$EO$956,
SMALL(IF(INDEX(Data!$B$2:$EO$956,,MATCH("Inactive",Data!$1:$1,0)-1,1)="Yes",MATCH(ROW(Data!$DG$2:$DG$956),ROW(Data!$DG$2:$DG$956)),""),ROWS($A$1:A92)),COLUMNS($A$1:A92)),
$B$6 = "Active",
INDEX(Data!$B$2:$EO$956,
SMALL(IF(INDEX(Data!$B$2:$EO$956,,MATCH("Active",Data!$1:$1,0)-1,1)="Yes",MATCH(ROW(Data!$DZ$2:$DZ$956),ROW(Data!$DZ$2:$DZ$956)),""),ROWS($A$1:A92)),COLUMNS($A$1:A92)),
$B$6 = "Status Unknown",
INDEX(Data!$B$2:$EO$956,
SMALL(IF(INDEX(Data!$B$2:$EO$956,,MATCH("Status Unknown",Data!$1:$1,0)-1,1)="Yes",MATCH(ROW(Data!$EB$2:$EB$956),ROW(Data!$EB$2:$EB$956)),""),ROWS($A$1:A92)),COLUMNS($A$1:A92)),
$B$6 = "Enrollment Pending",
INDEX(Data!$B$2:$EO$956,
SMALL(IF(INDEX(Data!$B$2:$EO$956,,MATCH("Enrollment Pending",Data!$1:$1,0)-1,1)="Yes",MATCH(ROW(Data!$DY$2:$DY$956),ROW(Data!$DY$2:$DY$956)),""),ROWS($A$1:A92)),COLUMNS($A$1:A92)),
$B$6 = "Gained Certification",
INDEX(Data!$B$2:$EO$956,
SMALL(IF(INDEX(Data!$B$2:$EO$956,,MATCH("Gained Certification",Data!$1:$1,0)-1,1)="Yes",MATCH(ROW(Data!$DU$2:$DU$956),ROW(Data!$DU$2:$DU$956)),""),ROWS($A$1:A92)),COLUMNS($A$1:A92)),
$B$6 = "No Certification",
INDEX(Data!$B$2:$EO$956,
SMALL(IF(INDEX(Data!$B$2:$EO$956,,MATCH("Gained Certification",Data!$1:$1,0)-1,1)&lt;&gt;"Yes",MATCH(ROW(Data!$DU$2:$DU$956),ROW(Data!$DU$2:$DU$956)),""),ROWS($A$1:A92)),COLUMNS($A$1:A92)),
$B$6 = "Completers Without Employment",
INDEX(Data!$B$2:$EO$967,
SMALL(IF(INDEX(Data!$B$2:$EO$967,,MATCH("Completed Without Employment",Data!$1:$1,0)-1,1)="Yes",MATCH(ROW(Data!$DZ$2:$DZ$967),ROW(Data!$DZ$2:$DZ$967)),""),ROWS($A$1:A92)),COLUMNS($A$1:A92)),
$B$6 = "CH",
INDEX(Data!$B$2:$EO$956,
SMALL(IF(INDEX(Data!$B$2:$EO$956,,MATCH("Case Manager",Data!$1:$1,0)-1,1)="CH",MATCH(ROW(Data!$DZ$2:$DZ$956),ROW(Data!$DZ$2:$DZ$956)),""),ROWS($A$1:A92)),COLUMNS($A$1:A92)),
$B$6 = "ML",
INDEX(Data!$B$2:$EO$956,
SMALL(IF(INDEX(Data!$B$2:$EO$956,,MATCH("Case Manager",Data!$1:$1,0)-1,1)="ML",MATCH(ROW(Data!$DZ$2:$DZ$956),ROW(Data!$DZ$2:$DZ$956)),""),ROWS($A$1:A92)),COLUMNS($A$1:A92)),
$B$6 = "RB",
INDEX(Data!$B$2:$EO$956,
SMALL(IF(INDEX(Data!$B$2:$EO$956,,MATCH("Case Manager",Data!$1:$1,0)-1,1)="RB",MATCH(ROW(Data!$DZ$2:$DZ$956),ROW(Data!$DZ$2:$DZ$956)),""),ROWS($A$1:A92)),COLUMNS($A$1:A92)),
$B$6 = "RV",
INDEX(Data!$B$2:$EO$956,
SMALL(IF(INDEX(Data!$B$2:$EO$956,,MATCH("Case Manager",Data!$1:$1,0)-1,1)="RV",MATCH(ROW(Data!$DZ$2:$DZ$956),ROW(Data!$DZ$2:$DZ$956)),""),ROWS($A$1:A92)),COLUMNS($A$1:A92)),
$B$6 = "SG",
INDEX(Data!$B$2:$EO$956,
SMALL(IF(INDEX(Data!$B$2:$EO$956,,MATCH("Case Manager",Data!$1:$1,0)-1,1)="SH",MATCH(ROW(Data!$DZ$2:$DZ$956),ROW(Data!$DZ$2:$DZ$956)),""),ROWS($A$1:A92)),COLUMNS($A$1:A92))
),"")</f>
        <v/>
      </c>
      <c r="C103" s="1" t="str">
        <f>IF(
IFERROR(
INDEX(Data!$1:$1048576,MATCH('Client Lists'!$B103,Data!$B:$B,0),MATCH('Client Lists'!C$11,Data!$1:$1,0)),"")=0,"",
IFERROR(
INDEX(Data!$1:$1048576,MATCH('Client Lists'!$B103,Data!$B:$B,0),MATCH('Client Lists'!C$11,Data!$1:$1,0)),""))</f>
        <v/>
      </c>
      <c r="D103" s="1" t="str">
        <f>IF(
IFERROR(
INDEX(Data!$1:$1048576,MATCH('Client Lists'!$B103,Data!$B:$B,0),MATCH('Client Lists'!D$11,Data!$1:$1,0)),"")=0,"",
IFERROR(
INDEX(Data!$1:$1048576,MATCH('Client Lists'!$B103,Data!$B:$B,0),MATCH('Client Lists'!D$11,Data!$1:$1,0)),""))</f>
        <v/>
      </c>
      <c r="E103" s="1" t="str">
        <f>IF(
IFERROR(
INDEX(Data!$1:$1048576,MATCH('Client Lists'!$B103,Data!$B:$B,0),MATCH('Client Lists'!E$11,Data!$1:$1,0)),"")=0,"",
IFERROR(
INDEX(Data!$1:$1048576,MATCH('Client Lists'!$B103,Data!$B:$B,0),MATCH('Client Lists'!E$11,Data!$1:$1,0)),""))</f>
        <v/>
      </c>
      <c r="F103" s="1" t="str">
        <f>IF(
IFERROR(
INDEX(Data!$1:$1048576,MATCH('Client Lists'!$B103,Data!$B:$B,0),MATCH('Client Lists'!F$11,Data!$1:$1,0)),"")=0,"",
IFERROR(
INDEX(Data!$1:$1048576,MATCH('Client Lists'!$B103,Data!$B:$B,0),MATCH('Client Lists'!F$11,Data!$1:$1,0)),""))</f>
        <v/>
      </c>
      <c r="G103" s="1" t="str">
        <f>IF(
IFERROR(
INDEX(Data!$1:$1048576,MATCH('Client Lists'!$B103,Data!$B:$B,0),MATCH('Client Lists'!G$11,Data!$1:$1,0)),"")=0,"",
IFERROR(
INDEX(Data!$1:$1048576,MATCH('Client Lists'!$B103,Data!$B:$B,0),MATCH('Client Lists'!G$11,Data!$1:$1,0)),""))</f>
        <v/>
      </c>
      <c r="H103" s="1" t="str">
        <f>IF(
IFERROR(
INDEX(Data!$1:$1048576,MATCH('Client Lists'!$B103,Data!$B:$B,0),MATCH('Client Lists'!H$11,Data!$1:$1,0)),"")=0,"",
IFERROR(
INDEX(Data!$1:$1048576,MATCH('Client Lists'!$B103,Data!$B:$B,0),MATCH('Client Lists'!H$11,Data!$1:$1,0)),""))</f>
        <v/>
      </c>
      <c r="I103" s="1" t="str">
        <f>IF(
IFERROR(
INDEX(Data!$1:$1048576,MATCH('Client Lists'!$B103,Data!$B:$B,0),MATCH('Client Lists'!I$11,Data!$1:$1,0)),"")=0,"",
IFERROR(
INDEX(Data!$1:$1048576,MATCH('Client Lists'!$B103,Data!$B:$B,0),MATCH('Client Lists'!I$11,Data!$1:$1,0)),""))</f>
        <v/>
      </c>
      <c r="J103" s="1" t="str">
        <f>IF(
IFERROR(
INDEX(Data!$1:$1048576,MATCH('Client Lists'!$B103,Data!$B:$B,0),MATCH('Client Lists'!J$11,Data!$1:$1,0)),"")=0,"",
IFERROR(
INDEX(Data!$1:$1048576,MATCH('Client Lists'!$B103,Data!$B:$B,0),MATCH('Client Lists'!J$11,Data!$1:$1,0)),""))</f>
        <v/>
      </c>
      <c r="K103" s="1" t="str">
        <f>IF(
IFERROR(
INDEX(Data!$1:$1048576,MATCH('Client Lists'!$B103,Data!$B:$B,0),MATCH('Client Lists'!K$11,Data!$1:$1,0)),"")=0,"",
IFERROR(
INDEX(Data!$1:$1048576,MATCH('Client Lists'!$B103,Data!$B:$B,0),MATCH('Client Lists'!K$11,Data!$1:$1,0)),""))</f>
        <v/>
      </c>
    </row>
    <row r="104" spans="2:11" x14ac:dyDescent="0.45">
      <c r="B104" s="5" t="str">
        <f t="array" ref="B104">IFERROR(_xlfn.IFS(
$B$6 = "Retention Overdue",
INDEX(Data!$B$2:$EO$956,
SMALL(IF(INDEX(Data!$B$2:$EO$956,,MATCH("Call Due",Data!$1:$1,0)-1,1)="Yes",MATCH(ROW(Data!$CN$2:$CN$956),ROW(Data!$CN$2:$CN$956)),""),ROWS($A$1:A93)),COLUMNS($A$1:A93)),
$B$6 = "OWIF-W",
INDEX(Data!$B$2:$EO$956,
SMALL(IF(INDEX(Data!$B$2:$EO$956,,MATCH("Grant Fund",Data!$1:$1,0)-1,1)="OWIF-W",MATCH(ROW(Data!$AO$2:$AO$956),ROW(Data!$AO$2:$AO$956)),""),ROWS($A$1:A93)),COLUMNS($A$1:A93)),
$B$6 = "G2C",
INDEX(Data!$B$2:$EO$956,
SMALL(IF(INDEX(Data!$B$2:$EO$956,,MATCH("Grant Fund",Data!$1:$1,0)-1,1)="Grads2Careers",MATCH(ROW(Data!$AO$2:$AO$956),ROW(Data!$AO$2:$AO$956)),""),ROWS($A$1:A93)),COLUMNS($A$1:A93)),
$B$6 = "OWIF",
INDEX(Data!$B$2:$EO$956,
SMALL(IF(INDEX(Data!$B$2:$EO$956,,MATCH("Grant Fund",Data!$1:$1,0)-1,1)="OWIF",MATCH(ROW(Data!$AO$2:$AO$956),ROW(Data!$AO$2:$AO$956)),""),ROWS($A$1:A93)),COLUMNS($A$1:A93)),
$B$6 = "WIOA",
INDEX(Data!$B$2:$EO$956,
SMALL(IF(INDEX(Data!$B$2:$EO$956,,MATCH("Grant Fund",Data!$1:$1,0)-1,1)="WIOA",MATCH(ROW(Data!$AO$2:$AO$956),ROW(Data!$AO$2:$AO$956)),""),ROWS($A$1:A93)),COLUMNS($A$1:A93)),
$B$6 = "WIOA II",
INDEX(Data!$B$2:$EO$956,
SMALL(IF(INDEX(Data!$B$2:$EO$956,,MATCH("Grant Fund",Data!$1:$1,0)-1,1)="WIOA II",MATCH(ROW(Data!$AO$2:$AO$956),ROW(Data!$AO$2:$AO$956)),""),ROWS($A$1:A93)),COLUMNS($A$1:A93)),
$B$6 = "WIOA III",
INDEX(Data!$B$2:$EO$956,
SMALL(IF(INDEX(Data!$B$2:$EO$956,,MATCH("Grant Fund",Data!$1:$1,0)-1,1)="WIOA III",MATCH(ROW(Data!$AO$2:$AO$956),ROW(Data!$AO$2:$AO$956)),""),ROWS($A$1:A93)),COLUMNS($A$1:A93)),
$B$6 = "Currently Employed",
INDEX(Data!$B$2:$EO$956,
SMALL(IF(INDEX(Data!$B$2:$EO$956,,MATCH("Currently Employed",Data!$1:$1,0)-1,1)="Yes",MATCH(ROW(Data!$DZ$2:$DZ$956),ROW(Data!$DZ$2:$DZ$956)),""),ROWS($A$1:A93)),COLUMNS($A$1:A93)),
$B$6 = "Inactive",
INDEX(Data!$B$2:$EO$956,
SMALL(IF(INDEX(Data!$B$2:$EO$956,,MATCH("Inactive",Data!$1:$1,0)-1,1)="Yes",MATCH(ROW(Data!$DG$2:$DG$956),ROW(Data!$DG$2:$DG$956)),""),ROWS($A$1:A93)),COLUMNS($A$1:A93)),
$B$6 = "Active",
INDEX(Data!$B$2:$EO$956,
SMALL(IF(INDEX(Data!$B$2:$EO$956,,MATCH("Active",Data!$1:$1,0)-1,1)="Yes",MATCH(ROW(Data!$DZ$2:$DZ$956),ROW(Data!$DZ$2:$DZ$956)),""),ROWS($A$1:A93)),COLUMNS($A$1:A93)),
$B$6 = "Status Unknown",
INDEX(Data!$B$2:$EO$956,
SMALL(IF(INDEX(Data!$B$2:$EO$956,,MATCH("Status Unknown",Data!$1:$1,0)-1,1)="Yes",MATCH(ROW(Data!$EB$2:$EB$956),ROW(Data!$EB$2:$EB$956)),""),ROWS($A$1:A93)),COLUMNS($A$1:A93)),
$B$6 = "Enrollment Pending",
INDEX(Data!$B$2:$EO$956,
SMALL(IF(INDEX(Data!$B$2:$EO$956,,MATCH("Enrollment Pending",Data!$1:$1,0)-1,1)="Yes",MATCH(ROW(Data!$DY$2:$DY$956),ROW(Data!$DY$2:$DY$956)),""),ROWS($A$1:A93)),COLUMNS($A$1:A93)),
$B$6 = "Gained Certification",
INDEX(Data!$B$2:$EO$956,
SMALL(IF(INDEX(Data!$B$2:$EO$956,,MATCH("Gained Certification",Data!$1:$1,0)-1,1)="Yes",MATCH(ROW(Data!$DU$2:$DU$956),ROW(Data!$DU$2:$DU$956)),""),ROWS($A$1:A93)),COLUMNS($A$1:A93)),
$B$6 = "No Certification",
INDEX(Data!$B$2:$EO$956,
SMALL(IF(INDEX(Data!$B$2:$EO$956,,MATCH("Gained Certification",Data!$1:$1,0)-1,1)&lt;&gt;"Yes",MATCH(ROW(Data!$DU$2:$DU$956),ROW(Data!$DU$2:$DU$956)),""),ROWS($A$1:A93)),COLUMNS($A$1:A93)),
$B$6 = "Completers Without Employment",
INDEX(Data!$B$2:$EO$967,
SMALL(IF(INDEX(Data!$B$2:$EO$967,,MATCH("Completed Without Employment",Data!$1:$1,0)-1,1)="Yes",MATCH(ROW(Data!$DZ$2:$DZ$967),ROW(Data!$DZ$2:$DZ$967)),""),ROWS($A$1:A93)),COLUMNS($A$1:A93)),
$B$6 = "CH",
INDEX(Data!$B$2:$EO$956,
SMALL(IF(INDEX(Data!$B$2:$EO$956,,MATCH("Case Manager",Data!$1:$1,0)-1,1)="CH",MATCH(ROW(Data!$DZ$2:$DZ$956),ROW(Data!$DZ$2:$DZ$956)),""),ROWS($A$1:A93)),COLUMNS($A$1:A93)),
$B$6 = "ML",
INDEX(Data!$B$2:$EO$956,
SMALL(IF(INDEX(Data!$B$2:$EO$956,,MATCH("Case Manager",Data!$1:$1,0)-1,1)="ML",MATCH(ROW(Data!$DZ$2:$DZ$956),ROW(Data!$DZ$2:$DZ$956)),""),ROWS($A$1:A93)),COLUMNS($A$1:A93)),
$B$6 = "RB",
INDEX(Data!$B$2:$EO$956,
SMALL(IF(INDEX(Data!$B$2:$EO$956,,MATCH("Case Manager",Data!$1:$1,0)-1,1)="RB",MATCH(ROW(Data!$DZ$2:$DZ$956),ROW(Data!$DZ$2:$DZ$956)),""),ROWS($A$1:A93)),COLUMNS($A$1:A93)),
$B$6 = "RV",
INDEX(Data!$B$2:$EO$956,
SMALL(IF(INDEX(Data!$B$2:$EO$956,,MATCH("Case Manager",Data!$1:$1,0)-1,1)="RV",MATCH(ROW(Data!$DZ$2:$DZ$956),ROW(Data!$DZ$2:$DZ$956)),""),ROWS($A$1:A93)),COLUMNS($A$1:A93)),
$B$6 = "SG",
INDEX(Data!$B$2:$EO$956,
SMALL(IF(INDEX(Data!$B$2:$EO$956,,MATCH("Case Manager",Data!$1:$1,0)-1,1)="SH",MATCH(ROW(Data!$DZ$2:$DZ$956),ROW(Data!$DZ$2:$DZ$956)),""),ROWS($A$1:A93)),COLUMNS($A$1:A93))
),"")</f>
        <v/>
      </c>
      <c r="C104" s="1" t="str">
        <f>IF(
IFERROR(
INDEX(Data!$1:$1048576,MATCH('Client Lists'!$B104,Data!$B:$B,0),MATCH('Client Lists'!C$11,Data!$1:$1,0)),"")=0,"",
IFERROR(
INDEX(Data!$1:$1048576,MATCH('Client Lists'!$B104,Data!$B:$B,0),MATCH('Client Lists'!C$11,Data!$1:$1,0)),""))</f>
        <v/>
      </c>
      <c r="D104" s="1" t="str">
        <f>IF(
IFERROR(
INDEX(Data!$1:$1048576,MATCH('Client Lists'!$B104,Data!$B:$B,0),MATCH('Client Lists'!D$11,Data!$1:$1,0)),"")=0,"",
IFERROR(
INDEX(Data!$1:$1048576,MATCH('Client Lists'!$B104,Data!$B:$B,0),MATCH('Client Lists'!D$11,Data!$1:$1,0)),""))</f>
        <v/>
      </c>
      <c r="E104" s="1" t="str">
        <f>IF(
IFERROR(
INDEX(Data!$1:$1048576,MATCH('Client Lists'!$B104,Data!$B:$B,0),MATCH('Client Lists'!E$11,Data!$1:$1,0)),"")=0,"",
IFERROR(
INDEX(Data!$1:$1048576,MATCH('Client Lists'!$B104,Data!$B:$B,0),MATCH('Client Lists'!E$11,Data!$1:$1,0)),""))</f>
        <v/>
      </c>
      <c r="F104" s="1" t="str">
        <f>IF(
IFERROR(
INDEX(Data!$1:$1048576,MATCH('Client Lists'!$B104,Data!$B:$B,0),MATCH('Client Lists'!F$11,Data!$1:$1,0)),"")=0,"",
IFERROR(
INDEX(Data!$1:$1048576,MATCH('Client Lists'!$B104,Data!$B:$B,0),MATCH('Client Lists'!F$11,Data!$1:$1,0)),""))</f>
        <v/>
      </c>
      <c r="G104" s="1" t="str">
        <f>IF(
IFERROR(
INDEX(Data!$1:$1048576,MATCH('Client Lists'!$B104,Data!$B:$B,0),MATCH('Client Lists'!G$11,Data!$1:$1,0)),"")=0,"",
IFERROR(
INDEX(Data!$1:$1048576,MATCH('Client Lists'!$B104,Data!$B:$B,0),MATCH('Client Lists'!G$11,Data!$1:$1,0)),""))</f>
        <v/>
      </c>
      <c r="H104" s="1" t="str">
        <f>IF(
IFERROR(
INDEX(Data!$1:$1048576,MATCH('Client Lists'!$B104,Data!$B:$B,0),MATCH('Client Lists'!H$11,Data!$1:$1,0)),"")=0,"",
IFERROR(
INDEX(Data!$1:$1048576,MATCH('Client Lists'!$B104,Data!$B:$B,0),MATCH('Client Lists'!H$11,Data!$1:$1,0)),""))</f>
        <v/>
      </c>
      <c r="I104" s="1" t="str">
        <f>IF(
IFERROR(
INDEX(Data!$1:$1048576,MATCH('Client Lists'!$B104,Data!$B:$B,0),MATCH('Client Lists'!I$11,Data!$1:$1,0)),"")=0,"",
IFERROR(
INDEX(Data!$1:$1048576,MATCH('Client Lists'!$B104,Data!$B:$B,0),MATCH('Client Lists'!I$11,Data!$1:$1,0)),""))</f>
        <v/>
      </c>
      <c r="J104" s="1" t="str">
        <f>IF(
IFERROR(
INDEX(Data!$1:$1048576,MATCH('Client Lists'!$B104,Data!$B:$B,0),MATCH('Client Lists'!J$11,Data!$1:$1,0)),"")=0,"",
IFERROR(
INDEX(Data!$1:$1048576,MATCH('Client Lists'!$B104,Data!$B:$B,0),MATCH('Client Lists'!J$11,Data!$1:$1,0)),""))</f>
        <v/>
      </c>
      <c r="K104" s="1" t="str">
        <f>IF(
IFERROR(
INDEX(Data!$1:$1048576,MATCH('Client Lists'!$B104,Data!$B:$B,0),MATCH('Client Lists'!K$11,Data!$1:$1,0)),"")=0,"",
IFERROR(
INDEX(Data!$1:$1048576,MATCH('Client Lists'!$B104,Data!$B:$B,0),MATCH('Client Lists'!K$11,Data!$1:$1,0)),""))</f>
        <v/>
      </c>
    </row>
    <row r="105" spans="2:11" x14ac:dyDescent="0.45">
      <c r="B105" s="5" t="str">
        <f t="array" ref="B105">IFERROR(_xlfn.IFS(
$B$6 = "Retention Overdue",
INDEX(Data!$B$2:$EO$956,
SMALL(IF(INDEX(Data!$B$2:$EO$956,,MATCH("Call Due",Data!$1:$1,0)-1,1)="Yes",MATCH(ROW(Data!$CN$2:$CN$956),ROW(Data!$CN$2:$CN$956)),""),ROWS($A$1:A94)),COLUMNS($A$1:A94)),
$B$6 = "OWIF-W",
INDEX(Data!$B$2:$EO$956,
SMALL(IF(INDEX(Data!$B$2:$EO$956,,MATCH("Grant Fund",Data!$1:$1,0)-1,1)="OWIF-W",MATCH(ROW(Data!$AO$2:$AO$956),ROW(Data!$AO$2:$AO$956)),""),ROWS($A$1:A94)),COLUMNS($A$1:A94)),
$B$6 = "G2C",
INDEX(Data!$B$2:$EO$956,
SMALL(IF(INDEX(Data!$B$2:$EO$956,,MATCH("Grant Fund",Data!$1:$1,0)-1,1)="Grads2Careers",MATCH(ROW(Data!$AO$2:$AO$956),ROW(Data!$AO$2:$AO$956)),""),ROWS($A$1:A94)),COLUMNS($A$1:A94)),
$B$6 = "OWIF",
INDEX(Data!$B$2:$EO$956,
SMALL(IF(INDEX(Data!$B$2:$EO$956,,MATCH("Grant Fund",Data!$1:$1,0)-1,1)="OWIF",MATCH(ROW(Data!$AO$2:$AO$956),ROW(Data!$AO$2:$AO$956)),""),ROWS($A$1:A94)),COLUMNS($A$1:A94)),
$B$6 = "WIOA",
INDEX(Data!$B$2:$EO$956,
SMALL(IF(INDEX(Data!$B$2:$EO$956,,MATCH("Grant Fund",Data!$1:$1,0)-1,1)="WIOA",MATCH(ROW(Data!$AO$2:$AO$956),ROW(Data!$AO$2:$AO$956)),""),ROWS($A$1:A94)),COLUMNS($A$1:A94)),
$B$6 = "WIOA II",
INDEX(Data!$B$2:$EO$956,
SMALL(IF(INDEX(Data!$B$2:$EO$956,,MATCH("Grant Fund",Data!$1:$1,0)-1,1)="WIOA II",MATCH(ROW(Data!$AO$2:$AO$956),ROW(Data!$AO$2:$AO$956)),""),ROWS($A$1:A94)),COLUMNS($A$1:A94)),
$B$6 = "WIOA III",
INDEX(Data!$B$2:$EO$956,
SMALL(IF(INDEX(Data!$B$2:$EO$956,,MATCH("Grant Fund",Data!$1:$1,0)-1,1)="WIOA III",MATCH(ROW(Data!$AO$2:$AO$956),ROW(Data!$AO$2:$AO$956)),""),ROWS($A$1:A94)),COLUMNS($A$1:A94)),
$B$6 = "Currently Employed",
INDEX(Data!$B$2:$EO$956,
SMALL(IF(INDEX(Data!$B$2:$EO$956,,MATCH("Currently Employed",Data!$1:$1,0)-1,1)="Yes",MATCH(ROW(Data!$DZ$2:$DZ$956),ROW(Data!$DZ$2:$DZ$956)),""),ROWS($A$1:A94)),COLUMNS($A$1:A94)),
$B$6 = "Inactive",
INDEX(Data!$B$2:$EO$956,
SMALL(IF(INDEX(Data!$B$2:$EO$956,,MATCH("Inactive",Data!$1:$1,0)-1,1)="Yes",MATCH(ROW(Data!$DG$2:$DG$956),ROW(Data!$DG$2:$DG$956)),""),ROWS($A$1:A94)),COLUMNS($A$1:A94)),
$B$6 = "Active",
INDEX(Data!$B$2:$EO$956,
SMALL(IF(INDEX(Data!$B$2:$EO$956,,MATCH("Active",Data!$1:$1,0)-1,1)="Yes",MATCH(ROW(Data!$DZ$2:$DZ$956),ROW(Data!$DZ$2:$DZ$956)),""),ROWS($A$1:A94)),COLUMNS($A$1:A94)),
$B$6 = "Status Unknown",
INDEX(Data!$B$2:$EO$956,
SMALL(IF(INDEX(Data!$B$2:$EO$956,,MATCH("Status Unknown",Data!$1:$1,0)-1,1)="Yes",MATCH(ROW(Data!$EB$2:$EB$956),ROW(Data!$EB$2:$EB$956)),""),ROWS($A$1:A94)),COLUMNS($A$1:A94)),
$B$6 = "Enrollment Pending",
INDEX(Data!$B$2:$EO$956,
SMALL(IF(INDEX(Data!$B$2:$EO$956,,MATCH("Enrollment Pending",Data!$1:$1,0)-1,1)="Yes",MATCH(ROW(Data!$DY$2:$DY$956),ROW(Data!$DY$2:$DY$956)),""),ROWS($A$1:A94)),COLUMNS($A$1:A94)),
$B$6 = "Gained Certification",
INDEX(Data!$B$2:$EO$956,
SMALL(IF(INDEX(Data!$B$2:$EO$956,,MATCH("Gained Certification",Data!$1:$1,0)-1,1)="Yes",MATCH(ROW(Data!$DU$2:$DU$956),ROW(Data!$DU$2:$DU$956)),""),ROWS($A$1:A94)),COLUMNS($A$1:A94)),
$B$6 = "No Certification",
INDEX(Data!$B$2:$EO$956,
SMALL(IF(INDEX(Data!$B$2:$EO$956,,MATCH("Gained Certification",Data!$1:$1,0)-1,1)&lt;&gt;"Yes",MATCH(ROW(Data!$DU$2:$DU$956),ROW(Data!$DU$2:$DU$956)),""),ROWS($A$1:A94)),COLUMNS($A$1:A94)),
$B$6 = "Completers Without Employment",
INDEX(Data!$B$2:$EO$967,
SMALL(IF(INDEX(Data!$B$2:$EO$967,,MATCH("Completed Without Employment",Data!$1:$1,0)-1,1)="Yes",MATCH(ROW(Data!$DZ$2:$DZ$967),ROW(Data!$DZ$2:$DZ$967)),""),ROWS($A$1:A94)),COLUMNS($A$1:A94)),
$B$6 = "CH",
INDEX(Data!$B$2:$EO$956,
SMALL(IF(INDEX(Data!$B$2:$EO$956,,MATCH("Case Manager",Data!$1:$1,0)-1,1)="CH",MATCH(ROW(Data!$DZ$2:$DZ$956),ROW(Data!$DZ$2:$DZ$956)),""),ROWS($A$1:A94)),COLUMNS($A$1:A94)),
$B$6 = "ML",
INDEX(Data!$B$2:$EO$956,
SMALL(IF(INDEX(Data!$B$2:$EO$956,,MATCH("Case Manager",Data!$1:$1,0)-1,1)="ML",MATCH(ROW(Data!$DZ$2:$DZ$956),ROW(Data!$DZ$2:$DZ$956)),""),ROWS($A$1:A94)),COLUMNS($A$1:A94)),
$B$6 = "RB",
INDEX(Data!$B$2:$EO$956,
SMALL(IF(INDEX(Data!$B$2:$EO$956,,MATCH("Case Manager",Data!$1:$1,0)-1,1)="RB",MATCH(ROW(Data!$DZ$2:$DZ$956),ROW(Data!$DZ$2:$DZ$956)),""),ROWS($A$1:A94)),COLUMNS($A$1:A94)),
$B$6 = "RV",
INDEX(Data!$B$2:$EO$956,
SMALL(IF(INDEX(Data!$B$2:$EO$956,,MATCH("Case Manager",Data!$1:$1,0)-1,1)="RV",MATCH(ROW(Data!$DZ$2:$DZ$956),ROW(Data!$DZ$2:$DZ$956)),""),ROWS($A$1:A94)),COLUMNS($A$1:A94)),
$B$6 = "SG",
INDEX(Data!$B$2:$EO$956,
SMALL(IF(INDEX(Data!$B$2:$EO$956,,MATCH("Case Manager",Data!$1:$1,0)-1,1)="SH",MATCH(ROW(Data!$DZ$2:$DZ$956),ROW(Data!$DZ$2:$DZ$956)),""),ROWS($A$1:A94)),COLUMNS($A$1:A94))
),"")</f>
        <v/>
      </c>
      <c r="C105" s="1" t="str">
        <f>IF(
IFERROR(
INDEX(Data!$1:$1048576,MATCH('Client Lists'!$B105,Data!$B:$B,0),MATCH('Client Lists'!C$11,Data!$1:$1,0)),"")=0,"",
IFERROR(
INDEX(Data!$1:$1048576,MATCH('Client Lists'!$B105,Data!$B:$B,0),MATCH('Client Lists'!C$11,Data!$1:$1,0)),""))</f>
        <v/>
      </c>
      <c r="D105" s="1" t="str">
        <f>IF(
IFERROR(
INDEX(Data!$1:$1048576,MATCH('Client Lists'!$B105,Data!$B:$B,0),MATCH('Client Lists'!D$11,Data!$1:$1,0)),"")=0,"",
IFERROR(
INDEX(Data!$1:$1048576,MATCH('Client Lists'!$B105,Data!$B:$B,0),MATCH('Client Lists'!D$11,Data!$1:$1,0)),""))</f>
        <v/>
      </c>
      <c r="E105" s="1" t="str">
        <f>IF(
IFERROR(
INDEX(Data!$1:$1048576,MATCH('Client Lists'!$B105,Data!$B:$B,0),MATCH('Client Lists'!E$11,Data!$1:$1,0)),"")=0,"",
IFERROR(
INDEX(Data!$1:$1048576,MATCH('Client Lists'!$B105,Data!$B:$B,0),MATCH('Client Lists'!E$11,Data!$1:$1,0)),""))</f>
        <v/>
      </c>
      <c r="F105" s="1" t="str">
        <f>IF(
IFERROR(
INDEX(Data!$1:$1048576,MATCH('Client Lists'!$B105,Data!$B:$B,0),MATCH('Client Lists'!F$11,Data!$1:$1,0)),"")=0,"",
IFERROR(
INDEX(Data!$1:$1048576,MATCH('Client Lists'!$B105,Data!$B:$B,0),MATCH('Client Lists'!F$11,Data!$1:$1,0)),""))</f>
        <v/>
      </c>
      <c r="G105" s="1" t="str">
        <f>IF(
IFERROR(
INDEX(Data!$1:$1048576,MATCH('Client Lists'!$B105,Data!$B:$B,0),MATCH('Client Lists'!G$11,Data!$1:$1,0)),"")=0,"",
IFERROR(
INDEX(Data!$1:$1048576,MATCH('Client Lists'!$B105,Data!$B:$B,0),MATCH('Client Lists'!G$11,Data!$1:$1,0)),""))</f>
        <v/>
      </c>
      <c r="H105" s="1" t="str">
        <f>IF(
IFERROR(
INDEX(Data!$1:$1048576,MATCH('Client Lists'!$B105,Data!$B:$B,0),MATCH('Client Lists'!H$11,Data!$1:$1,0)),"")=0,"",
IFERROR(
INDEX(Data!$1:$1048576,MATCH('Client Lists'!$B105,Data!$B:$B,0),MATCH('Client Lists'!H$11,Data!$1:$1,0)),""))</f>
        <v/>
      </c>
      <c r="I105" s="1" t="str">
        <f>IF(
IFERROR(
INDEX(Data!$1:$1048576,MATCH('Client Lists'!$B105,Data!$B:$B,0),MATCH('Client Lists'!I$11,Data!$1:$1,0)),"")=0,"",
IFERROR(
INDEX(Data!$1:$1048576,MATCH('Client Lists'!$B105,Data!$B:$B,0),MATCH('Client Lists'!I$11,Data!$1:$1,0)),""))</f>
        <v/>
      </c>
      <c r="J105" s="1" t="str">
        <f>IF(
IFERROR(
INDEX(Data!$1:$1048576,MATCH('Client Lists'!$B105,Data!$B:$B,0),MATCH('Client Lists'!J$11,Data!$1:$1,0)),"")=0,"",
IFERROR(
INDEX(Data!$1:$1048576,MATCH('Client Lists'!$B105,Data!$B:$B,0),MATCH('Client Lists'!J$11,Data!$1:$1,0)),""))</f>
        <v/>
      </c>
      <c r="K105" s="1" t="str">
        <f>IF(
IFERROR(
INDEX(Data!$1:$1048576,MATCH('Client Lists'!$B105,Data!$B:$B,0),MATCH('Client Lists'!K$11,Data!$1:$1,0)),"")=0,"",
IFERROR(
INDEX(Data!$1:$1048576,MATCH('Client Lists'!$B105,Data!$B:$B,0),MATCH('Client Lists'!K$11,Data!$1:$1,0)),""))</f>
        <v/>
      </c>
    </row>
    <row r="106" spans="2:11" x14ac:dyDescent="0.45">
      <c r="B106" s="5" t="str">
        <f t="array" ref="B106">IFERROR(_xlfn.IFS(
$B$6 = "Retention Overdue",
INDEX(Data!$B$2:$EO$956,
SMALL(IF(INDEX(Data!$B$2:$EO$956,,MATCH("Call Due",Data!$1:$1,0)-1,1)="Yes",MATCH(ROW(Data!$CN$2:$CN$956),ROW(Data!$CN$2:$CN$956)),""),ROWS($A$1:A95)),COLUMNS($A$1:A95)),
$B$6 = "OWIF-W",
INDEX(Data!$B$2:$EO$956,
SMALL(IF(INDEX(Data!$B$2:$EO$956,,MATCH("Grant Fund",Data!$1:$1,0)-1,1)="OWIF-W",MATCH(ROW(Data!$AO$2:$AO$956),ROW(Data!$AO$2:$AO$956)),""),ROWS($A$1:A95)),COLUMNS($A$1:A95)),
$B$6 = "G2C",
INDEX(Data!$B$2:$EO$956,
SMALL(IF(INDEX(Data!$B$2:$EO$956,,MATCH("Grant Fund",Data!$1:$1,0)-1,1)="Grads2Careers",MATCH(ROW(Data!$AO$2:$AO$956),ROW(Data!$AO$2:$AO$956)),""),ROWS($A$1:A95)),COLUMNS($A$1:A95)),
$B$6 = "OWIF",
INDEX(Data!$B$2:$EO$956,
SMALL(IF(INDEX(Data!$B$2:$EO$956,,MATCH("Grant Fund",Data!$1:$1,0)-1,1)="OWIF",MATCH(ROW(Data!$AO$2:$AO$956),ROW(Data!$AO$2:$AO$956)),""),ROWS($A$1:A95)),COLUMNS($A$1:A95)),
$B$6 = "WIOA",
INDEX(Data!$B$2:$EO$956,
SMALL(IF(INDEX(Data!$B$2:$EO$956,,MATCH("Grant Fund",Data!$1:$1,0)-1,1)="WIOA",MATCH(ROW(Data!$AO$2:$AO$956),ROW(Data!$AO$2:$AO$956)),""),ROWS($A$1:A95)),COLUMNS($A$1:A95)),
$B$6 = "WIOA II",
INDEX(Data!$B$2:$EO$956,
SMALL(IF(INDEX(Data!$B$2:$EO$956,,MATCH("Grant Fund",Data!$1:$1,0)-1,1)="WIOA II",MATCH(ROW(Data!$AO$2:$AO$956),ROW(Data!$AO$2:$AO$956)),""),ROWS($A$1:A95)),COLUMNS($A$1:A95)),
$B$6 = "WIOA III",
INDEX(Data!$B$2:$EO$956,
SMALL(IF(INDEX(Data!$B$2:$EO$956,,MATCH("Grant Fund",Data!$1:$1,0)-1,1)="WIOA III",MATCH(ROW(Data!$AO$2:$AO$956),ROW(Data!$AO$2:$AO$956)),""),ROWS($A$1:A95)),COLUMNS($A$1:A95)),
$B$6 = "Currently Employed",
INDEX(Data!$B$2:$EO$956,
SMALL(IF(INDEX(Data!$B$2:$EO$956,,MATCH("Currently Employed",Data!$1:$1,0)-1,1)="Yes",MATCH(ROW(Data!$DZ$2:$DZ$956),ROW(Data!$DZ$2:$DZ$956)),""),ROWS($A$1:A95)),COLUMNS($A$1:A95)),
$B$6 = "Inactive",
INDEX(Data!$B$2:$EO$956,
SMALL(IF(INDEX(Data!$B$2:$EO$956,,MATCH("Inactive",Data!$1:$1,0)-1,1)="Yes",MATCH(ROW(Data!$DG$2:$DG$956),ROW(Data!$DG$2:$DG$956)),""),ROWS($A$1:A95)),COLUMNS($A$1:A95)),
$B$6 = "Active",
INDEX(Data!$B$2:$EO$956,
SMALL(IF(INDEX(Data!$B$2:$EO$956,,MATCH("Active",Data!$1:$1,0)-1,1)="Yes",MATCH(ROW(Data!$DZ$2:$DZ$956),ROW(Data!$DZ$2:$DZ$956)),""),ROWS($A$1:A95)),COLUMNS($A$1:A95)),
$B$6 = "Status Unknown",
INDEX(Data!$B$2:$EO$956,
SMALL(IF(INDEX(Data!$B$2:$EO$956,,MATCH("Status Unknown",Data!$1:$1,0)-1,1)="Yes",MATCH(ROW(Data!$EB$2:$EB$956),ROW(Data!$EB$2:$EB$956)),""),ROWS($A$1:A95)),COLUMNS($A$1:A95)),
$B$6 = "Enrollment Pending",
INDEX(Data!$B$2:$EO$956,
SMALL(IF(INDEX(Data!$B$2:$EO$956,,MATCH("Enrollment Pending",Data!$1:$1,0)-1,1)="Yes",MATCH(ROW(Data!$DY$2:$DY$956),ROW(Data!$DY$2:$DY$956)),""),ROWS($A$1:A95)),COLUMNS($A$1:A95)),
$B$6 = "Gained Certification",
INDEX(Data!$B$2:$EO$956,
SMALL(IF(INDEX(Data!$B$2:$EO$956,,MATCH("Gained Certification",Data!$1:$1,0)-1,1)="Yes",MATCH(ROW(Data!$DU$2:$DU$956),ROW(Data!$DU$2:$DU$956)),""),ROWS($A$1:A95)),COLUMNS($A$1:A95)),
$B$6 = "No Certification",
INDEX(Data!$B$2:$EO$956,
SMALL(IF(INDEX(Data!$B$2:$EO$956,,MATCH("Gained Certification",Data!$1:$1,0)-1,1)&lt;&gt;"Yes",MATCH(ROW(Data!$DU$2:$DU$956),ROW(Data!$DU$2:$DU$956)),""),ROWS($A$1:A95)),COLUMNS($A$1:A95)),
$B$6 = "Completers Without Employment",
INDEX(Data!$B$2:$EO$967,
SMALL(IF(INDEX(Data!$B$2:$EO$967,,MATCH("Completed Without Employment",Data!$1:$1,0)-1,1)="Yes",MATCH(ROW(Data!$DZ$2:$DZ$967),ROW(Data!$DZ$2:$DZ$967)),""),ROWS($A$1:A95)),COLUMNS($A$1:A95)),
$B$6 = "CH",
INDEX(Data!$B$2:$EO$956,
SMALL(IF(INDEX(Data!$B$2:$EO$956,,MATCH("Case Manager",Data!$1:$1,0)-1,1)="CH",MATCH(ROW(Data!$DZ$2:$DZ$956),ROW(Data!$DZ$2:$DZ$956)),""),ROWS($A$1:A95)),COLUMNS($A$1:A95)),
$B$6 = "ML",
INDEX(Data!$B$2:$EO$956,
SMALL(IF(INDEX(Data!$B$2:$EO$956,,MATCH("Case Manager",Data!$1:$1,0)-1,1)="ML",MATCH(ROW(Data!$DZ$2:$DZ$956),ROW(Data!$DZ$2:$DZ$956)),""),ROWS($A$1:A95)),COLUMNS($A$1:A95)),
$B$6 = "RB",
INDEX(Data!$B$2:$EO$956,
SMALL(IF(INDEX(Data!$B$2:$EO$956,,MATCH("Case Manager",Data!$1:$1,0)-1,1)="RB",MATCH(ROW(Data!$DZ$2:$DZ$956),ROW(Data!$DZ$2:$DZ$956)),""),ROWS($A$1:A95)),COLUMNS($A$1:A95)),
$B$6 = "RV",
INDEX(Data!$B$2:$EO$956,
SMALL(IF(INDEX(Data!$B$2:$EO$956,,MATCH("Case Manager",Data!$1:$1,0)-1,1)="RV",MATCH(ROW(Data!$DZ$2:$DZ$956),ROW(Data!$DZ$2:$DZ$956)),""),ROWS($A$1:A95)),COLUMNS($A$1:A95)),
$B$6 = "SG",
INDEX(Data!$B$2:$EO$956,
SMALL(IF(INDEX(Data!$B$2:$EO$956,,MATCH("Case Manager",Data!$1:$1,0)-1,1)="SH",MATCH(ROW(Data!$DZ$2:$DZ$956),ROW(Data!$DZ$2:$DZ$956)),""),ROWS($A$1:A95)),COLUMNS($A$1:A95))
),"")</f>
        <v/>
      </c>
      <c r="C106" s="1" t="str">
        <f>IF(
IFERROR(
INDEX(Data!$1:$1048576,MATCH('Client Lists'!$B106,Data!$B:$B,0),MATCH('Client Lists'!C$11,Data!$1:$1,0)),"")=0,"",
IFERROR(
INDEX(Data!$1:$1048576,MATCH('Client Lists'!$B106,Data!$B:$B,0),MATCH('Client Lists'!C$11,Data!$1:$1,0)),""))</f>
        <v/>
      </c>
      <c r="D106" s="1" t="str">
        <f>IF(
IFERROR(
INDEX(Data!$1:$1048576,MATCH('Client Lists'!$B106,Data!$B:$B,0),MATCH('Client Lists'!D$11,Data!$1:$1,0)),"")=0,"",
IFERROR(
INDEX(Data!$1:$1048576,MATCH('Client Lists'!$B106,Data!$B:$B,0),MATCH('Client Lists'!D$11,Data!$1:$1,0)),""))</f>
        <v/>
      </c>
      <c r="E106" s="1" t="str">
        <f>IF(
IFERROR(
INDEX(Data!$1:$1048576,MATCH('Client Lists'!$B106,Data!$B:$B,0),MATCH('Client Lists'!E$11,Data!$1:$1,0)),"")=0,"",
IFERROR(
INDEX(Data!$1:$1048576,MATCH('Client Lists'!$B106,Data!$B:$B,0),MATCH('Client Lists'!E$11,Data!$1:$1,0)),""))</f>
        <v/>
      </c>
      <c r="F106" s="1" t="str">
        <f>IF(
IFERROR(
INDEX(Data!$1:$1048576,MATCH('Client Lists'!$B106,Data!$B:$B,0),MATCH('Client Lists'!F$11,Data!$1:$1,0)),"")=0,"",
IFERROR(
INDEX(Data!$1:$1048576,MATCH('Client Lists'!$B106,Data!$B:$B,0),MATCH('Client Lists'!F$11,Data!$1:$1,0)),""))</f>
        <v/>
      </c>
      <c r="G106" s="1" t="str">
        <f>IF(
IFERROR(
INDEX(Data!$1:$1048576,MATCH('Client Lists'!$B106,Data!$B:$B,0),MATCH('Client Lists'!G$11,Data!$1:$1,0)),"")=0,"",
IFERROR(
INDEX(Data!$1:$1048576,MATCH('Client Lists'!$B106,Data!$B:$B,0),MATCH('Client Lists'!G$11,Data!$1:$1,0)),""))</f>
        <v/>
      </c>
      <c r="H106" s="1" t="str">
        <f>IF(
IFERROR(
INDEX(Data!$1:$1048576,MATCH('Client Lists'!$B106,Data!$B:$B,0),MATCH('Client Lists'!H$11,Data!$1:$1,0)),"")=0,"",
IFERROR(
INDEX(Data!$1:$1048576,MATCH('Client Lists'!$B106,Data!$B:$B,0),MATCH('Client Lists'!H$11,Data!$1:$1,0)),""))</f>
        <v/>
      </c>
      <c r="I106" s="1" t="str">
        <f>IF(
IFERROR(
INDEX(Data!$1:$1048576,MATCH('Client Lists'!$B106,Data!$B:$B,0),MATCH('Client Lists'!I$11,Data!$1:$1,0)),"")=0,"",
IFERROR(
INDEX(Data!$1:$1048576,MATCH('Client Lists'!$B106,Data!$B:$B,0),MATCH('Client Lists'!I$11,Data!$1:$1,0)),""))</f>
        <v/>
      </c>
      <c r="J106" s="1" t="str">
        <f>IF(
IFERROR(
INDEX(Data!$1:$1048576,MATCH('Client Lists'!$B106,Data!$B:$B,0),MATCH('Client Lists'!J$11,Data!$1:$1,0)),"")=0,"",
IFERROR(
INDEX(Data!$1:$1048576,MATCH('Client Lists'!$B106,Data!$B:$B,0),MATCH('Client Lists'!J$11,Data!$1:$1,0)),""))</f>
        <v/>
      </c>
      <c r="K106" s="1" t="str">
        <f>IF(
IFERROR(
INDEX(Data!$1:$1048576,MATCH('Client Lists'!$B106,Data!$B:$B,0),MATCH('Client Lists'!K$11,Data!$1:$1,0)),"")=0,"",
IFERROR(
INDEX(Data!$1:$1048576,MATCH('Client Lists'!$B106,Data!$B:$B,0),MATCH('Client Lists'!K$11,Data!$1:$1,0)),""))</f>
        <v/>
      </c>
    </row>
    <row r="107" spans="2:11" x14ac:dyDescent="0.45">
      <c r="B107" s="5" t="str">
        <f t="array" ref="B107">IFERROR(_xlfn.IFS(
$B$6 = "Retention Overdue",
INDEX(Data!$B$2:$EO$956,
SMALL(IF(INDEX(Data!$B$2:$EO$956,,MATCH("Call Due",Data!$1:$1,0)-1,1)="Yes",MATCH(ROW(Data!$CN$2:$CN$956),ROW(Data!$CN$2:$CN$956)),""),ROWS($A$1:A96)),COLUMNS($A$1:A96)),
$B$6 = "OWIF-W",
INDEX(Data!$B$2:$EO$956,
SMALL(IF(INDEX(Data!$B$2:$EO$956,,MATCH("Grant Fund",Data!$1:$1,0)-1,1)="OWIF-W",MATCH(ROW(Data!$AO$2:$AO$956),ROW(Data!$AO$2:$AO$956)),""),ROWS($A$1:A96)),COLUMNS($A$1:A96)),
$B$6 = "G2C",
INDEX(Data!$B$2:$EO$956,
SMALL(IF(INDEX(Data!$B$2:$EO$956,,MATCH("Grant Fund",Data!$1:$1,0)-1,1)="Grads2Careers",MATCH(ROW(Data!$AO$2:$AO$956),ROW(Data!$AO$2:$AO$956)),""),ROWS($A$1:A96)),COLUMNS($A$1:A96)),
$B$6 = "OWIF",
INDEX(Data!$B$2:$EO$956,
SMALL(IF(INDEX(Data!$B$2:$EO$956,,MATCH("Grant Fund",Data!$1:$1,0)-1,1)="OWIF",MATCH(ROW(Data!$AO$2:$AO$956),ROW(Data!$AO$2:$AO$956)),""),ROWS($A$1:A96)),COLUMNS($A$1:A96)),
$B$6 = "WIOA",
INDEX(Data!$B$2:$EO$956,
SMALL(IF(INDEX(Data!$B$2:$EO$956,,MATCH("Grant Fund",Data!$1:$1,0)-1,1)="WIOA",MATCH(ROW(Data!$AO$2:$AO$956),ROW(Data!$AO$2:$AO$956)),""),ROWS($A$1:A96)),COLUMNS($A$1:A96)),
$B$6 = "WIOA II",
INDEX(Data!$B$2:$EO$956,
SMALL(IF(INDEX(Data!$B$2:$EO$956,,MATCH("Grant Fund",Data!$1:$1,0)-1,1)="WIOA II",MATCH(ROW(Data!$AO$2:$AO$956),ROW(Data!$AO$2:$AO$956)),""),ROWS($A$1:A96)),COLUMNS($A$1:A96)),
$B$6 = "WIOA III",
INDEX(Data!$B$2:$EO$956,
SMALL(IF(INDEX(Data!$B$2:$EO$956,,MATCH("Grant Fund",Data!$1:$1,0)-1,1)="WIOA III",MATCH(ROW(Data!$AO$2:$AO$956),ROW(Data!$AO$2:$AO$956)),""),ROWS($A$1:A96)),COLUMNS($A$1:A96)),
$B$6 = "Currently Employed",
INDEX(Data!$B$2:$EO$956,
SMALL(IF(INDEX(Data!$B$2:$EO$956,,MATCH("Currently Employed",Data!$1:$1,0)-1,1)="Yes",MATCH(ROW(Data!$DZ$2:$DZ$956),ROW(Data!$DZ$2:$DZ$956)),""),ROWS($A$1:A96)),COLUMNS($A$1:A96)),
$B$6 = "Inactive",
INDEX(Data!$B$2:$EO$956,
SMALL(IF(INDEX(Data!$B$2:$EO$956,,MATCH("Inactive",Data!$1:$1,0)-1,1)="Yes",MATCH(ROW(Data!$DG$2:$DG$956),ROW(Data!$DG$2:$DG$956)),""),ROWS($A$1:A96)),COLUMNS($A$1:A96)),
$B$6 = "Active",
INDEX(Data!$B$2:$EO$956,
SMALL(IF(INDEX(Data!$B$2:$EO$956,,MATCH("Active",Data!$1:$1,0)-1,1)="Yes",MATCH(ROW(Data!$DZ$2:$DZ$956),ROW(Data!$DZ$2:$DZ$956)),""),ROWS($A$1:A96)),COLUMNS($A$1:A96)),
$B$6 = "Status Unknown",
INDEX(Data!$B$2:$EO$956,
SMALL(IF(INDEX(Data!$B$2:$EO$956,,MATCH("Status Unknown",Data!$1:$1,0)-1,1)="Yes",MATCH(ROW(Data!$EB$2:$EB$956),ROW(Data!$EB$2:$EB$956)),""),ROWS($A$1:A96)),COLUMNS($A$1:A96)),
$B$6 = "Enrollment Pending",
INDEX(Data!$B$2:$EO$956,
SMALL(IF(INDEX(Data!$B$2:$EO$956,,MATCH("Enrollment Pending",Data!$1:$1,0)-1,1)="Yes",MATCH(ROW(Data!$DY$2:$DY$956),ROW(Data!$DY$2:$DY$956)),""),ROWS($A$1:A96)),COLUMNS($A$1:A96)),
$B$6 = "Gained Certification",
INDEX(Data!$B$2:$EO$956,
SMALL(IF(INDEX(Data!$B$2:$EO$956,,MATCH("Gained Certification",Data!$1:$1,0)-1,1)="Yes",MATCH(ROW(Data!$DU$2:$DU$956),ROW(Data!$DU$2:$DU$956)),""),ROWS($A$1:A96)),COLUMNS($A$1:A96)),
$B$6 = "No Certification",
INDEX(Data!$B$2:$EO$956,
SMALL(IF(INDEX(Data!$B$2:$EO$956,,MATCH("Gained Certification",Data!$1:$1,0)-1,1)&lt;&gt;"Yes",MATCH(ROW(Data!$DU$2:$DU$956),ROW(Data!$DU$2:$DU$956)),""),ROWS($A$1:A96)),COLUMNS($A$1:A96)),
$B$6 = "Completers Without Employment",
INDEX(Data!$B$2:$EO$967,
SMALL(IF(INDEX(Data!$B$2:$EO$967,,MATCH("Completed Without Employment",Data!$1:$1,0)-1,1)="Yes",MATCH(ROW(Data!$DZ$2:$DZ$967),ROW(Data!$DZ$2:$DZ$967)),""),ROWS($A$1:A96)),COLUMNS($A$1:A96)),
$B$6 = "CH",
INDEX(Data!$B$2:$EO$956,
SMALL(IF(INDEX(Data!$B$2:$EO$956,,MATCH("Case Manager",Data!$1:$1,0)-1,1)="CH",MATCH(ROW(Data!$DZ$2:$DZ$956),ROW(Data!$DZ$2:$DZ$956)),""),ROWS($A$1:A96)),COLUMNS($A$1:A96)),
$B$6 = "ML",
INDEX(Data!$B$2:$EO$956,
SMALL(IF(INDEX(Data!$B$2:$EO$956,,MATCH("Case Manager",Data!$1:$1,0)-1,1)="ML",MATCH(ROW(Data!$DZ$2:$DZ$956),ROW(Data!$DZ$2:$DZ$956)),""),ROWS($A$1:A96)),COLUMNS($A$1:A96)),
$B$6 = "RB",
INDEX(Data!$B$2:$EO$956,
SMALL(IF(INDEX(Data!$B$2:$EO$956,,MATCH("Case Manager",Data!$1:$1,0)-1,1)="RB",MATCH(ROW(Data!$DZ$2:$DZ$956),ROW(Data!$DZ$2:$DZ$956)),""),ROWS($A$1:A96)),COLUMNS($A$1:A96)),
$B$6 = "RV",
INDEX(Data!$B$2:$EO$956,
SMALL(IF(INDEX(Data!$B$2:$EO$956,,MATCH("Case Manager",Data!$1:$1,0)-1,1)="RV",MATCH(ROW(Data!$DZ$2:$DZ$956),ROW(Data!$DZ$2:$DZ$956)),""),ROWS($A$1:A96)),COLUMNS($A$1:A96)),
$B$6 = "SG",
INDEX(Data!$B$2:$EO$956,
SMALL(IF(INDEX(Data!$B$2:$EO$956,,MATCH("Case Manager",Data!$1:$1,0)-1,1)="SH",MATCH(ROW(Data!$DZ$2:$DZ$956),ROW(Data!$DZ$2:$DZ$956)),""),ROWS($A$1:A96)),COLUMNS($A$1:A96))
),"")</f>
        <v/>
      </c>
      <c r="C107" s="1" t="str">
        <f>IF(
IFERROR(
INDEX(Data!$1:$1048576,MATCH('Client Lists'!$B107,Data!$B:$B,0),MATCH('Client Lists'!C$11,Data!$1:$1,0)),"")=0,"",
IFERROR(
INDEX(Data!$1:$1048576,MATCH('Client Lists'!$B107,Data!$B:$B,0),MATCH('Client Lists'!C$11,Data!$1:$1,0)),""))</f>
        <v/>
      </c>
      <c r="D107" s="1" t="str">
        <f>IF(
IFERROR(
INDEX(Data!$1:$1048576,MATCH('Client Lists'!$B107,Data!$B:$B,0),MATCH('Client Lists'!D$11,Data!$1:$1,0)),"")=0,"",
IFERROR(
INDEX(Data!$1:$1048576,MATCH('Client Lists'!$B107,Data!$B:$B,0),MATCH('Client Lists'!D$11,Data!$1:$1,0)),""))</f>
        <v/>
      </c>
      <c r="E107" s="1" t="str">
        <f>IF(
IFERROR(
INDEX(Data!$1:$1048576,MATCH('Client Lists'!$B107,Data!$B:$B,0),MATCH('Client Lists'!E$11,Data!$1:$1,0)),"")=0,"",
IFERROR(
INDEX(Data!$1:$1048576,MATCH('Client Lists'!$B107,Data!$B:$B,0),MATCH('Client Lists'!E$11,Data!$1:$1,0)),""))</f>
        <v/>
      </c>
      <c r="F107" s="1" t="str">
        <f>IF(
IFERROR(
INDEX(Data!$1:$1048576,MATCH('Client Lists'!$B107,Data!$B:$B,0),MATCH('Client Lists'!F$11,Data!$1:$1,0)),"")=0,"",
IFERROR(
INDEX(Data!$1:$1048576,MATCH('Client Lists'!$B107,Data!$B:$B,0),MATCH('Client Lists'!F$11,Data!$1:$1,0)),""))</f>
        <v/>
      </c>
      <c r="G107" s="1" t="str">
        <f>IF(
IFERROR(
INDEX(Data!$1:$1048576,MATCH('Client Lists'!$B107,Data!$B:$B,0),MATCH('Client Lists'!G$11,Data!$1:$1,0)),"")=0,"",
IFERROR(
INDEX(Data!$1:$1048576,MATCH('Client Lists'!$B107,Data!$B:$B,0),MATCH('Client Lists'!G$11,Data!$1:$1,0)),""))</f>
        <v/>
      </c>
      <c r="H107" s="1" t="str">
        <f>IF(
IFERROR(
INDEX(Data!$1:$1048576,MATCH('Client Lists'!$B107,Data!$B:$B,0),MATCH('Client Lists'!H$11,Data!$1:$1,0)),"")=0,"",
IFERROR(
INDEX(Data!$1:$1048576,MATCH('Client Lists'!$B107,Data!$B:$B,0),MATCH('Client Lists'!H$11,Data!$1:$1,0)),""))</f>
        <v/>
      </c>
      <c r="I107" s="1" t="str">
        <f>IF(
IFERROR(
INDEX(Data!$1:$1048576,MATCH('Client Lists'!$B107,Data!$B:$B,0),MATCH('Client Lists'!I$11,Data!$1:$1,0)),"")=0,"",
IFERROR(
INDEX(Data!$1:$1048576,MATCH('Client Lists'!$B107,Data!$B:$B,0),MATCH('Client Lists'!I$11,Data!$1:$1,0)),""))</f>
        <v/>
      </c>
      <c r="J107" s="1" t="str">
        <f>IF(
IFERROR(
INDEX(Data!$1:$1048576,MATCH('Client Lists'!$B107,Data!$B:$B,0),MATCH('Client Lists'!J$11,Data!$1:$1,0)),"")=0,"",
IFERROR(
INDEX(Data!$1:$1048576,MATCH('Client Lists'!$B107,Data!$B:$B,0),MATCH('Client Lists'!J$11,Data!$1:$1,0)),""))</f>
        <v/>
      </c>
      <c r="K107" s="1" t="str">
        <f>IF(
IFERROR(
INDEX(Data!$1:$1048576,MATCH('Client Lists'!$B107,Data!$B:$B,0),MATCH('Client Lists'!K$11,Data!$1:$1,0)),"")=0,"",
IFERROR(
INDEX(Data!$1:$1048576,MATCH('Client Lists'!$B107,Data!$B:$B,0),MATCH('Client Lists'!K$11,Data!$1:$1,0)),""))</f>
        <v/>
      </c>
    </row>
    <row r="108" spans="2:11" x14ac:dyDescent="0.45">
      <c r="B108" s="5" t="str">
        <f t="array" ref="B108">IFERROR(_xlfn.IFS(
$B$6 = "Retention Overdue",
INDEX(Data!$B$2:$EO$956,
SMALL(IF(INDEX(Data!$B$2:$EO$956,,MATCH("Call Due",Data!$1:$1,0)-1,1)="Yes",MATCH(ROW(Data!$CN$2:$CN$956),ROW(Data!$CN$2:$CN$956)),""),ROWS($A$1:A97)),COLUMNS($A$1:A97)),
$B$6 = "OWIF-W",
INDEX(Data!$B$2:$EO$956,
SMALL(IF(INDEX(Data!$B$2:$EO$956,,MATCH("Grant Fund",Data!$1:$1,0)-1,1)="OWIF-W",MATCH(ROW(Data!$AO$2:$AO$956),ROW(Data!$AO$2:$AO$956)),""),ROWS($A$1:A97)),COLUMNS($A$1:A97)),
$B$6 = "G2C",
INDEX(Data!$B$2:$EO$956,
SMALL(IF(INDEX(Data!$B$2:$EO$956,,MATCH("Grant Fund",Data!$1:$1,0)-1,1)="Grads2Careers",MATCH(ROW(Data!$AO$2:$AO$956),ROW(Data!$AO$2:$AO$956)),""),ROWS($A$1:A97)),COLUMNS($A$1:A97)),
$B$6 = "OWIF",
INDEX(Data!$B$2:$EO$956,
SMALL(IF(INDEX(Data!$B$2:$EO$956,,MATCH("Grant Fund",Data!$1:$1,0)-1,1)="OWIF",MATCH(ROW(Data!$AO$2:$AO$956),ROW(Data!$AO$2:$AO$956)),""),ROWS($A$1:A97)),COLUMNS($A$1:A97)),
$B$6 = "WIOA",
INDEX(Data!$B$2:$EO$956,
SMALL(IF(INDEX(Data!$B$2:$EO$956,,MATCH("Grant Fund",Data!$1:$1,0)-1,1)="WIOA",MATCH(ROW(Data!$AO$2:$AO$956),ROW(Data!$AO$2:$AO$956)),""),ROWS($A$1:A97)),COLUMNS($A$1:A97)),
$B$6 = "WIOA II",
INDEX(Data!$B$2:$EO$956,
SMALL(IF(INDEX(Data!$B$2:$EO$956,,MATCH("Grant Fund",Data!$1:$1,0)-1,1)="WIOA II",MATCH(ROW(Data!$AO$2:$AO$956),ROW(Data!$AO$2:$AO$956)),""),ROWS($A$1:A97)),COLUMNS($A$1:A97)),
$B$6 = "WIOA III",
INDEX(Data!$B$2:$EO$956,
SMALL(IF(INDEX(Data!$B$2:$EO$956,,MATCH("Grant Fund",Data!$1:$1,0)-1,1)="WIOA III",MATCH(ROW(Data!$AO$2:$AO$956),ROW(Data!$AO$2:$AO$956)),""),ROWS($A$1:A97)),COLUMNS($A$1:A97)),
$B$6 = "Currently Employed",
INDEX(Data!$B$2:$EO$956,
SMALL(IF(INDEX(Data!$B$2:$EO$956,,MATCH("Currently Employed",Data!$1:$1,0)-1,1)="Yes",MATCH(ROW(Data!$DZ$2:$DZ$956),ROW(Data!$DZ$2:$DZ$956)),""),ROWS($A$1:A97)),COLUMNS($A$1:A97)),
$B$6 = "Inactive",
INDEX(Data!$B$2:$EO$956,
SMALL(IF(INDEX(Data!$B$2:$EO$956,,MATCH("Inactive",Data!$1:$1,0)-1,1)="Yes",MATCH(ROW(Data!$DG$2:$DG$956),ROW(Data!$DG$2:$DG$956)),""),ROWS($A$1:A97)),COLUMNS($A$1:A97)),
$B$6 = "Active",
INDEX(Data!$B$2:$EO$956,
SMALL(IF(INDEX(Data!$B$2:$EO$956,,MATCH("Active",Data!$1:$1,0)-1,1)="Yes",MATCH(ROW(Data!$DZ$2:$DZ$956),ROW(Data!$DZ$2:$DZ$956)),""),ROWS($A$1:A97)),COLUMNS($A$1:A97)),
$B$6 = "Status Unknown",
INDEX(Data!$B$2:$EO$956,
SMALL(IF(INDEX(Data!$B$2:$EO$956,,MATCH("Status Unknown",Data!$1:$1,0)-1,1)="Yes",MATCH(ROW(Data!$EB$2:$EB$956),ROW(Data!$EB$2:$EB$956)),""),ROWS($A$1:A97)),COLUMNS($A$1:A97)),
$B$6 = "Enrollment Pending",
INDEX(Data!$B$2:$EO$956,
SMALL(IF(INDEX(Data!$B$2:$EO$956,,MATCH("Enrollment Pending",Data!$1:$1,0)-1,1)="Yes",MATCH(ROW(Data!$DY$2:$DY$956),ROW(Data!$DY$2:$DY$956)),""),ROWS($A$1:A97)),COLUMNS($A$1:A97)),
$B$6 = "Gained Certification",
INDEX(Data!$B$2:$EO$956,
SMALL(IF(INDEX(Data!$B$2:$EO$956,,MATCH("Gained Certification",Data!$1:$1,0)-1,1)="Yes",MATCH(ROW(Data!$DU$2:$DU$956),ROW(Data!$DU$2:$DU$956)),""),ROWS($A$1:A97)),COLUMNS($A$1:A97)),
$B$6 = "No Certification",
INDEX(Data!$B$2:$EO$956,
SMALL(IF(INDEX(Data!$B$2:$EO$956,,MATCH("Gained Certification",Data!$1:$1,0)-1,1)&lt;&gt;"Yes",MATCH(ROW(Data!$DU$2:$DU$956),ROW(Data!$DU$2:$DU$956)),""),ROWS($A$1:A97)),COLUMNS($A$1:A97)),
$B$6 = "Completers Without Employment",
INDEX(Data!$B$2:$EO$967,
SMALL(IF(INDEX(Data!$B$2:$EO$967,,MATCH("Completed Without Employment",Data!$1:$1,0)-1,1)="Yes",MATCH(ROW(Data!$DZ$2:$DZ$967),ROW(Data!$DZ$2:$DZ$967)),""),ROWS($A$1:A97)),COLUMNS($A$1:A97)),
$B$6 = "CH",
INDEX(Data!$B$2:$EO$956,
SMALL(IF(INDEX(Data!$B$2:$EO$956,,MATCH("Case Manager",Data!$1:$1,0)-1,1)="CH",MATCH(ROW(Data!$DZ$2:$DZ$956),ROW(Data!$DZ$2:$DZ$956)),""),ROWS($A$1:A97)),COLUMNS($A$1:A97)),
$B$6 = "ML",
INDEX(Data!$B$2:$EO$956,
SMALL(IF(INDEX(Data!$B$2:$EO$956,,MATCH("Case Manager",Data!$1:$1,0)-1,1)="ML",MATCH(ROW(Data!$DZ$2:$DZ$956),ROW(Data!$DZ$2:$DZ$956)),""),ROWS($A$1:A97)),COLUMNS($A$1:A97)),
$B$6 = "RB",
INDEX(Data!$B$2:$EO$956,
SMALL(IF(INDEX(Data!$B$2:$EO$956,,MATCH("Case Manager",Data!$1:$1,0)-1,1)="RB",MATCH(ROW(Data!$DZ$2:$DZ$956),ROW(Data!$DZ$2:$DZ$956)),""),ROWS($A$1:A97)),COLUMNS($A$1:A97)),
$B$6 = "RV",
INDEX(Data!$B$2:$EO$956,
SMALL(IF(INDEX(Data!$B$2:$EO$956,,MATCH("Case Manager",Data!$1:$1,0)-1,1)="RV",MATCH(ROW(Data!$DZ$2:$DZ$956),ROW(Data!$DZ$2:$DZ$956)),""),ROWS($A$1:A97)),COLUMNS($A$1:A97)),
$B$6 = "SG",
INDEX(Data!$B$2:$EO$956,
SMALL(IF(INDEX(Data!$B$2:$EO$956,,MATCH("Case Manager",Data!$1:$1,0)-1,1)="SH",MATCH(ROW(Data!$DZ$2:$DZ$956),ROW(Data!$DZ$2:$DZ$956)),""),ROWS($A$1:A97)),COLUMNS($A$1:A97))
),"")</f>
        <v/>
      </c>
      <c r="C108" s="1" t="str">
        <f>IF(
IFERROR(
INDEX(Data!$1:$1048576,MATCH('Client Lists'!$B108,Data!$B:$B,0),MATCH('Client Lists'!C$11,Data!$1:$1,0)),"")=0,"",
IFERROR(
INDEX(Data!$1:$1048576,MATCH('Client Lists'!$B108,Data!$B:$B,0),MATCH('Client Lists'!C$11,Data!$1:$1,0)),""))</f>
        <v/>
      </c>
      <c r="D108" s="1" t="str">
        <f>IF(
IFERROR(
INDEX(Data!$1:$1048576,MATCH('Client Lists'!$B108,Data!$B:$B,0),MATCH('Client Lists'!D$11,Data!$1:$1,0)),"")=0,"",
IFERROR(
INDEX(Data!$1:$1048576,MATCH('Client Lists'!$B108,Data!$B:$B,0),MATCH('Client Lists'!D$11,Data!$1:$1,0)),""))</f>
        <v/>
      </c>
      <c r="E108" s="1" t="str">
        <f>IF(
IFERROR(
INDEX(Data!$1:$1048576,MATCH('Client Lists'!$B108,Data!$B:$B,0),MATCH('Client Lists'!E$11,Data!$1:$1,0)),"")=0,"",
IFERROR(
INDEX(Data!$1:$1048576,MATCH('Client Lists'!$B108,Data!$B:$B,0),MATCH('Client Lists'!E$11,Data!$1:$1,0)),""))</f>
        <v/>
      </c>
      <c r="F108" s="1" t="str">
        <f>IF(
IFERROR(
INDEX(Data!$1:$1048576,MATCH('Client Lists'!$B108,Data!$B:$B,0),MATCH('Client Lists'!F$11,Data!$1:$1,0)),"")=0,"",
IFERROR(
INDEX(Data!$1:$1048576,MATCH('Client Lists'!$B108,Data!$B:$B,0),MATCH('Client Lists'!F$11,Data!$1:$1,0)),""))</f>
        <v/>
      </c>
      <c r="G108" s="1" t="str">
        <f>IF(
IFERROR(
INDEX(Data!$1:$1048576,MATCH('Client Lists'!$B108,Data!$B:$B,0),MATCH('Client Lists'!G$11,Data!$1:$1,0)),"")=0,"",
IFERROR(
INDEX(Data!$1:$1048576,MATCH('Client Lists'!$B108,Data!$B:$B,0),MATCH('Client Lists'!G$11,Data!$1:$1,0)),""))</f>
        <v/>
      </c>
      <c r="H108" s="1" t="str">
        <f>IF(
IFERROR(
INDEX(Data!$1:$1048576,MATCH('Client Lists'!$B108,Data!$B:$B,0),MATCH('Client Lists'!H$11,Data!$1:$1,0)),"")=0,"",
IFERROR(
INDEX(Data!$1:$1048576,MATCH('Client Lists'!$B108,Data!$B:$B,0),MATCH('Client Lists'!H$11,Data!$1:$1,0)),""))</f>
        <v/>
      </c>
      <c r="I108" s="1" t="str">
        <f>IF(
IFERROR(
INDEX(Data!$1:$1048576,MATCH('Client Lists'!$B108,Data!$B:$B,0),MATCH('Client Lists'!I$11,Data!$1:$1,0)),"")=0,"",
IFERROR(
INDEX(Data!$1:$1048576,MATCH('Client Lists'!$B108,Data!$B:$B,0),MATCH('Client Lists'!I$11,Data!$1:$1,0)),""))</f>
        <v/>
      </c>
      <c r="J108" s="1" t="str">
        <f>IF(
IFERROR(
INDEX(Data!$1:$1048576,MATCH('Client Lists'!$B108,Data!$B:$B,0),MATCH('Client Lists'!J$11,Data!$1:$1,0)),"")=0,"",
IFERROR(
INDEX(Data!$1:$1048576,MATCH('Client Lists'!$B108,Data!$B:$B,0),MATCH('Client Lists'!J$11,Data!$1:$1,0)),""))</f>
        <v/>
      </c>
      <c r="K108" s="1" t="str">
        <f>IF(
IFERROR(
INDEX(Data!$1:$1048576,MATCH('Client Lists'!$B108,Data!$B:$B,0),MATCH('Client Lists'!K$11,Data!$1:$1,0)),"")=0,"",
IFERROR(
INDEX(Data!$1:$1048576,MATCH('Client Lists'!$B108,Data!$B:$B,0),MATCH('Client Lists'!K$11,Data!$1:$1,0)),""))</f>
        <v/>
      </c>
    </row>
  </sheetData>
  <autoFilter ref="B11:K108" xr:uid="{00000000-0009-0000-0000-000002000000}"/>
  <mergeCells count="4">
    <mergeCell ref="B3:H5"/>
    <mergeCell ref="B6:H8"/>
    <mergeCell ref="J3:K5"/>
    <mergeCell ref="J6:K8"/>
  </mergeCells>
  <dataValidations count="1">
    <dataValidation type="list" showInputMessage="1" showErrorMessage="1" sqref="B6:H8" xr:uid="{00000000-0002-0000-0200-000000000000}">
      <formula1>"Active,Inactive,Enrollment Pending,Retention Overdue, Completers Without Employment,Gained Certification, Inactive"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S131"/>
  <sheetViews>
    <sheetView zoomScale="115" zoomScaleNormal="115" workbookViewId="0"/>
  </sheetViews>
  <sheetFormatPr defaultRowHeight="14.25" x14ac:dyDescent="0.45"/>
  <cols>
    <col min="1" max="1" width="15.1328125" bestFit="1" customWidth="1"/>
    <col min="2" max="2" width="13.86328125" bestFit="1" customWidth="1"/>
    <col min="3" max="3" width="15.19921875" bestFit="1" customWidth="1"/>
    <col min="4" max="4" width="10.06640625" bestFit="1" customWidth="1"/>
    <col min="5" max="5" width="20.86328125" bestFit="1" customWidth="1"/>
    <col min="6" max="6" width="42.3984375" bestFit="1" customWidth="1"/>
    <col min="7" max="7" width="51.1328125" bestFit="1" customWidth="1"/>
    <col min="8" max="8" width="17.19921875" bestFit="1" customWidth="1"/>
    <col min="9" max="9" width="16.9296875" bestFit="1" customWidth="1"/>
    <col min="10" max="10" width="11.33203125" bestFit="1" customWidth="1"/>
    <col min="11" max="11" width="11.06640625" bestFit="1" customWidth="1"/>
    <col min="12" max="12" width="23.86328125" bestFit="1" customWidth="1"/>
    <col min="13" max="13" width="26.9296875" bestFit="1" customWidth="1"/>
    <col min="14" max="14" width="18.06640625" bestFit="1" customWidth="1"/>
    <col min="15" max="15" width="13.73046875" bestFit="1" customWidth="1"/>
    <col min="16" max="16" width="18.59765625" bestFit="1" customWidth="1"/>
    <col min="17" max="17" width="11.1328125" bestFit="1" customWidth="1"/>
    <col min="18" max="18" width="58.06640625" bestFit="1" customWidth="1"/>
    <col min="19" max="19" width="21.46484375" bestFit="1" customWidth="1"/>
    <col min="20" max="20" width="10.19921875" bestFit="1" customWidth="1"/>
    <col min="21" max="21" width="20.06640625" bestFit="1" customWidth="1"/>
    <col min="22" max="22" width="11.9296875" bestFit="1" customWidth="1"/>
    <col min="23" max="23" width="13.3984375" bestFit="1" customWidth="1"/>
    <col min="24" max="24" width="33.265625" bestFit="1" customWidth="1"/>
    <col min="25" max="25" width="16.3984375" bestFit="1" customWidth="1"/>
    <col min="26" max="26" width="20.19921875" bestFit="1" customWidth="1"/>
    <col min="27" max="27" width="11.59765625" bestFit="1" customWidth="1"/>
    <col min="28" max="28" width="19.06640625" bestFit="1" customWidth="1"/>
    <col min="29" max="29" width="21.46484375" bestFit="1" customWidth="1"/>
    <col min="30" max="30" width="20.9296875" bestFit="1" customWidth="1"/>
    <col min="31" max="31" width="23.33203125" bestFit="1" customWidth="1"/>
    <col min="32" max="32" width="8.19921875" bestFit="1" customWidth="1"/>
    <col min="33" max="33" width="25.53125" bestFit="1" customWidth="1"/>
    <col min="34" max="34" width="22.9296875" bestFit="1" customWidth="1"/>
    <col min="35" max="35" width="18.3984375" bestFit="1" customWidth="1"/>
    <col min="36" max="36" width="23.86328125" bestFit="1" customWidth="1"/>
    <col min="37" max="37" width="26" bestFit="1" customWidth="1"/>
    <col min="38" max="38" width="17.53125" bestFit="1" customWidth="1"/>
    <col min="39" max="39" width="20.06640625" bestFit="1" customWidth="1"/>
    <col min="40" max="40" width="17.46484375" bestFit="1" customWidth="1"/>
    <col min="41" max="41" width="23.1328125" bestFit="1" customWidth="1"/>
    <col min="42" max="42" width="47" bestFit="1" customWidth="1"/>
    <col min="43" max="43" width="21.19921875" bestFit="1" customWidth="1"/>
    <col min="44" max="44" width="22.46484375" bestFit="1" customWidth="1"/>
    <col min="45" max="45" width="15.06640625" bestFit="1" customWidth="1"/>
    <col min="46" max="46" width="19.9296875" bestFit="1" customWidth="1"/>
    <col min="47" max="47" width="20.73046875" bestFit="1" customWidth="1"/>
    <col min="48" max="48" width="44.06640625" bestFit="1" customWidth="1"/>
    <col min="49" max="49" width="23.46484375" bestFit="1" customWidth="1"/>
    <col min="50" max="50" width="56.73046875" bestFit="1" customWidth="1"/>
    <col min="51" max="51" width="52.73046875" bestFit="1" customWidth="1"/>
    <col min="52" max="52" width="16.53125" bestFit="1" customWidth="1"/>
    <col min="53" max="53" width="17.796875" bestFit="1" customWidth="1"/>
    <col min="54" max="54" width="23.265625" bestFit="1" customWidth="1"/>
    <col min="55" max="55" width="26.59765625" bestFit="1" customWidth="1"/>
    <col min="56" max="56" width="14.796875" bestFit="1" customWidth="1"/>
    <col min="57" max="57" width="15" bestFit="1" customWidth="1"/>
    <col min="58" max="58" width="17.59765625" bestFit="1" customWidth="1"/>
    <col min="59" max="59" width="16.86328125" bestFit="1" customWidth="1"/>
    <col min="60" max="60" width="19.1328125" bestFit="1" customWidth="1"/>
    <col min="61" max="61" width="18.33203125" bestFit="1" customWidth="1"/>
    <col min="62" max="62" width="23.796875" bestFit="1" customWidth="1"/>
    <col min="63" max="63" width="19.33203125" bestFit="1" customWidth="1"/>
    <col min="64" max="64" width="24.796875" bestFit="1" customWidth="1"/>
    <col min="65" max="65" width="26.59765625" bestFit="1" customWidth="1"/>
    <col min="66" max="66" width="16.33203125" bestFit="1" customWidth="1"/>
    <col min="67" max="67" width="16.53125" bestFit="1" customWidth="1"/>
    <col min="68" max="68" width="19.1328125" bestFit="1" customWidth="1"/>
    <col min="69" max="69" width="18.46484375" bestFit="1" customWidth="1"/>
    <col min="70" max="70" width="20.6640625" bestFit="1" customWidth="1"/>
    <col min="71" max="71" width="19.86328125" bestFit="1" customWidth="1"/>
    <col min="72" max="72" width="25.3984375" bestFit="1" customWidth="1"/>
    <col min="73" max="73" width="15.265625" bestFit="1" customWidth="1"/>
    <col min="74" max="74" width="17.59765625" bestFit="1" customWidth="1"/>
    <col min="75" max="75" width="16.46484375" bestFit="1" customWidth="1"/>
    <col min="76" max="76" width="23.46484375" bestFit="1" customWidth="1"/>
    <col min="77" max="77" width="34.86328125" bestFit="1" customWidth="1"/>
    <col min="78" max="78" width="20.3984375" bestFit="1" customWidth="1"/>
    <col min="79" max="79" width="20.59765625" bestFit="1" customWidth="1"/>
    <col min="80" max="80" width="34.86328125" bestFit="1" customWidth="1"/>
    <col min="81" max="81" width="31.46484375" bestFit="1" customWidth="1"/>
    <col min="82" max="82" width="22" bestFit="1" customWidth="1"/>
    <col min="83" max="83" width="24.33203125" bestFit="1" customWidth="1"/>
    <col min="84" max="84" width="20.06640625" bestFit="1" customWidth="1"/>
    <col min="85" max="85" width="11.73046875" bestFit="1" customWidth="1"/>
    <col min="86" max="86" width="17.59765625" bestFit="1" customWidth="1"/>
    <col min="87" max="87" width="10.86328125" bestFit="1" customWidth="1"/>
    <col min="88" max="88" width="15.1328125" bestFit="1" customWidth="1"/>
    <col min="89" max="89" width="8.9296875" bestFit="1" customWidth="1"/>
    <col min="90" max="90" width="13.19921875" bestFit="1" customWidth="1"/>
    <col min="91" max="91" width="8.06640625" bestFit="1" customWidth="1"/>
    <col min="92" max="92" width="12.33203125" bestFit="1" customWidth="1"/>
    <col min="93" max="93" width="9" bestFit="1" customWidth="1"/>
    <col min="94" max="94" width="13.265625" bestFit="1" customWidth="1"/>
    <col min="95" max="95" width="9.46484375" bestFit="1" customWidth="1"/>
    <col min="96" max="96" width="13.73046875" bestFit="1" customWidth="1"/>
    <col min="97" max="97" width="9.33203125" bestFit="1" customWidth="1"/>
    <col min="98" max="98" width="13.59765625" bestFit="1" customWidth="1"/>
    <col min="99" max="99" width="7.73046875" bestFit="1" customWidth="1"/>
    <col min="100" max="100" width="12" bestFit="1" customWidth="1"/>
    <col min="101" max="101" width="7.6640625" bestFit="1" customWidth="1"/>
    <col min="102" max="102" width="11.9296875" bestFit="1" customWidth="1"/>
    <col min="103" max="103" width="8.796875" bestFit="1" customWidth="1"/>
    <col min="104" max="104" width="13.06640625" bestFit="1" customWidth="1"/>
    <col min="105" max="105" width="21.33203125" bestFit="1" customWidth="1"/>
    <col min="106" max="106" width="17.265625" bestFit="1" customWidth="1"/>
    <col min="107" max="107" width="11.53125" bestFit="1" customWidth="1"/>
    <col min="108" max="108" width="20.9296875" bestFit="1" customWidth="1"/>
    <col min="109" max="109" width="16.6640625" bestFit="1" customWidth="1"/>
    <col min="110" max="110" width="12.265625" bestFit="1" customWidth="1"/>
    <col min="111" max="111" width="12.53125" bestFit="1" customWidth="1"/>
    <col min="112" max="112" width="12.86328125" bestFit="1" customWidth="1"/>
    <col min="113" max="113" width="12.53125" bestFit="1" customWidth="1"/>
    <col min="114" max="114" width="13.1328125" bestFit="1" customWidth="1"/>
    <col min="115" max="115" width="12.3984375" bestFit="1" customWidth="1"/>
    <col min="116" max="116" width="11.796875" bestFit="1" customWidth="1"/>
    <col min="117" max="117" width="12.796875" bestFit="1" customWidth="1"/>
    <col min="118" max="118" width="12.59765625" bestFit="1" customWidth="1"/>
    <col min="119" max="119" width="12.3984375" bestFit="1" customWidth="1"/>
    <col min="120" max="120" width="12.86328125" bestFit="1" customWidth="1"/>
    <col min="121" max="121" width="12.59765625" bestFit="1" customWidth="1"/>
    <col min="122" max="123" width="17.59765625" bestFit="1" customWidth="1"/>
    <col min="124" max="124" width="8.265625" bestFit="1" customWidth="1"/>
    <col min="125" max="125" width="14.59765625" bestFit="1" customWidth="1"/>
    <col min="126" max="126" width="9.19921875" bestFit="1" customWidth="1"/>
    <col min="127" max="127" width="22.06640625" bestFit="1" customWidth="1"/>
    <col min="128" max="128" width="21.86328125" bestFit="1" customWidth="1"/>
    <col min="129" max="129" width="17.3984375" bestFit="1" customWidth="1"/>
    <col min="130" max="130" width="16.9296875" bestFit="1" customWidth="1"/>
    <col min="131" max="131" width="17.06640625" bestFit="1" customWidth="1"/>
    <col min="132" max="132" width="5.86328125" bestFit="1" customWidth="1"/>
    <col min="133" max="133" width="14.265625" bestFit="1" customWidth="1"/>
    <col min="134" max="134" width="18.19921875" bestFit="1" customWidth="1"/>
    <col min="135" max="135" width="28.06640625" bestFit="1" customWidth="1"/>
    <col min="136" max="136" width="15" bestFit="1" customWidth="1"/>
    <col min="137" max="137" width="22.19921875" bestFit="1" customWidth="1"/>
    <col min="138" max="138" width="22.33203125" bestFit="1" customWidth="1"/>
    <col min="139" max="139" width="21.796875" bestFit="1" customWidth="1"/>
    <col min="140" max="140" width="21.59765625" bestFit="1" customWidth="1"/>
    <col min="141" max="141" width="6.33203125" bestFit="1" customWidth="1"/>
    <col min="142" max="142" width="8.53125" bestFit="1" customWidth="1"/>
    <col min="143" max="143" width="4.73046875" bestFit="1" customWidth="1"/>
    <col min="144" max="144" width="9.3984375" bestFit="1" customWidth="1"/>
    <col min="145" max="145" width="11.9296875" bestFit="1" customWidth="1"/>
    <col min="146" max="146" width="12.86328125" bestFit="1" customWidth="1"/>
    <col min="147" max="148" width="8.265625" bestFit="1" customWidth="1"/>
    <col min="149" max="149" width="21.59765625" bestFit="1" customWidth="1"/>
  </cols>
  <sheetData>
    <row r="1" spans="1:149" x14ac:dyDescent="0.45">
      <c r="A1" s="9" t="s">
        <v>74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14</v>
      </c>
      <c r="J1" s="9" t="s">
        <v>82</v>
      </c>
      <c r="K1" s="9" t="s">
        <v>11</v>
      </c>
      <c r="L1" s="9" t="s">
        <v>83</v>
      </c>
      <c r="M1" s="9" t="s">
        <v>84</v>
      </c>
      <c r="N1" s="9" t="s">
        <v>85</v>
      </c>
      <c r="O1" s="9" t="s">
        <v>86</v>
      </c>
      <c r="P1" s="9" t="s">
        <v>87</v>
      </c>
      <c r="Q1" s="9" t="s">
        <v>10</v>
      </c>
      <c r="R1" s="9" t="s">
        <v>88</v>
      </c>
      <c r="S1" s="9" t="s">
        <v>89</v>
      </c>
      <c r="T1" s="9" t="s">
        <v>90</v>
      </c>
      <c r="U1" s="9" t="s">
        <v>91</v>
      </c>
      <c r="V1" s="9" t="s">
        <v>15</v>
      </c>
      <c r="W1" s="9" t="s">
        <v>92</v>
      </c>
      <c r="X1" s="9" t="s">
        <v>16</v>
      </c>
      <c r="Y1" s="9" t="s">
        <v>93</v>
      </c>
      <c r="Z1" s="9" t="s">
        <v>94</v>
      </c>
      <c r="AA1" s="9" t="s">
        <v>95</v>
      </c>
      <c r="AB1" s="9" t="s">
        <v>96</v>
      </c>
      <c r="AC1" s="9" t="s">
        <v>97</v>
      </c>
      <c r="AD1" s="9" t="s">
        <v>13</v>
      </c>
      <c r="AE1" s="9" t="s">
        <v>98</v>
      </c>
      <c r="AF1" s="9" t="s">
        <v>99</v>
      </c>
      <c r="AG1" s="9" t="s">
        <v>12</v>
      </c>
      <c r="AH1" s="9" t="s">
        <v>100</v>
      </c>
      <c r="AI1" s="9" t="s">
        <v>101</v>
      </c>
      <c r="AJ1" s="9" t="s">
        <v>102</v>
      </c>
      <c r="AK1" s="9" t="s">
        <v>0</v>
      </c>
      <c r="AL1" s="9" t="s">
        <v>8</v>
      </c>
      <c r="AM1" s="9" t="s">
        <v>103</v>
      </c>
      <c r="AN1" s="9" t="s">
        <v>104</v>
      </c>
      <c r="AO1" s="9" t="s">
        <v>105</v>
      </c>
      <c r="AP1" s="9" t="s">
        <v>106</v>
      </c>
      <c r="AQ1" s="9" t="s">
        <v>107</v>
      </c>
      <c r="AR1" s="9" t="s">
        <v>108</v>
      </c>
      <c r="AS1" s="9" t="s">
        <v>109</v>
      </c>
      <c r="AT1" s="9" t="s">
        <v>110</v>
      </c>
      <c r="AU1" s="9" t="s">
        <v>111</v>
      </c>
      <c r="AV1" s="9" t="s">
        <v>112</v>
      </c>
      <c r="AW1" s="9" t="s">
        <v>113</v>
      </c>
      <c r="AX1" s="9" t="s">
        <v>114</v>
      </c>
      <c r="AY1" s="9" t="s">
        <v>115</v>
      </c>
      <c r="AZ1" s="9" t="s">
        <v>116</v>
      </c>
      <c r="BA1" s="9" t="s">
        <v>19</v>
      </c>
      <c r="BB1" s="9" t="s">
        <v>117</v>
      </c>
      <c r="BC1" s="9" t="s">
        <v>20</v>
      </c>
      <c r="BD1" s="9" t="s">
        <v>21</v>
      </c>
      <c r="BE1" s="9" t="s">
        <v>22</v>
      </c>
      <c r="BF1" s="9" t="s">
        <v>23</v>
      </c>
      <c r="BG1" s="9" t="s">
        <v>24</v>
      </c>
      <c r="BH1" s="9" t="s">
        <v>25</v>
      </c>
      <c r="BI1" s="9" t="s">
        <v>118</v>
      </c>
      <c r="BJ1" s="9" t="s">
        <v>26</v>
      </c>
      <c r="BK1" s="9" t="s">
        <v>27</v>
      </c>
      <c r="BL1" s="9" t="s">
        <v>119</v>
      </c>
      <c r="BM1" s="9" t="s">
        <v>28</v>
      </c>
      <c r="BN1" s="9" t="s">
        <v>29</v>
      </c>
      <c r="BO1" s="9" t="s">
        <v>30</v>
      </c>
      <c r="BP1" s="9" t="s">
        <v>31</v>
      </c>
      <c r="BQ1" s="9" t="s">
        <v>32</v>
      </c>
      <c r="BR1" s="9" t="s">
        <v>33</v>
      </c>
      <c r="BS1" s="9" t="s">
        <v>120</v>
      </c>
      <c r="BT1" s="9" t="s">
        <v>34</v>
      </c>
      <c r="BU1" s="9" t="s">
        <v>121</v>
      </c>
      <c r="BV1" s="9" t="s">
        <v>38</v>
      </c>
      <c r="BW1" s="9" t="s">
        <v>39</v>
      </c>
      <c r="BX1" s="9" t="s">
        <v>36</v>
      </c>
      <c r="BY1" s="9" t="s">
        <v>7</v>
      </c>
      <c r="BZ1" s="9" t="s">
        <v>37</v>
      </c>
      <c r="CA1" s="9" t="s">
        <v>122</v>
      </c>
      <c r="CB1" s="9" t="s">
        <v>123</v>
      </c>
      <c r="CC1" s="9" t="s">
        <v>124</v>
      </c>
      <c r="CD1" s="9" t="s">
        <v>40</v>
      </c>
      <c r="CE1" s="9" t="s">
        <v>35</v>
      </c>
      <c r="CF1" s="9" t="s">
        <v>41</v>
      </c>
      <c r="CG1" s="9" t="s">
        <v>42</v>
      </c>
      <c r="CH1" s="9" t="s">
        <v>1</v>
      </c>
      <c r="CI1" s="9" t="s">
        <v>18</v>
      </c>
      <c r="CJ1" s="9" t="s">
        <v>125</v>
      </c>
      <c r="CK1" s="9" t="s">
        <v>126</v>
      </c>
      <c r="CL1" s="9" t="s">
        <v>127</v>
      </c>
      <c r="CM1" s="9" t="s">
        <v>128</v>
      </c>
      <c r="CN1" s="9" t="s">
        <v>129</v>
      </c>
      <c r="CO1" s="9" t="s">
        <v>130</v>
      </c>
      <c r="CP1" s="9" t="s">
        <v>131</v>
      </c>
      <c r="CQ1" s="9" t="s">
        <v>132</v>
      </c>
      <c r="CR1" s="9" t="s">
        <v>133</v>
      </c>
      <c r="CS1" s="9" t="s">
        <v>134</v>
      </c>
      <c r="CT1" s="9" t="s">
        <v>135</v>
      </c>
      <c r="CU1" s="9" t="s">
        <v>136</v>
      </c>
      <c r="CV1" s="9" t="s">
        <v>137</v>
      </c>
      <c r="CW1" s="9" t="s">
        <v>138</v>
      </c>
      <c r="CX1" s="9" t="s">
        <v>139</v>
      </c>
      <c r="CY1" s="9" t="s">
        <v>140</v>
      </c>
      <c r="CZ1" s="9" t="s">
        <v>141</v>
      </c>
      <c r="DA1" s="9" t="s">
        <v>5</v>
      </c>
      <c r="DB1" s="9" t="s">
        <v>17</v>
      </c>
      <c r="DC1" s="9" t="s">
        <v>142</v>
      </c>
      <c r="DD1" s="9" t="s">
        <v>143</v>
      </c>
      <c r="DE1" s="9" t="s">
        <v>144</v>
      </c>
      <c r="DF1" s="9" t="s">
        <v>145</v>
      </c>
      <c r="DG1" s="9" t="s">
        <v>146</v>
      </c>
      <c r="DH1" s="9" t="s">
        <v>147</v>
      </c>
      <c r="DI1" s="9" t="s">
        <v>148</v>
      </c>
      <c r="DJ1" s="9" t="s">
        <v>149</v>
      </c>
      <c r="DK1" s="9" t="s">
        <v>150</v>
      </c>
      <c r="DL1" s="9" t="s">
        <v>151</v>
      </c>
      <c r="DM1" s="9" t="s">
        <v>152</v>
      </c>
      <c r="DN1" s="9" t="s">
        <v>153</v>
      </c>
      <c r="DO1" s="9" t="s">
        <v>154</v>
      </c>
      <c r="DP1" s="9" t="s">
        <v>155</v>
      </c>
      <c r="DQ1" s="9" t="s">
        <v>156</v>
      </c>
      <c r="DR1" s="9" t="s">
        <v>157</v>
      </c>
      <c r="DS1" s="9" t="s">
        <v>158</v>
      </c>
      <c r="DT1" s="9" t="s">
        <v>9</v>
      </c>
      <c r="DU1" s="9" t="s">
        <v>159</v>
      </c>
      <c r="DV1" s="9" t="s">
        <v>160</v>
      </c>
      <c r="DW1" s="9" t="s">
        <v>2</v>
      </c>
      <c r="DX1" s="9" t="s">
        <v>6</v>
      </c>
      <c r="DY1" s="9" t="s">
        <v>161</v>
      </c>
      <c r="DZ1" s="9" t="s">
        <v>48</v>
      </c>
      <c r="EA1" s="9" t="s">
        <v>162</v>
      </c>
      <c r="EB1" s="9" t="s">
        <v>71</v>
      </c>
      <c r="EC1" s="9" t="s">
        <v>51</v>
      </c>
      <c r="ED1" s="9" t="s">
        <v>163</v>
      </c>
      <c r="EE1" s="9" t="s">
        <v>164</v>
      </c>
      <c r="EF1" s="9" t="s">
        <v>50</v>
      </c>
      <c r="EG1" s="9" t="s">
        <v>165</v>
      </c>
      <c r="EH1" s="9" t="s">
        <v>166</v>
      </c>
      <c r="EI1" s="9" t="s">
        <v>59</v>
      </c>
      <c r="EJ1" s="9" t="s">
        <v>167</v>
      </c>
      <c r="EK1" s="9" t="s">
        <v>168</v>
      </c>
      <c r="EL1" s="9" t="s">
        <v>4</v>
      </c>
      <c r="EM1" s="9" t="s">
        <v>169</v>
      </c>
      <c r="EN1" s="9" t="s">
        <v>3</v>
      </c>
      <c r="EO1" s="9" t="s">
        <v>170</v>
      </c>
      <c r="EP1" s="9" t="s">
        <v>171</v>
      </c>
      <c r="EQ1" s="9" t="s">
        <v>172</v>
      </c>
      <c r="ER1" s="8" t="s">
        <v>172</v>
      </c>
      <c r="ES1" s="3" t="s">
        <v>167</v>
      </c>
    </row>
    <row r="2" spans="1:149" x14ac:dyDescent="0.45">
      <c r="A2">
        <v>1842</v>
      </c>
      <c r="B2">
        <v>977265</v>
      </c>
      <c r="C2" t="s">
        <v>173</v>
      </c>
      <c r="D2" t="s">
        <v>174</v>
      </c>
      <c r="E2" t="s">
        <v>175</v>
      </c>
      <c r="F2" t="s">
        <v>176</v>
      </c>
      <c r="I2" t="s">
        <v>177</v>
      </c>
      <c r="J2" t="s">
        <v>178</v>
      </c>
      <c r="K2" t="s">
        <v>178</v>
      </c>
      <c r="O2" t="s">
        <v>178</v>
      </c>
      <c r="P2" t="s">
        <v>179</v>
      </c>
      <c r="Q2" t="s">
        <v>180</v>
      </c>
      <c r="S2" s="6">
        <v>44775</v>
      </c>
      <c r="T2" t="s">
        <v>181</v>
      </c>
      <c r="U2" t="s">
        <v>178</v>
      </c>
      <c r="X2" t="s">
        <v>182</v>
      </c>
      <c r="Z2" t="s">
        <v>183</v>
      </c>
      <c r="AA2" t="s">
        <v>178</v>
      </c>
      <c r="AB2" t="s">
        <v>184</v>
      </c>
      <c r="AC2">
        <v>0</v>
      </c>
      <c r="AD2" t="s">
        <v>179</v>
      </c>
      <c r="AE2" t="s">
        <v>185</v>
      </c>
      <c r="AF2" t="s">
        <v>178</v>
      </c>
      <c r="AG2" t="s">
        <v>179</v>
      </c>
      <c r="AH2" t="s">
        <v>178</v>
      </c>
      <c r="AJ2" t="s">
        <v>179</v>
      </c>
      <c r="AK2" t="s">
        <v>56</v>
      </c>
      <c r="AL2" t="s">
        <v>186</v>
      </c>
      <c r="AM2" t="s">
        <v>56</v>
      </c>
      <c r="AN2" t="s">
        <v>187</v>
      </c>
      <c r="AP2" t="s">
        <v>188</v>
      </c>
      <c r="AQ2" t="s">
        <v>178</v>
      </c>
      <c r="AT2" s="6" t="s">
        <v>189</v>
      </c>
      <c r="AU2" t="s">
        <v>178</v>
      </c>
      <c r="AV2" t="s">
        <v>190</v>
      </c>
      <c r="AX2" t="s">
        <v>178</v>
      </c>
      <c r="AY2" t="s">
        <v>191</v>
      </c>
      <c r="AZ2" t="s">
        <v>192</v>
      </c>
      <c r="CA2" t="s">
        <v>178</v>
      </c>
      <c r="CG2" t="s">
        <v>178</v>
      </c>
      <c r="CH2" s="6">
        <v>44802</v>
      </c>
      <c r="CI2" s="6" t="s">
        <v>179</v>
      </c>
      <c r="CJ2" s="6" t="s">
        <v>193</v>
      </c>
      <c r="CL2" s="6"/>
      <c r="CQ2" s="6"/>
      <c r="DA2" t="s">
        <v>179</v>
      </c>
      <c r="DB2" t="s">
        <v>194</v>
      </c>
      <c r="DR2" t="s">
        <v>195</v>
      </c>
      <c r="DT2">
        <v>20</v>
      </c>
      <c r="DU2" t="s">
        <v>179</v>
      </c>
      <c r="DW2" t="s">
        <v>179</v>
      </c>
      <c r="DX2" t="s">
        <v>178</v>
      </c>
      <c r="DY2" t="s">
        <v>179</v>
      </c>
      <c r="DZ2" t="s">
        <v>178</v>
      </c>
      <c r="EA2" t="s">
        <v>178</v>
      </c>
      <c r="EB2" t="s">
        <v>179</v>
      </c>
      <c r="EE2" t="s">
        <v>179</v>
      </c>
      <c r="EF2" t="s">
        <v>178</v>
      </c>
      <c r="EG2" t="s">
        <v>178</v>
      </c>
      <c r="EH2" t="s">
        <v>178</v>
      </c>
      <c r="EI2" t="s">
        <v>178</v>
      </c>
      <c r="EJ2" t="s">
        <v>178</v>
      </c>
      <c r="EK2">
        <v>8</v>
      </c>
      <c r="EL2" t="s">
        <v>196</v>
      </c>
      <c r="EM2">
        <v>2022</v>
      </c>
      <c r="EN2">
        <v>2023</v>
      </c>
      <c r="EO2">
        <v>8</v>
      </c>
      <c r="EP2" t="s">
        <v>196</v>
      </c>
      <c r="EQ2">
        <v>2023</v>
      </c>
      <c r="ER2">
        <v>2023</v>
      </c>
      <c r="ES2" t="s">
        <v>178</v>
      </c>
    </row>
    <row r="3" spans="1:149" x14ac:dyDescent="0.45">
      <c r="A3">
        <v>1808</v>
      </c>
      <c r="B3">
        <v>977030</v>
      </c>
      <c r="C3" t="s">
        <v>197</v>
      </c>
      <c r="D3" t="s">
        <v>174</v>
      </c>
      <c r="E3" t="s">
        <v>175</v>
      </c>
      <c r="F3" t="s">
        <v>176</v>
      </c>
      <c r="I3" t="s">
        <v>177</v>
      </c>
      <c r="J3" t="s">
        <v>178</v>
      </c>
      <c r="K3" t="s">
        <v>178</v>
      </c>
      <c r="L3" t="s">
        <v>198</v>
      </c>
      <c r="M3" t="s">
        <v>199</v>
      </c>
      <c r="O3" t="s">
        <v>178</v>
      </c>
      <c r="P3" t="s">
        <v>178</v>
      </c>
      <c r="Q3" t="s">
        <v>180</v>
      </c>
      <c r="R3" t="s">
        <v>200</v>
      </c>
      <c r="S3" s="6">
        <v>44635</v>
      </c>
      <c r="T3" t="s">
        <v>201</v>
      </c>
      <c r="U3" t="s">
        <v>178</v>
      </c>
      <c r="V3">
        <v>0</v>
      </c>
      <c r="X3" t="s">
        <v>202</v>
      </c>
      <c r="Z3" t="s">
        <v>203</v>
      </c>
      <c r="AA3" t="s">
        <v>178</v>
      </c>
      <c r="AB3" t="s">
        <v>184</v>
      </c>
      <c r="AC3">
        <v>0</v>
      </c>
      <c r="AD3" t="s">
        <v>179</v>
      </c>
      <c r="AE3" t="s">
        <v>204</v>
      </c>
      <c r="AF3" t="s">
        <v>178</v>
      </c>
      <c r="AG3" t="s">
        <v>178</v>
      </c>
      <c r="AH3" t="s">
        <v>178</v>
      </c>
      <c r="AJ3" t="s">
        <v>179</v>
      </c>
      <c r="AK3" t="s">
        <v>56</v>
      </c>
      <c r="AM3" t="s">
        <v>56</v>
      </c>
      <c r="AN3" t="s">
        <v>187</v>
      </c>
      <c r="AP3" t="s">
        <v>205</v>
      </c>
      <c r="AR3">
        <v>15</v>
      </c>
      <c r="AT3" s="6"/>
      <c r="AY3" t="s">
        <v>206</v>
      </c>
      <c r="AZ3" t="s">
        <v>192</v>
      </c>
      <c r="CA3" t="s">
        <v>178</v>
      </c>
      <c r="CG3" t="s">
        <v>178</v>
      </c>
      <c r="CH3" s="6">
        <v>44655</v>
      </c>
      <c r="CI3" s="6" t="s">
        <v>179</v>
      </c>
      <c r="CJ3" s="6" t="s">
        <v>207</v>
      </c>
      <c r="CL3" s="6"/>
      <c r="CQ3" s="6"/>
      <c r="DA3" t="s">
        <v>179</v>
      </c>
      <c r="DB3" t="s">
        <v>194</v>
      </c>
      <c r="DT3">
        <v>24</v>
      </c>
      <c r="DU3" t="s">
        <v>178</v>
      </c>
      <c r="DW3" t="s">
        <v>179</v>
      </c>
      <c r="DX3" t="s">
        <v>178</v>
      </c>
      <c r="DY3" t="s">
        <v>179</v>
      </c>
      <c r="DZ3" t="s">
        <v>178</v>
      </c>
      <c r="EA3" t="s">
        <v>178</v>
      </c>
      <c r="EB3" t="s">
        <v>179</v>
      </c>
      <c r="EE3" t="s">
        <v>179</v>
      </c>
      <c r="EF3" t="s">
        <v>178</v>
      </c>
      <c r="EG3" t="s">
        <v>178</v>
      </c>
      <c r="EH3" t="s">
        <v>178</v>
      </c>
      <c r="EI3" t="s">
        <v>178</v>
      </c>
      <c r="EJ3" t="s">
        <v>178</v>
      </c>
      <c r="EK3">
        <v>4</v>
      </c>
      <c r="EL3" t="s">
        <v>208</v>
      </c>
      <c r="EM3">
        <v>2022</v>
      </c>
      <c r="EN3">
        <v>2022</v>
      </c>
      <c r="EO3">
        <v>3</v>
      </c>
      <c r="EP3" t="s">
        <v>209</v>
      </c>
      <c r="EQ3">
        <v>2022</v>
      </c>
      <c r="ER3">
        <v>2022</v>
      </c>
      <c r="ES3" t="s">
        <v>178</v>
      </c>
    </row>
    <row r="4" spans="1:149" x14ac:dyDescent="0.45">
      <c r="A4">
        <v>406</v>
      </c>
      <c r="B4">
        <v>976441</v>
      </c>
      <c r="C4" t="s">
        <v>173</v>
      </c>
      <c r="D4" t="s">
        <v>210</v>
      </c>
      <c r="E4" t="s">
        <v>175</v>
      </c>
      <c r="F4" t="s">
        <v>211</v>
      </c>
      <c r="H4" t="s">
        <v>212</v>
      </c>
      <c r="I4" t="s">
        <v>177</v>
      </c>
      <c r="J4" t="s">
        <v>178</v>
      </c>
      <c r="K4" t="s">
        <v>178</v>
      </c>
      <c r="L4" t="s">
        <v>71</v>
      </c>
      <c r="N4" t="s">
        <v>213</v>
      </c>
      <c r="O4" t="s">
        <v>178</v>
      </c>
      <c r="P4" t="s">
        <v>214</v>
      </c>
      <c r="Q4" t="s">
        <v>180</v>
      </c>
      <c r="R4" t="s">
        <v>215</v>
      </c>
      <c r="S4" s="6">
        <v>44243</v>
      </c>
      <c r="T4" t="s">
        <v>216</v>
      </c>
      <c r="U4" t="s">
        <v>178</v>
      </c>
      <c r="V4">
        <v>0</v>
      </c>
      <c r="W4">
        <v>0</v>
      </c>
      <c r="Z4" t="s">
        <v>217</v>
      </c>
      <c r="AA4" t="s">
        <v>178</v>
      </c>
      <c r="AB4" t="s">
        <v>184</v>
      </c>
      <c r="AC4">
        <v>0</v>
      </c>
      <c r="AD4" t="s">
        <v>179</v>
      </c>
      <c r="AE4" t="s">
        <v>218</v>
      </c>
      <c r="AF4" t="s">
        <v>178</v>
      </c>
      <c r="AG4" t="s">
        <v>178</v>
      </c>
      <c r="AK4" t="s">
        <v>56</v>
      </c>
      <c r="AL4" t="s">
        <v>219</v>
      </c>
      <c r="AT4" s="6"/>
      <c r="AZ4" t="s">
        <v>192</v>
      </c>
      <c r="CA4" t="s">
        <v>178</v>
      </c>
      <c r="CG4" t="s">
        <v>178</v>
      </c>
      <c r="CH4" s="6">
        <v>44235</v>
      </c>
      <c r="CI4" s="6"/>
      <c r="DC4" t="s">
        <v>179</v>
      </c>
      <c r="DT4">
        <v>24</v>
      </c>
      <c r="DU4" t="s">
        <v>179</v>
      </c>
      <c r="DV4" t="s">
        <v>220</v>
      </c>
      <c r="DW4" t="s">
        <v>178</v>
      </c>
      <c r="DX4" t="s">
        <v>178</v>
      </c>
      <c r="DY4" t="s">
        <v>179</v>
      </c>
      <c r="DZ4" t="s">
        <v>178</v>
      </c>
      <c r="EA4" t="s">
        <v>178</v>
      </c>
      <c r="EB4" t="s">
        <v>178</v>
      </c>
      <c r="EE4" t="s">
        <v>178</v>
      </c>
      <c r="EF4" t="s">
        <v>178</v>
      </c>
      <c r="EG4" t="s">
        <v>178</v>
      </c>
      <c r="EH4" t="s">
        <v>178</v>
      </c>
      <c r="EI4" t="s">
        <v>178</v>
      </c>
      <c r="EJ4" t="s">
        <v>178</v>
      </c>
      <c r="EK4">
        <v>2</v>
      </c>
      <c r="EL4" t="s">
        <v>209</v>
      </c>
      <c r="EM4">
        <v>2021</v>
      </c>
      <c r="EN4">
        <v>2021</v>
      </c>
      <c r="EO4">
        <v>2</v>
      </c>
      <c r="EP4" t="s">
        <v>209</v>
      </c>
      <c r="EQ4">
        <v>2021</v>
      </c>
      <c r="ER4">
        <v>2021</v>
      </c>
      <c r="ES4" t="s">
        <v>178</v>
      </c>
    </row>
    <row r="5" spans="1:149" x14ac:dyDescent="0.45">
      <c r="A5">
        <v>1947</v>
      </c>
      <c r="B5">
        <v>977113</v>
      </c>
      <c r="C5" t="s">
        <v>173</v>
      </c>
      <c r="D5" t="s">
        <v>174</v>
      </c>
      <c r="E5" t="s">
        <v>175</v>
      </c>
      <c r="F5" t="s">
        <v>176</v>
      </c>
      <c r="I5" t="s">
        <v>177</v>
      </c>
      <c r="J5" t="s">
        <v>179</v>
      </c>
      <c r="K5" t="s">
        <v>178</v>
      </c>
      <c r="L5" t="s">
        <v>221</v>
      </c>
      <c r="M5" t="s">
        <v>199</v>
      </c>
      <c r="O5" t="s">
        <v>178</v>
      </c>
      <c r="P5" t="s">
        <v>178</v>
      </c>
      <c r="Q5" t="s">
        <v>180</v>
      </c>
      <c r="R5" t="s">
        <v>200</v>
      </c>
      <c r="S5" s="6">
        <v>44684</v>
      </c>
      <c r="T5" t="s">
        <v>222</v>
      </c>
      <c r="U5" t="s">
        <v>178</v>
      </c>
      <c r="V5">
        <v>0</v>
      </c>
      <c r="Z5" t="s">
        <v>223</v>
      </c>
      <c r="AA5" t="s">
        <v>178</v>
      </c>
      <c r="AB5" t="s">
        <v>184</v>
      </c>
      <c r="AC5">
        <v>0</v>
      </c>
      <c r="AD5" t="s">
        <v>179</v>
      </c>
      <c r="AE5" t="s">
        <v>204</v>
      </c>
      <c r="AF5" t="s">
        <v>178</v>
      </c>
      <c r="AG5" t="s">
        <v>179</v>
      </c>
      <c r="AH5" t="s">
        <v>178</v>
      </c>
      <c r="AJ5" t="s">
        <v>179</v>
      </c>
      <c r="AL5" t="s">
        <v>219</v>
      </c>
      <c r="AM5" t="s">
        <v>56</v>
      </c>
      <c r="AN5" t="s">
        <v>187</v>
      </c>
      <c r="AP5" t="s">
        <v>205</v>
      </c>
      <c r="AR5">
        <v>11.75</v>
      </c>
      <c r="AT5" s="6"/>
      <c r="AY5" t="s">
        <v>206</v>
      </c>
      <c r="AZ5" t="s">
        <v>192</v>
      </c>
      <c r="CA5" t="s">
        <v>178</v>
      </c>
      <c r="CG5" t="s">
        <v>178</v>
      </c>
      <c r="CH5" s="6"/>
      <c r="CJ5" s="6"/>
      <c r="CL5" s="6"/>
      <c r="CQ5" s="6"/>
      <c r="DT5">
        <v>31</v>
      </c>
      <c r="DU5" t="s">
        <v>179</v>
      </c>
      <c r="DV5" t="s">
        <v>220</v>
      </c>
      <c r="DW5" t="s">
        <v>178</v>
      </c>
      <c r="DX5" t="s">
        <v>178</v>
      </c>
      <c r="DY5" t="s">
        <v>178</v>
      </c>
      <c r="DZ5" t="s">
        <v>178</v>
      </c>
      <c r="EA5" t="s">
        <v>178</v>
      </c>
      <c r="EB5" t="s">
        <v>178</v>
      </c>
      <c r="EE5" t="s">
        <v>178</v>
      </c>
      <c r="EF5" t="s">
        <v>178</v>
      </c>
      <c r="EG5" t="s">
        <v>178</v>
      </c>
      <c r="EH5" t="s">
        <v>178</v>
      </c>
      <c r="EI5" t="s">
        <v>178</v>
      </c>
      <c r="EJ5" t="s">
        <v>178</v>
      </c>
      <c r="EK5">
        <v>5</v>
      </c>
      <c r="EL5" t="s">
        <v>208</v>
      </c>
      <c r="EM5">
        <v>2022</v>
      </c>
      <c r="EN5">
        <v>2022</v>
      </c>
      <c r="EO5">
        <v>5</v>
      </c>
      <c r="EP5" t="s">
        <v>208</v>
      </c>
      <c r="EQ5">
        <v>2022</v>
      </c>
      <c r="ER5">
        <v>2022</v>
      </c>
      <c r="ES5" t="s">
        <v>178</v>
      </c>
    </row>
    <row r="6" spans="1:149" x14ac:dyDescent="0.45">
      <c r="A6">
        <v>207</v>
      </c>
      <c r="B6">
        <v>976831</v>
      </c>
      <c r="C6" t="s">
        <v>173</v>
      </c>
      <c r="D6" t="s">
        <v>224</v>
      </c>
      <c r="E6" t="s">
        <v>175</v>
      </c>
      <c r="F6" t="s">
        <v>176</v>
      </c>
      <c r="I6" t="s">
        <v>177</v>
      </c>
      <c r="J6" t="s">
        <v>179</v>
      </c>
      <c r="K6" t="s">
        <v>179</v>
      </c>
      <c r="M6" t="s">
        <v>225</v>
      </c>
      <c r="O6" t="s">
        <v>178</v>
      </c>
      <c r="P6" t="s">
        <v>178</v>
      </c>
      <c r="Q6" t="s">
        <v>180</v>
      </c>
      <c r="R6" t="s">
        <v>200</v>
      </c>
      <c r="S6" s="6">
        <v>44469</v>
      </c>
      <c r="T6" t="s">
        <v>226</v>
      </c>
      <c r="U6" t="s">
        <v>178</v>
      </c>
      <c r="V6">
        <v>0</v>
      </c>
      <c r="W6">
        <v>15</v>
      </c>
      <c r="X6" t="s">
        <v>227</v>
      </c>
      <c r="AA6" t="s">
        <v>178</v>
      </c>
      <c r="AB6" t="s">
        <v>184</v>
      </c>
      <c r="AC6">
        <v>2000</v>
      </c>
      <c r="AD6" t="s">
        <v>178</v>
      </c>
      <c r="AE6" t="s">
        <v>204</v>
      </c>
      <c r="AF6" t="s">
        <v>178</v>
      </c>
      <c r="AG6" t="s">
        <v>178</v>
      </c>
      <c r="AK6" t="s">
        <v>56</v>
      </c>
      <c r="AL6" t="s">
        <v>228</v>
      </c>
      <c r="AM6" t="s">
        <v>56</v>
      </c>
      <c r="AN6" t="s">
        <v>187</v>
      </c>
      <c r="AO6">
        <v>40</v>
      </c>
      <c r="AT6" s="6"/>
      <c r="AZ6" t="s">
        <v>192</v>
      </c>
      <c r="CA6" t="s">
        <v>178</v>
      </c>
      <c r="CG6" t="s">
        <v>178</v>
      </c>
      <c r="CH6" s="6">
        <v>44627</v>
      </c>
      <c r="CI6" s="6" t="s">
        <v>179</v>
      </c>
      <c r="CJ6" s="6" t="s">
        <v>229</v>
      </c>
      <c r="DA6" t="s">
        <v>179</v>
      </c>
      <c r="DB6" t="s">
        <v>194</v>
      </c>
      <c r="DR6" t="s">
        <v>230</v>
      </c>
      <c r="DT6">
        <v>29</v>
      </c>
      <c r="DU6" t="s">
        <v>179</v>
      </c>
      <c r="DV6" t="s">
        <v>220</v>
      </c>
      <c r="DW6" t="s">
        <v>179</v>
      </c>
      <c r="DX6" t="s">
        <v>178</v>
      </c>
      <c r="DY6" t="s">
        <v>179</v>
      </c>
      <c r="DZ6" t="s">
        <v>178</v>
      </c>
      <c r="EA6" t="s">
        <v>178</v>
      </c>
      <c r="EB6" t="s">
        <v>179</v>
      </c>
      <c r="EE6" t="s">
        <v>179</v>
      </c>
      <c r="EF6" t="s">
        <v>178</v>
      </c>
      <c r="EG6" t="s">
        <v>178</v>
      </c>
      <c r="EH6" t="s">
        <v>178</v>
      </c>
      <c r="EI6" t="s">
        <v>178</v>
      </c>
      <c r="EJ6" t="s">
        <v>178</v>
      </c>
      <c r="EK6">
        <v>3</v>
      </c>
      <c r="EL6" t="s">
        <v>209</v>
      </c>
      <c r="EM6">
        <v>2022</v>
      </c>
      <c r="EN6">
        <v>2022</v>
      </c>
      <c r="EO6">
        <v>9</v>
      </c>
      <c r="EP6" t="s">
        <v>196</v>
      </c>
      <c r="EQ6">
        <v>2022</v>
      </c>
      <c r="ER6">
        <v>2021</v>
      </c>
      <c r="ES6" t="s">
        <v>178</v>
      </c>
    </row>
    <row r="7" spans="1:149" x14ac:dyDescent="0.45">
      <c r="A7">
        <v>2000</v>
      </c>
      <c r="B7">
        <v>977197</v>
      </c>
      <c r="D7" t="s">
        <v>224</v>
      </c>
      <c r="E7" t="s">
        <v>175</v>
      </c>
      <c r="F7" t="s">
        <v>176</v>
      </c>
      <c r="I7" t="s">
        <v>177</v>
      </c>
      <c r="J7" t="s">
        <v>178</v>
      </c>
      <c r="K7" t="s">
        <v>178</v>
      </c>
      <c r="M7" t="s">
        <v>225</v>
      </c>
      <c r="O7" t="s">
        <v>178</v>
      </c>
      <c r="P7" t="s">
        <v>178</v>
      </c>
      <c r="Q7" t="s">
        <v>180</v>
      </c>
      <c r="R7" t="s">
        <v>200</v>
      </c>
      <c r="S7" s="6">
        <v>44657</v>
      </c>
      <c r="T7" t="s">
        <v>231</v>
      </c>
      <c r="U7" t="s">
        <v>178</v>
      </c>
      <c r="V7">
        <v>0</v>
      </c>
      <c r="X7" t="s">
        <v>227</v>
      </c>
      <c r="AA7" t="s">
        <v>178</v>
      </c>
      <c r="AB7" t="s">
        <v>184</v>
      </c>
      <c r="AC7">
        <v>800</v>
      </c>
      <c r="AD7" t="s">
        <v>178</v>
      </c>
      <c r="AE7" t="s">
        <v>204</v>
      </c>
      <c r="AF7" t="s">
        <v>178</v>
      </c>
      <c r="AH7" t="s">
        <v>178</v>
      </c>
      <c r="AL7" t="s">
        <v>232</v>
      </c>
      <c r="AM7" t="s">
        <v>56</v>
      </c>
      <c r="AN7" t="s">
        <v>187</v>
      </c>
      <c r="AP7" t="s">
        <v>233</v>
      </c>
      <c r="AR7">
        <v>11.5</v>
      </c>
      <c r="AT7" s="6"/>
      <c r="AY7" t="s">
        <v>206</v>
      </c>
      <c r="AZ7" t="s">
        <v>192</v>
      </c>
      <c r="CA7" t="s">
        <v>178</v>
      </c>
      <c r="CG7" t="s">
        <v>178</v>
      </c>
      <c r="CH7" s="6"/>
      <c r="CI7" s="6"/>
      <c r="CJ7" s="6"/>
      <c r="CL7" s="6"/>
      <c r="CQ7" s="6"/>
      <c r="DC7" t="s">
        <v>179</v>
      </c>
      <c r="DT7">
        <v>20</v>
      </c>
      <c r="DU7" t="s">
        <v>178</v>
      </c>
      <c r="DW7" t="s">
        <v>178</v>
      </c>
      <c r="DX7" t="s">
        <v>178</v>
      </c>
      <c r="DY7" t="s">
        <v>178</v>
      </c>
      <c r="DZ7" t="s">
        <v>178</v>
      </c>
      <c r="EA7" t="s">
        <v>178</v>
      </c>
      <c r="EB7" t="s">
        <v>178</v>
      </c>
      <c r="EE7" t="s">
        <v>178</v>
      </c>
      <c r="EF7" t="s">
        <v>178</v>
      </c>
      <c r="EG7" t="s">
        <v>178</v>
      </c>
      <c r="EH7" t="s">
        <v>178</v>
      </c>
      <c r="EI7" t="s">
        <v>178</v>
      </c>
      <c r="EJ7" t="s">
        <v>178</v>
      </c>
      <c r="EK7">
        <v>4</v>
      </c>
      <c r="EL7" t="s">
        <v>208</v>
      </c>
      <c r="EM7">
        <v>2022</v>
      </c>
      <c r="EN7">
        <v>2022</v>
      </c>
      <c r="EO7">
        <v>4</v>
      </c>
      <c r="EP7" t="s">
        <v>208</v>
      </c>
      <c r="EQ7">
        <v>2022</v>
      </c>
      <c r="ER7">
        <v>2022</v>
      </c>
      <c r="ES7" t="s">
        <v>178</v>
      </c>
    </row>
    <row r="8" spans="1:149" x14ac:dyDescent="0.45">
      <c r="A8">
        <v>1875</v>
      </c>
      <c r="B8">
        <v>976946</v>
      </c>
      <c r="C8" t="s">
        <v>173</v>
      </c>
      <c r="D8" t="s">
        <v>174</v>
      </c>
      <c r="E8" t="s">
        <v>175</v>
      </c>
      <c r="F8" t="s">
        <v>234</v>
      </c>
      <c r="I8" t="s">
        <v>177</v>
      </c>
      <c r="J8" t="s">
        <v>179</v>
      </c>
      <c r="K8" t="s">
        <v>178</v>
      </c>
      <c r="M8" t="s">
        <v>235</v>
      </c>
      <c r="O8" t="s">
        <v>179</v>
      </c>
      <c r="P8" t="s">
        <v>178</v>
      </c>
      <c r="Q8" t="s">
        <v>180</v>
      </c>
      <c r="R8" t="s">
        <v>200</v>
      </c>
      <c r="S8" s="6">
        <v>44572</v>
      </c>
      <c r="T8" t="s">
        <v>236</v>
      </c>
      <c r="U8" t="s">
        <v>178</v>
      </c>
      <c r="V8">
        <v>0</v>
      </c>
      <c r="X8" t="s">
        <v>202</v>
      </c>
      <c r="AA8" t="s">
        <v>178</v>
      </c>
      <c r="AB8" t="s">
        <v>184</v>
      </c>
      <c r="AC8">
        <v>0</v>
      </c>
      <c r="AD8" t="s">
        <v>178</v>
      </c>
      <c r="AE8" t="s">
        <v>204</v>
      </c>
      <c r="AF8" t="s">
        <v>178</v>
      </c>
      <c r="AG8" t="s">
        <v>179</v>
      </c>
      <c r="AH8" t="s">
        <v>178</v>
      </c>
      <c r="AJ8" t="s">
        <v>179</v>
      </c>
      <c r="AK8" t="s">
        <v>56</v>
      </c>
      <c r="AL8" t="s">
        <v>237</v>
      </c>
      <c r="AM8" t="s">
        <v>56</v>
      </c>
      <c r="AP8" t="s">
        <v>233</v>
      </c>
      <c r="AR8">
        <v>0</v>
      </c>
      <c r="AT8" s="6"/>
      <c r="AY8" t="s">
        <v>238</v>
      </c>
      <c r="AZ8" t="s">
        <v>192</v>
      </c>
      <c r="BA8" t="s">
        <v>239</v>
      </c>
      <c r="BB8" t="s">
        <v>240</v>
      </c>
      <c r="BC8" t="s">
        <v>241</v>
      </c>
      <c r="BD8">
        <v>15</v>
      </c>
      <c r="BE8">
        <v>40</v>
      </c>
      <c r="BF8" t="s">
        <v>179</v>
      </c>
      <c r="BG8" t="s">
        <v>179</v>
      </c>
      <c r="BH8" t="s">
        <v>178</v>
      </c>
      <c r="BI8" t="s">
        <v>178</v>
      </c>
      <c r="BJ8" t="s">
        <v>179</v>
      </c>
      <c r="BK8" t="s">
        <v>239</v>
      </c>
      <c r="BL8" t="s">
        <v>240</v>
      </c>
      <c r="BM8" t="s">
        <v>241</v>
      </c>
      <c r="BN8">
        <v>15</v>
      </c>
      <c r="BO8">
        <v>40</v>
      </c>
      <c r="BP8" t="s">
        <v>179</v>
      </c>
      <c r="BQ8" t="s">
        <v>179</v>
      </c>
      <c r="BR8" t="s">
        <v>178</v>
      </c>
      <c r="BS8" t="s">
        <v>178</v>
      </c>
      <c r="BT8" t="s">
        <v>179</v>
      </c>
      <c r="BX8" t="s">
        <v>242</v>
      </c>
      <c r="BY8" t="s">
        <v>243</v>
      </c>
      <c r="BZ8" t="s">
        <v>242</v>
      </c>
      <c r="CA8" t="s">
        <v>178</v>
      </c>
      <c r="CB8">
        <v>131</v>
      </c>
      <c r="CD8">
        <v>131</v>
      </c>
      <c r="CE8">
        <v>131</v>
      </c>
      <c r="CF8">
        <v>131</v>
      </c>
      <c r="CG8" t="s">
        <v>179</v>
      </c>
      <c r="CH8" s="6">
        <v>44571</v>
      </c>
      <c r="CI8" t="s">
        <v>179</v>
      </c>
      <c r="CJ8" s="6" t="s">
        <v>244</v>
      </c>
      <c r="CL8" s="6"/>
      <c r="CQ8" s="6"/>
      <c r="DA8" t="s">
        <v>179</v>
      </c>
      <c r="DB8" t="s">
        <v>194</v>
      </c>
      <c r="DT8">
        <v>24</v>
      </c>
      <c r="DU8" t="s">
        <v>179</v>
      </c>
      <c r="DV8" t="s">
        <v>220</v>
      </c>
      <c r="DW8" t="s">
        <v>179</v>
      </c>
      <c r="DX8" t="s">
        <v>179</v>
      </c>
      <c r="DY8" t="s">
        <v>179</v>
      </c>
      <c r="DZ8" t="s">
        <v>178</v>
      </c>
      <c r="EA8" t="s">
        <v>179</v>
      </c>
      <c r="EB8" t="s">
        <v>178</v>
      </c>
      <c r="ED8">
        <v>84</v>
      </c>
      <c r="EE8" t="s">
        <v>178</v>
      </c>
      <c r="EF8" t="s">
        <v>178</v>
      </c>
      <c r="EG8" t="s">
        <v>178</v>
      </c>
      <c r="EH8" t="s">
        <v>178</v>
      </c>
      <c r="EI8" t="s">
        <v>179</v>
      </c>
      <c r="EJ8" t="s">
        <v>178</v>
      </c>
      <c r="EK8">
        <v>1</v>
      </c>
      <c r="EL8" t="s">
        <v>209</v>
      </c>
      <c r="EM8">
        <v>2022</v>
      </c>
      <c r="EN8">
        <v>2022</v>
      </c>
      <c r="EO8">
        <v>1</v>
      </c>
      <c r="EP8" t="s">
        <v>209</v>
      </c>
      <c r="EQ8">
        <v>2022</v>
      </c>
      <c r="ER8">
        <v>2022</v>
      </c>
      <c r="ES8" t="s">
        <v>178</v>
      </c>
    </row>
    <row r="9" spans="1:149" x14ac:dyDescent="0.45">
      <c r="A9">
        <v>1878</v>
      </c>
      <c r="B9">
        <v>977201</v>
      </c>
      <c r="C9" t="s">
        <v>173</v>
      </c>
      <c r="D9" t="s">
        <v>210</v>
      </c>
      <c r="E9" t="s">
        <v>175</v>
      </c>
      <c r="F9" t="s">
        <v>176</v>
      </c>
      <c r="I9" t="s">
        <v>177</v>
      </c>
      <c r="J9" t="s">
        <v>178</v>
      </c>
      <c r="K9" t="s">
        <v>178</v>
      </c>
      <c r="L9" t="s">
        <v>245</v>
      </c>
      <c r="M9" t="s">
        <v>246</v>
      </c>
      <c r="O9" t="s">
        <v>178</v>
      </c>
      <c r="P9" t="s">
        <v>178</v>
      </c>
      <c r="Q9" t="s">
        <v>180</v>
      </c>
      <c r="R9" t="s">
        <v>200</v>
      </c>
      <c r="S9" s="6">
        <v>44722</v>
      </c>
      <c r="T9" t="s">
        <v>247</v>
      </c>
      <c r="U9" t="s">
        <v>178</v>
      </c>
      <c r="V9">
        <v>0</v>
      </c>
      <c r="Z9" t="s">
        <v>248</v>
      </c>
      <c r="AA9" t="s">
        <v>178</v>
      </c>
      <c r="AB9" t="s">
        <v>184</v>
      </c>
      <c r="AC9">
        <v>0</v>
      </c>
      <c r="AD9" t="s">
        <v>178</v>
      </c>
      <c r="AE9" t="s">
        <v>249</v>
      </c>
      <c r="AF9" t="s">
        <v>178</v>
      </c>
      <c r="AG9" t="s">
        <v>178</v>
      </c>
      <c r="AH9" t="s">
        <v>178</v>
      </c>
      <c r="AL9" t="s">
        <v>237</v>
      </c>
      <c r="AM9" t="s">
        <v>56</v>
      </c>
      <c r="AN9" t="s">
        <v>187</v>
      </c>
      <c r="AP9" t="s">
        <v>205</v>
      </c>
      <c r="AR9">
        <v>13</v>
      </c>
      <c r="AT9" s="6"/>
      <c r="AY9" t="s">
        <v>206</v>
      </c>
      <c r="AZ9" t="s">
        <v>192</v>
      </c>
      <c r="CA9" t="s">
        <v>178</v>
      </c>
      <c r="CG9" t="s">
        <v>178</v>
      </c>
      <c r="CH9" s="6"/>
      <c r="CI9" s="6"/>
      <c r="CJ9" s="6"/>
      <c r="DC9" t="s">
        <v>179</v>
      </c>
      <c r="DT9">
        <v>26</v>
      </c>
      <c r="DU9" t="s">
        <v>179</v>
      </c>
      <c r="DV9" t="s">
        <v>220</v>
      </c>
      <c r="DW9" t="s">
        <v>178</v>
      </c>
      <c r="DX9" t="s">
        <v>178</v>
      </c>
      <c r="DY9" t="s">
        <v>178</v>
      </c>
      <c r="DZ9" t="s">
        <v>178</v>
      </c>
      <c r="EA9" t="s">
        <v>178</v>
      </c>
      <c r="EB9" t="s">
        <v>178</v>
      </c>
      <c r="EE9" t="s">
        <v>178</v>
      </c>
      <c r="EF9" t="s">
        <v>178</v>
      </c>
      <c r="EG9" t="s">
        <v>178</v>
      </c>
      <c r="EH9" t="s">
        <v>178</v>
      </c>
      <c r="EI9" t="s">
        <v>178</v>
      </c>
      <c r="EJ9" t="s">
        <v>178</v>
      </c>
      <c r="EK9">
        <v>6</v>
      </c>
      <c r="EL9" t="s">
        <v>208</v>
      </c>
      <c r="EM9">
        <v>2022</v>
      </c>
      <c r="EN9">
        <v>2022</v>
      </c>
      <c r="EO9">
        <v>6</v>
      </c>
      <c r="EP9" t="s">
        <v>208</v>
      </c>
      <c r="EQ9">
        <v>2022</v>
      </c>
      <c r="ER9">
        <v>2022</v>
      </c>
      <c r="ES9" t="s">
        <v>178</v>
      </c>
    </row>
    <row r="10" spans="1:149" x14ac:dyDescent="0.45">
      <c r="A10">
        <v>349</v>
      </c>
      <c r="B10">
        <v>976558</v>
      </c>
      <c r="C10" t="s">
        <v>173</v>
      </c>
      <c r="D10" t="s">
        <v>210</v>
      </c>
      <c r="E10" t="s">
        <v>175</v>
      </c>
      <c r="F10" t="s">
        <v>176</v>
      </c>
      <c r="I10" t="s">
        <v>177</v>
      </c>
      <c r="J10" t="s">
        <v>179</v>
      </c>
      <c r="K10" t="s">
        <v>178</v>
      </c>
      <c r="L10" t="s">
        <v>71</v>
      </c>
      <c r="N10" t="s">
        <v>213</v>
      </c>
      <c r="O10" t="s">
        <v>178</v>
      </c>
      <c r="P10" t="s">
        <v>214</v>
      </c>
      <c r="Q10" t="s">
        <v>180</v>
      </c>
      <c r="R10" t="s">
        <v>215</v>
      </c>
      <c r="S10" s="6">
        <v>44305</v>
      </c>
      <c r="T10" t="s">
        <v>250</v>
      </c>
      <c r="U10" t="s">
        <v>178</v>
      </c>
      <c r="V10">
        <v>0</v>
      </c>
      <c r="W10">
        <v>0</v>
      </c>
      <c r="Z10" t="s">
        <v>217</v>
      </c>
      <c r="AA10" t="s">
        <v>178</v>
      </c>
      <c r="AB10" t="s">
        <v>184</v>
      </c>
      <c r="AC10">
        <v>0</v>
      </c>
      <c r="AD10" t="s">
        <v>178</v>
      </c>
      <c r="AE10" t="s">
        <v>249</v>
      </c>
      <c r="AF10" t="s">
        <v>178</v>
      </c>
      <c r="AG10" t="s">
        <v>178</v>
      </c>
      <c r="AH10" t="s">
        <v>178</v>
      </c>
      <c r="AL10" t="s">
        <v>219</v>
      </c>
      <c r="AT10" s="6"/>
      <c r="AZ10" t="s">
        <v>192</v>
      </c>
      <c r="CA10" t="s">
        <v>178</v>
      </c>
      <c r="CG10" t="s">
        <v>178</v>
      </c>
      <c r="CH10" s="6"/>
      <c r="DC10" t="s">
        <v>179</v>
      </c>
      <c r="DT10">
        <v>19</v>
      </c>
      <c r="DU10" t="s">
        <v>179</v>
      </c>
      <c r="DV10" t="s">
        <v>220</v>
      </c>
      <c r="DW10" t="s">
        <v>178</v>
      </c>
      <c r="DX10" t="s">
        <v>178</v>
      </c>
      <c r="DY10" t="s">
        <v>178</v>
      </c>
      <c r="DZ10" t="s">
        <v>178</v>
      </c>
      <c r="EA10" t="s">
        <v>178</v>
      </c>
      <c r="EB10" t="s">
        <v>178</v>
      </c>
      <c r="EE10" t="s">
        <v>178</v>
      </c>
      <c r="EF10" t="s">
        <v>178</v>
      </c>
      <c r="EG10" t="s">
        <v>178</v>
      </c>
      <c r="EH10" t="s">
        <v>178</v>
      </c>
      <c r="EI10" t="s">
        <v>178</v>
      </c>
      <c r="EJ10" t="s">
        <v>178</v>
      </c>
      <c r="EK10">
        <v>4</v>
      </c>
      <c r="EL10" t="s">
        <v>208</v>
      </c>
      <c r="EM10">
        <v>2021</v>
      </c>
      <c r="EN10">
        <v>2021</v>
      </c>
      <c r="EO10">
        <v>4</v>
      </c>
      <c r="EP10" t="s">
        <v>208</v>
      </c>
      <c r="EQ10">
        <v>2021</v>
      </c>
      <c r="ER10">
        <v>2022</v>
      </c>
      <c r="ES10" t="s">
        <v>178</v>
      </c>
    </row>
    <row r="11" spans="1:149" x14ac:dyDescent="0.45">
      <c r="A11">
        <v>19</v>
      </c>
      <c r="B11">
        <v>977108</v>
      </c>
      <c r="C11" t="s">
        <v>173</v>
      </c>
      <c r="D11" t="s">
        <v>224</v>
      </c>
      <c r="E11" t="s">
        <v>175</v>
      </c>
      <c r="F11" t="s">
        <v>176</v>
      </c>
      <c r="I11" t="s">
        <v>251</v>
      </c>
      <c r="J11" t="s">
        <v>179</v>
      </c>
      <c r="K11" t="s">
        <v>178</v>
      </c>
      <c r="L11" t="s">
        <v>252</v>
      </c>
      <c r="M11" t="s">
        <v>246</v>
      </c>
      <c r="O11" t="s">
        <v>179</v>
      </c>
      <c r="P11" t="s">
        <v>178</v>
      </c>
      <c r="Q11" t="s">
        <v>180</v>
      </c>
      <c r="R11" t="s">
        <v>200</v>
      </c>
      <c r="S11" s="6">
        <v>44677</v>
      </c>
      <c r="T11" t="s">
        <v>253</v>
      </c>
      <c r="U11" t="s">
        <v>179</v>
      </c>
      <c r="V11">
        <v>0</v>
      </c>
      <c r="W11">
        <v>15</v>
      </c>
      <c r="Z11" t="s">
        <v>203</v>
      </c>
      <c r="AA11" t="s">
        <v>178</v>
      </c>
      <c r="AB11" t="s">
        <v>184</v>
      </c>
      <c r="AC11">
        <v>0</v>
      </c>
      <c r="AD11" t="s">
        <v>179</v>
      </c>
      <c r="AE11" t="s">
        <v>204</v>
      </c>
      <c r="AF11" t="s">
        <v>178</v>
      </c>
      <c r="AG11" t="s">
        <v>179</v>
      </c>
      <c r="AH11" t="s">
        <v>178</v>
      </c>
      <c r="AJ11" t="s">
        <v>179</v>
      </c>
      <c r="AK11" t="s">
        <v>56</v>
      </c>
      <c r="AL11" t="s">
        <v>254</v>
      </c>
      <c r="AM11" t="s">
        <v>56</v>
      </c>
      <c r="AN11" t="s">
        <v>187</v>
      </c>
      <c r="AO11">
        <v>25</v>
      </c>
      <c r="AP11" t="s">
        <v>205</v>
      </c>
      <c r="AT11" s="6"/>
      <c r="AZ11" t="s">
        <v>192</v>
      </c>
      <c r="BX11" t="s">
        <v>255</v>
      </c>
      <c r="BY11" t="s">
        <v>256</v>
      </c>
      <c r="CA11" t="s">
        <v>178</v>
      </c>
      <c r="CG11" t="s">
        <v>178</v>
      </c>
      <c r="CH11" s="6">
        <v>44683</v>
      </c>
      <c r="CJ11" s="6"/>
      <c r="CL11" s="6"/>
      <c r="CQ11" s="6"/>
      <c r="DB11" t="s">
        <v>194</v>
      </c>
      <c r="DT11">
        <v>57</v>
      </c>
      <c r="DU11" t="s">
        <v>179</v>
      </c>
      <c r="DV11" t="s">
        <v>220</v>
      </c>
      <c r="DW11" t="s">
        <v>179</v>
      </c>
      <c r="DX11" t="s">
        <v>178</v>
      </c>
      <c r="DY11" t="s">
        <v>179</v>
      </c>
      <c r="DZ11" t="s">
        <v>178</v>
      </c>
      <c r="EA11" t="s">
        <v>178</v>
      </c>
      <c r="EB11" t="s">
        <v>179</v>
      </c>
      <c r="EE11" t="s">
        <v>179</v>
      </c>
      <c r="EF11" t="s">
        <v>178</v>
      </c>
      <c r="EG11" t="s">
        <v>178</v>
      </c>
      <c r="EH11" t="s">
        <v>178</v>
      </c>
      <c r="EI11" t="s">
        <v>178</v>
      </c>
      <c r="EJ11" t="s">
        <v>178</v>
      </c>
      <c r="EK11">
        <v>5</v>
      </c>
      <c r="EL11" t="s">
        <v>208</v>
      </c>
      <c r="EM11">
        <v>2022</v>
      </c>
      <c r="EN11">
        <v>2022</v>
      </c>
      <c r="EO11">
        <v>4</v>
      </c>
      <c r="EP11" t="s">
        <v>208</v>
      </c>
      <c r="EQ11">
        <v>2022</v>
      </c>
      <c r="ER11">
        <v>2021</v>
      </c>
      <c r="ES11" t="s">
        <v>178</v>
      </c>
    </row>
    <row r="12" spans="1:149" x14ac:dyDescent="0.45">
      <c r="A12">
        <v>134</v>
      </c>
      <c r="B12">
        <v>976935</v>
      </c>
      <c r="C12" t="s">
        <v>173</v>
      </c>
      <c r="D12" t="s">
        <v>224</v>
      </c>
      <c r="E12" t="s">
        <v>175</v>
      </c>
      <c r="F12" t="s">
        <v>257</v>
      </c>
      <c r="I12" t="s">
        <v>177</v>
      </c>
      <c r="J12" t="s">
        <v>178</v>
      </c>
      <c r="K12" t="s">
        <v>178</v>
      </c>
      <c r="L12" t="s">
        <v>258</v>
      </c>
      <c r="M12" t="s">
        <v>225</v>
      </c>
      <c r="O12" t="s">
        <v>178</v>
      </c>
      <c r="P12" t="s">
        <v>178</v>
      </c>
      <c r="Q12" t="s">
        <v>259</v>
      </c>
      <c r="R12" t="s">
        <v>200</v>
      </c>
      <c r="S12" s="6">
        <v>44568</v>
      </c>
      <c r="T12" t="s">
        <v>260</v>
      </c>
      <c r="U12" t="s">
        <v>178</v>
      </c>
      <c r="V12">
        <v>0</v>
      </c>
      <c r="W12">
        <v>15</v>
      </c>
      <c r="X12" t="s">
        <v>227</v>
      </c>
      <c r="AA12" t="s">
        <v>178</v>
      </c>
      <c r="AB12" t="s">
        <v>184</v>
      </c>
      <c r="AC12">
        <v>700</v>
      </c>
      <c r="AD12" t="s">
        <v>178</v>
      </c>
      <c r="AE12" t="s">
        <v>185</v>
      </c>
      <c r="AF12" t="s">
        <v>178</v>
      </c>
      <c r="AG12" t="s">
        <v>179</v>
      </c>
      <c r="AH12" t="s">
        <v>178</v>
      </c>
      <c r="AJ12" t="s">
        <v>179</v>
      </c>
      <c r="AL12" t="s">
        <v>219</v>
      </c>
      <c r="AM12" t="s">
        <v>56</v>
      </c>
      <c r="AN12" t="s">
        <v>187</v>
      </c>
      <c r="AO12">
        <v>30</v>
      </c>
      <c r="AT12" s="6"/>
      <c r="AZ12" t="s">
        <v>192</v>
      </c>
      <c r="CA12" t="s">
        <v>178</v>
      </c>
      <c r="CG12" t="s">
        <v>178</v>
      </c>
      <c r="CH12" s="6"/>
      <c r="CI12" s="6"/>
      <c r="CJ12" s="6"/>
      <c r="DC12" t="s">
        <v>179</v>
      </c>
      <c r="DT12">
        <v>30</v>
      </c>
      <c r="DU12" t="s">
        <v>179</v>
      </c>
      <c r="DV12" t="s">
        <v>220</v>
      </c>
      <c r="DW12" t="s">
        <v>178</v>
      </c>
      <c r="DX12" t="s">
        <v>178</v>
      </c>
      <c r="DY12" t="s">
        <v>178</v>
      </c>
      <c r="DZ12" t="s">
        <v>178</v>
      </c>
      <c r="EA12" t="s">
        <v>178</v>
      </c>
      <c r="EB12" t="s">
        <v>178</v>
      </c>
      <c r="EE12" t="s">
        <v>178</v>
      </c>
      <c r="EF12" t="s">
        <v>178</v>
      </c>
      <c r="EG12" t="s">
        <v>178</v>
      </c>
      <c r="EH12" t="s">
        <v>178</v>
      </c>
      <c r="EI12" t="s">
        <v>178</v>
      </c>
      <c r="EJ12" t="s">
        <v>178</v>
      </c>
      <c r="EK12">
        <v>1</v>
      </c>
      <c r="EL12" t="s">
        <v>209</v>
      </c>
      <c r="EM12">
        <v>2022</v>
      </c>
      <c r="EN12">
        <v>2022</v>
      </c>
      <c r="EO12">
        <v>1</v>
      </c>
      <c r="EP12" t="s">
        <v>209</v>
      </c>
      <c r="EQ12">
        <v>2022</v>
      </c>
      <c r="ER12">
        <v>2022</v>
      </c>
      <c r="ES12" t="s">
        <v>178</v>
      </c>
    </row>
    <row r="13" spans="1:149" x14ac:dyDescent="0.45">
      <c r="A13">
        <v>263</v>
      </c>
      <c r="B13">
        <v>976732</v>
      </c>
      <c r="C13" t="s">
        <v>261</v>
      </c>
      <c r="D13" t="s">
        <v>224</v>
      </c>
      <c r="E13" t="s">
        <v>175</v>
      </c>
      <c r="F13" t="s">
        <v>176</v>
      </c>
      <c r="I13" t="s">
        <v>177</v>
      </c>
      <c r="J13" t="s">
        <v>178</v>
      </c>
      <c r="K13" t="s">
        <v>178</v>
      </c>
      <c r="M13" t="s">
        <v>225</v>
      </c>
      <c r="P13" t="s">
        <v>214</v>
      </c>
      <c r="Q13" t="s">
        <v>180</v>
      </c>
      <c r="R13" t="s">
        <v>200</v>
      </c>
      <c r="S13" s="6">
        <v>44397</v>
      </c>
      <c r="T13" t="s">
        <v>262</v>
      </c>
      <c r="U13" t="s">
        <v>178</v>
      </c>
      <c r="V13">
        <v>0</v>
      </c>
      <c r="W13">
        <v>0</v>
      </c>
      <c r="Z13" t="s">
        <v>223</v>
      </c>
      <c r="AA13" t="s">
        <v>178</v>
      </c>
      <c r="AB13" t="s">
        <v>184</v>
      </c>
      <c r="AC13">
        <v>0</v>
      </c>
      <c r="AD13" t="s">
        <v>179</v>
      </c>
      <c r="AE13" t="s">
        <v>204</v>
      </c>
      <c r="AF13" t="s">
        <v>178</v>
      </c>
      <c r="AG13" t="s">
        <v>179</v>
      </c>
      <c r="AH13" t="s">
        <v>178</v>
      </c>
      <c r="AL13" t="s">
        <v>263</v>
      </c>
      <c r="AN13" t="s">
        <v>187</v>
      </c>
      <c r="AO13">
        <v>40</v>
      </c>
      <c r="AT13" s="6"/>
      <c r="AZ13" t="s">
        <v>192</v>
      </c>
      <c r="CA13" t="s">
        <v>178</v>
      </c>
      <c r="CG13" t="s">
        <v>178</v>
      </c>
      <c r="CH13" s="6"/>
      <c r="CJ13" s="6"/>
      <c r="CL13" s="6"/>
      <c r="CQ13" s="6"/>
      <c r="DC13" t="s">
        <v>179</v>
      </c>
      <c r="DD13" t="s">
        <v>264</v>
      </c>
      <c r="DE13">
        <v>7</v>
      </c>
      <c r="DL13" t="s">
        <v>265</v>
      </c>
      <c r="DT13">
        <v>49</v>
      </c>
      <c r="DU13" t="s">
        <v>179</v>
      </c>
      <c r="DV13" t="s">
        <v>220</v>
      </c>
      <c r="DW13" t="s">
        <v>178</v>
      </c>
      <c r="DX13" t="s">
        <v>178</v>
      </c>
      <c r="DY13" t="s">
        <v>178</v>
      </c>
      <c r="DZ13" t="s">
        <v>178</v>
      </c>
      <c r="EA13" t="s">
        <v>178</v>
      </c>
      <c r="EB13" t="s">
        <v>178</v>
      </c>
      <c r="EE13" t="s">
        <v>178</v>
      </c>
      <c r="EF13" t="s">
        <v>178</v>
      </c>
      <c r="EG13" t="s">
        <v>178</v>
      </c>
      <c r="EH13" t="s">
        <v>178</v>
      </c>
      <c r="EI13" t="s">
        <v>178</v>
      </c>
      <c r="EJ13" t="s">
        <v>178</v>
      </c>
      <c r="EK13">
        <v>7</v>
      </c>
      <c r="EL13" t="s">
        <v>196</v>
      </c>
      <c r="EM13">
        <v>2021</v>
      </c>
      <c r="EN13">
        <v>2022</v>
      </c>
      <c r="EO13">
        <v>7</v>
      </c>
      <c r="EP13" t="s">
        <v>196</v>
      </c>
      <c r="EQ13">
        <v>2022</v>
      </c>
      <c r="ER13">
        <v>2022</v>
      </c>
      <c r="ES13" t="s">
        <v>178</v>
      </c>
    </row>
    <row r="14" spans="1:149" x14ac:dyDescent="0.45">
      <c r="A14">
        <v>1731</v>
      </c>
      <c r="B14">
        <v>977054</v>
      </c>
      <c r="C14" t="s">
        <v>266</v>
      </c>
      <c r="D14" t="s">
        <v>174</v>
      </c>
      <c r="E14" t="s">
        <v>175</v>
      </c>
      <c r="F14" t="s">
        <v>176</v>
      </c>
      <c r="I14" t="s">
        <v>177</v>
      </c>
      <c r="J14" t="s">
        <v>179</v>
      </c>
      <c r="K14" t="s">
        <v>179</v>
      </c>
      <c r="L14" t="s">
        <v>267</v>
      </c>
      <c r="M14" t="s">
        <v>268</v>
      </c>
      <c r="O14" t="s">
        <v>178</v>
      </c>
      <c r="P14" t="s">
        <v>178</v>
      </c>
      <c r="Q14" t="s">
        <v>180</v>
      </c>
      <c r="R14" t="s">
        <v>200</v>
      </c>
      <c r="S14" s="6">
        <v>44651</v>
      </c>
      <c r="T14" t="s">
        <v>269</v>
      </c>
      <c r="U14" t="s">
        <v>178</v>
      </c>
      <c r="V14">
        <v>0</v>
      </c>
      <c r="W14">
        <v>18.25</v>
      </c>
      <c r="Z14" t="s">
        <v>248</v>
      </c>
      <c r="AA14" t="s">
        <v>178</v>
      </c>
      <c r="AB14" t="s">
        <v>184</v>
      </c>
      <c r="AC14">
        <v>0</v>
      </c>
      <c r="AD14" t="s">
        <v>179</v>
      </c>
      <c r="AE14" t="s">
        <v>204</v>
      </c>
      <c r="AF14" t="s">
        <v>178</v>
      </c>
      <c r="AG14" t="s">
        <v>179</v>
      </c>
      <c r="AH14" t="s">
        <v>178</v>
      </c>
      <c r="AJ14" t="s">
        <v>179</v>
      </c>
      <c r="AK14" t="s">
        <v>56</v>
      </c>
      <c r="AM14" t="s">
        <v>56</v>
      </c>
      <c r="AN14" t="s">
        <v>187</v>
      </c>
      <c r="AO14">
        <v>40</v>
      </c>
      <c r="AT14" s="6"/>
      <c r="AZ14" t="s">
        <v>192</v>
      </c>
      <c r="CA14" t="s">
        <v>178</v>
      </c>
      <c r="CG14" t="s">
        <v>178</v>
      </c>
      <c r="CH14" s="6">
        <v>44655</v>
      </c>
      <c r="CI14" t="s">
        <v>179</v>
      </c>
      <c r="CJ14" s="6" t="s">
        <v>207</v>
      </c>
      <c r="DA14" t="s">
        <v>179</v>
      </c>
      <c r="DB14" t="s">
        <v>194</v>
      </c>
      <c r="DT14">
        <v>31</v>
      </c>
      <c r="DU14" t="s">
        <v>178</v>
      </c>
      <c r="DW14" t="s">
        <v>179</v>
      </c>
      <c r="DX14" t="s">
        <v>178</v>
      </c>
      <c r="DY14" t="s">
        <v>179</v>
      </c>
      <c r="DZ14" t="s">
        <v>178</v>
      </c>
      <c r="EA14" t="s">
        <v>178</v>
      </c>
      <c r="EB14" t="s">
        <v>179</v>
      </c>
      <c r="EE14" t="s">
        <v>179</v>
      </c>
      <c r="EF14" t="s">
        <v>178</v>
      </c>
      <c r="EG14" t="s">
        <v>178</v>
      </c>
      <c r="EH14" t="s">
        <v>178</v>
      </c>
      <c r="EI14" t="s">
        <v>178</v>
      </c>
      <c r="EJ14" t="s">
        <v>178</v>
      </c>
      <c r="EK14">
        <v>4</v>
      </c>
      <c r="EL14" t="s">
        <v>208</v>
      </c>
      <c r="EM14">
        <v>2022</v>
      </c>
      <c r="EN14">
        <v>2022</v>
      </c>
      <c r="EO14">
        <v>3</v>
      </c>
      <c r="EP14" t="s">
        <v>209</v>
      </c>
      <c r="EQ14">
        <v>2022</v>
      </c>
      <c r="ER14">
        <v>2022</v>
      </c>
      <c r="ES14" t="s">
        <v>178</v>
      </c>
    </row>
    <row r="15" spans="1:149" x14ac:dyDescent="0.45">
      <c r="A15">
        <v>1871</v>
      </c>
      <c r="B15">
        <v>976401</v>
      </c>
      <c r="C15" t="s">
        <v>173</v>
      </c>
      <c r="D15" t="s">
        <v>210</v>
      </c>
      <c r="E15" t="s">
        <v>175</v>
      </c>
      <c r="F15" t="s">
        <v>270</v>
      </c>
      <c r="I15" t="s">
        <v>177</v>
      </c>
      <c r="J15" t="s">
        <v>179</v>
      </c>
      <c r="K15" t="s">
        <v>178</v>
      </c>
      <c r="L15" t="s">
        <v>71</v>
      </c>
      <c r="N15" t="s">
        <v>213</v>
      </c>
      <c r="O15" t="s">
        <v>179</v>
      </c>
      <c r="P15" t="s">
        <v>214</v>
      </c>
      <c r="Q15" t="s">
        <v>259</v>
      </c>
      <c r="R15" t="s">
        <v>215</v>
      </c>
      <c r="S15" s="6">
        <v>44231</v>
      </c>
      <c r="T15" t="s">
        <v>271</v>
      </c>
      <c r="U15" t="s">
        <v>178</v>
      </c>
      <c r="V15">
        <v>3</v>
      </c>
      <c r="Z15" t="s">
        <v>272</v>
      </c>
      <c r="AA15" t="s">
        <v>178</v>
      </c>
      <c r="AB15" t="s">
        <v>184</v>
      </c>
      <c r="AC15">
        <v>0</v>
      </c>
      <c r="AD15" t="s">
        <v>179</v>
      </c>
      <c r="AE15" t="s">
        <v>218</v>
      </c>
      <c r="AF15" t="s">
        <v>178</v>
      </c>
      <c r="AG15" t="s">
        <v>179</v>
      </c>
      <c r="AK15" t="s">
        <v>56</v>
      </c>
      <c r="AL15" t="s">
        <v>219</v>
      </c>
      <c r="AQ15" t="s">
        <v>273</v>
      </c>
      <c r="AR15">
        <v>0</v>
      </c>
      <c r="AT15" s="6"/>
      <c r="AY15" t="s">
        <v>238</v>
      </c>
      <c r="AZ15" t="s">
        <v>192</v>
      </c>
      <c r="BA15" t="s">
        <v>274</v>
      </c>
      <c r="BB15" t="s">
        <v>240</v>
      </c>
      <c r="BC15" t="s">
        <v>275</v>
      </c>
      <c r="BD15">
        <v>12</v>
      </c>
      <c r="BE15">
        <v>20</v>
      </c>
      <c r="BF15" t="s">
        <v>178</v>
      </c>
      <c r="BG15" t="s">
        <v>178</v>
      </c>
      <c r="BH15" t="s">
        <v>178</v>
      </c>
      <c r="BI15" t="s">
        <v>178</v>
      </c>
      <c r="BJ15" t="s">
        <v>178</v>
      </c>
      <c r="BK15" t="s">
        <v>276</v>
      </c>
      <c r="BL15" t="s">
        <v>277</v>
      </c>
      <c r="BM15" t="s">
        <v>278</v>
      </c>
      <c r="BN15">
        <v>14</v>
      </c>
      <c r="BO15">
        <v>40</v>
      </c>
      <c r="BP15" t="s">
        <v>179</v>
      </c>
      <c r="BQ15" t="s">
        <v>178</v>
      </c>
      <c r="BR15" t="s">
        <v>178</v>
      </c>
      <c r="BS15" t="s">
        <v>178</v>
      </c>
      <c r="BT15" t="s">
        <v>178</v>
      </c>
      <c r="BW15" t="s">
        <v>179</v>
      </c>
      <c r="BX15" t="s">
        <v>255</v>
      </c>
      <c r="BY15" t="s">
        <v>243</v>
      </c>
      <c r="BZ15" t="s">
        <v>255</v>
      </c>
      <c r="CA15" t="s">
        <v>178</v>
      </c>
      <c r="CB15">
        <v>388</v>
      </c>
      <c r="CD15">
        <v>388</v>
      </c>
      <c r="CE15">
        <v>388</v>
      </c>
      <c r="CF15">
        <v>388</v>
      </c>
      <c r="CG15" t="s">
        <v>178</v>
      </c>
      <c r="CH15" s="6">
        <v>44270</v>
      </c>
      <c r="CI15" s="6" t="s">
        <v>179</v>
      </c>
      <c r="CJ15" t="s">
        <v>279</v>
      </c>
      <c r="CL15" s="6"/>
      <c r="CQ15" s="6"/>
      <c r="DA15" t="s">
        <v>179</v>
      </c>
      <c r="DB15" t="s">
        <v>194</v>
      </c>
      <c r="DT15">
        <v>25</v>
      </c>
      <c r="DU15" t="s">
        <v>179</v>
      </c>
      <c r="DV15" t="s">
        <v>220</v>
      </c>
      <c r="DW15" t="s">
        <v>179</v>
      </c>
      <c r="DX15" t="s">
        <v>179</v>
      </c>
      <c r="DY15" t="s">
        <v>179</v>
      </c>
      <c r="DZ15" t="s">
        <v>178</v>
      </c>
      <c r="EA15" t="s">
        <v>179</v>
      </c>
      <c r="EB15" t="s">
        <v>178</v>
      </c>
      <c r="ED15">
        <v>152</v>
      </c>
      <c r="EE15" t="s">
        <v>178</v>
      </c>
      <c r="EF15" t="s">
        <v>178</v>
      </c>
      <c r="EG15" t="s">
        <v>178</v>
      </c>
      <c r="EH15" t="s">
        <v>178</v>
      </c>
      <c r="EI15" t="s">
        <v>179</v>
      </c>
      <c r="EJ15" t="s">
        <v>178</v>
      </c>
      <c r="EK15">
        <v>3</v>
      </c>
      <c r="EL15" t="s">
        <v>209</v>
      </c>
      <c r="EM15">
        <v>2021</v>
      </c>
      <c r="EN15">
        <v>2021</v>
      </c>
      <c r="EO15">
        <v>2</v>
      </c>
      <c r="EP15" t="s">
        <v>209</v>
      </c>
      <c r="EQ15">
        <v>2021</v>
      </c>
      <c r="ER15">
        <v>2022</v>
      </c>
      <c r="ES15" t="s">
        <v>178</v>
      </c>
    </row>
    <row r="16" spans="1:149" x14ac:dyDescent="0.45">
      <c r="A16">
        <v>470</v>
      </c>
      <c r="B16">
        <v>976341</v>
      </c>
      <c r="C16" t="s">
        <v>173</v>
      </c>
      <c r="D16" t="s">
        <v>210</v>
      </c>
      <c r="E16" t="s">
        <v>175</v>
      </c>
      <c r="F16" t="s">
        <v>270</v>
      </c>
      <c r="I16" t="s">
        <v>177</v>
      </c>
      <c r="J16" t="s">
        <v>178</v>
      </c>
      <c r="K16" t="s">
        <v>178</v>
      </c>
      <c r="L16" t="s">
        <v>71</v>
      </c>
      <c r="N16" t="s">
        <v>213</v>
      </c>
      <c r="O16" t="s">
        <v>179</v>
      </c>
      <c r="P16" t="s">
        <v>214</v>
      </c>
      <c r="Q16" t="s">
        <v>259</v>
      </c>
      <c r="R16" t="s">
        <v>215</v>
      </c>
      <c r="S16" s="6">
        <v>44204</v>
      </c>
      <c r="T16" t="s">
        <v>280</v>
      </c>
      <c r="U16" t="s">
        <v>178</v>
      </c>
      <c r="V16">
        <v>0</v>
      </c>
      <c r="W16">
        <v>0</v>
      </c>
      <c r="X16" t="s">
        <v>281</v>
      </c>
      <c r="Y16" t="s">
        <v>282</v>
      </c>
      <c r="Z16" t="s">
        <v>217</v>
      </c>
      <c r="AA16" t="s">
        <v>178</v>
      </c>
      <c r="AB16" t="s">
        <v>184</v>
      </c>
      <c r="AC16">
        <v>400</v>
      </c>
      <c r="AD16" t="s">
        <v>178</v>
      </c>
      <c r="AE16" t="s">
        <v>218</v>
      </c>
      <c r="AF16" t="s">
        <v>178</v>
      </c>
      <c r="AG16" t="s">
        <v>178</v>
      </c>
      <c r="AK16" t="s">
        <v>56</v>
      </c>
      <c r="AL16" t="s">
        <v>283</v>
      </c>
      <c r="AO16">
        <v>0</v>
      </c>
      <c r="AT16" s="6"/>
      <c r="AZ16" t="s">
        <v>192</v>
      </c>
      <c r="BA16" t="s">
        <v>284</v>
      </c>
      <c r="BB16" t="s">
        <v>240</v>
      </c>
      <c r="BC16" t="s">
        <v>285</v>
      </c>
      <c r="BD16">
        <v>11.75</v>
      </c>
      <c r="BE16">
        <v>20</v>
      </c>
      <c r="BF16" t="s">
        <v>178</v>
      </c>
      <c r="BG16" t="s">
        <v>178</v>
      </c>
      <c r="BH16" t="s">
        <v>178</v>
      </c>
      <c r="BI16" t="s">
        <v>178</v>
      </c>
      <c r="BJ16" t="s">
        <v>178</v>
      </c>
      <c r="BK16" t="s">
        <v>286</v>
      </c>
      <c r="BL16" t="s">
        <v>277</v>
      </c>
      <c r="BM16" t="s">
        <v>287</v>
      </c>
      <c r="BN16">
        <v>13.24</v>
      </c>
      <c r="BO16">
        <v>24</v>
      </c>
      <c r="BP16" t="s">
        <v>178</v>
      </c>
      <c r="BQ16" t="s">
        <v>179</v>
      </c>
      <c r="BR16" t="s">
        <v>178</v>
      </c>
      <c r="BS16" t="s">
        <v>178</v>
      </c>
      <c r="BT16" t="s">
        <v>178</v>
      </c>
      <c r="BW16" t="s">
        <v>179</v>
      </c>
      <c r="BX16" t="s">
        <v>288</v>
      </c>
      <c r="BY16" t="s">
        <v>243</v>
      </c>
      <c r="BZ16" t="s">
        <v>288</v>
      </c>
      <c r="CA16" t="s">
        <v>178</v>
      </c>
      <c r="CB16">
        <v>427</v>
      </c>
      <c r="CD16">
        <v>427</v>
      </c>
      <c r="CE16">
        <v>427</v>
      </c>
      <c r="CF16">
        <v>427</v>
      </c>
      <c r="CG16" t="s">
        <v>178</v>
      </c>
      <c r="CH16" s="6">
        <v>44165</v>
      </c>
      <c r="CI16" s="6" t="s">
        <v>179</v>
      </c>
      <c r="CJ16" s="6" t="s">
        <v>289</v>
      </c>
      <c r="DA16" t="s">
        <v>179</v>
      </c>
      <c r="DB16" t="s">
        <v>194</v>
      </c>
      <c r="DT16">
        <v>26</v>
      </c>
      <c r="DU16" t="s">
        <v>179</v>
      </c>
      <c r="DV16" t="s">
        <v>220</v>
      </c>
      <c r="DW16" t="s">
        <v>179</v>
      </c>
      <c r="DX16" t="s">
        <v>179</v>
      </c>
      <c r="DY16" t="s">
        <v>179</v>
      </c>
      <c r="DZ16" t="s">
        <v>178</v>
      </c>
      <c r="EA16" t="s">
        <v>179</v>
      </c>
      <c r="EB16" t="s">
        <v>178</v>
      </c>
      <c r="ED16">
        <v>97</v>
      </c>
      <c r="EE16" t="s">
        <v>178</v>
      </c>
      <c r="EF16" t="s">
        <v>178</v>
      </c>
      <c r="EG16" t="s">
        <v>178</v>
      </c>
      <c r="EH16" t="s">
        <v>178</v>
      </c>
      <c r="EI16" t="s">
        <v>179</v>
      </c>
      <c r="EJ16" t="s">
        <v>178</v>
      </c>
      <c r="EK16">
        <v>11</v>
      </c>
      <c r="EL16" t="s">
        <v>290</v>
      </c>
      <c r="EM16">
        <v>2020</v>
      </c>
      <c r="EN16">
        <v>2021</v>
      </c>
      <c r="EO16">
        <v>1</v>
      </c>
      <c r="EP16" t="s">
        <v>209</v>
      </c>
      <c r="EQ16">
        <v>2021</v>
      </c>
      <c r="ER16">
        <v>2021</v>
      </c>
      <c r="ES16" t="s">
        <v>178</v>
      </c>
    </row>
    <row r="17" spans="1:149" x14ac:dyDescent="0.45">
      <c r="A17">
        <v>1899</v>
      </c>
      <c r="B17">
        <v>977168</v>
      </c>
      <c r="C17" t="s">
        <v>173</v>
      </c>
      <c r="D17" t="s">
        <v>174</v>
      </c>
      <c r="E17" t="s">
        <v>175</v>
      </c>
      <c r="F17" t="s">
        <v>176</v>
      </c>
      <c r="I17" t="s">
        <v>177</v>
      </c>
      <c r="J17" t="s">
        <v>178</v>
      </c>
      <c r="K17" t="s">
        <v>178</v>
      </c>
      <c r="L17" t="s">
        <v>291</v>
      </c>
      <c r="M17" t="s">
        <v>246</v>
      </c>
      <c r="O17" t="s">
        <v>178</v>
      </c>
      <c r="P17" t="s">
        <v>178</v>
      </c>
      <c r="Q17" t="s">
        <v>180</v>
      </c>
      <c r="R17" t="s">
        <v>200</v>
      </c>
      <c r="S17" s="6">
        <v>44677</v>
      </c>
      <c r="T17" t="s">
        <v>292</v>
      </c>
      <c r="U17" t="s">
        <v>178</v>
      </c>
      <c r="V17">
        <v>0</v>
      </c>
      <c r="Z17" t="s">
        <v>66</v>
      </c>
      <c r="AA17" t="s">
        <v>178</v>
      </c>
      <c r="AB17" t="s">
        <v>184</v>
      </c>
      <c r="AC17">
        <v>0</v>
      </c>
      <c r="AD17" t="s">
        <v>179</v>
      </c>
      <c r="AE17" t="s">
        <v>204</v>
      </c>
      <c r="AF17" t="s">
        <v>178</v>
      </c>
      <c r="AG17" t="s">
        <v>178</v>
      </c>
      <c r="AH17" t="s">
        <v>178</v>
      </c>
      <c r="AJ17" t="s">
        <v>178</v>
      </c>
      <c r="AK17" t="s">
        <v>56</v>
      </c>
      <c r="AL17" t="s">
        <v>237</v>
      </c>
      <c r="AM17" t="s">
        <v>56</v>
      </c>
      <c r="AN17" t="s">
        <v>187</v>
      </c>
      <c r="AP17" t="s">
        <v>205</v>
      </c>
      <c r="AR17">
        <v>13</v>
      </c>
      <c r="AT17" s="6"/>
      <c r="AY17" t="s">
        <v>206</v>
      </c>
      <c r="AZ17" t="s">
        <v>192</v>
      </c>
      <c r="BA17" t="s">
        <v>293</v>
      </c>
      <c r="BB17" t="s">
        <v>240</v>
      </c>
      <c r="BC17" t="s">
        <v>294</v>
      </c>
      <c r="BD17">
        <v>12.7</v>
      </c>
      <c r="BE17">
        <v>40</v>
      </c>
      <c r="BF17" t="s">
        <v>179</v>
      </c>
      <c r="BG17" t="s">
        <v>179</v>
      </c>
      <c r="BH17" t="s">
        <v>179</v>
      </c>
      <c r="BI17" t="s">
        <v>179</v>
      </c>
      <c r="BJ17" t="s">
        <v>179</v>
      </c>
      <c r="BK17" t="s">
        <v>293</v>
      </c>
      <c r="BL17" t="s">
        <v>240</v>
      </c>
      <c r="BM17" t="s">
        <v>294</v>
      </c>
      <c r="BN17">
        <v>12.7</v>
      </c>
      <c r="BO17">
        <v>40</v>
      </c>
      <c r="BP17" t="s">
        <v>179</v>
      </c>
      <c r="BQ17" t="s">
        <v>179</v>
      </c>
      <c r="BR17" t="s">
        <v>179</v>
      </c>
      <c r="BS17" t="s">
        <v>179</v>
      </c>
      <c r="BT17" t="s">
        <v>179</v>
      </c>
      <c r="BU17" t="s">
        <v>179</v>
      </c>
      <c r="BV17" t="s">
        <v>295</v>
      </c>
      <c r="CA17" t="s">
        <v>179</v>
      </c>
      <c r="CG17" t="s">
        <v>179</v>
      </c>
      <c r="CH17" s="6">
        <v>44712</v>
      </c>
      <c r="CI17" s="6" t="s">
        <v>179</v>
      </c>
      <c r="CJ17" s="6" t="s">
        <v>296</v>
      </c>
      <c r="DA17" t="s">
        <v>179</v>
      </c>
      <c r="DB17" t="s">
        <v>194</v>
      </c>
      <c r="DT17">
        <v>25</v>
      </c>
      <c r="DU17" t="s">
        <v>179</v>
      </c>
      <c r="DV17" t="s">
        <v>220</v>
      </c>
      <c r="DW17" t="s">
        <v>179</v>
      </c>
      <c r="DX17" t="s">
        <v>179</v>
      </c>
      <c r="DY17" t="s">
        <v>179</v>
      </c>
      <c r="DZ17" t="s">
        <v>178</v>
      </c>
      <c r="EA17" t="s">
        <v>179</v>
      </c>
      <c r="EB17" t="s">
        <v>178</v>
      </c>
      <c r="ED17">
        <v>139</v>
      </c>
      <c r="EE17" t="s">
        <v>178</v>
      </c>
      <c r="EF17" t="s">
        <v>178</v>
      </c>
      <c r="EG17" t="s">
        <v>178</v>
      </c>
      <c r="EH17" t="s">
        <v>178</v>
      </c>
      <c r="EI17" t="s">
        <v>179</v>
      </c>
      <c r="EJ17" t="s">
        <v>178</v>
      </c>
      <c r="EK17">
        <v>5</v>
      </c>
      <c r="EL17" t="s">
        <v>208</v>
      </c>
      <c r="EM17">
        <v>2022</v>
      </c>
      <c r="EN17">
        <v>2022</v>
      </c>
      <c r="EO17">
        <v>4</v>
      </c>
      <c r="EP17" t="s">
        <v>208</v>
      </c>
      <c r="EQ17">
        <v>2022</v>
      </c>
      <c r="ER17">
        <v>2021</v>
      </c>
      <c r="ES17" t="s">
        <v>178</v>
      </c>
    </row>
    <row r="18" spans="1:149" x14ac:dyDescent="0.45">
      <c r="A18">
        <v>1900</v>
      </c>
      <c r="B18">
        <v>976539</v>
      </c>
      <c r="C18" t="s">
        <v>173</v>
      </c>
      <c r="D18" t="s">
        <v>210</v>
      </c>
      <c r="E18" t="s">
        <v>175</v>
      </c>
      <c r="F18" t="s">
        <v>176</v>
      </c>
      <c r="I18" t="s">
        <v>177</v>
      </c>
      <c r="J18" t="s">
        <v>178</v>
      </c>
      <c r="K18" t="s">
        <v>178</v>
      </c>
      <c r="L18" t="s">
        <v>71</v>
      </c>
      <c r="N18" t="s">
        <v>213</v>
      </c>
      <c r="O18" t="s">
        <v>179</v>
      </c>
      <c r="P18" t="s">
        <v>214</v>
      </c>
      <c r="Q18" t="s">
        <v>259</v>
      </c>
      <c r="R18" t="s">
        <v>215</v>
      </c>
      <c r="S18" s="6">
        <v>44294</v>
      </c>
      <c r="T18" t="s">
        <v>297</v>
      </c>
      <c r="U18" t="s">
        <v>178</v>
      </c>
      <c r="V18">
        <v>0</v>
      </c>
      <c r="Z18" t="s">
        <v>272</v>
      </c>
      <c r="AA18" t="s">
        <v>178</v>
      </c>
      <c r="AB18" t="s">
        <v>184</v>
      </c>
      <c r="AC18">
        <v>0</v>
      </c>
      <c r="AD18" t="s">
        <v>178</v>
      </c>
      <c r="AE18" t="s">
        <v>218</v>
      </c>
      <c r="AF18" t="s">
        <v>178</v>
      </c>
      <c r="AG18" t="s">
        <v>178</v>
      </c>
      <c r="AH18" t="s">
        <v>178</v>
      </c>
      <c r="AK18" t="s">
        <v>54</v>
      </c>
      <c r="AM18" t="s">
        <v>179</v>
      </c>
      <c r="AR18">
        <v>0</v>
      </c>
      <c r="AT18" s="6"/>
      <c r="AY18" t="s">
        <v>238</v>
      </c>
      <c r="AZ18" t="s">
        <v>192</v>
      </c>
      <c r="CA18" t="s">
        <v>178</v>
      </c>
      <c r="CG18" t="s">
        <v>178</v>
      </c>
      <c r="CH18" s="6">
        <v>44305</v>
      </c>
      <c r="CI18" s="6"/>
      <c r="CK18" t="s">
        <v>179</v>
      </c>
      <c r="CL18" s="6" t="s">
        <v>298</v>
      </c>
      <c r="CQ18" s="6"/>
      <c r="DA18" t="s">
        <v>179</v>
      </c>
      <c r="DB18" t="s">
        <v>194</v>
      </c>
      <c r="DC18" t="s">
        <v>179</v>
      </c>
      <c r="DT18">
        <v>24</v>
      </c>
      <c r="DU18" t="s">
        <v>178</v>
      </c>
      <c r="DW18" t="s">
        <v>179</v>
      </c>
      <c r="DX18" t="s">
        <v>178</v>
      </c>
      <c r="DY18" t="s">
        <v>179</v>
      </c>
      <c r="DZ18" t="s">
        <v>178</v>
      </c>
      <c r="EA18" t="s">
        <v>178</v>
      </c>
      <c r="EB18" t="s">
        <v>178</v>
      </c>
      <c r="EE18" t="s">
        <v>178</v>
      </c>
      <c r="EF18" t="s">
        <v>178</v>
      </c>
      <c r="EG18" t="s">
        <v>178</v>
      </c>
      <c r="EH18" t="s">
        <v>178</v>
      </c>
      <c r="EI18" t="s">
        <v>178</v>
      </c>
      <c r="EJ18" t="s">
        <v>178</v>
      </c>
      <c r="EK18">
        <v>4</v>
      </c>
      <c r="EL18" t="s">
        <v>208</v>
      </c>
      <c r="EM18">
        <v>2021</v>
      </c>
      <c r="EN18">
        <v>2021</v>
      </c>
      <c r="EO18">
        <v>4</v>
      </c>
      <c r="EP18" t="s">
        <v>208</v>
      </c>
      <c r="EQ18">
        <v>2021</v>
      </c>
      <c r="ER18">
        <v>2021</v>
      </c>
      <c r="ES18" t="s">
        <v>178</v>
      </c>
    </row>
    <row r="19" spans="1:149" x14ac:dyDescent="0.45">
      <c r="A19">
        <v>162</v>
      </c>
      <c r="B19">
        <v>976893</v>
      </c>
      <c r="C19" t="s">
        <v>173</v>
      </c>
      <c r="D19" t="s">
        <v>174</v>
      </c>
      <c r="E19" t="s">
        <v>175</v>
      </c>
      <c r="F19" t="s">
        <v>299</v>
      </c>
      <c r="I19" t="s">
        <v>177</v>
      </c>
      <c r="J19" t="s">
        <v>178</v>
      </c>
      <c r="K19" t="s">
        <v>178</v>
      </c>
      <c r="L19" t="s">
        <v>300</v>
      </c>
      <c r="M19" t="s">
        <v>235</v>
      </c>
      <c r="O19" t="s">
        <v>179</v>
      </c>
      <c r="P19" t="s">
        <v>178</v>
      </c>
      <c r="Q19" t="s">
        <v>259</v>
      </c>
      <c r="R19" t="s">
        <v>200</v>
      </c>
      <c r="S19" s="6">
        <v>44516</v>
      </c>
      <c r="T19" t="s">
        <v>301</v>
      </c>
      <c r="U19" t="s">
        <v>178</v>
      </c>
      <c r="V19">
        <v>0</v>
      </c>
      <c r="W19">
        <v>19</v>
      </c>
      <c r="Z19" t="s">
        <v>302</v>
      </c>
      <c r="AA19" t="s">
        <v>178</v>
      </c>
      <c r="AB19" t="s">
        <v>184</v>
      </c>
      <c r="AC19">
        <v>0</v>
      </c>
      <c r="AD19" t="s">
        <v>178</v>
      </c>
      <c r="AE19" t="s">
        <v>303</v>
      </c>
      <c r="AF19" t="s">
        <v>178</v>
      </c>
      <c r="AG19" t="s">
        <v>178</v>
      </c>
      <c r="AH19" t="s">
        <v>179</v>
      </c>
      <c r="AJ19" t="s">
        <v>178</v>
      </c>
      <c r="AK19" t="s">
        <v>56</v>
      </c>
      <c r="AL19" t="s">
        <v>237</v>
      </c>
      <c r="AM19" t="s">
        <v>56</v>
      </c>
      <c r="AN19" t="s">
        <v>187</v>
      </c>
      <c r="AO19">
        <v>40</v>
      </c>
      <c r="AP19" t="s">
        <v>304</v>
      </c>
      <c r="AT19" s="6"/>
      <c r="AZ19" t="s">
        <v>192</v>
      </c>
      <c r="BA19" t="s">
        <v>305</v>
      </c>
      <c r="BB19" t="s">
        <v>240</v>
      </c>
      <c r="BC19" t="s">
        <v>306</v>
      </c>
      <c r="BD19">
        <v>15.5</v>
      </c>
      <c r="BE19">
        <v>40</v>
      </c>
      <c r="BF19" t="s">
        <v>179</v>
      </c>
      <c r="BG19" t="s">
        <v>179</v>
      </c>
      <c r="BH19" t="s">
        <v>178</v>
      </c>
      <c r="BI19" t="s">
        <v>178</v>
      </c>
      <c r="BJ19" t="s">
        <v>179</v>
      </c>
      <c r="BK19" t="s">
        <v>307</v>
      </c>
      <c r="BL19" t="s">
        <v>240</v>
      </c>
      <c r="BM19" t="s">
        <v>308</v>
      </c>
      <c r="BN19">
        <v>17.5</v>
      </c>
      <c r="BO19">
        <v>40</v>
      </c>
      <c r="BP19" t="s">
        <v>179</v>
      </c>
      <c r="BQ19" t="s">
        <v>179</v>
      </c>
      <c r="BR19" t="s">
        <v>178</v>
      </c>
      <c r="BS19" t="s">
        <v>178</v>
      </c>
      <c r="BT19" t="s">
        <v>179</v>
      </c>
      <c r="BW19" t="s">
        <v>179</v>
      </c>
      <c r="BX19" t="s">
        <v>309</v>
      </c>
      <c r="BY19" t="s">
        <v>310</v>
      </c>
      <c r="BZ19" t="s">
        <v>309</v>
      </c>
      <c r="CA19" t="s">
        <v>178</v>
      </c>
      <c r="CB19">
        <v>108</v>
      </c>
      <c r="CD19">
        <v>108</v>
      </c>
      <c r="CE19">
        <v>108</v>
      </c>
      <c r="CF19">
        <v>108</v>
      </c>
      <c r="CG19" t="s">
        <v>178</v>
      </c>
      <c r="CH19" s="6">
        <v>44571</v>
      </c>
      <c r="CI19" s="6"/>
      <c r="CJ19" s="6"/>
      <c r="CL19" s="6"/>
      <c r="CQ19" s="6"/>
      <c r="DC19" t="s">
        <v>179</v>
      </c>
      <c r="DT19">
        <v>23</v>
      </c>
      <c r="DU19" t="s">
        <v>179</v>
      </c>
      <c r="DV19" t="s">
        <v>220</v>
      </c>
      <c r="DW19" t="s">
        <v>179</v>
      </c>
      <c r="DX19" t="s">
        <v>179</v>
      </c>
      <c r="DY19" t="s">
        <v>179</v>
      </c>
      <c r="DZ19" t="s">
        <v>178</v>
      </c>
      <c r="EA19" t="s">
        <v>179</v>
      </c>
      <c r="EB19" t="s">
        <v>178</v>
      </c>
      <c r="ED19">
        <v>68</v>
      </c>
      <c r="EE19" t="s">
        <v>178</v>
      </c>
      <c r="EF19" t="s">
        <v>178</v>
      </c>
      <c r="EG19" t="s">
        <v>178</v>
      </c>
      <c r="EH19" t="s">
        <v>178</v>
      </c>
      <c r="EI19" t="s">
        <v>179</v>
      </c>
      <c r="EJ19" t="s">
        <v>178</v>
      </c>
      <c r="EK19">
        <v>1</v>
      </c>
      <c r="EL19" t="s">
        <v>209</v>
      </c>
      <c r="EM19">
        <v>2022</v>
      </c>
      <c r="EN19">
        <v>2022</v>
      </c>
      <c r="EO19">
        <v>11</v>
      </c>
      <c r="EP19" t="s">
        <v>290</v>
      </c>
      <c r="EQ19">
        <v>2022</v>
      </c>
      <c r="ER19">
        <v>2022</v>
      </c>
      <c r="ES19" t="s">
        <v>178</v>
      </c>
    </row>
    <row r="20" spans="1:149" x14ac:dyDescent="0.45">
      <c r="A20">
        <v>1877</v>
      </c>
      <c r="B20">
        <v>977194</v>
      </c>
      <c r="C20" t="s">
        <v>173</v>
      </c>
      <c r="D20" t="s">
        <v>174</v>
      </c>
      <c r="E20" t="s">
        <v>175</v>
      </c>
      <c r="F20" t="s">
        <v>176</v>
      </c>
      <c r="I20" t="s">
        <v>177</v>
      </c>
      <c r="J20" t="s">
        <v>178</v>
      </c>
      <c r="K20" t="s">
        <v>178</v>
      </c>
      <c r="L20" t="s">
        <v>311</v>
      </c>
      <c r="M20" t="s">
        <v>246</v>
      </c>
      <c r="O20" t="s">
        <v>178</v>
      </c>
      <c r="P20" t="s">
        <v>178</v>
      </c>
      <c r="Q20" t="s">
        <v>180</v>
      </c>
      <c r="R20" t="s">
        <v>200</v>
      </c>
      <c r="S20" s="6">
        <v>44726</v>
      </c>
      <c r="T20" t="s">
        <v>312</v>
      </c>
      <c r="U20" t="s">
        <v>178</v>
      </c>
      <c r="V20">
        <v>0</v>
      </c>
      <c r="Z20" t="s">
        <v>66</v>
      </c>
      <c r="AA20" t="s">
        <v>178</v>
      </c>
      <c r="AB20" t="s">
        <v>184</v>
      </c>
      <c r="AC20">
        <v>2800</v>
      </c>
      <c r="AD20" t="s">
        <v>179</v>
      </c>
      <c r="AE20" t="s">
        <v>204</v>
      </c>
      <c r="AF20" t="s">
        <v>178</v>
      </c>
      <c r="AG20" t="s">
        <v>179</v>
      </c>
      <c r="AH20" t="s">
        <v>178</v>
      </c>
      <c r="AJ20" t="s">
        <v>179</v>
      </c>
      <c r="AL20" t="s">
        <v>219</v>
      </c>
      <c r="AM20" t="s">
        <v>56</v>
      </c>
      <c r="AN20" t="s">
        <v>187</v>
      </c>
      <c r="AR20">
        <v>17</v>
      </c>
      <c r="AT20" s="6"/>
      <c r="AY20" t="s">
        <v>206</v>
      </c>
      <c r="AZ20" t="s">
        <v>192</v>
      </c>
      <c r="CA20" t="s">
        <v>179</v>
      </c>
      <c r="CG20" t="s">
        <v>178</v>
      </c>
      <c r="CH20" s="6"/>
      <c r="CI20" s="6"/>
      <c r="CJ20" s="6"/>
      <c r="CL20" s="6"/>
      <c r="CQ20" s="6"/>
      <c r="DC20" t="s">
        <v>179</v>
      </c>
      <c r="DT20">
        <v>55</v>
      </c>
      <c r="DU20" t="s">
        <v>179</v>
      </c>
      <c r="DV20" t="s">
        <v>220</v>
      </c>
      <c r="DW20" t="s">
        <v>178</v>
      </c>
      <c r="DX20" t="s">
        <v>178</v>
      </c>
      <c r="DY20" t="s">
        <v>178</v>
      </c>
      <c r="DZ20" t="s">
        <v>178</v>
      </c>
      <c r="EA20" t="s">
        <v>179</v>
      </c>
      <c r="EB20" t="s">
        <v>178</v>
      </c>
      <c r="EE20" t="s">
        <v>178</v>
      </c>
      <c r="EF20" t="s">
        <v>178</v>
      </c>
      <c r="EG20" t="s">
        <v>178</v>
      </c>
      <c r="EH20" t="s">
        <v>178</v>
      </c>
      <c r="EI20" t="s">
        <v>178</v>
      </c>
      <c r="EJ20" t="s">
        <v>178</v>
      </c>
      <c r="EK20">
        <v>6</v>
      </c>
      <c r="EL20" t="s">
        <v>208</v>
      </c>
      <c r="EM20">
        <v>2022</v>
      </c>
      <c r="EN20">
        <v>2022</v>
      </c>
      <c r="EO20">
        <v>6</v>
      </c>
      <c r="EP20" t="s">
        <v>208</v>
      </c>
      <c r="EQ20">
        <v>2022</v>
      </c>
      <c r="ER20">
        <v>2021</v>
      </c>
      <c r="ES20" t="s">
        <v>178</v>
      </c>
    </row>
    <row r="21" spans="1:149" x14ac:dyDescent="0.45">
      <c r="A21">
        <v>312</v>
      </c>
      <c r="B21">
        <v>976628</v>
      </c>
      <c r="C21" t="s">
        <v>173</v>
      </c>
      <c r="D21" t="s">
        <v>210</v>
      </c>
      <c r="E21" t="s">
        <v>175</v>
      </c>
      <c r="F21" t="s">
        <v>176</v>
      </c>
      <c r="I21" t="s">
        <v>177</v>
      </c>
      <c r="J21" t="s">
        <v>179</v>
      </c>
      <c r="K21" t="s">
        <v>178</v>
      </c>
      <c r="L21" t="s">
        <v>71</v>
      </c>
      <c r="N21" t="s">
        <v>213</v>
      </c>
      <c r="O21" t="s">
        <v>178</v>
      </c>
      <c r="P21" t="s">
        <v>214</v>
      </c>
      <c r="Q21" t="s">
        <v>180</v>
      </c>
      <c r="R21" t="s">
        <v>215</v>
      </c>
      <c r="S21" s="6">
        <v>44336</v>
      </c>
      <c r="T21" t="s">
        <v>313</v>
      </c>
      <c r="U21" t="s">
        <v>178</v>
      </c>
      <c r="V21">
        <v>0</v>
      </c>
      <c r="W21">
        <v>0</v>
      </c>
      <c r="X21" t="s">
        <v>314</v>
      </c>
      <c r="Z21" t="s">
        <v>315</v>
      </c>
      <c r="AA21" t="s">
        <v>178</v>
      </c>
      <c r="AB21" t="s">
        <v>316</v>
      </c>
      <c r="AC21">
        <v>0</v>
      </c>
      <c r="AD21" t="s">
        <v>178</v>
      </c>
      <c r="AE21" t="s">
        <v>218</v>
      </c>
      <c r="AF21" t="s">
        <v>178</v>
      </c>
      <c r="AG21" t="s">
        <v>178</v>
      </c>
      <c r="AH21" t="s">
        <v>178</v>
      </c>
      <c r="AK21" t="s">
        <v>55</v>
      </c>
      <c r="AL21" t="s">
        <v>219</v>
      </c>
      <c r="AO21">
        <v>0</v>
      </c>
      <c r="AT21" s="6"/>
      <c r="AZ21" t="s">
        <v>192</v>
      </c>
      <c r="CA21" t="s">
        <v>179</v>
      </c>
      <c r="CG21" t="s">
        <v>178</v>
      </c>
      <c r="CH21" s="6">
        <v>44340</v>
      </c>
      <c r="CI21" s="6"/>
      <c r="CJ21" s="6"/>
      <c r="CL21" s="6"/>
      <c r="CQ21" s="6"/>
      <c r="DC21" t="s">
        <v>179</v>
      </c>
      <c r="DT21">
        <v>26</v>
      </c>
      <c r="DU21" t="s">
        <v>179</v>
      </c>
      <c r="DV21" t="s">
        <v>220</v>
      </c>
      <c r="DW21" t="s">
        <v>178</v>
      </c>
      <c r="DX21" t="s">
        <v>178</v>
      </c>
      <c r="DY21" t="s">
        <v>179</v>
      </c>
      <c r="DZ21" t="s">
        <v>178</v>
      </c>
      <c r="EA21" t="s">
        <v>179</v>
      </c>
      <c r="EB21" t="s">
        <v>178</v>
      </c>
      <c r="EE21" t="s">
        <v>178</v>
      </c>
      <c r="EF21" t="s">
        <v>178</v>
      </c>
      <c r="EG21" t="s">
        <v>178</v>
      </c>
      <c r="EH21" t="s">
        <v>178</v>
      </c>
      <c r="EI21" t="s">
        <v>178</v>
      </c>
      <c r="EJ21" t="s">
        <v>178</v>
      </c>
      <c r="EK21">
        <v>5</v>
      </c>
      <c r="EL21" t="s">
        <v>208</v>
      </c>
      <c r="EM21">
        <v>2021</v>
      </c>
      <c r="EN21">
        <v>2021</v>
      </c>
      <c r="EO21">
        <v>5</v>
      </c>
      <c r="EP21" t="s">
        <v>208</v>
      </c>
      <c r="EQ21">
        <v>2021</v>
      </c>
      <c r="ER21">
        <v>2022</v>
      </c>
      <c r="ES21" t="s">
        <v>178</v>
      </c>
    </row>
    <row r="22" spans="1:149" x14ac:dyDescent="0.45">
      <c r="A22">
        <v>1788</v>
      </c>
      <c r="B22">
        <v>977165</v>
      </c>
      <c r="C22" t="s">
        <v>173</v>
      </c>
      <c r="D22" t="s">
        <v>224</v>
      </c>
      <c r="E22" t="s">
        <v>175</v>
      </c>
      <c r="F22" t="s">
        <v>176</v>
      </c>
      <c r="I22" t="s">
        <v>177</v>
      </c>
      <c r="J22" t="s">
        <v>178</v>
      </c>
      <c r="K22" t="s">
        <v>178</v>
      </c>
      <c r="L22" t="s">
        <v>317</v>
      </c>
      <c r="M22" t="s">
        <v>246</v>
      </c>
      <c r="O22" t="s">
        <v>178</v>
      </c>
      <c r="P22" t="s">
        <v>178</v>
      </c>
      <c r="Q22" t="s">
        <v>180</v>
      </c>
      <c r="R22" t="s">
        <v>200</v>
      </c>
      <c r="S22" s="6">
        <v>44691</v>
      </c>
      <c r="T22" t="s">
        <v>318</v>
      </c>
      <c r="U22" t="s">
        <v>178</v>
      </c>
      <c r="V22">
        <v>0</v>
      </c>
      <c r="Z22" t="s">
        <v>223</v>
      </c>
      <c r="AA22" t="s">
        <v>178</v>
      </c>
      <c r="AB22" t="s">
        <v>184</v>
      </c>
      <c r="AC22">
        <v>0</v>
      </c>
      <c r="AD22" t="s">
        <v>178</v>
      </c>
      <c r="AE22" t="s">
        <v>204</v>
      </c>
      <c r="AF22" t="s">
        <v>178</v>
      </c>
      <c r="AG22" t="s">
        <v>179</v>
      </c>
      <c r="AH22" t="s">
        <v>178</v>
      </c>
      <c r="AJ22" t="s">
        <v>179</v>
      </c>
      <c r="AK22" t="s">
        <v>56</v>
      </c>
      <c r="AL22" t="s">
        <v>228</v>
      </c>
      <c r="AM22" t="s">
        <v>56</v>
      </c>
      <c r="AN22" t="s">
        <v>187</v>
      </c>
      <c r="AP22" t="s">
        <v>233</v>
      </c>
      <c r="AR22">
        <v>16</v>
      </c>
      <c r="AT22" s="6"/>
      <c r="AY22" t="s">
        <v>206</v>
      </c>
      <c r="AZ22" t="s">
        <v>192</v>
      </c>
      <c r="CA22" t="s">
        <v>178</v>
      </c>
      <c r="CG22" t="s">
        <v>178</v>
      </c>
      <c r="CH22" s="6">
        <v>44712</v>
      </c>
      <c r="CI22" t="s">
        <v>179</v>
      </c>
      <c r="CJ22" s="6" t="s">
        <v>296</v>
      </c>
      <c r="CL22" s="6"/>
      <c r="CQ22" s="6"/>
      <c r="DA22" t="s">
        <v>179</v>
      </c>
      <c r="DB22" t="s">
        <v>194</v>
      </c>
      <c r="DR22" t="s">
        <v>195</v>
      </c>
      <c r="DT22">
        <v>36</v>
      </c>
      <c r="DU22" t="s">
        <v>179</v>
      </c>
      <c r="DV22" t="s">
        <v>220</v>
      </c>
      <c r="DW22" t="s">
        <v>179</v>
      </c>
      <c r="DX22" t="s">
        <v>178</v>
      </c>
      <c r="DY22" t="s">
        <v>179</v>
      </c>
      <c r="DZ22" t="s">
        <v>178</v>
      </c>
      <c r="EA22" t="s">
        <v>178</v>
      </c>
      <c r="EB22" t="s">
        <v>179</v>
      </c>
      <c r="EE22" t="s">
        <v>179</v>
      </c>
      <c r="EF22" t="s">
        <v>178</v>
      </c>
      <c r="EG22" t="s">
        <v>178</v>
      </c>
      <c r="EH22" t="s">
        <v>178</v>
      </c>
      <c r="EI22" t="s">
        <v>178</v>
      </c>
      <c r="EJ22" t="s">
        <v>178</v>
      </c>
      <c r="EK22">
        <v>5</v>
      </c>
      <c r="EL22" t="s">
        <v>208</v>
      </c>
      <c r="EM22">
        <v>2022</v>
      </c>
      <c r="EN22">
        <v>2022</v>
      </c>
      <c r="EO22">
        <v>5</v>
      </c>
      <c r="EP22" t="s">
        <v>208</v>
      </c>
      <c r="EQ22">
        <v>2022</v>
      </c>
      <c r="ER22">
        <v>2022</v>
      </c>
      <c r="ES22" t="s">
        <v>178</v>
      </c>
    </row>
    <row r="23" spans="1:149" x14ac:dyDescent="0.45">
      <c r="A23">
        <v>2041</v>
      </c>
      <c r="B23">
        <v>977056</v>
      </c>
      <c r="C23" t="s">
        <v>173</v>
      </c>
      <c r="D23" t="s">
        <v>210</v>
      </c>
      <c r="E23" t="s">
        <v>175</v>
      </c>
      <c r="F23" t="s">
        <v>176</v>
      </c>
      <c r="I23" t="s">
        <v>177</v>
      </c>
      <c r="J23" t="s">
        <v>178</v>
      </c>
      <c r="K23" t="s">
        <v>178</v>
      </c>
      <c r="L23" t="s">
        <v>319</v>
      </c>
      <c r="M23" t="s">
        <v>246</v>
      </c>
      <c r="O23" t="s">
        <v>178</v>
      </c>
      <c r="P23" t="s">
        <v>178</v>
      </c>
      <c r="Q23" t="s">
        <v>180</v>
      </c>
      <c r="R23" t="s">
        <v>200</v>
      </c>
      <c r="S23" s="6">
        <v>44651</v>
      </c>
      <c r="T23" t="s">
        <v>320</v>
      </c>
      <c r="U23" t="s">
        <v>178</v>
      </c>
      <c r="V23">
        <v>0</v>
      </c>
      <c r="X23" t="s">
        <v>202</v>
      </c>
      <c r="AA23" t="s">
        <v>178</v>
      </c>
      <c r="AB23" t="s">
        <v>184</v>
      </c>
      <c r="AC23">
        <v>0</v>
      </c>
      <c r="AD23" t="s">
        <v>178</v>
      </c>
      <c r="AE23" t="s">
        <v>204</v>
      </c>
      <c r="AL23" t="s">
        <v>219</v>
      </c>
      <c r="AM23" t="s">
        <v>56</v>
      </c>
      <c r="AN23" t="s">
        <v>187</v>
      </c>
      <c r="AP23" t="s">
        <v>321</v>
      </c>
      <c r="AR23">
        <v>19</v>
      </c>
      <c r="AT23" s="6"/>
      <c r="AY23" t="s">
        <v>322</v>
      </c>
      <c r="AZ23" t="s">
        <v>192</v>
      </c>
      <c r="CA23" t="s">
        <v>178</v>
      </c>
      <c r="CG23" t="s">
        <v>178</v>
      </c>
      <c r="CH23" s="6"/>
      <c r="CI23" s="6"/>
      <c r="CJ23" s="6"/>
      <c r="CL23" s="6"/>
      <c r="CQ23" s="6"/>
      <c r="DC23" t="s">
        <v>179</v>
      </c>
      <c r="DT23">
        <v>19</v>
      </c>
      <c r="DU23" t="s">
        <v>179</v>
      </c>
      <c r="DV23" t="s">
        <v>220</v>
      </c>
      <c r="DW23" t="s">
        <v>178</v>
      </c>
      <c r="DX23" t="s">
        <v>178</v>
      </c>
      <c r="DY23" t="s">
        <v>178</v>
      </c>
      <c r="DZ23" t="s">
        <v>178</v>
      </c>
      <c r="EA23" t="s">
        <v>178</v>
      </c>
      <c r="EB23" t="s">
        <v>178</v>
      </c>
      <c r="EE23" t="s">
        <v>178</v>
      </c>
      <c r="EF23" t="s">
        <v>178</v>
      </c>
      <c r="EG23" t="s">
        <v>178</v>
      </c>
      <c r="EH23" t="s">
        <v>178</v>
      </c>
      <c r="EI23" t="s">
        <v>178</v>
      </c>
      <c r="EJ23" t="s">
        <v>178</v>
      </c>
      <c r="EK23">
        <v>3</v>
      </c>
      <c r="EL23" t="s">
        <v>209</v>
      </c>
      <c r="EM23">
        <v>2022</v>
      </c>
      <c r="EN23">
        <v>2022</v>
      </c>
      <c r="EO23">
        <v>3</v>
      </c>
      <c r="EP23" t="s">
        <v>209</v>
      </c>
      <c r="EQ23">
        <v>2022</v>
      </c>
      <c r="ER23">
        <v>2021</v>
      </c>
      <c r="ES23" t="s">
        <v>178</v>
      </c>
    </row>
    <row r="24" spans="1:149" x14ac:dyDescent="0.45">
      <c r="A24">
        <v>471</v>
      </c>
      <c r="B24">
        <v>976340</v>
      </c>
      <c r="C24" t="s">
        <v>173</v>
      </c>
      <c r="D24" t="s">
        <v>210</v>
      </c>
      <c r="E24" t="s">
        <v>175</v>
      </c>
      <c r="F24" t="s">
        <v>323</v>
      </c>
      <c r="I24" t="s">
        <v>177</v>
      </c>
      <c r="J24" t="s">
        <v>178</v>
      </c>
      <c r="K24" t="s">
        <v>178</v>
      </c>
      <c r="L24" t="s">
        <v>71</v>
      </c>
      <c r="N24" t="s">
        <v>213</v>
      </c>
      <c r="O24" t="s">
        <v>178</v>
      </c>
      <c r="P24" t="s">
        <v>214</v>
      </c>
      <c r="Q24" t="s">
        <v>180</v>
      </c>
      <c r="R24" t="s">
        <v>324</v>
      </c>
      <c r="S24" s="6">
        <v>44167</v>
      </c>
      <c r="T24" t="s">
        <v>325</v>
      </c>
      <c r="U24" t="s">
        <v>179</v>
      </c>
      <c r="V24">
        <v>0</v>
      </c>
      <c r="W24">
        <v>0</v>
      </c>
      <c r="Y24" t="s">
        <v>326</v>
      </c>
      <c r="Z24" t="s">
        <v>217</v>
      </c>
      <c r="AA24" t="s">
        <v>178</v>
      </c>
      <c r="AB24" t="s">
        <v>184</v>
      </c>
      <c r="AC24">
        <v>194</v>
      </c>
      <c r="AD24" t="s">
        <v>179</v>
      </c>
      <c r="AE24" t="s">
        <v>218</v>
      </c>
      <c r="AF24" t="s">
        <v>178</v>
      </c>
      <c r="AG24" t="s">
        <v>179</v>
      </c>
      <c r="AK24" t="s">
        <v>56</v>
      </c>
      <c r="AL24" t="s">
        <v>219</v>
      </c>
      <c r="AM24" t="s">
        <v>179</v>
      </c>
      <c r="AT24" s="6"/>
      <c r="AZ24" t="s">
        <v>192</v>
      </c>
      <c r="CA24" t="s">
        <v>178</v>
      </c>
      <c r="CG24" t="s">
        <v>178</v>
      </c>
      <c r="CH24" s="6">
        <v>44165</v>
      </c>
      <c r="CI24" s="6" t="s">
        <v>179</v>
      </c>
      <c r="CJ24" s="6" t="s">
        <v>289</v>
      </c>
      <c r="DA24" t="s">
        <v>179</v>
      </c>
      <c r="DB24" t="s">
        <v>194</v>
      </c>
      <c r="DC24" t="s">
        <v>179</v>
      </c>
      <c r="DT24">
        <v>34</v>
      </c>
      <c r="DU24" t="s">
        <v>179</v>
      </c>
      <c r="DV24" t="s">
        <v>220</v>
      </c>
      <c r="DW24" t="s">
        <v>179</v>
      </c>
      <c r="DX24" t="s">
        <v>178</v>
      </c>
      <c r="DY24" t="s">
        <v>179</v>
      </c>
      <c r="DZ24" t="s">
        <v>178</v>
      </c>
      <c r="EA24" t="s">
        <v>178</v>
      </c>
      <c r="EB24" t="s">
        <v>178</v>
      </c>
      <c r="EE24" t="s">
        <v>178</v>
      </c>
      <c r="EF24" t="s">
        <v>178</v>
      </c>
      <c r="EG24" t="s">
        <v>178</v>
      </c>
      <c r="EH24" t="s">
        <v>178</v>
      </c>
      <c r="EI24" t="s">
        <v>178</v>
      </c>
      <c r="EJ24" t="s">
        <v>178</v>
      </c>
      <c r="EK24">
        <v>11</v>
      </c>
      <c r="EL24" t="s">
        <v>290</v>
      </c>
      <c r="EM24">
        <v>2020</v>
      </c>
      <c r="EN24">
        <v>2021</v>
      </c>
      <c r="EO24">
        <v>12</v>
      </c>
      <c r="EP24" t="s">
        <v>290</v>
      </c>
      <c r="EQ24">
        <v>2021</v>
      </c>
      <c r="ER24">
        <v>2022</v>
      </c>
      <c r="ES24" t="s">
        <v>178</v>
      </c>
    </row>
    <row r="25" spans="1:149" x14ac:dyDescent="0.45">
      <c r="A25">
        <v>393</v>
      </c>
      <c r="B25">
        <v>976458</v>
      </c>
      <c r="C25" t="s">
        <v>173</v>
      </c>
      <c r="D25" t="s">
        <v>210</v>
      </c>
      <c r="E25" t="s">
        <v>175</v>
      </c>
      <c r="F25" t="s">
        <v>323</v>
      </c>
      <c r="H25" t="s">
        <v>212</v>
      </c>
      <c r="I25" t="s">
        <v>177</v>
      </c>
      <c r="J25" t="s">
        <v>178</v>
      </c>
      <c r="K25" t="s">
        <v>178</v>
      </c>
      <c r="L25" t="s">
        <v>71</v>
      </c>
      <c r="N25" t="s">
        <v>213</v>
      </c>
      <c r="O25" t="s">
        <v>178</v>
      </c>
      <c r="P25" t="s">
        <v>214</v>
      </c>
      <c r="Q25" t="s">
        <v>180</v>
      </c>
      <c r="R25" t="s">
        <v>215</v>
      </c>
      <c r="S25" s="6">
        <v>44258</v>
      </c>
      <c r="T25" t="s">
        <v>327</v>
      </c>
      <c r="U25" t="s">
        <v>178</v>
      </c>
      <c r="V25">
        <v>1</v>
      </c>
      <c r="W25">
        <v>0</v>
      </c>
      <c r="X25" t="s">
        <v>328</v>
      </c>
      <c r="Z25" t="s">
        <v>329</v>
      </c>
      <c r="AA25" t="s">
        <v>178</v>
      </c>
      <c r="AB25" t="s">
        <v>184</v>
      </c>
      <c r="AC25">
        <v>1600</v>
      </c>
      <c r="AD25" t="s">
        <v>179</v>
      </c>
      <c r="AE25" t="s">
        <v>218</v>
      </c>
      <c r="AF25" t="s">
        <v>178</v>
      </c>
      <c r="AG25" t="s">
        <v>178</v>
      </c>
      <c r="AK25" t="s">
        <v>57</v>
      </c>
      <c r="AL25" t="s">
        <v>283</v>
      </c>
      <c r="AO25">
        <v>0</v>
      </c>
      <c r="AT25" s="6"/>
      <c r="AZ25" t="s">
        <v>192</v>
      </c>
      <c r="CA25" t="s">
        <v>178</v>
      </c>
      <c r="CG25" t="s">
        <v>178</v>
      </c>
      <c r="CH25" s="6"/>
      <c r="CJ25" s="6"/>
      <c r="CL25" s="6"/>
      <c r="CQ25" s="6"/>
      <c r="DC25" t="s">
        <v>179</v>
      </c>
      <c r="DT25">
        <v>26</v>
      </c>
      <c r="DU25" t="s">
        <v>179</v>
      </c>
      <c r="DV25" t="s">
        <v>220</v>
      </c>
      <c r="DW25" t="s">
        <v>178</v>
      </c>
      <c r="DX25" t="s">
        <v>178</v>
      </c>
      <c r="DY25" t="s">
        <v>179</v>
      </c>
      <c r="DZ25" t="s">
        <v>178</v>
      </c>
      <c r="EA25" t="s">
        <v>178</v>
      </c>
      <c r="EB25" t="s">
        <v>178</v>
      </c>
      <c r="EE25" t="s">
        <v>178</v>
      </c>
      <c r="EF25" t="s">
        <v>178</v>
      </c>
      <c r="EG25" t="s">
        <v>178</v>
      </c>
      <c r="EH25" t="s">
        <v>178</v>
      </c>
      <c r="EI25" t="s">
        <v>178</v>
      </c>
      <c r="EJ25" t="s">
        <v>178</v>
      </c>
      <c r="EK25">
        <v>3</v>
      </c>
      <c r="EL25" t="s">
        <v>209</v>
      </c>
      <c r="EM25">
        <v>2021</v>
      </c>
      <c r="EN25">
        <v>2021</v>
      </c>
      <c r="EO25">
        <v>3</v>
      </c>
      <c r="EP25" t="s">
        <v>209</v>
      </c>
      <c r="EQ25">
        <v>2021</v>
      </c>
      <c r="ER25">
        <v>2022</v>
      </c>
      <c r="ES25" t="s">
        <v>178</v>
      </c>
    </row>
    <row r="26" spans="1:149" x14ac:dyDescent="0.45">
      <c r="A26">
        <v>376</v>
      </c>
      <c r="B26">
        <v>976475</v>
      </c>
      <c r="C26" t="s">
        <v>173</v>
      </c>
      <c r="D26" t="s">
        <v>210</v>
      </c>
      <c r="E26" t="s">
        <v>175</v>
      </c>
      <c r="F26" t="s">
        <v>257</v>
      </c>
      <c r="G26" t="s">
        <v>330</v>
      </c>
      <c r="I26" t="s">
        <v>177</v>
      </c>
      <c r="J26" t="s">
        <v>179</v>
      </c>
      <c r="K26" t="s">
        <v>179</v>
      </c>
      <c r="L26" t="s">
        <v>71</v>
      </c>
      <c r="M26" t="s">
        <v>331</v>
      </c>
      <c r="N26" t="s">
        <v>213</v>
      </c>
      <c r="O26" t="s">
        <v>179</v>
      </c>
      <c r="P26" t="s">
        <v>214</v>
      </c>
      <c r="Q26" t="s">
        <v>259</v>
      </c>
      <c r="R26" t="s">
        <v>215</v>
      </c>
      <c r="S26" s="6">
        <v>44267</v>
      </c>
      <c r="T26" t="s">
        <v>332</v>
      </c>
      <c r="U26" t="s">
        <v>178</v>
      </c>
      <c r="V26">
        <v>2</v>
      </c>
      <c r="W26">
        <v>16.899999999999999</v>
      </c>
      <c r="Z26" t="s">
        <v>315</v>
      </c>
      <c r="AA26" t="s">
        <v>178</v>
      </c>
      <c r="AC26">
        <v>0</v>
      </c>
      <c r="AD26" t="s">
        <v>179</v>
      </c>
      <c r="AF26" t="s">
        <v>178</v>
      </c>
      <c r="AG26" t="s">
        <v>178</v>
      </c>
      <c r="AT26" s="6"/>
      <c r="AZ26" t="s">
        <v>192</v>
      </c>
      <c r="CA26" t="s">
        <v>179</v>
      </c>
      <c r="CG26" t="s">
        <v>178</v>
      </c>
      <c r="CH26" s="6"/>
      <c r="CI26" s="6"/>
      <c r="CJ26" s="6"/>
      <c r="CL26" s="6"/>
      <c r="CQ26" s="6"/>
      <c r="DC26" t="s">
        <v>179</v>
      </c>
      <c r="DT26">
        <v>42</v>
      </c>
      <c r="DU26" t="s">
        <v>179</v>
      </c>
      <c r="DW26" t="s">
        <v>178</v>
      </c>
      <c r="DX26" t="s">
        <v>178</v>
      </c>
      <c r="DY26" t="s">
        <v>178</v>
      </c>
      <c r="DZ26" t="s">
        <v>178</v>
      </c>
      <c r="EA26" t="s">
        <v>179</v>
      </c>
      <c r="EB26" t="s">
        <v>178</v>
      </c>
      <c r="EE26" t="s">
        <v>178</v>
      </c>
      <c r="EF26" t="s">
        <v>178</v>
      </c>
      <c r="EG26" t="s">
        <v>178</v>
      </c>
      <c r="EH26" t="s">
        <v>178</v>
      </c>
      <c r="EI26" t="s">
        <v>178</v>
      </c>
      <c r="EJ26" t="s">
        <v>178</v>
      </c>
      <c r="EK26">
        <v>3</v>
      </c>
      <c r="EL26" t="s">
        <v>209</v>
      </c>
      <c r="EM26">
        <v>2021</v>
      </c>
      <c r="EN26">
        <v>2021</v>
      </c>
      <c r="EO26">
        <v>3</v>
      </c>
      <c r="EP26" t="s">
        <v>209</v>
      </c>
      <c r="EQ26">
        <v>2021</v>
      </c>
      <c r="ER26">
        <v>2021</v>
      </c>
      <c r="ES26" t="s">
        <v>178</v>
      </c>
    </row>
    <row r="27" spans="1:149" x14ac:dyDescent="0.45">
      <c r="A27">
        <v>62</v>
      </c>
      <c r="B27">
        <v>977053</v>
      </c>
      <c r="C27" t="s">
        <v>173</v>
      </c>
      <c r="D27" t="s">
        <v>174</v>
      </c>
      <c r="E27" t="s">
        <v>175</v>
      </c>
      <c r="F27" t="s">
        <v>333</v>
      </c>
      <c r="I27" t="s">
        <v>177</v>
      </c>
      <c r="J27" t="s">
        <v>179</v>
      </c>
      <c r="K27" t="s">
        <v>178</v>
      </c>
      <c r="L27" t="s">
        <v>198</v>
      </c>
      <c r="M27" t="s">
        <v>334</v>
      </c>
      <c r="O27" t="s">
        <v>178</v>
      </c>
      <c r="P27" t="s">
        <v>178</v>
      </c>
      <c r="Q27" t="s">
        <v>180</v>
      </c>
      <c r="R27" t="s">
        <v>200</v>
      </c>
      <c r="S27" s="6">
        <v>44651</v>
      </c>
      <c r="T27" t="s">
        <v>335</v>
      </c>
      <c r="U27" t="s">
        <v>178</v>
      </c>
      <c r="V27">
        <v>0</v>
      </c>
      <c r="W27">
        <v>11</v>
      </c>
      <c r="X27" t="s">
        <v>336</v>
      </c>
      <c r="AA27" t="s">
        <v>178</v>
      </c>
      <c r="AB27" t="s">
        <v>184</v>
      </c>
      <c r="AC27">
        <v>1760</v>
      </c>
      <c r="AD27" t="s">
        <v>179</v>
      </c>
      <c r="AE27" t="s">
        <v>185</v>
      </c>
      <c r="AF27" t="s">
        <v>178</v>
      </c>
      <c r="AG27" t="s">
        <v>178</v>
      </c>
      <c r="AH27" t="s">
        <v>178</v>
      </c>
      <c r="AJ27" t="s">
        <v>179</v>
      </c>
      <c r="AK27" t="s">
        <v>56</v>
      </c>
      <c r="AL27" t="s">
        <v>254</v>
      </c>
      <c r="AM27" t="s">
        <v>56</v>
      </c>
      <c r="AN27" t="s">
        <v>187</v>
      </c>
      <c r="AO27">
        <v>40</v>
      </c>
      <c r="AT27" s="6"/>
      <c r="AZ27" t="s">
        <v>192</v>
      </c>
      <c r="BA27" t="s">
        <v>337</v>
      </c>
      <c r="BB27" t="s">
        <v>240</v>
      </c>
      <c r="BC27" t="s">
        <v>338</v>
      </c>
      <c r="BE27">
        <v>40</v>
      </c>
      <c r="BF27" t="s">
        <v>179</v>
      </c>
      <c r="BG27" t="s">
        <v>179</v>
      </c>
      <c r="BH27" t="s">
        <v>178</v>
      </c>
      <c r="BI27" t="s">
        <v>178</v>
      </c>
      <c r="BJ27" t="s">
        <v>179</v>
      </c>
      <c r="BK27" t="s">
        <v>337</v>
      </c>
      <c r="BL27" t="s">
        <v>240</v>
      </c>
      <c r="BM27" t="s">
        <v>338</v>
      </c>
      <c r="BO27">
        <v>40</v>
      </c>
      <c r="BP27" t="s">
        <v>179</v>
      </c>
      <c r="BQ27" t="s">
        <v>179</v>
      </c>
      <c r="BR27" t="s">
        <v>178</v>
      </c>
      <c r="BS27" t="s">
        <v>178</v>
      </c>
      <c r="BT27" t="s">
        <v>179</v>
      </c>
      <c r="BX27" t="s">
        <v>255</v>
      </c>
      <c r="BY27" t="s">
        <v>256</v>
      </c>
      <c r="CA27" t="s">
        <v>178</v>
      </c>
      <c r="CF27">
        <v>-31</v>
      </c>
      <c r="CG27" t="s">
        <v>179</v>
      </c>
      <c r="CH27" s="6">
        <v>44655</v>
      </c>
      <c r="CI27" t="s">
        <v>179</v>
      </c>
      <c r="CJ27" s="6" t="s">
        <v>207</v>
      </c>
      <c r="DA27" t="s">
        <v>179</v>
      </c>
      <c r="DB27" t="s">
        <v>194</v>
      </c>
      <c r="DT27">
        <v>57</v>
      </c>
      <c r="DU27" t="s">
        <v>179</v>
      </c>
      <c r="DV27" t="s">
        <v>220</v>
      </c>
      <c r="DW27" t="s">
        <v>179</v>
      </c>
      <c r="DX27" t="s">
        <v>179</v>
      </c>
      <c r="DY27" t="s">
        <v>179</v>
      </c>
      <c r="DZ27" t="s">
        <v>178</v>
      </c>
      <c r="EA27" t="s">
        <v>178</v>
      </c>
      <c r="EB27" t="s">
        <v>179</v>
      </c>
      <c r="ED27">
        <v>150</v>
      </c>
      <c r="EE27" t="s">
        <v>178</v>
      </c>
      <c r="EF27" t="s">
        <v>178</v>
      </c>
      <c r="EG27" t="s">
        <v>178</v>
      </c>
      <c r="EH27" t="s">
        <v>178</v>
      </c>
      <c r="EI27" t="s">
        <v>179</v>
      </c>
      <c r="EJ27" t="s">
        <v>178</v>
      </c>
      <c r="EK27">
        <v>4</v>
      </c>
      <c r="EL27" t="s">
        <v>208</v>
      </c>
      <c r="EM27">
        <v>2022</v>
      </c>
      <c r="EN27">
        <v>2022</v>
      </c>
      <c r="EO27">
        <v>3</v>
      </c>
      <c r="EP27" t="s">
        <v>209</v>
      </c>
      <c r="EQ27">
        <v>2022</v>
      </c>
      <c r="ER27">
        <v>2021</v>
      </c>
      <c r="ES27" t="s">
        <v>178</v>
      </c>
    </row>
    <row r="28" spans="1:149" x14ac:dyDescent="0.45">
      <c r="A28">
        <v>483</v>
      </c>
      <c r="B28">
        <v>976325</v>
      </c>
      <c r="C28" t="s">
        <v>173</v>
      </c>
      <c r="D28" t="s">
        <v>210</v>
      </c>
      <c r="E28" t="s">
        <v>175</v>
      </c>
      <c r="F28" t="s">
        <v>270</v>
      </c>
      <c r="I28" t="s">
        <v>177</v>
      </c>
      <c r="J28" t="s">
        <v>179</v>
      </c>
      <c r="K28" t="s">
        <v>179</v>
      </c>
      <c r="L28" t="s">
        <v>71</v>
      </c>
      <c r="N28" t="s">
        <v>213</v>
      </c>
      <c r="O28" t="s">
        <v>178</v>
      </c>
      <c r="P28" t="s">
        <v>214</v>
      </c>
      <c r="Q28" t="s">
        <v>180</v>
      </c>
      <c r="R28" t="s">
        <v>215</v>
      </c>
      <c r="S28" s="6">
        <v>44148</v>
      </c>
      <c r="T28" t="s">
        <v>339</v>
      </c>
      <c r="U28" t="s">
        <v>178</v>
      </c>
      <c r="V28">
        <v>1</v>
      </c>
      <c r="W28">
        <v>0</v>
      </c>
      <c r="X28" t="s">
        <v>314</v>
      </c>
      <c r="Z28" t="s">
        <v>315</v>
      </c>
      <c r="AA28" t="s">
        <v>178</v>
      </c>
      <c r="AB28" t="s">
        <v>184</v>
      </c>
      <c r="AC28">
        <v>2096</v>
      </c>
      <c r="AD28" t="s">
        <v>178</v>
      </c>
      <c r="AE28" t="s">
        <v>218</v>
      </c>
      <c r="AF28" t="s">
        <v>178</v>
      </c>
      <c r="AG28" t="s">
        <v>178</v>
      </c>
      <c r="AK28" t="s">
        <v>55</v>
      </c>
      <c r="AL28" t="s">
        <v>220</v>
      </c>
      <c r="AT28" s="6"/>
      <c r="AZ28" t="s">
        <v>192</v>
      </c>
      <c r="CA28" t="s">
        <v>179</v>
      </c>
      <c r="CG28" t="s">
        <v>178</v>
      </c>
      <c r="CH28" s="6">
        <v>44165</v>
      </c>
      <c r="CJ28" s="6"/>
      <c r="CL28" s="6"/>
      <c r="CQ28" s="6"/>
      <c r="DB28" t="s">
        <v>194</v>
      </c>
      <c r="DC28" t="s">
        <v>179</v>
      </c>
      <c r="DT28">
        <v>26</v>
      </c>
      <c r="DU28" t="s">
        <v>178</v>
      </c>
      <c r="DW28" t="s">
        <v>179</v>
      </c>
      <c r="DX28" t="s">
        <v>178</v>
      </c>
      <c r="DY28" t="s">
        <v>179</v>
      </c>
      <c r="DZ28" t="s">
        <v>178</v>
      </c>
      <c r="EA28" t="s">
        <v>179</v>
      </c>
      <c r="EB28" t="s">
        <v>178</v>
      </c>
      <c r="EE28" t="s">
        <v>178</v>
      </c>
      <c r="EF28" t="s">
        <v>178</v>
      </c>
      <c r="EG28" t="s">
        <v>178</v>
      </c>
      <c r="EH28" t="s">
        <v>178</v>
      </c>
      <c r="EI28" t="s">
        <v>178</v>
      </c>
      <c r="EJ28" t="s">
        <v>178</v>
      </c>
      <c r="EK28">
        <v>11</v>
      </c>
      <c r="EL28" t="s">
        <v>290</v>
      </c>
      <c r="EM28">
        <v>2020</v>
      </c>
      <c r="EN28">
        <v>2021</v>
      </c>
      <c r="EO28">
        <v>11</v>
      </c>
      <c r="EP28" t="s">
        <v>290</v>
      </c>
      <c r="EQ28">
        <v>2021</v>
      </c>
      <c r="ER28">
        <v>2021</v>
      </c>
      <c r="ES28" t="s">
        <v>178</v>
      </c>
    </row>
    <row r="29" spans="1:149" x14ac:dyDescent="0.45">
      <c r="A29">
        <v>142</v>
      </c>
      <c r="B29">
        <v>976922</v>
      </c>
      <c r="C29" t="s">
        <v>173</v>
      </c>
      <c r="D29" t="s">
        <v>174</v>
      </c>
      <c r="E29" t="s">
        <v>175</v>
      </c>
      <c r="F29" t="s">
        <v>340</v>
      </c>
      <c r="I29" t="s">
        <v>177</v>
      </c>
      <c r="J29" t="s">
        <v>178</v>
      </c>
      <c r="K29" t="s">
        <v>178</v>
      </c>
      <c r="L29" t="s">
        <v>341</v>
      </c>
      <c r="M29" t="s">
        <v>235</v>
      </c>
      <c r="O29" t="s">
        <v>179</v>
      </c>
      <c r="P29" t="s">
        <v>178</v>
      </c>
      <c r="Q29" t="s">
        <v>259</v>
      </c>
      <c r="R29" t="s">
        <v>200</v>
      </c>
      <c r="S29" s="6">
        <v>44558</v>
      </c>
      <c r="T29" t="s">
        <v>342</v>
      </c>
      <c r="U29" t="s">
        <v>178</v>
      </c>
      <c r="V29">
        <v>0</v>
      </c>
      <c r="W29">
        <v>15</v>
      </c>
      <c r="X29" t="s">
        <v>336</v>
      </c>
      <c r="Z29" t="s">
        <v>66</v>
      </c>
      <c r="AA29" t="s">
        <v>178</v>
      </c>
      <c r="AB29" t="s">
        <v>184</v>
      </c>
      <c r="AC29">
        <v>1920</v>
      </c>
      <c r="AD29" t="s">
        <v>178</v>
      </c>
      <c r="AE29" t="s">
        <v>204</v>
      </c>
      <c r="AF29" t="s">
        <v>178</v>
      </c>
      <c r="AG29" t="s">
        <v>179</v>
      </c>
      <c r="AH29" t="s">
        <v>178</v>
      </c>
      <c r="AJ29" t="s">
        <v>179</v>
      </c>
      <c r="AL29" t="s">
        <v>219</v>
      </c>
      <c r="AM29" t="s">
        <v>56</v>
      </c>
      <c r="AN29" t="s">
        <v>187</v>
      </c>
      <c r="AO29">
        <v>32</v>
      </c>
      <c r="AT29" s="6"/>
      <c r="AZ29" t="s">
        <v>192</v>
      </c>
      <c r="CA29" t="s">
        <v>179</v>
      </c>
      <c r="CG29" t="s">
        <v>178</v>
      </c>
      <c r="CH29" s="6"/>
      <c r="CI29" s="6"/>
      <c r="CJ29" s="6"/>
      <c r="CL29" s="6"/>
      <c r="CQ29" s="6"/>
      <c r="DT29">
        <v>39</v>
      </c>
      <c r="DU29" t="s">
        <v>179</v>
      </c>
      <c r="DV29" t="s">
        <v>220</v>
      </c>
      <c r="DW29" t="s">
        <v>178</v>
      </c>
      <c r="DX29" t="s">
        <v>178</v>
      </c>
      <c r="DY29" t="s">
        <v>178</v>
      </c>
      <c r="DZ29" t="s">
        <v>178</v>
      </c>
      <c r="EA29" t="s">
        <v>179</v>
      </c>
      <c r="EB29" t="s">
        <v>178</v>
      </c>
      <c r="EE29" t="s">
        <v>178</v>
      </c>
      <c r="EF29" t="s">
        <v>178</v>
      </c>
      <c r="EG29" t="s">
        <v>178</v>
      </c>
      <c r="EH29" t="s">
        <v>178</v>
      </c>
      <c r="EI29" t="s">
        <v>178</v>
      </c>
      <c r="EJ29" t="s">
        <v>178</v>
      </c>
      <c r="EK29">
        <v>12</v>
      </c>
      <c r="EL29" t="s">
        <v>290</v>
      </c>
      <c r="EM29">
        <v>2021</v>
      </c>
      <c r="EN29">
        <v>2022</v>
      </c>
      <c r="EO29">
        <v>12</v>
      </c>
      <c r="EP29" t="s">
        <v>290</v>
      </c>
      <c r="EQ29">
        <v>2022</v>
      </c>
      <c r="ER29">
        <v>2022</v>
      </c>
      <c r="ES29" t="s">
        <v>178</v>
      </c>
    </row>
    <row r="30" spans="1:149" x14ac:dyDescent="0.45">
      <c r="A30">
        <v>1805</v>
      </c>
      <c r="B30">
        <v>976888</v>
      </c>
      <c r="C30" t="s">
        <v>343</v>
      </c>
      <c r="D30" t="s">
        <v>174</v>
      </c>
      <c r="E30" t="s">
        <v>175</v>
      </c>
      <c r="F30" t="s">
        <v>299</v>
      </c>
      <c r="I30" t="s">
        <v>177</v>
      </c>
      <c r="J30" t="s">
        <v>179</v>
      </c>
      <c r="K30" t="s">
        <v>178</v>
      </c>
      <c r="L30" t="s">
        <v>300</v>
      </c>
      <c r="M30" t="s">
        <v>225</v>
      </c>
      <c r="O30" t="s">
        <v>178</v>
      </c>
      <c r="P30" t="s">
        <v>178</v>
      </c>
      <c r="Q30" t="s">
        <v>180</v>
      </c>
      <c r="R30" t="s">
        <v>200</v>
      </c>
      <c r="S30" s="6">
        <v>44516</v>
      </c>
      <c r="T30" t="s">
        <v>344</v>
      </c>
      <c r="U30" t="s">
        <v>178</v>
      </c>
      <c r="V30">
        <v>0</v>
      </c>
      <c r="X30" t="s">
        <v>202</v>
      </c>
      <c r="Z30" t="s">
        <v>345</v>
      </c>
      <c r="AA30" t="s">
        <v>178</v>
      </c>
      <c r="AB30" t="s">
        <v>184</v>
      </c>
      <c r="AC30">
        <v>0</v>
      </c>
      <c r="AD30" t="s">
        <v>179</v>
      </c>
      <c r="AE30" t="s">
        <v>204</v>
      </c>
      <c r="AF30" t="s">
        <v>178</v>
      </c>
      <c r="AG30" t="s">
        <v>179</v>
      </c>
      <c r="AH30" t="s">
        <v>178</v>
      </c>
      <c r="AJ30" t="s">
        <v>179</v>
      </c>
      <c r="AK30" t="s">
        <v>56</v>
      </c>
      <c r="AL30" t="s">
        <v>346</v>
      </c>
      <c r="AM30" t="s">
        <v>56</v>
      </c>
      <c r="AN30" t="s">
        <v>187</v>
      </c>
      <c r="AP30" t="s">
        <v>205</v>
      </c>
      <c r="AR30">
        <v>18</v>
      </c>
      <c r="AT30" s="6"/>
      <c r="AY30" t="s">
        <v>206</v>
      </c>
      <c r="AZ30" t="s">
        <v>192</v>
      </c>
      <c r="BA30" t="s">
        <v>347</v>
      </c>
      <c r="BB30" t="s">
        <v>240</v>
      </c>
      <c r="BC30" t="s">
        <v>348</v>
      </c>
      <c r="BD30">
        <v>5.25</v>
      </c>
      <c r="BE30">
        <v>40</v>
      </c>
      <c r="BF30" t="s">
        <v>179</v>
      </c>
      <c r="BG30" t="s">
        <v>178</v>
      </c>
      <c r="BH30" t="s">
        <v>178</v>
      </c>
      <c r="BI30" t="s">
        <v>178</v>
      </c>
      <c r="BJ30" t="s">
        <v>178</v>
      </c>
      <c r="BK30" t="s">
        <v>347</v>
      </c>
      <c r="BL30" t="s">
        <v>240</v>
      </c>
      <c r="BM30" t="s">
        <v>348</v>
      </c>
      <c r="BN30">
        <v>5.25</v>
      </c>
      <c r="BO30">
        <v>40</v>
      </c>
      <c r="BP30" t="s">
        <v>179</v>
      </c>
      <c r="BQ30" t="s">
        <v>178</v>
      </c>
      <c r="BR30" t="s">
        <v>178</v>
      </c>
      <c r="BS30" t="s">
        <v>178</v>
      </c>
      <c r="BT30" t="s">
        <v>178</v>
      </c>
      <c r="CA30" t="s">
        <v>178</v>
      </c>
      <c r="CG30" t="s">
        <v>179</v>
      </c>
      <c r="CH30" s="6">
        <v>44599</v>
      </c>
      <c r="CI30" s="6" t="s">
        <v>179</v>
      </c>
      <c r="CJ30" s="6" t="s">
        <v>349</v>
      </c>
      <c r="CL30" s="6"/>
      <c r="CQ30" s="6"/>
      <c r="DA30" t="s">
        <v>179</v>
      </c>
      <c r="DB30" t="s">
        <v>194</v>
      </c>
      <c r="DT30">
        <v>43</v>
      </c>
      <c r="DU30" t="s">
        <v>178</v>
      </c>
      <c r="DW30" t="s">
        <v>179</v>
      </c>
      <c r="DX30" t="s">
        <v>179</v>
      </c>
      <c r="DY30" t="s">
        <v>179</v>
      </c>
      <c r="DZ30" t="s">
        <v>178</v>
      </c>
      <c r="EA30" t="s">
        <v>179</v>
      </c>
      <c r="EB30" t="s">
        <v>178</v>
      </c>
      <c r="ED30">
        <v>223</v>
      </c>
      <c r="EE30" t="s">
        <v>178</v>
      </c>
      <c r="EF30" t="s">
        <v>178</v>
      </c>
      <c r="EG30" t="s">
        <v>178</v>
      </c>
      <c r="EH30" t="s">
        <v>178</v>
      </c>
      <c r="EI30" t="s">
        <v>179</v>
      </c>
      <c r="EJ30" t="s">
        <v>178</v>
      </c>
      <c r="EK30">
        <v>2</v>
      </c>
      <c r="EL30" t="s">
        <v>209</v>
      </c>
      <c r="EM30">
        <v>2022</v>
      </c>
      <c r="EN30">
        <v>2022</v>
      </c>
      <c r="EO30">
        <v>11</v>
      </c>
      <c r="EP30" t="s">
        <v>290</v>
      </c>
      <c r="EQ30">
        <v>2022</v>
      </c>
      <c r="ER30">
        <v>2021</v>
      </c>
      <c r="ES30" t="s">
        <v>178</v>
      </c>
    </row>
    <row r="31" spans="1:149" x14ac:dyDescent="0.45">
      <c r="A31">
        <v>17</v>
      </c>
      <c r="B31">
        <v>977110</v>
      </c>
      <c r="C31" t="s">
        <v>173</v>
      </c>
      <c r="D31" t="s">
        <v>174</v>
      </c>
      <c r="E31" t="s">
        <v>175</v>
      </c>
      <c r="F31" t="s">
        <v>176</v>
      </c>
      <c r="I31" t="s">
        <v>177</v>
      </c>
      <c r="J31" t="s">
        <v>179</v>
      </c>
      <c r="K31" t="s">
        <v>178</v>
      </c>
      <c r="L31" t="s">
        <v>350</v>
      </c>
      <c r="M31" t="s">
        <v>351</v>
      </c>
      <c r="O31" t="s">
        <v>178</v>
      </c>
      <c r="P31" t="s">
        <v>178</v>
      </c>
      <c r="Q31" t="s">
        <v>180</v>
      </c>
      <c r="R31" t="s">
        <v>200</v>
      </c>
      <c r="S31" s="6">
        <v>44683</v>
      </c>
      <c r="T31" t="s">
        <v>352</v>
      </c>
      <c r="U31" t="s">
        <v>178</v>
      </c>
      <c r="V31">
        <v>0</v>
      </c>
      <c r="W31">
        <v>14</v>
      </c>
      <c r="X31" t="s">
        <v>353</v>
      </c>
      <c r="Z31" t="s">
        <v>223</v>
      </c>
      <c r="AA31" t="s">
        <v>178</v>
      </c>
      <c r="AB31" t="s">
        <v>184</v>
      </c>
      <c r="AC31">
        <v>332</v>
      </c>
      <c r="AD31" t="s">
        <v>179</v>
      </c>
      <c r="AE31" t="s">
        <v>204</v>
      </c>
      <c r="AF31" t="s">
        <v>178</v>
      </c>
      <c r="AG31" t="s">
        <v>179</v>
      </c>
      <c r="AH31" t="s">
        <v>178</v>
      </c>
      <c r="AJ31" t="s">
        <v>179</v>
      </c>
      <c r="AK31" t="s">
        <v>56</v>
      </c>
      <c r="AL31" t="s">
        <v>354</v>
      </c>
      <c r="AM31" t="s">
        <v>56</v>
      </c>
      <c r="AN31" t="s">
        <v>187</v>
      </c>
      <c r="AO31">
        <v>40</v>
      </c>
      <c r="AT31" s="6"/>
      <c r="AZ31" t="s">
        <v>192</v>
      </c>
      <c r="BA31" t="s">
        <v>193</v>
      </c>
      <c r="BB31" t="s">
        <v>240</v>
      </c>
      <c r="BC31" t="s">
        <v>355</v>
      </c>
      <c r="BD31">
        <v>14.6</v>
      </c>
      <c r="BE31">
        <v>40</v>
      </c>
      <c r="BF31" t="s">
        <v>179</v>
      </c>
      <c r="BG31" t="s">
        <v>179</v>
      </c>
      <c r="BH31" t="s">
        <v>178</v>
      </c>
      <c r="BI31" t="s">
        <v>178</v>
      </c>
      <c r="BJ31" t="s">
        <v>179</v>
      </c>
      <c r="BK31" t="s">
        <v>193</v>
      </c>
      <c r="BL31" t="s">
        <v>240</v>
      </c>
      <c r="BM31" t="s">
        <v>355</v>
      </c>
      <c r="BN31">
        <v>14.6</v>
      </c>
      <c r="BO31">
        <v>40</v>
      </c>
      <c r="BP31" t="s">
        <v>179</v>
      </c>
      <c r="BQ31" t="s">
        <v>179</v>
      </c>
      <c r="BR31" t="s">
        <v>178</v>
      </c>
      <c r="BS31" t="s">
        <v>178</v>
      </c>
      <c r="BT31" t="s">
        <v>179</v>
      </c>
      <c r="CA31" t="s">
        <v>178</v>
      </c>
      <c r="CG31" t="s">
        <v>179</v>
      </c>
      <c r="CH31" s="6">
        <v>44683</v>
      </c>
      <c r="CI31" t="s">
        <v>179</v>
      </c>
      <c r="CJ31" s="6" t="s">
        <v>356</v>
      </c>
      <c r="DA31" t="s">
        <v>179</v>
      </c>
      <c r="DB31" t="s">
        <v>194</v>
      </c>
      <c r="DD31" t="s">
        <v>357</v>
      </c>
      <c r="DE31">
        <v>5</v>
      </c>
      <c r="DJ31" t="s">
        <v>265</v>
      </c>
      <c r="DR31" t="s">
        <v>358</v>
      </c>
      <c r="DS31" t="s">
        <v>359</v>
      </c>
      <c r="DT31">
        <v>48</v>
      </c>
      <c r="DU31" t="s">
        <v>179</v>
      </c>
      <c r="DV31" t="s">
        <v>220</v>
      </c>
      <c r="DW31" t="s">
        <v>179</v>
      </c>
      <c r="DX31" t="s">
        <v>179</v>
      </c>
      <c r="DY31" t="s">
        <v>179</v>
      </c>
      <c r="DZ31" t="s">
        <v>178</v>
      </c>
      <c r="EA31" t="s">
        <v>179</v>
      </c>
      <c r="EB31" t="s">
        <v>178</v>
      </c>
      <c r="ED31">
        <v>140</v>
      </c>
      <c r="EE31" t="s">
        <v>178</v>
      </c>
      <c r="EF31" t="s">
        <v>178</v>
      </c>
      <c r="EG31" t="s">
        <v>178</v>
      </c>
      <c r="EH31" t="s">
        <v>178</v>
      </c>
      <c r="EI31" t="s">
        <v>179</v>
      </c>
      <c r="EJ31" t="s">
        <v>178</v>
      </c>
      <c r="EK31">
        <v>5</v>
      </c>
      <c r="EL31" t="s">
        <v>208</v>
      </c>
      <c r="EM31">
        <v>2022</v>
      </c>
      <c r="EN31">
        <v>2022</v>
      </c>
      <c r="EO31">
        <v>5</v>
      </c>
      <c r="EP31" t="s">
        <v>208</v>
      </c>
      <c r="EQ31">
        <v>2022</v>
      </c>
      <c r="ER31">
        <v>2022</v>
      </c>
      <c r="ES31" t="s">
        <v>178</v>
      </c>
    </row>
    <row r="32" spans="1:149" x14ac:dyDescent="0.45">
      <c r="A32">
        <v>287</v>
      </c>
      <c r="B32">
        <v>976657</v>
      </c>
      <c r="C32" t="s">
        <v>173</v>
      </c>
      <c r="D32" t="s">
        <v>174</v>
      </c>
      <c r="E32" t="s">
        <v>175</v>
      </c>
      <c r="F32" t="s">
        <v>176</v>
      </c>
      <c r="I32" t="s">
        <v>177</v>
      </c>
      <c r="J32" t="s">
        <v>179</v>
      </c>
      <c r="K32" t="s">
        <v>178</v>
      </c>
      <c r="M32" t="s">
        <v>268</v>
      </c>
      <c r="P32" t="s">
        <v>214</v>
      </c>
      <c r="Q32" t="s">
        <v>180</v>
      </c>
      <c r="R32" t="s">
        <v>215</v>
      </c>
      <c r="S32" s="6">
        <v>44375</v>
      </c>
      <c r="T32" t="s">
        <v>360</v>
      </c>
      <c r="U32" t="s">
        <v>178</v>
      </c>
      <c r="V32">
        <v>0</v>
      </c>
      <c r="W32">
        <v>12.5</v>
      </c>
      <c r="X32" t="s">
        <v>361</v>
      </c>
      <c r="Z32" t="s">
        <v>302</v>
      </c>
      <c r="AA32" t="s">
        <v>178</v>
      </c>
      <c r="AC32">
        <v>1200</v>
      </c>
      <c r="AD32" t="s">
        <v>178</v>
      </c>
      <c r="AE32" t="s">
        <v>204</v>
      </c>
      <c r="AF32" t="s">
        <v>178</v>
      </c>
      <c r="AG32" t="s">
        <v>178</v>
      </c>
      <c r="AH32" t="s">
        <v>178</v>
      </c>
      <c r="AK32" t="s">
        <v>56</v>
      </c>
      <c r="AN32" t="s">
        <v>187</v>
      </c>
      <c r="AO32">
        <v>32</v>
      </c>
      <c r="AT32" s="6"/>
      <c r="AZ32" t="s">
        <v>192</v>
      </c>
      <c r="CA32" t="s">
        <v>178</v>
      </c>
      <c r="CG32" t="s">
        <v>178</v>
      </c>
      <c r="CH32" s="6">
        <v>44410</v>
      </c>
      <c r="CI32" s="6" t="s">
        <v>179</v>
      </c>
      <c r="CJ32" s="6" t="s">
        <v>362</v>
      </c>
      <c r="CL32" s="6"/>
      <c r="CQ32" s="6"/>
      <c r="DA32" t="s">
        <v>179</v>
      </c>
      <c r="DT32">
        <v>23</v>
      </c>
      <c r="DU32" t="s">
        <v>179</v>
      </c>
      <c r="DW32" t="s">
        <v>179</v>
      </c>
      <c r="DX32" t="s">
        <v>178</v>
      </c>
      <c r="DY32" t="s">
        <v>179</v>
      </c>
      <c r="DZ32" t="s">
        <v>178</v>
      </c>
      <c r="EA32" t="s">
        <v>178</v>
      </c>
      <c r="EB32" t="s">
        <v>179</v>
      </c>
      <c r="EE32" t="s">
        <v>179</v>
      </c>
      <c r="EF32" t="s">
        <v>178</v>
      </c>
      <c r="EG32" t="s">
        <v>178</v>
      </c>
      <c r="EH32" t="s">
        <v>178</v>
      </c>
      <c r="EI32" t="s">
        <v>178</v>
      </c>
      <c r="EJ32" t="s">
        <v>178</v>
      </c>
      <c r="EK32">
        <v>8</v>
      </c>
      <c r="EL32" t="s">
        <v>196</v>
      </c>
      <c r="EM32">
        <v>2021</v>
      </c>
      <c r="EN32">
        <v>2022</v>
      </c>
      <c r="EO32">
        <v>6</v>
      </c>
      <c r="EP32" t="s">
        <v>208</v>
      </c>
      <c r="EQ32">
        <v>2021</v>
      </c>
      <c r="ER32">
        <v>2022</v>
      </c>
      <c r="ES32" t="s">
        <v>178</v>
      </c>
    </row>
    <row r="33" spans="1:149" x14ac:dyDescent="0.45">
      <c r="A33">
        <v>1948</v>
      </c>
      <c r="B33">
        <v>977247</v>
      </c>
      <c r="C33" t="s">
        <v>173</v>
      </c>
      <c r="D33" t="s">
        <v>174</v>
      </c>
      <c r="E33" t="s">
        <v>175</v>
      </c>
      <c r="F33" t="s">
        <v>363</v>
      </c>
      <c r="I33" t="s">
        <v>177</v>
      </c>
      <c r="J33" t="s">
        <v>178</v>
      </c>
      <c r="K33" t="s">
        <v>178</v>
      </c>
      <c r="O33" t="s">
        <v>178</v>
      </c>
      <c r="P33" t="s">
        <v>178</v>
      </c>
      <c r="Q33" t="s">
        <v>180</v>
      </c>
      <c r="R33" t="s">
        <v>200</v>
      </c>
      <c r="S33" s="6">
        <v>44761</v>
      </c>
      <c r="T33" t="s">
        <v>364</v>
      </c>
      <c r="U33" t="s">
        <v>178</v>
      </c>
      <c r="X33" t="s">
        <v>182</v>
      </c>
      <c r="Z33" t="s">
        <v>248</v>
      </c>
      <c r="AA33" t="s">
        <v>178</v>
      </c>
      <c r="AB33" t="s">
        <v>184</v>
      </c>
      <c r="AC33">
        <v>0</v>
      </c>
      <c r="AD33" t="s">
        <v>178</v>
      </c>
      <c r="AE33" t="s">
        <v>204</v>
      </c>
      <c r="AF33" t="s">
        <v>178</v>
      </c>
      <c r="AG33" t="s">
        <v>179</v>
      </c>
      <c r="AH33" t="s">
        <v>178</v>
      </c>
      <c r="AJ33" t="s">
        <v>179</v>
      </c>
      <c r="AL33" t="s">
        <v>219</v>
      </c>
      <c r="AM33" t="s">
        <v>56</v>
      </c>
      <c r="AN33" t="s">
        <v>187</v>
      </c>
      <c r="AQ33" t="s">
        <v>178</v>
      </c>
      <c r="AT33" s="6"/>
      <c r="AU33" t="s">
        <v>238</v>
      </c>
      <c r="AV33" t="s">
        <v>190</v>
      </c>
      <c r="AX33" t="s">
        <v>365</v>
      </c>
      <c r="AY33" t="s">
        <v>366</v>
      </c>
      <c r="AZ33" t="s">
        <v>192</v>
      </c>
      <c r="CA33" t="s">
        <v>178</v>
      </c>
      <c r="CG33" t="s">
        <v>178</v>
      </c>
      <c r="CH33" s="6"/>
      <c r="CI33" s="6"/>
      <c r="CJ33" s="6"/>
      <c r="DC33" t="s">
        <v>179</v>
      </c>
      <c r="DT33">
        <v>26</v>
      </c>
      <c r="DU33" t="s">
        <v>179</v>
      </c>
      <c r="DV33" t="s">
        <v>220</v>
      </c>
      <c r="DW33" t="s">
        <v>178</v>
      </c>
      <c r="DX33" t="s">
        <v>178</v>
      </c>
      <c r="DY33" t="s">
        <v>178</v>
      </c>
      <c r="DZ33" t="s">
        <v>178</v>
      </c>
      <c r="EA33" t="s">
        <v>178</v>
      </c>
      <c r="EB33" t="s">
        <v>178</v>
      </c>
      <c r="EE33" t="s">
        <v>178</v>
      </c>
      <c r="EF33" t="s">
        <v>178</v>
      </c>
      <c r="EG33" t="s">
        <v>178</v>
      </c>
      <c r="EH33" t="s">
        <v>178</v>
      </c>
      <c r="EI33" t="s">
        <v>178</v>
      </c>
      <c r="EJ33" t="s">
        <v>178</v>
      </c>
      <c r="EK33">
        <v>7</v>
      </c>
      <c r="EL33" t="s">
        <v>196</v>
      </c>
      <c r="EM33">
        <v>2022</v>
      </c>
      <c r="EN33">
        <v>2023</v>
      </c>
      <c r="EO33">
        <v>7</v>
      </c>
      <c r="EP33" t="s">
        <v>196</v>
      </c>
      <c r="EQ33">
        <v>2023</v>
      </c>
      <c r="ER33">
        <v>2022</v>
      </c>
      <c r="ES33" t="s">
        <v>178</v>
      </c>
    </row>
    <row r="34" spans="1:149" x14ac:dyDescent="0.45">
      <c r="A34">
        <v>285</v>
      </c>
      <c r="B34">
        <v>976658</v>
      </c>
      <c r="C34" t="s">
        <v>173</v>
      </c>
      <c r="D34" t="s">
        <v>174</v>
      </c>
      <c r="E34" t="s">
        <v>175</v>
      </c>
      <c r="F34" t="s">
        <v>176</v>
      </c>
      <c r="I34" t="s">
        <v>177</v>
      </c>
      <c r="J34" t="s">
        <v>178</v>
      </c>
      <c r="K34" t="s">
        <v>178</v>
      </c>
      <c r="M34" t="s">
        <v>367</v>
      </c>
      <c r="P34" t="s">
        <v>214</v>
      </c>
      <c r="Q34" t="s">
        <v>180</v>
      </c>
      <c r="R34" t="s">
        <v>215</v>
      </c>
      <c r="S34" s="6">
        <v>44349</v>
      </c>
      <c r="T34" t="s">
        <v>368</v>
      </c>
      <c r="U34" t="s">
        <v>178</v>
      </c>
      <c r="V34">
        <v>0</v>
      </c>
      <c r="W34">
        <v>0</v>
      </c>
      <c r="Z34" t="s">
        <v>183</v>
      </c>
      <c r="AA34" t="s">
        <v>178</v>
      </c>
      <c r="AB34" t="s">
        <v>316</v>
      </c>
      <c r="AC34">
        <v>0</v>
      </c>
      <c r="AD34" t="s">
        <v>178</v>
      </c>
      <c r="AE34" t="s">
        <v>204</v>
      </c>
      <c r="AF34" t="s">
        <v>178</v>
      </c>
      <c r="AG34" t="s">
        <v>178</v>
      </c>
      <c r="AH34" t="s">
        <v>178</v>
      </c>
      <c r="AK34" t="s">
        <v>54</v>
      </c>
      <c r="AL34" t="s">
        <v>283</v>
      </c>
      <c r="AN34" t="s">
        <v>187</v>
      </c>
      <c r="AO34">
        <v>0</v>
      </c>
      <c r="AT34" s="6"/>
      <c r="AZ34" t="s">
        <v>192</v>
      </c>
      <c r="CA34" t="s">
        <v>178</v>
      </c>
      <c r="CG34" t="s">
        <v>178</v>
      </c>
      <c r="CH34" s="6">
        <v>44375</v>
      </c>
      <c r="CI34" s="6"/>
      <c r="CJ34" s="6"/>
      <c r="DB34" t="s">
        <v>194</v>
      </c>
      <c r="DT34">
        <v>21</v>
      </c>
      <c r="DU34" t="s">
        <v>179</v>
      </c>
      <c r="DV34" t="s">
        <v>220</v>
      </c>
      <c r="DW34" t="s">
        <v>179</v>
      </c>
      <c r="DX34" t="s">
        <v>178</v>
      </c>
      <c r="DY34" t="s">
        <v>179</v>
      </c>
      <c r="DZ34" t="s">
        <v>178</v>
      </c>
      <c r="EA34" t="s">
        <v>178</v>
      </c>
      <c r="EB34" t="s">
        <v>179</v>
      </c>
      <c r="EE34" t="s">
        <v>179</v>
      </c>
      <c r="EF34" t="s">
        <v>178</v>
      </c>
      <c r="EG34" t="s">
        <v>178</v>
      </c>
      <c r="EH34" t="s">
        <v>178</v>
      </c>
      <c r="EI34" t="s">
        <v>178</v>
      </c>
      <c r="EJ34" t="s">
        <v>178</v>
      </c>
      <c r="EK34">
        <v>6</v>
      </c>
      <c r="EL34" t="s">
        <v>208</v>
      </c>
      <c r="EM34">
        <v>2021</v>
      </c>
      <c r="EN34">
        <v>2021</v>
      </c>
      <c r="EO34">
        <v>6</v>
      </c>
      <c r="EP34" t="s">
        <v>208</v>
      </c>
      <c r="EQ34">
        <v>2021</v>
      </c>
      <c r="ER34">
        <v>2021</v>
      </c>
      <c r="ES34" t="s">
        <v>178</v>
      </c>
    </row>
    <row r="35" spans="1:149" x14ac:dyDescent="0.45">
      <c r="A35">
        <v>286</v>
      </c>
      <c r="B35">
        <v>976659</v>
      </c>
      <c r="C35" t="s">
        <v>173</v>
      </c>
      <c r="D35" t="s">
        <v>174</v>
      </c>
      <c r="E35" t="s">
        <v>175</v>
      </c>
      <c r="F35" t="s">
        <v>176</v>
      </c>
      <c r="I35" t="s">
        <v>177</v>
      </c>
      <c r="J35" t="s">
        <v>178</v>
      </c>
      <c r="K35" t="s">
        <v>178</v>
      </c>
      <c r="M35" t="s">
        <v>367</v>
      </c>
      <c r="P35" t="s">
        <v>214</v>
      </c>
      <c r="Q35" t="s">
        <v>180</v>
      </c>
      <c r="R35" t="s">
        <v>215</v>
      </c>
      <c r="S35" s="6">
        <v>44349</v>
      </c>
      <c r="T35" t="s">
        <v>369</v>
      </c>
      <c r="U35" t="s">
        <v>178</v>
      </c>
      <c r="V35">
        <v>0</v>
      </c>
      <c r="W35">
        <v>0</v>
      </c>
      <c r="Z35" t="s">
        <v>183</v>
      </c>
      <c r="AA35" t="s">
        <v>178</v>
      </c>
      <c r="AB35" t="s">
        <v>316</v>
      </c>
      <c r="AC35">
        <v>0</v>
      </c>
      <c r="AD35" t="s">
        <v>178</v>
      </c>
      <c r="AE35" t="s">
        <v>204</v>
      </c>
      <c r="AF35" t="s">
        <v>178</v>
      </c>
      <c r="AG35" t="s">
        <v>178</v>
      </c>
      <c r="AH35" t="s">
        <v>178</v>
      </c>
      <c r="AK35" t="s">
        <v>54</v>
      </c>
      <c r="AL35" t="s">
        <v>283</v>
      </c>
      <c r="AN35" t="s">
        <v>187</v>
      </c>
      <c r="AO35">
        <v>0</v>
      </c>
      <c r="AT35" s="6"/>
      <c r="AZ35" t="s">
        <v>192</v>
      </c>
      <c r="CA35" t="s">
        <v>178</v>
      </c>
      <c r="CG35" t="s">
        <v>178</v>
      </c>
      <c r="CH35" s="6">
        <v>44375</v>
      </c>
      <c r="CL35" s="6"/>
      <c r="CQ35" s="6"/>
      <c r="DB35" t="s">
        <v>194</v>
      </c>
      <c r="DT35">
        <v>21</v>
      </c>
      <c r="DU35" t="s">
        <v>179</v>
      </c>
      <c r="DV35" t="s">
        <v>220</v>
      </c>
      <c r="DW35" t="s">
        <v>179</v>
      </c>
      <c r="DX35" t="s">
        <v>178</v>
      </c>
      <c r="DY35" t="s">
        <v>179</v>
      </c>
      <c r="DZ35" t="s">
        <v>178</v>
      </c>
      <c r="EA35" t="s">
        <v>178</v>
      </c>
      <c r="EB35" t="s">
        <v>179</v>
      </c>
      <c r="EE35" t="s">
        <v>179</v>
      </c>
      <c r="EF35" t="s">
        <v>178</v>
      </c>
      <c r="EG35" t="s">
        <v>178</v>
      </c>
      <c r="EH35" t="s">
        <v>178</v>
      </c>
      <c r="EI35" t="s">
        <v>178</v>
      </c>
      <c r="EJ35" t="s">
        <v>178</v>
      </c>
      <c r="EK35">
        <v>6</v>
      </c>
      <c r="EL35" t="s">
        <v>208</v>
      </c>
      <c r="EM35">
        <v>2021</v>
      </c>
      <c r="EN35">
        <v>2021</v>
      </c>
      <c r="EO35">
        <v>6</v>
      </c>
      <c r="EP35" t="s">
        <v>208</v>
      </c>
      <c r="EQ35">
        <v>2021</v>
      </c>
      <c r="ER35">
        <v>2023</v>
      </c>
      <c r="ES35" t="s">
        <v>178</v>
      </c>
    </row>
    <row r="36" spans="1:149" x14ac:dyDescent="0.45">
      <c r="A36">
        <v>1809</v>
      </c>
      <c r="B36">
        <v>977158</v>
      </c>
      <c r="C36" t="s">
        <v>173</v>
      </c>
      <c r="D36" t="s">
        <v>224</v>
      </c>
      <c r="E36" t="s">
        <v>175</v>
      </c>
      <c r="F36" t="s">
        <v>176</v>
      </c>
      <c r="I36" t="s">
        <v>177</v>
      </c>
      <c r="J36" t="s">
        <v>178</v>
      </c>
      <c r="K36" t="s">
        <v>178</v>
      </c>
      <c r="L36" t="s">
        <v>370</v>
      </c>
      <c r="M36" t="s">
        <v>246</v>
      </c>
      <c r="O36" t="s">
        <v>178</v>
      </c>
      <c r="P36" t="s">
        <v>178</v>
      </c>
      <c r="Q36" t="s">
        <v>180</v>
      </c>
      <c r="R36" t="s">
        <v>200</v>
      </c>
      <c r="S36" s="6">
        <v>44708</v>
      </c>
      <c r="T36" t="s">
        <v>371</v>
      </c>
      <c r="U36" t="s">
        <v>178</v>
      </c>
      <c r="V36">
        <v>0</v>
      </c>
      <c r="Z36" t="s">
        <v>248</v>
      </c>
      <c r="AA36" t="s">
        <v>178</v>
      </c>
      <c r="AB36" t="s">
        <v>184</v>
      </c>
      <c r="AC36">
        <v>0</v>
      </c>
      <c r="AD36" t="s">
        <v>179</v>
      </c>
      <c r="AE36" t="s">
        <v>185</v>
      </c>
      <c r="AF36" t="s">
        <v>178</v>
      </c>
      <c r="AG36" t="s">
        <v>179</v>
      </c>
      <c r="AH36" t="s">
        <v>178</v>
      </c>
      <c r="AJ36" t="s">
        <v>179</v>
      </c>
      <c r="AK36" t="s">
        <v>56</v>
      </c>
      <c r="AL36" t="s">
        <v>372</v>
      </c>
      <c r="AM36" t="s">
        <v>56</v>
      </c>
      <c r="AN36" t="s">
        <v>187</v>
      </c>
      <c r="AP36" t="s">
        <v>205</v>
      </c>
      <c r="AR36">
        <v>13</v>
      </c>
      <c r="AT36" s="6"/>
      <c r="AY36" t="s">
        <v>373</v>
      </c>
      <c r="AZ36" t="s">
        <v>192</v>
      </c>
      <c r="CA36" t="s">
        <v>178</v>
      </c>
      <c r="CG36" t="s">
        <v>178</v>
      </c>
      <c r="CH36" s="6">
        <v>44712</v>
      </c>
      <c r="CI36" s="6"/>
      <c r="CJ36" s="6"/>
      <c r="CL36" s="6"/>
      <c r="CQ36" s="6"/>
      <c r="DC36" t="s">
        <v>179</v>
      </c>
      <c r="DD36" t="s">
        <v>357</v>
      </c>
      <c r="DE36">
        <v>5</v>
      </c>
      <c r="DJ36" t="s">
        <v>265</v>
      </c>
      <c r="DT36">
        <v>29</v>
      </c>
      <c r="DU36" t="s">
        <v>179</v>
      </c>
      <c r="DV36" t="s">
        <v>220</v>
      </c>
      <c r="DW36" t="s">
        <v>178</v>
      </c>
      <c r="DX36" t="s">
        <v>178</v>
      </c>
      <c r="DY36" t="s">
        <v>179</v>
      </c>
      <c r="DZ36" t="s">
        <v>178</v>
      </c>
      <c r="EA36" t="s">
        <v>178</v>
      </c>
      <c r="EB36" t="s">
        <v>178</v>
      </c>
      <c r="EE36" t="s">
        <v>178</v>
      </c>
      <c r="EF36" t="s">
        <v>178</v>
      </c>
      <c r="EG36" t="s">
        <v>178</v>
      </c>
      <c r="EH36" t="s">
        <v>178</v>
      </c>
      <c r="EI36" t="s">
        <v>178</v>
      </c>
      <c r="EJ36" t="s">
        <v>178</v>
      </c>
      <c r="EK36">
        <v>5</v>
      </c>
      <c r="EL36" t="s">
        <v>208</v>
      </c>
      <c r="EM36">
        <v>2022</v>
      </c>
      <c r="EN36">
        <v>2022</v>
      </c>
      <c r="EO36">
        <v>5</v>
      </c>
      <c r="EP36" t="s">
        <v>208</v>
      </c>
      <c r="EQ36">
        <v>2022</v>
      </c>
      <c r="ER36">
        <v>2021</v>
      </c>
      <c r="ES36" t="s">
        <v>178</v>
      </c>
    </row>
    <row r="37" spans="1:149" x14ac:dyDescent="0.45">
      <c r="A37">
        <v>1735</v>
      </c>
      <c r="B37">
        <v>977171</v>
      </c>
      <c r="C37" t="s">
        <v>173</v>
      </c>
      <c r="D37" t="s">
        <v>374</v>
      </c>
      <c r="E37" t="s">
        <v>175</v>
      </c>
      <c r="F37" t="s">
        <v>176</v>
      </c>
      <c r="I37" t="s">
        <v>177</v>
      </c>
      <c r="J37" t="s">
        <v>179</v>
      </c>
      <c r="K37" t="s">
        <v>179</v>
      </c>
      <c r="M37" t="s">
        <v>199</v>
      </c>
      <c r="O37" t="s">
        <v>178</v>
      </c>
      <c r="P37" t="s">
        <v>178</v>
      </c>
      <c r="Q37" t="s">
        <v>180</v>
      </c>
      <c r="R37" t="s">
        <v>200</v>
      </c>
      <c r="S37" s="6">
        <v>44713</v>
      </c>
      <c r="T37" t="s">
        <v>375</v>
      </c>
      <c r="V37">
        <v>0</v>
      </c>
      <c r="W37">
        <v>13</v>
      </c>
      <c r="AB37" t="s">
        <v>184</v>
      </c>
      <c r="AC37">
        <v>0</v>
      </c>
      <c r="AE37" t="s">
        <v>185</v>
      </c>
      <c r="AF37" t="s">
        <v>178</v>
      </c>
      <c r="AG37" t="s">
        <v>178</v>
      </c>
      <c r="AH37" t="s">
        <v>178</v>
      </c>
      <c r="AJ37" t="s">
        <v>178</v>
      </c>
      <c r="AK37" t="s">
        <v>56</v>
      </c>
      <c r="AL37" t="s">
        <v>228</v>
      </c>
      <c r="AM37" t="s">
        <v>56</v>
      </c>
      <c r="AN37" t="s">
        <v>187</v>
      </c>
      <c r="AO37">
        <v>40</v>
      </c>
      <c r="AP37" t="s">
        <v>205</v>
      </c>
      <c r="AT37" s="6"/>
      <c r="AZ37" t="s">
        <v>192</v>
      </c>
      <c r="CA37" t="s">
        <v>178</v>
      </c>
      <c r="CG37" t="s">
        <v>178</v>
      </c>
      <c r="CH37" s="6">
        <v>44712</v>
      </c>
      <c r="CI37" s="6"/>
      <c r="CJ37" s="6"/>
      <c r="CL37" s="6"/>
      <c r="CQ37" s="6"/>
      <c r="DB37" t="s">
        <v>194</v>
      </c>
      <c r="DR37" t="s">
        <v>358</v>
      </c>
      <c r="DT37">
        <v>23</v>
      </c>
      <c r="DU37" t="s">
        <v>179</v>
      </c>
      <c r="DV37" t="s">
        <v>220</v>
      </c>
      <c r="DW37" t="s">
        <v>179</v>
      </c>
      <c r="DX37" t="s">
        <v>178</v>
      </c>
      <c r="DY37" t="s">
        <v>179</v>
      </c>
      <c r="DZ37" t="s">
        <v>178</v>
      </c>
      <c r="EA37" t="s">
        <v>178</v>
      </c>
      <c r="EB37" t="s">
        <v>179</v>
      </c>
      <c r="EE37" t="s">
        <v>179</v>
      </c>
      <c r="EF37" t="s">
        <v>178</v>
      </c>
      <c r="EG37" t="s">
        <v>178</v>
      </c>
      <c r="EH37" t="s">
        <v>178</v>
      </c>
      <c r="EI37" t="s">
        <v>178</v>
      </c>
      <c r="EJ37" t="s">
        <v>178</v>
      </c>
      <c r="EK37">
        <v>5</v>
      </c>
      <c r="EL37" t="s">
        <v>208</v>
      </c>
      <c r="EM37">
        <v>2022</v>
      </c>
      <c r="EN37">
        <v>2022</v>
      </c>
      <c r="EO37">
        <v>6</v>
      </c>
      <c r="EP37" t="s">
        <v>208</v>
      </c>
      <c r="EQ37">
        <v>2022</v>
      </c>
      <c r="ER37">
        <v>2021</v>
      </c>
      <c r="ES37" t="s">
        <v>178</v>
      </c>
    </row>
    <row r="38" spans="1:149" x14ac:dyDescent="0.45">
      <c r="A38">
        <v>1744</v>
      </c>
      <c r="B38">
        <v>977163</v>
      </c>
      <c r="C38" t="s">
        <v>376</v>
      </c>
      <c r="D38" t="s">
        <v>224</v>
      </c>
      <c r="E38" t="s">
        <v>175</v>
      </c>
      <c r="F38" t="s">
        <v>176</v>
      </c>
      <c r="I38" t="s">
        <v>177</v>
      </c>
      <c r="J38" t="s">
        <v>178</v>
      </c>
      <c r="K38" t="s">
        <v>178</v>
      </c>
      <c r="L38" t="s">
        <v>377</v>
      </c>
      <c r="M38" t="s">
        <v>246</v>
      </c>
      <c r="O38" t="s">
        <v>179</v>
      </c>
      <c r="P38" t="s">
        <v>178</v>
      </c>
      <c r="Q38" t="s">
        <v>259</v>
      </c>
      <c r="R38" t="s">
        <v>200</v>
      </c>
      <c r="S38" s="6">
        <v>44705</v>
      </c>
      <c r="T38" t="s">
        <v>378</v>
      </c>
      <c r="U38" t="s">
        <v>178</v>
      </c>
      <c r="V38">
        <v>0</v>
      </c>
      <c r="W38">
        <v>13.5</v>
      </c>
      <c r="Z38" t="s">
        <v>203</v>
      </c>
      <c r="AA38" t="s">
        <v>178</v>
      </c>
      <c r="AB38" t="s">
        <v>184</v>
      </c>
      <c r="AC38">
        <v>0</v>
      </c>
      <c r="AD38" t="s">
        <v>178</v>
      </c>
      <c r="AE38" t="s">
        <v>204</v>
      </c>
      <c r="AF38" t="s">
        <v>178</v>
      </c>
      <c r="AG38" t="s">
        <v>178</v>
      </c>
      <c r="AH38" t="s">
        <v>178</v>
      </c>
      <c r="AJ38" t="s">
        <v>178</v>
      </c>
      <c r="AM38" t="s">
        <v>56</v>
      </c>
      <c r="AN38" t="s">
        <v>187</v>
      </c>
      <c r="AO38">
        <v>40</v>
      </c>
      <c r="AP38" t="s">
        <v>233</v>
      </c>
      <c r="AT38" s="6"/>
      <c r="AZ38" t="s">
        <v>192</v>
      </c>
      <c r="CA38" t="s">
        <v>178</v>
      </c>
      <c r="CG38" t="s">
        <v>178</v>
      </c>
      <c r="CH38" s="6"/>
      <c r="CI38" s="6"/>
      <c r="CJ38" s="6"/>
      <c r="DC38" t="s">
        <v>179</v>
      </c>
      <c r="DT38">
        <v>23</v>
      </c>
      <c r="DU38" t="s">
        <v>178</v>
      </c>
      <c r="DW38" t="s">
        <v>178</v>
      </c>
      <c r="DX38" t="s">
        <v>178</v>
      </c>
      <c r="DY38" t="s">
        <v>178</v>
      </c>
      <c r="DZ38" t="s">
        <v>178</v>
      </c>
      <c r="EA38" t="s">
        <v>178</v>
      </c>
      <c r="EB38" t="s">
        <v>178</v>
      </c>
      <c r="EE38" t="s">
        <v>178</v>
      </c>
      <c r="EF38" t="s">
        <v>178</v>
      </c>
      <c r="EG38" t="s">
        <v>178</v>
      </c>
      <c r="EH38" t="s">
        <v>178</v>
      </c>
      <c r="EI38" t="s">
        <v>178</v>
      </c>
      <c r="EJ38" t="s">
        <v>178</v>
      </c>
      <c r="EK38">
        <v>5</v>
      </c>
      <c r="EL38" t="s">
        <v>208</v>
      </c>
      <c r="EM38">
        <v>2022</v>
      </c>
      <c r="EN38">
        <v>2022</v>
      </c>
      <c r="EO38">
        <v>5</v>
      </c>
      <c r="EP38" t="s">
        <v>208</v>
      </c>
      <c r="EQ38">
        <v>2022</v>
      </c>
      <c r="ER38">
        <v>2022</v>
      </c>
      <c r="ES38" t="s">
        <v>178</v>
      </c>
    </row>
    <row r="39" spans="1:149" x14ac:dyDescent="0.45">
      <c r="A39">
        <v>417</v>
      </c>
      <c r="B39">
        <v>976405</v>
      </c>
      <c r="C39" t="s">
        <v>173</v>
      </c>
      <c r="D39" t="s">
        <v>210</v>
      </c>
      <c r="E39" t="s">
        <v>175</v>
      </c>
      <c r="F39" t="s">
        <v>211</v>
      </c>
      <c r="H39" t="s">
        <v>212</v>
      </c>
      <c r="I39" t="s">
        <v>177</v>
      </c>
      <c r="J39" t="s">
        <v>178</v>
      </c>
      <c r="K39" t="s">
        <v>178</v>
      </c>
      <c r="L39" t="s">
        <v>71</v>
      </c>
      <c r="N39" t="s">
        <v>213</v>
      </c>
      <c r="O39" t="s">
        <v>178</v>
      </c>
      <c r="P39" t="s">
        <v>214</v>
      </c>
      <c r="Q39" t="s">
        <v>180</v>
      </c>
      <c r="R39" t="s">
        <v>215</v>
      </c>
      <c r="S39" s="6">
        <v>44232</v>
      </c>
      <c r="T39" t="s">
        <v>379</v>
      </c>
      <c r="U39" t="s">
        <v>178</v>
      </c>
      <c r="V39">
        <v>0</v>
      </c>
      <c r="W39">
        <v>0</v>
      </c>
      <c r="Z39" t="s">
        <v>217</v>
      </c>
      <c r="AA39" t="s">
        <v>178</v>
      </c>
      <c r="AB39" t="s">
        <v>184</v>
      </c>
      <c r="AC39">
        <v>0</v>
      </c>
      <c r="AD39" t="s">
        <v>179</v>
      </c>
      <c r="AE39" t="s">
        <v>218</v>
      </c>
      <c r="AF39" t="s">
        <v>178</v>
      </c>
      <c r="AK39" t="s">
        <v>56</v>
      </c>
      <c r="AL39" t="s">
        <v>219</v>
      </c>
      <c r="AO39">
        <v>0</v>
      </c>
      <c r="AT39" s="6"/>
      <c r="AZ39" t="s">
        <v>192</v>
      </c>
      <c r="BA39" t="s">
        <v>380</v>
      </c>
      <c r="BB39" t="s">
        <v>240</v>
      </c>
      <c r="BC39" t="s">
        <v>381</v>
      </c>
      <c r="BD39">
        <v>14.25</v>
      </c>
      <c r="BE39">
        <v>40</v>
      </c>
      <c r="BF39" t="s">
        <v>179</v>
      </c>
      <c r="BG39" t="s">
        <v>179</v>
      </c>
      <c r="BH39" t="s">
        <v>178</v>
      </c>
      <c r="BI39" t="s">
        <v>179</v>
      </c>
      <c r="BJ39" t="s">
        <v>179</v>
      </c>
      <c r="BK39" t="s">
        <v>382</v>
      </c>
      <c r="BL39" t="s">
        <v>277</v>
      </c>
      <c r="BM39" t="s">
        <v>383</v>
      </c>
      <c r="BN39">
        <v>16</v>
      </c>
      <c r="BO39">
        <v>40</v>
      </c>
      <c r="BP39" t="s">
        <v>179</v>
      </c>
      <c r="BQ39" t="s">
        <v>178</v>
      </c>
      <c r="BR39" t="s">
        <v>178</v>
      </c>
      <c r="BS39" t="s">
        <v>178</v>
      </c>
      <c r="BT39" t="s">
        <v>179</v>
      </c>
      <c r="BW39" t="s">
        <v>179</v>
      </c>
      <c r="BX39" t="s">
        <v>384</v>
      </c>
      <c r="BY39" t="s">
        <v>310</v>
      </c>
      <c r="BZ39" t="s">
        <v>384</v>
      </c>
      <c r="CA39" t="s">
        <v>178</v>
      </c>
      <c r="CB39">
        <v>330</v>
      </c>
      <c r="CD39">
        <v>330</v>
      </c>
      <c r="CE39">
        <v>330</v>
      </c>
      <c r="CF39">
        <v>330</v>
      </c>
      <c r="CG39" t="s">
        <v>178</v>
      </c>
      <c r="CH39" s="6">
        <v>44235</v>
      </c>
      <c r="CI39" s="6" t="s">
        <v>179</v>
      </c>
      <c r="CJ39" s="6" t="s">
        <v>385</v>
      </c>
      <c r="CL39" s="6"/>
      <c r="CQ39" s="6"/>
      <c r="DA39" t="s">
        <v>179</v>
      </c>
      <c r="DB39" t="s">
        <v>194</v>
      </c>
      <c r="DC39" t="s">
        <v>179</v>
      </c>
      <c r="DT39">
        <v>26</v>
      </c>
      <c r="DU39" t="s">
        <v>179</v>
      </c>
      <c r="DV39" t="s">
        <v>220</v>
      </c>
      <c r="DW39" t="s">
        <v>179</v>
      </c>
      <c r="DX39" t="s">
        <v>179</v>
      </c>
      <c r="DY39" t="s">
        <v>179</v>
      </c>
      <c r="DZ39" t="s">
        <v>178</v>
      </c>
      <c r="EA39" t="s">
        <v>179</v>
      </c>
      <c r="EB39" t="s">
        <v>178</v>
      </c>
      <c r="ED39">
        <v>82</v>
      </c>
      <c r="EE39" t="s">
        <v>178</v>
      </c>
      <c r="EF39" t="s">
        <v>178</v>
      </c>
      <c r="EG39" t="s">
        <v>178</v>
      </c>
      <c r="EH39" t="s">
        <v>178</v>
      </c>
      <c r="EI39" t="s">
        <v>179</v>
      </c>
      <c r="EJ39" t="s">
        <v>178</v>
      </c>
      <c r="EK39">
        <v>2</v>
      </c>
      <c r="EL39" t="s">
        <v>209</v>
      </c>
      <c r="EM39">
        <v>2021</v>
      </c>
      <c r="EN39">
        <v>2021</v>
      </c>
      <c r="EO39">
        <v>2</v>
      </c>
      <c r="EP39" t="s">
        <v>209</v>
      </c>
      <c r="EQ39">
        <v>2021</v>
      </c>
      <c r="ER39">
        <v>2022</v>
      </c>
      <c r="ES39" t="s">
        <v>178</v>
      </c>
    </row>
    <row r="40" spans="1:149" x14ac:dyDescent="0.45">
      <c r="A40">
        <v>320</v>
      </c>
      <c r="B40">
        <v>976611</v>
      </c>
      <c r="C40" t="s">
        <v>173</v>
      </c>
      <c r="D40" t="s">
        <v>210</v>
      </c>
      <c r="E40" t="s">
        <v>175</v>
      </c>
      <c r="F40" t="s">
        <v>176</v>
      </c>
      <c r="I40" t="s">
        <v>177</v>
      </c>
      <c r="J40" t="s">
        <v>179</v>
      </c>
      <c r="K40" t="s">
        <v>178</v>
      </c>
      <c r="L40" t="s">
        <v>71</v>
      </c>
      <c r="N40" t="s">
        <v>213</v>
      </c>
      <c r="O40" t="s">
        <v>179</v>
      </c>
      <c r="P40" t="s">
        <v>214</v>
      </c>
      <c r="Q40" t="s">
        <v>259</v>
      </c>
      <c r="R40" t="s">
        <v>215</v>
      </c>
      <c r="S40" s="6">
        <v>44329</v>
      </c>
      <c r="T40" t="s">
        <v>386</v>
      </c>
      <c r="U40" t="s">
        <v>178</v>
      </c>
      <c r="V40">
        <v>0</v>
      </c>
      <c r="W40">
        <v>0</v>
      </c>
      <c r="X40" t="s">
        <v>314</v>
      </c>
      <c r="Z40" t="s">
        <v>315</v>
      </c>
      <c r="AA40" t="s">
        <v>178</v>
      </c>
      <c r="AB40" t="s">
        <v>184</v>
      </c>
      <c r="AC40">
        <v>800</v>
      </c>
      <c r="AD40" t="s">
        <v>178</v>
      </c>
      <c r="AE40" t="s">
        <v>218</v>
      </c>
      <c r="AF40" t="s">
        <v>178</v>
      </c>
      <c r="AG40" t="s">
        <v>178</v>
      </c>
      <c r="AH40" t="s">
        <v>178</v>
      </c>
      <c r="AK40" t="s">
        <v>56</v>
      </c>
      <c r="AL40" t="s">
        <v>283</v>
      </c>
      <c r="AT40" s="6"/>
      <c r="AZ40" t="s">
        <v>192</v>
      </c>
      <c r="BA40" t="s">
        <v>387</v>
      </c>
      <c r="BB40" t="s">
        <v>240</v>
      </c>
      <c r="BC40" t="s">
        <v>388</v>
      </c>
      <c r="BD40">
        <v>12.59</v>
      </c>
      <c r="BE40">
        <v>20</v>
      </c>
      <c r="BF40" t="s">
        <v>178</v>
      </c>
      <c r="BG40" t="s">
        <v>178</v>
      </c>
      <c r="BH40" t="s">
        <v>178</v>
      </c>
      <c r="BI40" t="s">
        <v>178</v>
      </c>
      <c r="BJ40" t="s">
        <v>178</v>
      </c>
      <c r="BK40" t="s">
        <v>389</v>
      </c>
      <c r="BL40" t="s">
        <v>277</v>
      </c>
      <c r="BM40" t="s">
        <v>390</v>
      </c>
      <c r="BN40">
        <v>15</v>
      </c>
      <c r="BO40">
        <v>40</v>
      </c>
      <c r="BP40" t="s">
        <v>179</v>
      </c>
      <c r="BQ40" t="s">
        <v>178</v>
      </c>
      <c r="BR40" t="s">
        <v>178</v>
      </c>
      <c r="BS40" t="s">
        <v>178</v>
      </c>
      <c r="BT40" t="s">
        <v>178</v>
      </c>
      <c r="BW40" t="s">
        <v>179</v>
      </c>
      <c r="BX40" t="s">
        <v>255</v>
      </c>
      <c r="BY40" t="s">
        <v>310</v>
      </c>
      <c r="BZ40" t="s">
        <v>255</v>
      </c>
      <c r="CA40" t="s">
        <v>179</v>
      </c>
      <c r="CB40">
        <v>301</v>
      </c>
      <c r="CC40">
        <v>442</v>
      </c>
      <c r="CD40">
        <v>442</v>
      </c>
      <c r="CE40">
        <v>442</v>
      </c>
      <c r="CF40">
        <v>442</v>
      </c>
      <c r="CG40" t="s">
        <v>179</v>
      </c>
      <c r="CH40" s="6">
        <v>44340</v>
      </c>
      <c r="CI40" t="s">
        <v>179</v>
      </c>
      <c r="CJ40" s="6" t="s">
        <v>279</v>
      </c>
      <c r="CL40" s="6"/>
      <c r="CQ40" s="6"/>
      <c r="DA40" t="s">
        <v>179</v>
      </c>
      <c r="DT40">
        <v>26</v>
      </c>
      <c r="DU40" t="s">
        <v>179</v>
      </c>
      <c r="DV40" t="s">
        <v>220</v>
      </c>
      <c r="DW40" t="s">
        <v>179</v>
      </c>
      <c r="DX40" t="s">
        <v>179</v>
      </c>
      <c r="DY40" t="s">
        <v>179</v>
      </c>
      <c r="DZ40" t="s">
        <v>178</v>
      </c>
      <c r="EA40" t="s">
        <v>179</v>
      </c>
      <c r="EB40" t="s">
        <v>178</v>
      </c>
      <c r="ED40">
        <v>140</v>
      </c>
      <c r="EE40" t="s">
        <v>178</v>
      </c>
      <c r="EF40" t="s">
        <v>178</v>
      </c>
      <c r="EG40" t="s">
        <v>178</v>
      </c>
      <c r="EH40" t="s">
        <v>178</v>
      </c>
      <c r="EI40" t="s">
        <v>179</v>
      </c>
      <c r="EJ40" t="s">
        <v>178</v>
      </c>
      <c r="EK40">
        <v>5</v>
      </c>
      <c r="EL40" t="s">
        <v>208</v>
      </c>
      <c r="EM40">
        <v>2021</v>
      </c>
      <c r="EN40">
        <v>2021</v>
      </c>
      <c r="EO40">
        <v>5</v>
      </c>
      <c r="EP40" t="s">
        <v>208</v>
      </c>
      <c r="EQ40">
        <v>2021</v>
      </c>
      <c r="ER40">
        <v>2022</v>
      </c>
      <c r="ES40" t="s">
        <v>178</v>
      </c>
    </row>
    <row r="41" spans="1:149" x14ac:dyDescent="0.45">
      <c r="A41">
        <v>1729</v>
      </c>
      <c r="B41">
        <v>976975</v>
      </c>
      <c r="C41" t="s">
        <v>173</v>
      </c>
      <c r="D41" t="s">
        <v>224</v>
      </c>
      <c r="E41" t="s">
        <v>175</v>
      </c>
      <c r="F41" t="s">
        <v>176</v>
      </c>
      <c r="I41" t="s">
        <v>177</v>
      </c>
      <c r="J41" t="s">
        <v>178</v>
      </c>
      <c r="K41" t="s">
        <v>178</v>
      </c>
      <c r="L41" t="s">
        <v>391</v>
      </c>
      <c r="M41" t="s">
        <v>225</v>
      </c>
      <c r="O41" t="s">
        <v>178</v>
      </c>
      <c r="P41" t="s">
        <v>178</v>
      </c>
      <c r="Q41" t="s">
        <v>180</v>
      </c>
      <c r="R41" t="s">
        <v>200</v>
      </c>
      <c r="S41" s="6">
        <v>44596</v>
      </c>
      <c r="T41" t="s">
        <v>392</v>
      </c>
      <c r="U41" t="s">
        <v>178</v>
      </c>
      <c r="V41">
        <v>0</v>
      </c>
      <c r="W41">
        <v>12.5</v>
      </c>
      <c r="X41" t="s">
        <v>202</v>
      </c>
      <c r="Z41" t="s">
        <v>203</v>
      </c>
      <c r="AA41" t="s">
        <v>178</v>
      </c>
      <c r="AB41" t="s">
        <v>184</v>
      </c>
      <c r="AC41">
        <v>250</v>
      </c>
      <c r="AD41" t="s">
        <v>179</v>
      </c>
      <c r="AE41" t="s">
        <v>204</v>
      </c>
      <c r="AF41" t="s">
        <v>178</v>
      </c>
      <c r="AG41" t="s">
        <v>178</v>
      </c>
      <c r="AK41" t="s">
        <v>56</v>
      </c>
      <c r="AL41" t="s">
        <v>254</v>
      </c>
      <c r="AM41" t="s">
        <v>56</v>
      </c>
      <c r="AN41" t="s">
        <v>187</v>
      </c>
      <c r="AO41">
        <v>35</v>
      </c>
      <c r="AT41" s="6"/>
      <c r="AZ41" t="s">
        <v>192</v>
      </c>
      <c r="BX41" t="s">
        <v>255</v>
      </c>
      <c r="BY41" t="s">
        <v>256</v>
      </c>
      <c r="CA41" t="s">
        <v>178</v>
      </c>
      <c r="CG41" t="s">
        <v>178</v>
      </c>
      <c r="CH41" s="6">
        <v>44599</v>
      </c>
      <c r="CI41" s="6" t="s">
        <v>179</v>
      </c>
      <c r="CJ41" s="6" t="s">
        <v>349</v>
      </c>
      <c r="CL41" s="6"/>
      <c r="CQ41" s="6"/>
      <c r="DA41" t="s">
        <v>179</v>
      </c>
      <c r="DB41" t="s">
        <v>194</v>
      </c>
      <c r="DT41">
        <v>36</v>
      </c>
      <c r="DU41" t="s">
        <v>179</v>
      </c>
      <c r="DV41" t="s">
        <v>220</v>
      </c>
      <c r="DW41" t="s">
        <v>179</v>
      </c>
      <c r="DX41" t="s">
        <v>178</v>
      </c>
      <c r="DY41" t="s">
        <v>179</v>
      </c>
      <c r="DZ41" t="s">
        <v>178</v>
      </c>
      <c r="EA41" t="s">
        <v>178</v>
      </c>
      <c r="EB41" t="s">
        <v>179</v>
      </c>
      <c r="EE41" t="s">
        <v>179</v>
      </c>
      <c r="EF41" t="s">
        <v>178</v>
      </c>
      <c r="EG41" t="s">
        <v>178</v>
      </c>
      <c r="EH41" t="s">
        <v>178</v>
      </c>
      <c r="EI41" t="s">
        <v>178</v>
      </c>
      <c r="EJ41" t="s">
        <v>178</v>
      </c>
      <c r="EK41">
        <v>2</v>
      </c>
      <c r="EL41" t="s">
        <v>209</v>
      </c>
      <c r="EM41">
        <v>2022</v>
      </c>
      <c r="EN41">
        <v>2022</v>
      </c>
      <c r="EO41">
        <v>2</v>
      </c>
      <c r="EP41" t="s">
        <v>209</v>
      </c>
      <c r="EQ41">
        <v>2022</v>
      </c>
      <c r="ER41">
        <v>2021</v>
      </c>
      <c r="ES41" t="s">
        <v>178</v>
      </c>
    </row>
    <row r="42" spans="1:149" x14ac:dyDescent="0.45">
      <c r="A42">
        <v>1840</v>
      </c>
      <c r="B42">
        <v>977234</v>
      </c>
      <c r="C42" t="s">
        <v>393</v>
      </c>
      <c r="D42" t="s">
        <v>174</v>
      </c>
      <c r="E42" t="s">
        <v>175</v>
      </c>
      <c r="F42" t="s">
        <v>394</v>
      </c>
      <c r="I42" t="s">
        <v>177</v>
      </c>
      <c r="J42" t="s">
        <v>178</v>
      </c>
      <c r="K42" t="s">
        <v>178</v>
      </c>
      <c r="O42" t="s">
        <v>178</v>
      </c>
      <c r="P42" t="s">
        <v>178</v>
      </c>
      <c r="Q42" t="s">
        <v>180</v>
      </c>
      <c r="R42" t="s">
        <v>200</v>
      </c>
      <c r="S42" s="6">
        <v>44729</v>
      </c>
      <c r="T42" t="s">
        <v>395</v>
      </c>
      <c r="U42" t="s">
        <v>178</v>
      </c>
      <c r="Z42" t="s">
        <v>183</v>
      </c>
      <c r="AA42" t="s">
        <v>178</v>
      </c>
      <c r="AB42" t="s">
        <v>184</v>
      </c>
      <c r="AC42">
        <v>0</v>
      </c>
      <c r="AD42" t="s">
        <v>179</v>
      </c>
      <c r="AE42" t="s">
        <v>204</v>
      </c>
      <c r="AF42" t="s">
        <v>178</v>
      </c>
      <c r="AG42" t="s">
        <v>178</v>
      </c>
      <c r="AH42" t="s">
        <v>178</v>
      </c>
      <c r="AI42" t="s">
        <v>396</v>
      </c>
      <c r="AJ42" t="s">
        <v>178</v>
      </c>
      <c r="AK42" t="s">
        <v>56</v>
      </c>
      <c r="AL42" t="s">
        <v>186</v>
      </c>
      <c r="AM42" t="s">
        <v>56</v>
      </c>
      <c r="AN42" t="s">
        <v>187</v>
      </c>
      <c r="AP42" t="s">
        <v>205</v>
      </c>
      <c r="AT42" s="6"/>
      <c r="AU42" t="s">
        <v>178</v>
      </c>
      <c r="AV42" t="s">
        <v>190</v>
      </c>
      <c r="AY42" t="s">
        <v>397</v>
      </c>
      <c r="AZ42" t="s">
        <v>192</v>
      </c>
      <c r="BA42" t="s">
        <v>398</v>
      </c>
      <c r="BB42" t="s">
        <v>277</v>
      </c>
      <c r="BC42" t="s">
        <v>399</v>
      </c>
      <c r="BD42">
        <v>17.5</v>
      </c>
      <c r="BE42">
        <v>0</v>
      </c>
      <c r="BF42" t="s">
        <v>178</v>
      </c>
      <c r="BG42" t="s">
        <v>178</v>
      </c>
      <c r="BH42" t="s">
        <v>179</v>
      </c>
      <c r="BI42" t="s">
        <v>178</v>
      </c>
      <c r="BJ42" t="s">
        <v>179</v>
      </c>
      <c r="BK42" t="s">
        <v>398</v>
      </c>
      <c r="BL42" t="s">
        <v>277</v>
      </c>
      <c r="BM42" t="s">
        <v>399</v>
      </c>
      <c r="BN42">
        <v>17.5</v>
      </c>
      <c r="BO42">
        <v>0</v>
      </c>
      <c r="BP42" t="s">
        <v>178</v>
      </c>
      <c r="BQ42" t="s">
        <v>178</v>
      </c>
      <c r="BR42" t="s">
        <v>179</v>
      </c>
      <c r="BS42" t="s">
        <v>178</v>
      </c>
      <c r="BT42" t="s">
        <v>179</v>
      </c>
      <c r="CA42" t="s">
        <v>178</v>
      </c>
      <c r="CG42" t="s">
        <v>179</v>
      </c>
      <c r="CH42" s="6">
        <v>44747</v>
      </c>
      <c r="CI42" s="6" t="s">
        <v>179</v>
      </c>
      <c r="CJ42" s="6" t="s">
        <v>400</v>
      </c>
      <c r="CL42" s="6"/>
      <c r="CQ42" s="6"/>
      <c r="DA42" t="s">
        <v>179</v>
      </c>
      <c r="DB42" t="s">
        <v>194</v>
      </c>
      <c r="DR42" t="s">
        <v>195</v>
      </c>
      <c r="DT42">
        <v>23</v>
      </c>
      <c r="DU42" t="s">
        <v>178</v>
      </c>
      <c r="DW42" t="s">
        <v>179</v>
      </c>
      <c r="DX42" t="s">
        <v>179</v>
      </c>
      <c r="DY42" t="s">
        <v>179</v>
      </c>
      <c r="DZ42" t="s">
        <v>178</v>
      </c>
      <c r="EA42" t="s">
        <v>179</v>
      </c>
      <c r="EB42" t="s">
        <v>178</v>
      </c>
      <c r="ED42">
        <v>125</v>
      </c>
      <c r="EE42" t="s">
        <v>178</v>
      </c>
      <c r="EF42" t="s">
        <v>178</v>
      </c>
      <c r="EG42" t="s">
        <v>178</v>
      </c>
      <c r="EH42" t="s">
        <v>178</v>
      </c>
      <c r="EI42" t="s">
        <v>179</v>
      </c>
      <c r="EJ42" t="s">
        <v>178</v>
      </c>
      <c r="EK42">
        <v>7</v>
      </c>
      <c r="EL42" t="s">
        <v>196</v>
      </c>
      <c r="EM42">
        <v>2022</v>
      </c>
      <c r="EN42">
        <v>2023</v>
      </c>
      <c r="EO42">
        <v>6</v>
      </c>
      <c r="EP42" t="s">
        <v>208</v>
      </c>
      <c r="EQ42">
        <v>2022</v>
      </c>
      <c r="ER42">
        <v>2021</v>
      </c>
      <c r="ES42" t="s">
        <v>178</v>
      </c>
    </row>
    <row r="43" spans="1:149" x14ac:dyDescent="0.45">
      <c r="A43">
        <v>485</v>
      </c>
      <c r="B43">
        <v>976322</v>
      </c>
      <c r="C43" t="s">
        <v>173</v>
      </c>
      <c r="D43" t="s">
        <v>210</v>
      </c>
      <c r="E43" t="s">
        <v>175</v>
      </c>
      <c r="F43" t="s">
        <v>176</v>
      </c>
      <c r="I43" t="s">
        <v>177</v>
      </c>
      <c r="J43" t="s">
        <v>179</v>
      </c>
      <c r="K43" t="s">
        <v>178</v>
      </c>
      <c r="L43" t="s">
        <v>71</v>
      </c>
      <c r="N43" t="s">
        <v>213</v>
      </c>
      <c r="O43" t="s">
        <v>178</v>
      </c>
      <c r="P43" t="s">
        <v>214</v>
      </c>
      <c r="Q43" t="s">
        <v>180</v>
      </c>
      <c r="R43" t="s">
        <v>215</v>
      </c>
      <c r="S43" s="6">
        <v>44146</v>
      </c>
      <c r="T43" t="s">
        <v>401</v>
      </c>
      <c r="U43" t="s">
        <v>178</v>
      </c>
      <c r="V43">
        <v>0</v>
      </c>
      <c r="W43">
        <v>0</v>
      </c>
      <c r="X43" t="s">
        <v>328</v>
      </c>
      <c r="Z43" t="s">
        <v>402</v>
      </c>
      <c r="AA43" t="s">
        <v>178</v>
      </c>
      <c r="AB43" t="s">
        <v>184</v>
      </c>
      <c r="AC43">
        <v>280</v>
      </c>
      <c r="AD43" t="s">
        <v>179</v>
      </c>
      <c r="AE43" t="s">
        <v>403</v>
      </c>
      <c r="AF43" t="s">
        <v>178</v>
      </c>
      <c r="AL43" t="s">
        <v>219</v>
      </c>
      <c r="AT43" s="6"/>
      <c r="AZ43" t="s">
        <v>192</v>
      </c>
      <c r="CA43" t="s">
        <v>178</v>
      </c>
      <c r="CG43" t="s">
        <v>178</v>
      </c>
      <c r="CH43" s="6"/>
      <c r="CI43" s="6"/>
      <c r="CJ43" s="6"/>
      <c r="CL43" s="6"/>
      <c r="CQ43" s="6"/>
      <c r="DC43" t="s">
        <v>179</v>
      </c>
      <c r="DT43">
        <v>26</v>
      </c>
      <c r="DU43" t="s">
        <v>179</v>
      </c>
      <c r="DV43" t="s">
        <v>220</v>
      </c>
      <c r="DW43" t="s">
        <v>178</v>
      </c>
      <c r="DX43" t="s">
        <v>178</v>
      </c>
      <c r="DY43" t="s">
        <v>178</v>
      </c>
      <c r="DZ43" t="s">
        <v>178</v>
      </c>
      <c r="EA43" t="s">
        <v>178</v>
      </c>
      <c r="EB43" t="s">
        <v>178</v>
      </c>
      <c r="EE43" t="s">
        <v>178</v>
      </c>
      <c r="EF43" t="s">
        <v>178</v>
      </c>
      <c r="EG43" t="s">
        <v>178</v>
      </c>
      <c r="EH43" t="s">
        <v>178</v>
      </c>
      <c r="EI43" t="s">
        <v>178</v>
      </c>
      <c r="EJ43" t="s">
        <v>178</v>
      </c>
      <c r="EK43">
        <v>11</v>
      </c>
      <c r="EL43" t="s">
        <v>290</v>
      </c>
      <c r="EM43">
        <v>2020</v>
      </c>
      <c r="EN43">
        <v>2021</v>
      </c>
      <c r="EO43">
        <v>11</v>
      </c>
      <c r="EP43" t="s">
        <v>290</v>
      </c>
      <c r="EQ43">
        <v>2021</v>
      </c>
      <c r="ER43">
        <v>2022</v>
      </c>
      <c r="ES43" t="s">
        <v>178</v>
      </c>
    </row>
    <row r="44" spans="1:149" x14ac:dyDescent="0.45">
      <c r="A44">
        <v>378</v>
      </c>
      <c r="B44">
        <v>976473</v>
      </c>
      <c r="C44" t="s">
        <v>173</v>
      </c>
      <c r="D44" t="s">
        <v>210</v>
      </c>
      <c r="E44" t="s">
        <v>175</v>
      </c>
      <c r="F44" t="s">
        <v>211</v>
      </c>
      <c r="I44" t="s">
        <v>177</v>
      </c>
      <c r="J44" t="s">
        <v>179</v>
      </c>
      <c r="L44" t="s">
        <v>71</v>
      </c>
      <c r="M44" t="s">
        <v>404</v>
      </c>
      <c r="N44" t="s">
        <v>213</v>
      </c>
      <c r="O44" t="s">
        <v>178</v>
      </c>
      <c r="P44" t="s">
        <v>214</v>
      </c>
      <c r="Q44" t="s">
        <v>180</v>
      </c>
      <c r="R44" t="s">
        <v>215</v>
      </c>
      <c r="S44" s="6">
        <v>44256</v>
      </c>
      <c r="T44" t="s">
        <v>405</v>
      </c>
      <c r="U44" t="s">
        <v>178</v>
      </c>
      <c r="W44">
        <v>10</v>
      </c>
      <c r="Z44" t="s">
        <v>217</v>
      </c>
      <c r="AA44" t="s">
        <v>178</v>
      </c>
      <c r="AB44" t="s">
        <v>184</v>
      </c>
      <c r="AD44" t="s">
        <v>179</v>
      </c>
      <c r="AF44" t="s">
        <v>178</v>
      </c>
      <c r="AG44" t="s">
        <v>178</v>
      </c>
      <c r="AJ44" t="s">
        <v>406</v>
      </c>
      <c r="AK44" t="s">
        <v>55</v>
      </c>
      <c r="AL44" t="s">
        <v>219</v>
      </c>
      <c r="AT44" s="6"/>
      <c r="AZ44" t="s">
        <v>192</v>
      </c>
      <c r="CA44" t="s">
        <v>178</v>
      </c>
      <c r="CG44" t="s">
        <v>178</v>
      </c>
      <c r="CH44" s="6">
        <v>44270</v>
      </c>
      <c r="CI44" s="6"/>
      <c r="CJ44" s="6"/>
      <c r="CL44" s="6"/>
      <c r="CQ44" s="6"/>
      <c r="DB44" t="s">
        <v>194</v>
      </c>
      <c r="DC44" t="s">
        <v>179</v>
      </c>
      <c r="DT44">
        <v>31</v>
      </c>
      <c r="DU44" t="s">
        <v>179</v>
      </c>
      <c r="DV44" t="s">
        <v>220</v>
      </c>
      <c r="DW44" t="s">
        <v>179</v>
      </c>
      <c r="DX44" t="s">
        <v>178</v>
      </c>
      <c r="DY44" t="s">
        <v>179</v>
      </c>
      <c r="DZ44" t="s">
        <v>178</v>
      </c>
      <c r="EA44" t="s">
        <v>178</v>
      </c>
      <c r="EB44" t="s">
        <v>178</v>
      </c>
      <c r="EE44" t="s">
        <v>178</v>
      </c>
      <c r="EF44" t="s">
        <v>178</v>
      </c>
      <c r="EG44" t="s">
        <v>178</v>
      </c>
      <c r="EH44" t="s">
        <v>178</v>
      </c>
      <c r="EI44" t="s">
        <v>178</v>
      </c>
      <c r="EJ44" t="s">
        <v>178</v>
      </c>
      <c r="EK44">
        <v>3</v>
      </c>
      <c r="EL44" t="s">
        <v>209</v>
      </c>
      <c r="EM44">
        <v>2021</v>
      </c>
      <c r="EN44">
        <v>2021</v>
      </c>
      <c r="EO44">
        <v>3</v>
      </c>
      <c r="EP44" t="s">
        <v>209</v>
      </c>
      <c r="EQ44">
        <v>2021</v>
      </c>
      <c r="ER44">
        <v>2022</v>
      </c>
      <c r="ES44" t="s">
        <v>178</v>
      </c>
    </row>
    <row r="45" spans="1:149" x14ac:dyDescent="0.45">
      <c r="A45">
        <v>1864</v>
      </c>
      <c r="B45">
        <v>977223</v>
      </c>
      <c r="C45" t="s">
        <v>173</v>
      </c>
      <c r="D45" t="s">
        <v>174</v>
      </c>
      <c r="E45" t="s">
        <v>175</v>
      </c>
      <c r="F45" t="s">
        <v>176</v>
      </c>
      <c r="I45" t="s">
        <v>177</v>
      </c>
      <c r="J45" t="s">
        <v>178</v>
      </c>
      <c r="K45" t="s">
        <v>178</v>
      </c>
      <c r="L45" t="s">
        <v>407</v>
      </c>
      <c r="M45" t="s">
        <v>235</v>
      </c>
      <c r="O45" t="s">
        <v>178</v>
      </c>
      <c r="P45" t="s">
        <v>178</v>
      </c>
      <c r="Q45" t="s">
        <v>180</v>
      </c>
      <c r="R45" t="s">
        <v>200</v>
      </c>
      <c r="S45" s="6">
        <v>44741</v>
      </c>
      <c r="T45" t="s">
        <v>408</v>
      </c>
      <c r="U45" t="s">
        <v>178</v>
      </c>
      <c r="V45">
        <v>0</v>
      </c>
      <c r="Z45" t="s">
        <v>248</v>
      </c>
      <c r="AA45" t="s">
        <v>178</v>
      </c>
      <c r="AB45" t="s">
        <v>184</v>
      </c>
      <c r="AC45">
        <v>0</v>
      </c>
      <c r="AD45" t="s">
        <v>178</v>
      </c>
      <c r="AE45" t="s">
        <v>204</v>
      </c>
      <c r="AF45" t="s">
        <v>178</v>
      </c>
      <c r="AG45" t="s">
        <v>178</v>
      </c>
      <c r="AH45" t="s">
        <v>178</v>
      </c>
      <c r="AJ45" t="s">
        <v>178</v>
      </c>
      <c r="AK45" t="s">
        <v>56</v>
      </c>
      <c r="AL45" t="s">
        <v>237</v>
      </c>
      <c r="AM45" t="s">
        <v>56</v>
      </c>
      <c r="AN45" t="s">
        <v>187</v>
      </c>
      <c r="AR45">
        <v>17</v>
      </c>
      <c r="AT45" s="6"/>
      <c r="AY45" t="s">
        <v>409</v>
      </c>
      <c r="AZ45" t="s">
        <v>192</v>
      </c>
      <c r="CA45" t="s">
        <v>178</v>
      </c>
      <c r="CG45" t="s">
        <v>178</v>
      </c>
      <c r="CH45" s="6">
        <v>44747</v>
      </c>
      <c r="CI45" t="s">
        <v>179</v>
      </c>
      <c r="CJ45" s="6" t="s">
        <v>400</v>
      </c>
      <c r="CL45" s="6"/>
      <c r="CQ45" s="6"/>
      <c r="DA45" t="s">
        <v>179</v>
      </c>
      <c r="DB45" t="s">
        <v>194</v>
      </c>
      <c r="DT45">
        <v>19</v>
      </c>
      <c r="DU45" t="s">
        <v>179</v>
      </c>
      <c r="DV45" t="s">
        <v>220</v>
      </c>
      <c r="DW45" t="s">
        <v>179</v>
      </c>
      <c r="DX45" t="s">
        <v>178</v>
      </c>
      <c r="DY45" t="s">
        <v>179</v>
      </c>
      <c r="DZ45" t="s">
        <v>178</v>
      </c>
      <c r="EA45" t="s">
        <v>178</v>
      </c>
      <c r="EB45" t="s">
        <v>179</v>
      </c>
      <c r="EE45" t="s">
        <v>179</v>
      </c>
      <c r="EF45" t="s">
        <v>178</v>
      </c>
      <c r="EG45" t="s">
        <v>178</v>
      </c>
      <c r="EH45" t="s">
        <v>178</v>
      </c>
      <c r="EI45" t="s">
        <v>178</v>
      </c>
      <c r="EJ45" t="s">
        <v>178</v>
      </c>
      <c r="EK45">
        <v>7</v>
      </c>
      <c r="EL45" t="s">
        <v>196</v>
      </c>
      <c r="EM45">
        <v>2022</v>
      </c>
      <c r="EN45">
        <v>2023</v>
      </c>
      <c r="EO45">
        <v>6</v>
      </c>
      <c r="EP45" t="s">
        <v>208</v>
      </c>
      <c r="EQ45">
        <v>2022</v>
      </c>
      <c r="ER45">
        <v>2021</v>
      </c>
      <c r="ES45" t="s">
        <v>178</v>
      </c>
    </row>
    <row r="46" spans="1:149" x14ac:dyDescent="0.45">
      <c r="A46">
        <v>87</v>
      </c>
      <c r="B46">
        <v>977094</v>
      </c>
      <c r="C46" t="s">
        <v>173</v>
      </c>
      <c r="D46" t="s">
        <v>224</v>
      </c>
      <c r="E46" t="s">
        <v>175</v>
      </c>
      <c r="F46" t="s">
        <v>176</v>
      </c>
      <c r="I46" t="s">
        <v>177</v>
      </c>
      <c r="J46" t="s">
        <v>179</v>
      </c>
      <c r="K46" t="s">
        <v>178</v>
      </c>
      <c r="L46" t="s">
        <v>410</v>
      </c>
      <c r="M46" t="s">
        <v>246</v>
      </c>
      <c r="O46" t="s">
        <v>178</v>
      </c>
      <c r="P46" t="s">
        <v>178</v>
      </c>
      <c r="Q46" t="s">
        <v>180</v>
      </c>
      <c r="R46" t="s">
        <v>200</v>
      </c>
      <c r="S46" s="6">
        <v>44670</v>
      </c>
      <c r="T46" t="s">
        <v>411</v>
      </c>
      <c r="U46" t="s">
        <v>178</v>
      </c>
      <c r="V46">
        <v>0</v>
      </c>
      <c r="W46">
        <v>16.399999999999999</v>
      </c>
      <c r="Z46" t="s">
        <v>248</v>
      </c>
      <c r="AA46" t="s">
        <v>178</v>
      </c>
      <c r="AB46" t="s">
        <v>184</v>
      </c>
      <c r="AC46">
        <v>0</v>
      </c>
      <c r="AD46" t="s">
        <v>179</v>
      </c>
      <c r="AE46" t="s">
        <v>204</v>
      </c>
      <c r="AF46" t="s">
        <v>178</v>
      </c>
      <c r="AG46" t="s">
        <v>179</v>
      </c>
      <c r="AJ46" t="s">
        <v>179</v>
      </c>
      <c r="AK46" t="s">
        <v>56</v>
      </c>
      <c r="AL46" t="s">
        <v>254</v>
      </c>
      <c r="AM46" t="s">
        <v>56</v>
      </c>
      <c r="AN46" t="s">
        <v>187</v>
      </c>
      <c r="AO46">
        <v>40</v>
      </c>
      <c r="AP46" t="s">
        <v>205</v>
      </c>
      <c r="AT46" s="6"/>
      <c r="AZ46" t="s">
        <v>192</v>
      </c>
      <c r="CA46" t="s">
        <v>178</v>
      </c>
      <c r="CG46" t="s">
        <v>178</v>
      </c>
      <c r="CH46" s="6">
        <v>44683</v>
      </c>
      <c r="CI46" s="6" t="s">
        <v>179</v>
      </c>
      <c r="CJ46" s="6" t="s">
        <v>356</v>
      </c>
      <c r="CL46" s="6"/>
      <c r="CQ46" s="6"/>
      <c r="DA46" t="s">
        <v>179</v>
      </c>
      <c r="DB46" t="s">
        <v>194</v>
      </c>
      <c r="DT46">
        <v>58</v>
      </c>
      <c r="DU46" t="s">
        <v>179</v>
      </c>
      <c r="DV46" t="s">
        <v>220</v>
      </c>
      <c r="DW46" t="s">
        <v>179</v>
      </c>
      <c r="DX46" t="s">
        <v>178</v>
      </c>
      <c r="DY46" t="s">
        <v>179</v>
      </c>
      <c r="DZ46" t="s">
        <v>178</v>
      </c>
      <c r="EA46" t="s">
        <v>178</v>
      </c>
      <c r="EB46" t="s">
        <v>179</v>
      </c>
      <c r="EE46" t="s">
        <v>179</v>
      </c>
      <c r="EF46" t="s">
        <v>178</v>
      </c>
      <c r="EG46" t="s">
        <v>178</v>
      </c>
      <c r="EH46" t="s">
        <v>178</v>
      </c>
      <c r="EI46" t="s">
        <v>178</v>
      </c>
      <c r="EJ46" t="s">
        <v>178</v>
      </c>
      <c r="EK46">
        <v>5</v>
      </c>
      <c r="EL46" t="s">
        <v>208</v>
      </c>
      <c r="EM46">
        <v>2022</v>
      </c>
      <c r="EN46">
        <v>2022</v>
      </c>
      <c r="EO46">
        <v>4</v>
      </c>
      <c r="EP46" t="s">
        <v>208</v>
      </c>
      <c r="EQ46">
        <v>2022</v>
      </c>
      <c r="ER46">
        <v>2021</v>
      </c>
      <c r="ES46" t="s">
        <v>178</v>
      </c>
    </row>
    <row r="47" spans="1:149" x14ac:dyDescent="0.45">
      <c r="A47">
        <v>399</v>
      </c>
      <c r="B47">
        <v>976448</v>
      </c>
      <c r="C47" t="s">
        <v>173</v>
      </c>
      <c r="D47" t="s">
        <v>210</v>
      </c>
      <c r="E47" t="s">
        <v>175</v>
      </c>
      <c r="F47" t="s">
        <v>176</v>
      </c>
      <c r="I47" t="s">
        <v>177</v>
      </c>
      <c r="J47" t="s">
        <v>178</v>
      </c>
      <c r="K47" t="s">
        <v>178</v>
      </c>
      <c r="L47" t="s">
        <v>71</v>
      </c>
      <c r="N47" t="s">
        <v>213</v>
      </c>
      <c r="O47" t="s">
        <v>178</v>
      </c>
      <c r="P47" t="s">
        <v>214</v>
      </c>
      <c r="Q47" t="s">
        <v>180</v>
      </c>
      <c r="R47" t="s">
        <v>215</v>
      </c>
      <c r="S47" s="6">
        <v>44257</v>
      </c>
      <c r="T47" t="s">
        <v>412</v>
      </c>
      <c r="V47">
        <v>2</v>
      </c>
      <c r="W47">
        <v>0</v>
      </c>
      <c r="AA47" t="s">
        <v>178</v>
      </c>
      <c r="AB47" t="s">
        <v>184</v>
      </c>
      <c r="AC47">
        <v>0</v>
      </c>
      <c r="AD47" t="s">
        <v>179</v>
      </c>
      <c r="AE47" t="s">
        <v>218</v>
      </c>
      <c r="AF47" t="s">
        <v>178</v>
      </c>
      <c r="AG47" t="s">
        <v>179</v>
      </c>
      <c r="AK47" t="s">
        <v>56</v>
      </c>
      <c r="AL47" t="s">
        <v>219</v>
      </c>
      <c r="AO47">
        <v>0</v>
      </c>
      <c r="AT47" s="6"/>
      <c r="AZ47" t="s">
        <v>192</v>
      </c>
      <c r="CA47" t="s">
        <v>178</v>
      </c>
      <c r="CG47" t="s">
        <v>178</v>
      </c>
      <c r="CH47" s="6">
        <v>44270</v>
      </c>
      <c r="CI47" s="6"/>
      <c r="CJ47" s="6"/>
      <c r="DC47" t="s">
        <v>179</v>
      </c>
      <c r="DT47">
        <v>31</v>
      </c>
      <c r="DU47" t="s">
        <v>179</v>
      </c>
      <c r="DV47" t="s">
        <v>220</v>
      </c>
      <c r="DW47" t="s">
        <v>178</v>
      </c>
      <c r="DX47" t="s">
        <v>178</v>
      </c>
      <c r="DY47" t="s">
        <v>179</v>
      </c>
      <c r="DZ47" t="s">
        <v>178</v>
      </c>
      <c r="EA47" t="s">
        <v>178</v>
      </c>
      <c r="EB47" t="s">
        <v>178</v>
      </c>
      <c r="EE47" t="s">
        <v>178</v>
      </c>
      <c r="EF47" t="s">
        <v>178</v>
      </c>
      <c r="EG47" t="s">
        <v>178</v>
      </c>
      <c r="EH47" t="s">
        <v>178</v>
      </c>
      <c r="EI47" t="s">
        <v>178</v>
      </c>
      <c r="EJ47" t="s">
        <v>178</v>
      </c>
      <c r="EK47">
        <v>3</v>
      </c>
      <c r="EL47" t="s">
        <v>209</v>
      </c>
      <c r="EM47">
        <v>2021</v>
      </c>
      <c r="EN47">
        <v>2021</v>
      </c>
      <c r="EO47">
        <v>3</v>
      </c>
      <c r="EP47" t="s">
        <v>209</v>
      </c>
      <c r="EQ47">
        <v>2021</v>
      </c>
      <c r="ER47">
        <v>2022</v>
      </c>
      <c r="ES47" t="s">
        <v>178</v>
      </c>
    </row>
    <row r="48" spans="1:149" x14ac:dyDescent="0.45">
      <c r="A48">
        <v>2</v>
      </c>
      <c r="B48">
        <v>977162</v>
      </c>
      <c r="C48" t="s">
        <v>173</v>
      </c>
      <c r="D48" t="s">
        <v>224</v>
      </c>
      <c r="E48" t="s">
        <v>175</v>
      </c>
      <c r="F48" t="s">
        <v>176</v>
      </c>
      <c r="I48" t="s">
        <v>177</v>
      </c>
      <c r="J48" t="s">
        <v>179</v>
      </c>
      <c r="K48" t="s">
        <v>179</v>
      </c>
      <c r="L48" t="s">
        <v>377</v>
      </c>
      <c r="M48" t="s">
        <v>246</v>
      </c>
      <c r="O48" t="s">
        <v>178</v>
      </c>
      <c r="P48" t="s">
        <v>178</v>
      </c>
      <c r="Q48" t="s">
        <v>180</v>
      </c>
      <c r="R48" t="s">
        <v>200</v>
      </c>
      <c r="S48" s="6">
        <v>44705</v>
      </c>
      <c r="T48" t="s">
        <v>413</v>
      </c>
      <c r="U48" t="s">
        <v>178</v>
      </c>
      <c r="V48">
        <v>0</v>
      </c>
      <c r="W48">
        <v>15</v>
      </c>
      <c r="Z48" t="s">
        <v>203</v>
      </c>
      <c r="AA48" t="s">
        <v>178</v>
      </c>
      <c r="AB48" t="s">
        <v>184</v>
      </c>
      <c r="AC48">
        <v>900</v>
      </c>
      <c r="AD48" t="s">
        <v>179</v>
      </c>
      <c r="AE48" t="s">
        <v>204</v>
      </c>
      <c r="AF48" t="s">
        <v>178</v>
      </c>
      <c r="AG48" t="s">
        <v>178</v>
      </c>
      <c r="AH48" t="s">
        <v>178</v>
      </c>
      <c r="AJ48" t="s">
        <v>178</v>
      </c>
      <c r="AK48" t="s">
        <v>56</v>
      </c>
      <c r="AL48" t="s">
        <v>228</v>
      </c>
      <c r="AM48" t="s">
        <v>56</v>
      </c>
      <c r="AN48" t="s">
        <v>187</v>
      </c>
      <c r="AO48">
        <v>40</v>
      </c>
      <c r="AP48" t="s">
        <v>414</v>
      </c>
      <c r="AT48" s="6"/>
      <c r="AZ48" t="s">
        <v>192</v>
      </c>
      <c r="CA48" t="s">
        <v>178</v>
      </c>
      <c r="CG48" t="s">
        <v>178</v>
      </c>
      <c r="CH48" s="6">
        <v>44712</v>
      </c>
      <c r="CI48" s="6"/>
      <c r="CJ48" s="6"/>
      <c r="CL48" s="6"/>
      <c r="CQ48" s="6"/>
      <c r="DB48" t="s">
        <v>194</v>
      </c>
      <c r="DR48" t="s">
        <v>358</v>
      </c>
      <c r="DT48">
        <v>0</v>
      </c>
      <c r="DU48" t="s">
        <v>179</v>
      </c>
      <c r="DV48" t="s">
        <v>220</v>
      </c>
      <c r="DW48" t="s">
        <v>179</v>
      </c>
      <c r="DX48" t="s">
        <v>178</v>
      </c>
      <c r="DY48" t="s">
        <v>179</v>
      </c>
      <c r="DZ48" t="s">
        <v>178</v>
      </c>
      <c r="EA48" t="s">
        <v>178</v>
      </c>
      <c r="EB48" t="s">
        <v>179</v>
      </c>
      <c r="EE48" t="s">
        <v>179</v>
      </c>
      <c r="EF48" t="s">
        <v>178</v>
      </c>
      <c r="EG48" t="s">
        <v>178</v>
      </c>
      <c r="EH48" t="s">
        <v>178</v>
      </c>
      <c r="EI48" t="s">
        <v>178</v>
      </c>
      <c r="EJ48" t="s">
        <v>178</v>
      </c>
      <c r="EK48">
        <v>5</v>
      </c>
      <c r="EL48" t="s">
        <v>208</v>
      </c>
      <c r="EM48">
        <v>2022</v>
      </c>
      <c r="EN48">
        <v>2022</v>
      </c>
      <c r="EO48">
        <v>5</v>
      </c>
      <c r="EP48" t="s">
        <v>208</v>
      </c>
      <c r="EQ48">
        <v>2022</v>
      </c>
      <c r="ER48">
        <v>2022</v>
      </c>
      <c r="ES48" t="s">
        <v>178</v>
      </c>
    </row>
    <row r="49" spans="1:149" x14ac:dyDescent="0.45">
      <c r="A49">
        <v>132</v>
      </c>
      <c r="B49">
        <v>976940</v>
      </c>
      <c r="C49" t="s">
        <v>173</v>
      </c>
      <c r="D49" t="s">
        <v>174</v>
      </c>
      <c r="E49" t="s">
        <v>175</v>
      </c>
      <c r="F49" t="s">
        <v>176</v>
      </c>
      <c r="I49" t="s">
        <v>177</v>
      </c>
      <c r="J49" t="s">
        <v>178</v>
      </c>
      <c r="K49" t="s">
        <v>178</v>
      </c>
      <c r="L49" t="s">
        <v>415</v>
      </c>
      <c r="M49" t="s">
        <v>225</v>
      </c>
      <c r="O49" t="s">
        <v>178</v>
      </c>
      <c r="P49" t="s">
        <v>178</v>
      </c>
      <c r="Q49" t="s">
        <v>180</v>
      </c>
      <c r="R49" t="s">
        <v>200</v>
      </c>
      <c r="S49" s="6">
        <v>44567</v>
      </c>
      <c r="T49" t="s">
        <v>416</v>
      </c>
      <c r="U49" t="s">
        <v>178</v>
      </c>
      <c r="V49">
        <v>0</v>
      </c>
      <c r="W49">
        <v>17</v>
      </c>
      <c r="X49" t="s">
        <v>202</v>
      </c>
      <c r="Z49" t="s">
        <v>345</v>
      </c>
      <c r="AA49" t="s">
        <v>178</v>
      </c>
      <c r="AB49" t="s">
        <v>184</v>
      </c>
      <c r="AC49">
        <v>0</v>
      </c>
      <c r="AD49" t="s">
        <v>179</v>
      </c>
      <c r="AE49" t="s">
        <v>185</v>
      </c>
      <c r="AF49" t="s">
        <v>178</v>
      </c>
      <c r="AG49" t="s">
        <v>179</v>
      </c>
      <c r="AH49" t="s">
        <v>178</v>
      </c>
      <c r="AJ49" t="s">
        <v>179</v>
      </c>
      <c r="AL49" t="s">
        <v>219</v>
      </c>
      <c r="AM49" t="s">
        <v>56</v>
      </c>
      <c r="AN49" t="s">
        <v>187</v>
      </c>
      <c r="AO49">
        <v>40</v>
      </c>
      <c r="AP49" t="s">
        <v>205</v>
      </c>
      <c r="AT49" s="6"/>
      <c r="AZ49" t="s">
        <v>192</v>
      </c>
      <c r="CA49" t="s">
        <v>178</v>
      </c>
      <c r="CG49" t="s">
        <v>178</v>
      </c>
      <c r="CH49" s="6"/>
      <c r="CI49" s="6"/>
      <c r="CJ49" s="6"/>
      <c r="CL49" s="6"/>
      <c r="CQ49" s="6"/>
      <c r="DC49" t="s">
        <v>179</v>
      </c>
      <c r="DT49">
        <v>29</v>
      </c>
      <c r="DU49" t="s">
        <v>179</v>
      </c>
      <c r="DV49" t="s">
        <v>220</v>
      </c>
      <c r="DW49" t="s">
        <v>178</v>
      </c>
      <c r="DX49" t="s">
        <v>178</v>
      </c>
      <c r="DY49" t="s">
        <v>178</v>
      </c>
      <c r="DZ49" t="s">
        <v>178</v>
      </c>
      <c r="EA49" t="s">
        <v>178</v>
      </c>
      <c r="EB49" t="s">
        <v>178</v>
      </c>
      <c r="EE49" t="s">
        <v>178</v>
      </c>
      <c r="EF49" t="s">
        <v>178</v>
      </c>
      <c r="EG49" t="s">
        <v>178</v>
      </c>
      <c r="EH49" t="s">
        <v>178</v>
      </c>
      <c r="EI49" t="s">
        <v>178</v>
      </c>
      <c r="EJ49" t="s">
        <v>178</v>
      </c>
      <c r="EK49">
        <v>1</v>
      </c>
      <c r="EL49" t="s">
        <v>209</v>
      </c>
      <c r="EM49">
        <v>2022</v>
      </c>
      <c r="EN49">
        <v>2022</v>
      </c>
      <c r="EO49">
        <v>1</v>
      </c>
      <c r="EP49" t="s">
        <v>209</v>
      </c>
      <c r="EQ49">
        <v>2022</v>
      </c>
      <c r="ER49">
        <v>2021</v>
      </c>
      <c r="ES49" t="s">
        <v>178</v>
      </c>
    </row>
    <row r="50" spans="1:149" x14ac:dyDescent="0.45">
      <c r="A50">
        <v>377</v>
      </c>
      <c r="B50">
        <v>976474</v>
      </c>
      <c r="C50" t="s">
        <v>173</v>
      </c>
      <c r="D50" t="s">
        <v>210</v>
      </c>
      <c r="E50" t="s">
        <v>175</v>
      </c>
      <c r="F50" t="s">
        <v>323</v>
      </c>
      <c r="I50" t="s">
        <v>417</v>
      </c>
      <c r="J50" t="s">
        <v>179</v>
      </c>
      <c r="K50" t="s">
        <v>179</v>
      </c>
      <c r="L50" t="s">
        <v>71</v>
      </c>
      <c r="M50" t="s">
        <v>331</v>
      </c>
      <c r="O50" t="s">
        <v>179</v>
      </c>
      <c r="P50" t="s">
        <v>214</v>
      </c>
      <c r="Q50" t="s">
        <v>259</v>
      </c>
      <c r="R50" t="s">
        <v>215</v>
      </c>
      <c r="S50" s="6">
        <v>44267</v>
      </c>
      <c r="T50" t="s">
        <v>418</v>
      </c>
      <c r="U50" t="s">
        <v>178</v>
      </c>
      <c r="W50">
        <v>17</v>
      </c>
      <c r="X50" t="s">
        <v>328</v>
      </c>
      <c r="Z50" t="s">
        <v>402</v>
      </c>
      <c r="AA50" t="s">
        <v>178</v>
      </c>
      <c r="AB50" t="s">
        <v>184</v>
      </c>
      <c r="AC50">
        <v>1472</v>
      </c>
      <c r="AD50" t="s">
        <v>178</v>
      </c>
      <c r="AE50" t="s">
        <v>218</v>
      </c>
      <c r="AG50" t="s">
        <v>178</v>
      </c>
      <c r="AJ50" t="s">
        <v>419</v>
      </c>
      <c r="AK50" t="s">
        <v>56</v>
      </c>
      <c r="AL50" t="s">
        <v>219</v>
      </c>
      <c r="AT50" s="6"/>
      <c r="AZ50" t="s">
        <v>192</v>
      </c>
      <c r="CA50" t="s">
        <v>178</v>
      </c>
      <c r="CG50" t="s">
        <v>178</v>
      </c>
      <c r="CH50" s="6">
        <v>44270</v>
      </c>
      <c r="CI50" s="6"/>
      <c r="CJ50" s="6"/>
      <c r="CL50" s="6"/>
      <c r="CQ50" s="6"/>
      <c r="DC50" t="s">
        <v>179</v>
      </c>
      <c r="DT50">
        <v>54</v>
      </c>
      <c r="DU50" t="s">
        <v>179</v>
      </c>
      <c r="DV50" t="s">
        <v>220</v>
      </c>
      <c r="DW50" t="s">
        <v>178</v>
      </c>
      <c r="DX50" t="s">
        <v>178</v>
      </c>
      <c r="DY50" t="s">
        <v>179</v>
      </c>
      <c r="DZ50" t="s">
        <v>178</v>
      </c>
      <c r="EA50" t="s">
        <v>178</v>
      </c>
      <c r="EB50" t="s">
        <v>178</v>
      </c>
      <c r="EE50" t="s">
        <v>178</v>
      </c>
      <c r="EF50" t="s">
        <v>178</v>
      </c>
      <c r="EG50" t="s">
        <v>178</v>
      </c>
      <c r="EH50" t="s">
        <v>178</v>
      </c>
      <c r="EI50" t="s">
        <v>178</v>
      </c>
      <c r="EJ50" t="s">
        <v>178</v>
      </c>
      <c r="EK50">
        <v>3</v>
      </c>
      <c r="EL50" t="s">
        <v>209</v>
      </c>
      <c r="EM50">
        <v>2021</v>
      </c>
      <c r="EN50">
        <v>2021</v>
      </c>
      <c r="EO50">
        <v>3</v>
      </c>
      <c r="EP50" t="s">
        <v>209</v>
      </c>
      <c r="EQ50">
        <v>2021</v>
      </c>
      <c r="ER50">
        <v>2022</v>
      </c>
      <c r="ES50" t="s">
        <v>178</v>
      </c>
    </row>
    <row r="51" spans="1:149" x14ac:dyDescent="0.45">
      <c r="A51">
        <v>45</v>
      </c>
      <c r="B51">
        <v>977074</v>
      </c>
      <c r="C51" t="s">
        <v>173</v>
      </c>
      <c r="D51" t="s">
        <v>224</v>
      </c>
      <c r="E51" t="s">
        <v>175</v>
      </c>
      <c r="F51" t="s">
        <v>420</v>
      </c>
      <c r="I51" t="s">
        <v>177</v>
      </c>
      <c r="J51" t="s">
        <v>179</v>
      </c>
      <c r="K51" t="s">
        <v>179</v>
      </c>
      <c r="L51" t="s">
        <v>421</v>
      </c>
      <c r="M51" t="s">
        <v>235</v>
      </c>
      <c r="O51" t="s">
        <v>178</v>
      </c>
      <c r="P51" t="s">
        <v>178</v>
      </c>
      <c r="Q51" t="s">
        <v>180</v>
      </c>
      <c r="R51" t="s">
        <v>200</v>
      </c>
      <c r="S51" s="6">
        <v>44651</v>
      </c>
      <c r="T51" t="s">
        <v>422</v>
      </c>
      <c r="U51" t="s">
        <v>178</v>
      </c>
      <c r="V51">
        <v>0</v>
      </c>
      <c r="W51">
        <v>13.75</v>
      </c>
      <c r="X51" t="s">
        <v>423</v>
      </c>
      <c r="Z51" t="s">
        <v>302</v>
      </c>
      <c r="AA51" t="s">
        <v>178</v>
      </c>
      <c r="AB51" t="s">
        <v>184</v>
      </c>
      <c r="AC51">
        <v>320</v>
      </c>
      <c r="AD51" t="s">
        <v>179</v>
      </c>
      <c r="AE51" t="s">
        <v>204</v>
      </c>
      <c r="AF51" t="s">
        <v>178</v>
      </c>
      <c r="AG51" t="s">
        <v>179</v>
      </c>
      <c r="AH51" t="s">
        <v>178</v>
      </c>
      <c r="AJ51" t="s">
        <v>178</v>
      </c>
      <c r="AK51" t="s">
        <v>56</v>
      </c>
      <c r="AL51" t="s">
        <v>424</v>
      </c>
      <c r="AM51" t="s">
        <v>56</v>
      </c>
      <c r="AN51" t="s">
        <v>187</v>
      </c>
      <c r="AO51">
        <v>40</v>
      </c>
      <c r="AP51" t="s">
        <v>425</v>
      </c>
      <c r="AT51" s="6"/>
      <c r="AZ51" t="s">
        <v>192</v>
      </c>
      <c r="CA51" t="s">
        <v>178</v>
      </c>
      <c r="CG51" t="s">
        <v>178</v>
      </c>
      <c r="CH51" s="6">
        <v>44655</v>
      </c>
      <c r="CI51" t="s">
        <v>179</v>
      </c>
      <c r="CJ51" s="6" t="s">
        <v>207</v>
      </c>
      <c r="DA51" t="s">
        <v>179</v>
      </c>
      <c r="DB51" t="s">
        <v>194</v>
      </c>
      <c r="DD51" t="s">
        <v>426</v>
      </c>
      <c r="DE51">
        <v>4</v>
      </c>
      <c r="DI51" t="s">
        <v>265</v>
      </c>
      <c r="DT51">
        <v>56</v>
      </c>
      <c r="DU51" t="s">
        <v>178</v>
      </c>
      <c r="DW51" t="s">
        <v>179</v>
      </c>
      <c r="DX51" t="s">
        <v>178</v>
      </c>
      <c r="DY51" t="s">
        <v>179</v>
      </c>
      <c r="DZ51" t="s">
        <v>178</v>
      </c>
      <c r="EA51" t="s">
        <v>178</v>
      </c>
      <c r="EB51" t="s">
        <v>179</v>
      </c>
      <c r="EE51" t="s">
        <v>179</v>
      </c>
      <c r="EF51" t="s">
        <v>178</v>
      </c>
      <c r="EG51" t="s">
        <v>178</v>
      </c>
      <c r="EH51" t="s">
        <v>178</v>
      </c>
      <c r="EI51" t="s">
        <v>178</v>
      </c>
      <c r="EJ51" t="s">
        <v>178</v>
      </c>
      <c r="EK51">
        <v>4</v>
      </c>
      <c r="EL51" t="s">
        <v>208</v>
      </c>
      <c r="EM51">
        <v>2022</v>
      </c>
      <c r="EN51">
        <v>2022</v>
      </c>
      <c r="EO51">
        <v>3</v>
      </c>
      <c r="EP51" t="s">
        <v>209</v>
      </c>
      <c r="EQ51">
        <v>2022</v>
      </c>
      <c r="ER51">
        <v>2022</v>
      </c>
      <c r="ES51" t="s">
        <v>178</v>
      </c>
    </row>
    <row r="52" spans="1:149" x14ac:dyDescent="0.45">
      <c r="A52">
        <v>414</v>
      </c>
      <c r="B52">
        <v>976408</v>
      </c>
      <c r="C52" t="s">
        <v>173</v>
      </c>
      <c r="D52" t="s">
        <v>210</v>
      </c>
      <c r="E52" t="s">
        <v>175</v>
      </c>
      <c r="F52" t="s">
        <v>299</v>
      </c>
      <c r="I52" t="s">
        <v>177</v>
      </c>
      <c r="J52" t="s">
        <v>178</v>
      </c>
      <c r="K52" t="s">
        <v>178</v>
      </c>
      <c r="L52" t="s">
        <v>71</v>
      </c>
      <c r="N52" t="s">
        <v>213</v>
      </c>
      <c r="O52" t="s">
        <v>178</v>
      </c>
      <c r="P52" t="s">
        <v>214</v>
      </c>
      <c r="Q52" t="s">
        <v>180</v>
      </c>
      <c r="R52" t="s">
        <v>215</v>
      </c>
      <c r="S52" s="6">
        <v>44232</v>
      </c>
      <c r="T52" t="s">
        <v>427</v>
      </c>
      <c r="U52" t="s">
        <v>178</v>
      </c>
      <c r="V52">
        <v>0</v>
      </c>
      <c r="W52">
        <v>0</v>
      </c>
      <c r="Z52" t="s">
        <v>217</v>
      </c>
      <c r="AA52" t="s">
        <v>178</v>
      </c>
      <c r="AB52" t="s">
        <v>184</v>
      </c>
      <c r="AC52">
        <v>0</v>
      </c>
      <c r="AE52" t="s">
        <v>218</v>
      </c>
      <c r="AF52" t="s">
        <v>178</v>
      </c>
      <c r="AG52" t="s">
        <v>178</v>
      </c>
      <c r="AK52" t="s">
        <v>56</v>
      </c>
      <c r="AL52" t="s">
        <v>219</v>
      </c>
      <c r="AT52" s="6"/>
      <c r="AZ52" t="s">
        <v>192</v>
      </c>
      <c r="CA52" t="s">
        <v>178</v>
      </c>
      <c r="CG52" t="s">
        <v>178</v>
      </c>
      <c r="CH52" s="6">
        <v>44235</v>
      </c>
      <c r="CI52" s="6"/>
      <c r="CJ52" s="6"/>
      <c r="CL52" s="6"/>
      <c r="CQ52" s="6"/>
      <c r="DC52" t="s">
        <v>179</v>
      </c>
      <c r="DT52">
        <v>26</v>
      </c>
      <c r="DU52" t="s">
        <v>179</v>
      </c>
      <c r="DV52" t="s">
        <v>220</v>
      </c>
      <c r="DW52" t="s">
        <v>178</v>
      </c>
      <c r="DX52" t="s">
        <v>178</v>
      </c>
      <c r="DY52" t="s">
        <v>179</v>
      </c>
      <c r="DZ52" t="s">
        <v>178</v>
      </c>
      <c r="EA52" t="s">
        <v>178</v>
      </c>
      <c r="EB52" t="s">
        <v>178</v>
      </c>
      <c r="EE52" t="s">
        <v>178</v>
      </c>
      <c r="EF52" t="s">
        <v>178</v>
      </c>
      <c r="EG52" t="s">
        <v>178</v>
      </c>
      <c r="EH52" t="s">
        <v>178</v>
      </c>
      <c r="EI52" t="s">
        <v>178</v>
      </c>
      <c r="EJ52" t="s">
        <v>178</v>
      </c>
      <c r="EK52">
        <v>2</v>
      </c>
      <c r="EL52" t="s">
        <v>209</v>
      </c>
      <c r="EM52">
        <v>2021</v>
      </c>
      <c r="EN52">
        <v>2021</v>
      </c>
      <c r="EO52">
        <v>2</v>
      </c>
      <c r="EP52" t="s">
        <v>209</v>
      </c>
      <c r="EQ52">
        <v>2021</v>
      </c>
      <c r="ER52">
        <v>2021</v>
      </c>
      <c r="ES52" t="s">
        <v>178</v>
      </c>
    </row>
    <row r="53" spans="1:149" x14ac:dyDescent="0.45">
      <c r="A53">
        <v>12</v>
      </c>
      <c r="B53">
        <v>977125</v>
      </c>
      <c r="C53" t="s">
        <v>173</v>
      </c>
      <c r="D53" t="s">
        <v>210</v>
      </c>
      <c r="E53" t="s">
        <v>175</v>
      </c>
      <c r="F53" t="s">
        <v>176</v>
      </c>
      <c r="I53" t="s">
        <v>177</v>
      </c>
      <c r="J53" t="s">
        <v>178</v>
      </c>
      <c r="K53" t="s">
        <v>178</v>
      </c>
      <c r="L53" t="s">
        <v>428</v>
      </c>
      <c r="M53" t="s">
        <v>246</v>
      </c>
      <c r="O53" t="s">
        <v>178</v>
      </c>
      <c r="P53" t="s">
        <v>178</v>
      </c>
      <c r="Q53" t="s">
        <v>323</v>
      </c>
      <c r="R53" t="s">
        <v>200</v>
      </c>
      <c r="S53" s="6">
        <v>44697</v>
      </c>
      <c r="T53" t="s">
        <v>429</v>
      </c>
      <c r="U53" t="s">
        <v>178</v>
      </c>
      <c r="V53">
        <v>0</v>
      </c>
      <c r="W53">
        <v>15</v>
      </c>
      <c r="X53" t="s">
        <v>202</v>
      </c>
      <c r="Z53" t="s">
        <v>302</v>
      </c>
      <c r="AA53" t="s">
        <v>178</v>
      </c>
      <c r="AB53" t="s">
        <v>184</v>
      </c>
      <c r="AC53">
        <v>0</v>
      </c>
      <c r="AD53" t="s">
        <v>178</v>
      </c>
      <c r="AE53" t="s">
        <v>204</v>
      </c>
      <c r="AF53" t="s">
        <v>178</v>
      </c>
      <c r="AG53" t="s">
        <v>178</v>
      </c>
      <c r="AH53" t="s">
        <v>179</v>
      </c>
      <c r="AJ53" t="s">
        <v>178</v>
      </c>
      <c r="AK53" t="s">
        <v>56</v>
      </c>
      <c r="AL53" t="s">
        <v>237</v>
      </c>
      <c r="AM53" t="s">
        <v>56</v>
      </c>
      <c r="AN53" t="s">
        <v>187</v>
      </c>
      <c r="AO53">
        <v>40</v>
      </c>
      <c r="AT53" s="6"/>
      <c r="AZ53" t="s">
        <v>192</v>
      </c>
      <c r="CA53" t="s">
        <v>178</v>
      </c>
      <c r="CG53" t="s">
        <v>178</v>
      </c>
      <c r="CH53" s="6">
        <v>44712</v>
      </c>
      <c r="CI53" s="6"/>
      <c r="CJ53" s="6"/>
      <c r="DT53">
        <v>22</v>
      </c>
      <c r="DU53" t="s">
        <v>179</v>
      </c>
      <c r="DV53" t="s">
        <v>220</v>
      </c>
      <c r="DW53" t="s">
        <v>178</v>
      </c>
      <c r="DX53" t="s">
        <v>178</v>
      </c>
      <c r="DY53" t="s">
        <v>179</v>
      </c>
      <c r="DZ53" t="s">
        <v>178</v>
      </c>
      <c r="EA53" t="s">
        <v>178</v>
      </c>
      <c r="EB53" t="s">
        <v>179</v>
      </c>
      <c r="EE53" t="s">
        <v>178</v>
      </c>
      <c r="EF53" t="s">
        <v>178</v>
      </c>
      <c r="EG53" t="s">
        <v>178</v>
      </c>
      <c r="EH53" t="s">
        <v>178</v>
      </c>
      <c r="EI53" t="s">
        <v>178</v>
      </c>
      <c r="EJ53" t="s">
        <v>178</v>
      </c>
      <c r="EK53">
        <v>5</v>
      </c>
      <c r="EL53" t="s">
        <v>208</v>
      </c>
      <c r="EM53">
        <v>2022</v>
      </c>
      <c r="EN53">
        <v>2022</v>
      </c>
      <c r="EO53">
        <v>5</v>
      </c>
      <c r="EP53" t="s">
        <v>208</v>
      </c>
      <c r="EQ53">
        <v>2022</v>
      </c>
      <c r="ER53">
        <v>2022</v>
      </c>
      <c r="ES53" t="s">
        <v>178</v>
      </c>
    </row>
    <row r="54" spans="1:149" x14ac:dyDescent="0.45">
      <c r="A54">
        <v>262</v>
      </c>
      <c r="B54">
        <v>976731</v>
      </c>
      <c r="C54" t="s">
        <v>261</v>
      </c>
      <c r="D54" t="s">
        <v>224</v>
      </c>
      <c r="E54" t="s">
        <v>175</v>
      </c>
      <c r="F54" t="s">
        <v>176</v>
      </c>
      <c r="I54" t="s">
        <v>177</v>
      </c>
      <c r="J54" t="s">
        <v>178</v>
      </c>
      <c r="K54" t="s">
        <v>178</v>
      </c>
      <c r="M54" t="s">
        <v>225</v>
      </c>
      <c r="P54" t="s">
        <v>214</v>
      </c>
      <c r="Q54" t="s">
        <v>180</v>
      </c>
      <c r="R54" t="s">
        <v>200</v>
      </c>
      <c r="S54" s="6">
        <v>44397</v>
      </c>
      <c r="T54" t="s">
        <v>430</v>
      </c>
      <c r="U54" t="s">
        <v>178</v>
      </c>
      <c r="V54">
        <v>0</v>
      </c>
      <c r="W54">
        <v>0</v>
      </c>
      <c r="Z54" t="s">
        <v>223</v>
      </c>
      <c r="AA54" t="s">
        <v>178</v>
      </c>
      <c r="AB54" t="s">
        <v>184</v>
      </c>
      <c r="AC54">
        <v>0</v>
      </c>
      <c r="AD54" t="s">
        <v>179</v>
      </c>
      <c r="AE54" t="s">
        <v>204</v>
      </c>
      <c r="AF54" t="s">
        <v>178</v>
      </c>
      <c r="AG54" t="s">
        <v>179</v>
      </c>
      <c r="AH54" t="s">
        <v>178</v>
      </c>
      <c r="AL54" t="s">
        <v>372</v>
      </c>
      <c r="AN54" t="s">
        <v>187</v>
      </c>
      <c r="AO54">
        <v>25</v>
      </c>
      <c r="AT54" s="6"/>
      <c r="AZ54" t="s">
        <v>192</v>
      </c>
      <c r="CA54" t="s">
        <v>178</v>
      </c>
      <c r="CG54" t="s">
        <v>178</v>
      </c>
      <c r="CH54" s="6"/>
      <c r="CI54" s="6"/>
      <c r="CJ54" s="6"/>
      <c r="CL54" s="6"/>
      <c r="CQ54" s="6"/>
      <c r="DD54" t="s">
        <v>264</v>
      </c>
      <c r="DE54">
        <v>7</v>
      </c>
      <c r="DL54" t="s">
        <v>265</v>
      </c>
      <c r="DT54">
        <v>26</v>
      </c>
      <c r="DU54" t="s">
        <v>179</v>
      </c>
      <c r="DV54" t="s">
        <v>220</v>
      </c>
      <c r="DW54" t="s">
        <v>178</v>
      </c>
      <c r="DX54" t="s">
        <v>178</v>
      </c>
      <c r="DY54" t="s">
        <v>178</v>
      </c>
      <c r="DZ54" t="s">
        <v>178</v>
      </c>
      <c r="EA54" t="s">
        <v>178</v>
      </c>
      <c r="EB54" t="s">
        <v>178</v>
      </c>
      <c r="EE54" t="s">
        <v>178</v>
      </c>
      <c r="EF54" t="s">
        <v>178</v>
      </c>
      <c r="EG54" t="s">
        <v>178</v>
      </c>
      <c r="EH54" t="s">
        <v>178</v>
      </c>
      <c r="EI54" t="s">
        <v>178</v>
      </c>
      <c r="EJ54" t="s">
        <v>178</v>
      </c>
      <c r="EK54">
        <v>7</v>
      </c>
      <c r="EL54" t="s">
        <v>196</v>
      </c>
      <c r="EM54">
        <v>2021</v>
      </c>
      <c r="EN54">
        <v>2022</v>
      </c>
      <c r="EO54">
        <v>7</v>
      </c>
      <c r="EP54" t="s">
        <v>196</v>
      </c>
      <c r="EQ54">
        <v>2022</v>
      </c>
      <c r="ER54">
        <v>2021</v>
      </c>
      <c r="ES54" t="s">
        <v>178</v>
      </c>
    </row>
    <row r="55" spans="1:149" x14ac:dyDescent="0.45">
      <c r="A55">
        <v>79</v>
      </c>
      <c r="B55">
        <v>977018</v>
      </c>
      <c r="C55" t="s">
        <v>173</v>
      </c>
      <c r="D55" t="s">
        <v>174</v>
      </c>
      <c r="E55" t="s">
        <v>175</v>
      </c>
      <c r="F55" t="s">
        <v>176</v>
      </c>
      <c r="I55" t="s">
        <v>177</v>
      </c>
      <c r="J55" t="s">
        <v>179</v>
      </c>
      <c r="L55" t="s">
        <v>431</v>
      </c>
      <c r="M55" t="s">
        <v>199</v>
      </c>
      <c r="O55" t="s">
        <v>178</v>
      </c>
      <c r="P55" t="s">
        <v>178</v>
      </c>
      <c r="Q55" t="s">
        <v>180</v>
      </c>
      <c r="R55" t="s">
        <v>200</v>
      </c>
      <c r="S55" s="6">
        <v>44623</v>
      </c>
      <c r="T55" t="s">
        <v>432</v>
      </c>
      <c r="U55" t="s">
        <v>178</v>
      </c>
      <c r="V55">
        <v>0</v>
      </c>
      <c r="W55">
        <v>14</v>
      </c>
      <c r="Z55" t="s">
        <v>248</v>
      </c>
      <c r="AA55" t="s">
        <v>178</v>
      </c>
      <c r="AB55" t="s">
        <v>184</v>
      </c>
      <c r="AC55">
        <v>0</v>
      </c>
      <c r="AD55" t="s">
        <v>178</v>
      </c>
      <c r="AE55" t="s">
        <v>185</v>
      </c>
      <c r="AF55" t="s">
        <v>178</v>
      </c>
      <c r="AG55" t="s">
        <v>178</v>
      </c>
      <c r="AH55" t="s">
        <v>178</v>
      </c>
      <c r="AJ55" t="s">
        <v>178</v>
      </c>
      <c r="AK55" t="s">
        <v>56</v>
      </c>
      <c r="AL55" t="s">
        <v>354</v>
      </c>
      <c r="AM55" t="s">
        <v>56</v>
      </c>
      <c r="AN55" t="s">
        <v>187</v>
      </c>
      <c r="AO55">
        <v>35</v>
      </c>
      <c r="AT55" s="6"/>
      <c r="AZ55" t="s">
        <v>192</v>
      </c>
      <c r="CA55" t="s">
        <v>178</v>
      </c>
      <c r="CG55" t="s">
        <v>178</v>
      </c>
      <c r="CH55" s="6">
        <v>44627</v>
      </c>
      <c r="CI55" s="6" t="s">
        <v>179</v>
      </c>
      <c r="CJ55" s="6" t="s">
        <v>413</v>
      </c>
      <c r="CL55" s="6"/>
      <c r="CQ55" s="6"/>
      <c r="DA55" t="s">
        <v>179</v>
      </c>
      <c r="DB55" t="s">
        <v>194</v>
      </c>
      <c r="DD55" t="s">
        <v>433</v>
      </c>
      <c r="DE55">
        <v>3</v>
      </c>
      <c r="DH55" t="s">
        <v>265</v>
      </c>
      <c r="DR55" t="s">
        <v>434</v>
      </c>
      <c r="DT55">
        <v>34</v>
      </c>
      <c r="DU55" t="s">
        <v>179</v>
      </c>
      <c r="DV55" t="s">
        <v>220</v>
      </c>
      <c r="DW55" t="s">
        <v>179</v>
      </c>
      <c r="DX55" t="s">
        <v>178</v>
      </c>
      <c r="DY55" t="s">
        <v>179</v>
      </c>
      <c r="DZ55" t="s">
        <v>178</v>
      </c>
      <c r="EA55" t="s">
        <v>178</v>
      </c>
      <c r="EB55" t="s">
        <v>179</v>
      </c>
      <c r="EE55" t="s">
        <v>179</v>
      </c>
      <c r="EF55" t="s">
        <v>178</v>
      </c>
      <c r="EG55" t="s">
        <v>178</v>
      </c>
      <c r="EH55" t="s">
        <v>178</v>
      </c>
      <c r="EI55" t="s">
        <v>178</v>
      </c>
      <c r="EJ55" t="s">
        <v>178</v>
      </c>
      <c r="EK55">
        <v>3</v>
      </c>
      <c r="EL55" t="s">
        <v>209</v>
      </c>
      <c r="EM55">
        <v>2022</v>
      </c>
      <c r="EN55">
        <v>2022</v>
      </c>
      <c r="EO55">
        <v>3</v>
      </c>
      <c r="EP55" t="s">
        <v>209</v>
      </c>
      <c r="EQ55">
        <v>2022</v>
      </c>
      <c r="ER55">
        <v>2022</v>
      </c>
      <c r="ES55" t="s">
        <v>178</v>
      </c>
    </row>
    <row r="56" spans="1:149" x14ac:dyDescent="0.45">
      <c r="A56">
        <v>350</v>
      </c>
      <c r="B56">
        <v>976557</v>
      </c>
      <c r="C56" t="s">
        <v>173</v>
      </c>
      <c r="D56" t="s">
        <v>210</v>
      </c>
      <c r="E56" t="s">
        <v>175</v>
      </c>
      <c r="F56" t="s">
        <v>176</v>
      </c>
      <c r="I56" t="s">
        <v>177</v>
      </c>
      <c r="J56" t="s">
        <v>179</v>
      </c>
      <c r="K56" t="s">
        <v>178</v>
      </c>
      <c r="L56" t="s">
        <v>71</v>
      </c>
      <c r="N56" t="s">
        <v>213</v>
      </c>
      <c r="O56" t="s">
        <v>178</v>
      </c>
      <c r="P56" t="s">
        <v>214</v>
      </c>
      <c r="Q56" t="s">
        <v>180</v>
      </c>
      <c r="R56" t="s">
        <v>215</v>
      </c>
      <c r="S56" s="6">
        <v>44301</v>
      </c>
      <c r="T56" t="s">
        <v>435</v>
      </c>
      <c r="U56" t="s">
        <v>178</v>
      </c>
      <c r="V56">
        <v>0</v>
      </c>
      <c r="W56">
        <v>0</v>
      </c>
      <c r="X56" t="s">
        <v>314</v>
      </c>
      <c r="Z56" t="s">
        <v>272</v>
      </c>
      <c r="AA56" t="s">
        <v>178</v>
      </c>
      <c r="AB56" t="s">
        <v>184</v>
      </c>
      <c r="AC56">
        <v>1100</v>
      </c>
      <c r="AD56" t="s">
        <v>179</v>
      </c>
      <c r="AE56" t="s">
        <v>218</v>
      </c>
      <c r="AF56" t="s">
        <v>178</v>
      </c>
      <c r="AG56" t="s">
        <v>178</v>
      </c>
      <c r="AH56" t="s">
        <v>178</v>
      </c>
      <c r="AK56" t="s">
        <v>56</v>
      </c>
      <c r="AL56" t="s">
        <v>228</v>
      </c>
      <c r="AT56" s="6"/>
      <c r="AZ56" t="s">
        <v>192</v>
      </c>
      <c r="BA56" t="s">
        <v>436</v>
      </c>
      <c r="BB56" t="s">
        <v>240</v>
      </c>
      <c r="BC56" t="s">
        <v>437</v>
      </c>
      <c r="BD56">
        <v>14.25</v>
      </c>
      <c r="BE56">
        <v>40</v>
      </c>
      <c r="BF56" t="s">
        <v>179</v>
      </c>
      <c r="BG56" t="s">
        <v>179</v>
      </c>
      <c r="BH56" t="s">
        <v>178</v>
      </c>
      <c r="BI56" t="s">
        <v>179</v>
      </c>
      <c r="BJ56" t="s">
        <v>179</v>
      </c>
      <c r="BK56" t="s">
        <v>436</v>
      </c>
      <c r="BL56" t="s">
        <v>240</v>
      </c>
      <c r="BM56" t="s">
        <v>437</v>
      </c>
      <c r="BN56">
        <v>14.25</v>
      </c>
      <c r="BO56">
        <v>40</v>
      </c>
      <c r="BP56" t="s">
        <v>179</v>
      </c>
      <c r="BQ56" t="s">
        <v>179</v>
      </c>
      <c r="BR56" t="s">
        <v>178</v>
      </c>
      <c r="BS56" t="s">
        <v>179</v>
      </c>
      <c r="BT56" t="s">
        <v>179</v>
      </c>
      <c r="BX56" t="s">
        <v>255</v>
      </c>
      <c r="BY56" t="s">
        <v>256</v>
      </c>
      <c r="BZ56" t="s">
        <v>229</v>
      </c>
      <c r="CA56" t="s">
        <v>178</v>
      </c>
      <c r="CB56">
        <v>316</v>
      </c>
      <c r="CD56">
        <v>316</v>
      </c>
      <c r="CE56">
        <v>316</v>
      </c>
      <c r="CF56">
        <v>442</v>
      </c>
      <c r="CG56" t="s">
        <v>178</v>
      </c>
      <c r="CH56" s="6">
        <v>44305</v>
      </c>
      <c r="CI56" t="s">
        <v>179</v>
      </c>
      <c r="CJ56" s="6" t="s">
        <v>385</v>
      </c>
      <c r="CL56" s="6"/>
      <c r="CQ56" s="6"/>
      <c r="DA56" t="s">
        <v>179</v>
      </c>
      <c r="DR56" t="s">
        <v>230</v>
      </c>
      <c r="DS56" t="s">
        <v>359</v>
      </c>
      <c r="DT56">
        <v>24</v>
      </c>
      <c r="DU56" t="s">
        <v>179</v>
      </c>
      <c r="DV56" t="s">
        <v>220</v>
      </c>
      <c r="DW56" t="s">
        <v>179</v>
      </c>
      <c r="DX56" t="s">
        <v>179</v>
      </c>
      <c r="DY56" t="s">
        <v>179</v>
      </c>
      <c r="DZ56" t="s">
        <v>178</v>
      </c>
      <c r="EA56" t="s">
        <v>178</v>
      </c>
      <c r="EB56" t="s">
        <v>179</v>
      </c>
      <c r="ED56">
        <v>27</v>
      </c>
      <c r="EE56" t="s">
        <v>178</v>
      </c>
      <c r="EF56" t="s">
        <v>178</v>
      </c>
      <c r="EG56" t="s">
        <v>178</v>
      </c>
      <c r="EH56" t="s">
        <v>178</v>
      </c>
      <c r="EI56" t="s">
        <v>179</v>
      </c>
      <c r="EJ56" t="s">
        <v>178</v>
      </c>
      <c r="EK56">
        <v>4</v>
      </c>
      <c r="EL56" t="s">
        <v>208</v>
      </c>
      <c r="EM56">
        <v>2021</v>
      </c>
      <c r="EN56">
        <v>2021</v>
      </c>
      <c r="EO56">
        <v>4</v>
      </c>
      <c r="EP56" t="s">
        <v>208</v>
      </c>
      <c r="EQ56">
        <v>2021</v>
      </c>
      <c r="ER56">
        <v>2022</v>
      </c>
      <c r="ES56" t="s">
        <v>178</v>
      </c>
    </row>
    <row r="57" spans="1:149" x14ac:dyDescent="0.45">
      <c r="A57">
        <v>1792</v>
      </c>
      <c r="B57">
        <v>976542</v>
      </c>
      <c r="C57" t="s">
        <v>173</v>
      </c>
      <c r="D57" t="s">
        <v>210</v>
      </c>
      <c r="E57" t="s">
        <v>175</v>
      </c>
      <c r="F57" t="s">
        <v>176</v>
      </c>
      <c r="I57" t="s">
        <v>177</v>
      </c>
      <c r="J57" t="s">
        <v>178</v>
      </c>
      <c r="K57" t="s">
        <v>178</v>
      </c>
      <c r="L57" t="s">
        <v>71</v>
      </c>
      <c r="N57" t="s">
        <v>213</v>
      </c>
      <c r="O57" t="s">
        <v>178</v>
      </c>
      <c r="P57" t="s">
        <v>214</v>
      </c>
      <c r="Q57" t="s">
        <v>180</v>
      </c>
      <c r="R57" t="s">
        <v>215</v>
      </c>
      <c r="S57" s="6">
        <v>44294</v>
      </c>
      <c r="T57" t="s">
        <v>438</v>
      </c>
      <c r="U57" t="s">
        <v>178</v>
      </c>
      <c r="V57">
        <v>0</v>
      </c>
      <c r="Z57" t="s">
        <v>272</v>
      </c>
      <c r="AA57" t="s">
        <v>178</v>
      </c>
      <c r="AB57" t="s">
        <v>184</v>
      </c>
      <c r="AC57">
        <v>0</v>
      </c>
      <c r="AD57" t="s">
        <v>178</v>
      </c>
      <c r="AE57" t="s">
        <v>218</v>
      </c>
      <c r="AF57" t="s">
        <v>178</v>
      </c>
      <c r="AG57" t="s">
        <v>178</v>
      </c>
      <c r="AH57" t="s">
        <v>178</v>
      </c>
      <c r="AL57" t="s">
        <v>283</v>
      </c>
      <c r="AM57" t="s">
        <v>54</v>
      </c>
      <c r="AR57">
        <v>0</v>
      </c>
      <c r="AT57" s="6"/>
      <c r="AY57" t="s">
        <v>238</v>
      </c>
      <c r="AZ57" t="s">
        <v>192</v>
      </c>
      <c r="CA57" t="s">
        <v>178</v>
      </c>
      <c r="CG57" t="s">
        <v>178</v>
      </c>
      <c r="CH57" s="6"/>
      <c r="CI57" s="6"/>
      <c r="CJ57" s="6"/>
      <c r="DC57" t="s">
        <v>179</v>
      </c>
      <c r="DT57">
        <v>20</v>
      </c>
      <c r="DU57" t="s">
        <v>179</v>
      </c>
      <c r="DV57" t="s">
        <v>220</v>
      </c>
      <c r="DW57" t="s">
        <v>178</v>
      </c>
      <c r="DX57" t="s">
        <v>178</v>
      </c>
      <c r="DY57" t="s">
        <v>178</v>
      </c>
      <c r="DZ57" t="s">
        <v>178</v>
      </c>
      <c r="EA57" t="s">
        <v>178</v>
      </c>
      <c r="EB57" t="s">
        <v>178</v>
      </c>
      <c r="EE57" t="s">
        <v>178</v>
      </c>
      <c r="EF57" t="s">
        <v>178</v>
      </c>
      <c r="EG57" t="s">
        <v>178</v>
      </c>
      <c r="EH57" t="s">
        <v>178</v>
      </c>
      <c r="EI57" t="s">
        <v>178</v>
      </c>
      <c r="EJ57" t="s">
        <v>178</v>
      </c>
      <c r="EK57">
        <v>4</v>
      </c>
      <c r="EL57" t="s">
        <v>208</v>
      </c>
      <c r="EM57">
        <v>2021</v>
      </c>
      <c r="EN57">
        <v>2021</v>
      </c>
      <c r="EO57">
        <v>4</v>
      </c>
      <c r="EP57" t="s">
        <v>208</v>
      </c>
      <c r="EQ57">
        <v>2021</v>
      </c>
      <c r="ER57">
        <v>2022</v>
      </c>
      <c r="ES57" t="s">
        <v>178</v>
      </c>
    </row>
    <row r="58" spans="1:149" x14ac:dyDescent="0.45">
      <c r="A58">
        <v>1928</v>
      </c>
      <c r="B58">
        <v>977195</v>
      </c>
      <c r="C58" t="s">
        <v>173</v>
      </c>
      <c r="D58" t="s">
        <v>224</v>
      </c>
      <c r="E58" t="s">
        <v>175</v>
      </c>
      <c r="F58" t="s">
        <v>176</v>
      </c>
      <c r="I58" t="s">
        <v>177</v>
      </c>
      <c r="J58" t="s">
        <v>178</v>
      </c>
      <c r="K58" t="s">
        <v>178</v>
      </c>
      <c r="L58" t="s">
        <v>245</v>
      </c>
      <c r="M58" t="s">
        <v>246</v>
      </c>
      <c r="O58" t="s">
        <v>178</v>
      </c>
      <c r="P58" t="s">
        <v>178</v>
      </c>
      <c r="Q58" t="s">
        <v>259</v>
      </c>
      <c r="R58" t="s">
        <v>200</v>
      </c>
      <c r="S58" s="6">
        <v>44722</v>
      </c>
      <c r="T58" t="s">
        <v>439</v>
      </c>
      <c r="U58" t="s">
        <v>178</v>
      </c>
      <c r="V58">
        <v>0</v>
      </c>
      <c r="Z58" t="s">
        <v>203</v>
      </c>
      <c r="AA58" t="s">
        <v>178</v>
      </c>
      <c r="AB58" t="s">
        <v>184</v>
      </c>
      <c r="AC58">
        <v>0</v>
      </c>
      <c r="AD58" t="s">
        <v>178</v>
      </c>
      <c r="AE58" t="s">
        <v>204</v>
      </c>
      <c r="AF58" t="s">
        <v>178</v>
      </c>
      <c r="AG58" t="s">
        <v>178</v>
      </c>
      <c r="AH58" t="s">
        <v>178</v>
      </c>
      <c r="AL58" t="s">
        <v>219</v>
      </c>
      <c r="AM58" t="s">
        <v>56</v>
      </c>
      <c r="AN58" t="s">
        <v>187</v>
      </c>
      <c r="AR58">
        <v>14.25</v>
      </c>
      <c r="AT58" s="6"/>
      <c r="AY58" t="s">
        <v>206</v>
      </c>
      <c r="AZ58" t="s">
        <v>192</v>
      </c>
      <c r="CA58" t="s">
        <v>178</v>
      </c>
      <c r="CG58" t="s">
        <v>178</v>
      </c>
      <c r="CH58" s="6"/>
      <c r="CI58" s="6"/>
      <c r="CJ58" s="6"/>
      <c r="CL58" s="6"/>
      <c r="CQ58" s="6"/>
      <c r="DC58" t="s">
        <v>179</v>
      </c>
      <c r="DT58">
        <v>22</v>
      </c>
      <c r="DU58" t="s">
        <v>179</v>
      </c>
      <c r="DV58" t="s">
        <v>220</v>
      </c>
      <c r="DW58" t="s">
        <v>178</v>
      </c>
      <c r="DX58" t="s">
        <v>178</v>
      </c>
      <c r="DY58" t="s">
        <v>178</v>
      </c>
      <c r="DZ58" t="s">
        <v>178</v>
      </c>
      <c r="EA58" t="s">
        <v>178</v>
      </c>
      <c r="EB58" t="s">
        <v>178</v>
      </c>
      <c r="EE58" t="s">
        <v>178</v>
      </c>
      <c r="EF58" t="s">
        <v>178</v>
      </c>
      <c r="EG58" t="s">
        <v>178</v>
      </c>
      <c r="EH58" t="s">
        <v>178</v>
      </c>
      <c r="EI58" t="s">
        <v>178</v>
      </c>
      <c r="EJ58" t="s">
        <v>178</v>
      </c>
      <c r="EK58">
        <v>6</v>
      </c>
      <c r="EL58" t="s">
        <v>208</v>
      </c>
      <c r="EM58">
        <v>2022</v>
      </c>
      <c r="EN58">
        <v>2022</v>
      </c>
      <c r="EO58">
        <v>6</v>
      </c>
      <c r="EP58" t="s">
        <v>208</v>
      </c>
      <c r="EQ58">
        <v>2022</v>
      </c>
      <c r="ER58">
        <v>2021</v>
      </c>
      <c r="ES58" t="s">
        <v>178</v>
      </c>
    </row>
    <row r="59" spans="1:149" x14ac:dyDescent="0.45">
      <c r="A59">
        <v>293</v>
      </c>
      <c r="B59">
        <v>976649</v>
      </c>
      <c r="C59" t="s">
        <v>440</v>
      </c>
      <c r="D59" t="s">
        <v>174</v>
      </c>
      <c r="E59" t="s">
        <v>175</v>
      </c>
      <c r="F59" t="s">
        <v>176</v>
      </c>
      <c r="I59" t="s">
        <v>177</v>
      </c>
      <c r="J59" t="s">
        <v>178</v>
      </c>
      <c r="K59" t="s">
        <v>178</v>
      </c>
      <c r="M59" t="s">
        <v>441</v>
      </c>
      <c r="P59" t="s">
        <v>214</v>
      </c>
      <c r="Q59" t="s">
        <v>180</v>
      </c>
      <c r="R59" t="s">
        <v>215</v>
      </c>
      <c r="S59" s="6">
        <v>44371</v>
      </c>
      <c r="T59" t="s">
        <v>442</v>
      </c>
      <c r="U59" t="s">
        <v>178</v>
      </c>
      <c r="V59">
        <v>0</v>
      </c>
      <c r="W59">
        <v>10</v>
      </c>
      <c r="X59" t="s">
        <v>443</v>
      </c>
      <c r="Z59" t="s">
        <v>66</v>
      </c>
      <c r="AA59" t="s">
        <v>178</v>
      </c>
      <c r="AC59">
        <v>1600</v>
      </c>
      <c r="AD59" t="s">
        <v>178</v>
      </c>
      <c r="AE59" t="s">
        <v>204</v>
      </c>
      <c r="AF59" t="s">
        <v>178</v>
      </c>
      <c r="AG59" t="s">
        <v>178</v>
      </c>
      <c r="AH59" t="s">
        <v>178</v>
      </c>
      <c r="AK59" t="s">
        <v>56</v>
      </c>
      <c r="AN59" t="s">
        <v>187</v>
      </c>
      <c r="AO59">
        <v>40</v>
      </c>
      <c r="AT59" s="6"/>
      <c r="AZ59" t="s">
        <v>192</v>
      </c>
      <c r="CA59" t="s">
        <v>179</v>
      </c>
      <c r="CG59" t="s">
        <v>178</v>
      </c>
      <c r="CH59" s="6">
        <v>44410</v>
      </c>
      <c r="CI59" t="s">
        <v>179</v>
      </c>
      <c r="CJ59" s="6" t="s">
        <v>444</v>
      </c>
      <c r="CL59" s="6"/>
      <c r="CQ59" s="6"/>
      <c r="DA59" t="s">
        <v>179</v>
      </c>
      <c r="DT59">
        <v>23</v>
      </c>
      <c r="DU59" t="s">
        <v>178</v>
      </c>
      <c r="DW59" t="s">
        <v>179</v>
      </c>
      <c r="DX59" t="s">
        <v>178</v>
      </c>
      <c r="DY59" t="s">
        <v>179</v>
      </c>
      <c r="DZ59" t="s">
        <v>178</v>
      </c>
      <c r="EA59" t="s">
        <v>179</v>
      </c>
      <c r="EB59" t="s">
        <v>179</v>
      </c>
      <c r="EE59" t="s">
        <v>179</v>
      </c>
      <c r="EF59" t="s">
        <v>178</v>
      </c>
      <c r="EG59" t="s">
        <v>178</v>
      </c>
      <c r="EH59" t="s">
        <v>178</v>
      </c>
      <c r="EI59" t="s">
        <v>178</v>
      </c>
      <c r="EJ59" t="s">
        <v>178</v>
      </c>
      <c r="EK59">
        <v>8</v>
      </c>
      <c r="EL59" t="s">
        <v>196</v>
      </c>
      <c r="EM59">
        <v>2021</v>
      </c>
      <c r="EN59">
        <v>2022</v>
      </c>
      <c r="EO59">
        <v>6</v>
      </c>
      <c r="EP59" t="s">
        <v>208</v>
      </c>
      <c r="EQ59">
        <v>2021</v>
      </c>
      <c r="ER59">
        <v>2021</v>
      </c>
      <c r="ES59" t="s">
        <v>178</v>
      </c>
    </row>
    <row r="60" spans="1:149" x14ac:dyDescent="0.45">
      <c r="A60">
        <v>436</v>
      </c>
      <c r="B60">
        <v>976382</v>
      </c>
      <c r="C60" t="s">
        <v>173</v>
      </c>
      <c r="D60" t="s">
        <v>210</v>
      </c>
      <c r="E60" t="s">
        <v>175</v>
      </c>
      <c r="F60" t="s">
        <v>176</v>
      </c>
      <c r="I60" t="s">
        <v>177</v>
      </c>
      <c r="J60" t="s">
        <v>179</v>
      </c>
      <c r="L60" t="s">
        <v>71</v>
      </c>
      <c r="N60" t="s">
        <v>213</v>
      </c>
      <c r="O60" t="s">
        <v>178</v>
      </c>
      <c r="P60" t="s">
        <v>214</v>
      </c>
      <c r="Q60" t="s">
        <v>180</v>
      </c>
      <c r="R60" t="s">
        <v>215</v>
      </c>
      <c r="S60" s="6">
        <v>44207</v>
      </c>
      <c r="T60" t="s">
        <v>445</v>
      </c>
      <c r="U60" t="s">
        <v>179</v>
      </c>
      <c r="V60">
        <v>0</v>
      </c>
      <c r="W60">
        <v>0</v>
      </c>
      <c r="Z60" t="s">
        <v>446</v>
      </c>
      <c r="AA60" t="s">
        <v>178</v>
      </c>
      <c r="AB60" t="s">
        <v>184</v>
      </c>
      <c r="AC60">
        <v>0</v>
      </c>
      <c r="AD60" t="s">
        <v>179</v>
      </c>
      <c r="AE60" t="s">
        <v>218</v>
      </c>
      <c r="AF60" t="s">
        <v>178</v>
      </c>
      <c r="AG60" t="s">
        <v>178</v>
      </c>
      <c r="AK60" t="s">
        <v>56</v>
      </c>
      <c r="AL60" t="s">
        <v>219</v>
      </c>
      <c r="AO60">
        <v>0</v>
      </c>
      <c r="AT60" s="6"/>
      <c r="AZ60" t="s">
        <v>192</v>
      </c>
      <c r="CA60" t="s">
        <v>178</v>
      </c>
      <c r="CG60" t="s">
        <v>178</v>
      </c>
      <c r="CH60" s="6">
        <v>44207</v>
      </c>
      <c r="CJ60" s="6"/>
      <c r="CL60" s="6"/>
      <c r="CQ60" s="6"/>
      <c r="DB60" t="s">
        <v>194</v>
      </c>
      <c r="DC60" t="s">
        <v>179</v>
      </c>
      <c r="DT60">
        <v>28</v>
      </c>
      <c r="DU60" t="s">
        <v>179</v>
      </c>
      <c r="DV60" t="s">
        <v>220</v>
      </c>
      <c r="DW60" t="s">
        <v>179</v>
      </c>
      <c r="DX60" t="s">
        <v>178</v>
      </c>
      <c r="DY60" t="s">
        <v>179</v>
      </c>
      <c r="DZ60" t="s">
        <v>178</v>
      </c>
      <c r="EA60" t="s">
        <v>178</v>
      </c>
      <c r="EB60" t="s">
        <v>178</v>
      </c>
      <c r="EE60" t="s">
        <v>178</v>
      </c>
      <c r="EF60" t="s">
        <v>178</v>
      </c>
      <c r="EG60" t="s">
        <v>178</v>
      </c>
      <c r="EH60" t="s">
        <v>178</v>
      </c>
      <c r="EI60" t="s">
        <v>178</v>
      </c>
      <c r="EJ60" t="s">
        <v>178</v>
      </c>
      <c r="EK60">
        <v>1</v>
      </c>
      <c r="EL60" t="s">
        <v>209</v>
      </c>
      <c r="EM60">
        <v>2021</v>
      </c>
      <c r="EN60">
        <v>2021</v>
      </c>
      <c r="EO60">
        <v>1</v>
      </c>
      <c r="EP60" t="s">
        <v>209</v>
      </c>
      <c r="EQ60">
        <v>2021</v>
      </c>
      <c r="ER60">
        <v>2022</v>
      </c>
      <c r="ES60" t="s">
        <v>178</v>
      </c>
    </row>
    <row r="61" spans="1:149" x14ac:dyDescent="0.45">
      <c r="A61">
        <v>1857</v>
      </c>
      <c r="B61">
        <v>976993</v>
      </c>
      <c r="C61" t="s">
        <v>173</v>
      </c>
      <c r="D61" t="s">
        <v>174</v>
      </c>
      <c r="E61" t="s">
        <v>175</v>
      </c>
      <c r="F61" t="s">
        <v>299</v>
      </c>
      <c r="I61" t="s">
        <v>177</v>
      </c>
      <c r="J61" t="s">
        <v>179</v>
      </c>
      <c r="K61" t="s">
        <v>179</v>
      </c>
      <c r="L61" t="s">
        <v>447</v>
      </c>
      <c r="M61" t="s">
        <v>246</v>
      </c>
      <c r="N61" t="s">
        <v>213</v>
      </c>
      <c r="O61" t="s">
        <v>178</v>
      </c>
      <c r="P61" t="s">
        <v>178</v>
      </c>
      <c r="Q61" t="s">
        <v>180</v>
      </c>
      <c r="R61" t="s">
        <v>200</v>
      </c>
      <c r="S61" s="6">
        <v>44609</v>
      </c>
      <c r="T61" t="s">
        <v>448</v>
      </c>
      <c r="U61" t="s">
        <v>178</v>
      </c>
      <c r="V61">
        <v>1</v>
      </c>
      <c r="X61" t="s">
        <v>202</v>
      </c>
      <c r="Z61" t="s">
        <v>203</v>
      </c>
      <c r="AA61" t="s">
        <v>178</v>
      </c>
      <c r="AB61" t="s">
        <v>184</v>
      </c>
      <c r="AC61">
        <v>0</v>
      </c>
      <c r="AD61" t="s">
        <v>179</v>
      </c>
      <c r="AE61" t="s">
        <v>249</v>
      </c>
      <c r="AF61" t="s">
        <v>178</v>
      </c>
      <c r="AG61" t="s">
        <v>179</v>
      </c>
      <c r="AH61" t="s">
        <v>178</v>
      </c>
      <c r="AJ61" t="s">
        <v>179</v>
      </c>
      <c r="AK61" t="s">
        <v>57</v>
      </c>
      <c r="AL61" t="s">
        <v>237</v>
      </c>
      <c r="AM61" t="s">
        <v>56</v>
      </c>
      <c r="AN61" t="s">
        <v>187</v>
      </c>
      <c r="AP61" t="s">
        <v>205</v>
      </c>
      <c r="AR61">
        <v>12</v>
      </c>
      <c r="AT61" s="6"/>
      <c r="AY61" t="s">
        <v>206</v>
      </c>
      <c r="AZ61" t="s">
        <v>192</v>
      </c>
      <c r="BA61" t="s">
        <v>449</v>
      </c>
      <c r="BB61" t="s">
        <v>240</v>
      </c>
      <c r="BC61" t="s">
        <v>450</v>
      </c>
      <c r="BD61">
        <v>17.5</v>
      </c>
      <c r="BE61">
        <v>40</v>
      </c>
      <c r="BF61" t="s">
        <v>179</v>
      </c>
      <c r="BG61" t="s">
        <v>178</v>
      </c>
      <c r="BH61" t="s">
        <v>179</v>
      </c>
      <c r="BI61" t="s">
        <v>178</v>
      </c>
      <c r="BJ61" t="s">
        <v>179</v>
      </c>
      <c r="BK61" t="s">
        <v>449</v>
      </c>
      <c r="BL61" t="s">
        <v>240</v>
      </c>
      <c r="BM61" t="s">
        <v>450</v>
      </c>
      <c r="BN61">
        <v>17.5</v>
      </c>
      <c r="BO61">
        <v>40</v>
      </c>
      <c r="BP61" t="s">
        <v>179</v>
      </c>
      <c r="BQ61" t="s">
        <v>178</v>
      </c>
      <c r="BR61" t="s">
        <v>179</v>
      </c>
      <c r="BS61" t="s">
        <v>178</v>
      </c>
      <c r="BT61" t="s">
        <v>179</v>
      </c>
      <c r="BX61" t="s">
        <v>451</v>
      </c>
      <c r="BY61" t="s">
        <v>256</v>
      </c>
      <c r="BZ61" t="s">
        <v>242</v>
      </c>
      <c r="CA61" t="s">
        <v>178</v>
      </c>
      <c r="CB61">
        <v>27</v>
      </c>
      <c r="CD61">
        <v>27</v>
      </c>
      <c r="CE61">
        <v>27</v>
      </c>
      <c r="CF61">
        <v>65</v>
      </c>
      <c r="CG61" t="s">
        <v>179</v>
      </c>
      <c r="CH61" s="6"/>
      <c r="CI61" s="6"/>
      <c r="CJ61" s="6"/>
      <c r="CL61" s="6"/>
      <c r="CQ61" s="6"/>
      <c r="DC61" t="s">
        <v>178</v>
      </c>
      <c r="DT61">
        <v>25</v>
      </c>
      <c r="DU61" t="s">
        <v>179</v>
      </c>
      <c r="DV61" t="s">
        <v>220</v>
      </c>
      <c r="DW61" t="s">
        <v>179</v>
      </c>
      <c r="DX61" t="s">
        <v>179</v>
      </c>
      <c r="DY61" t="s">
        <v>179</v>
      </c>
      <c r="DZ61" t="s">
        <v>178</v>
      </c>
      <c r="EA61" t="s">
        <v>178</v>
      </c>
      <c r="EB61" t="s">
        <v>179</v>
      </c>
      <c r="ED61">
        <v>151</v>
      </c>
      <c r="EE61" t="s">
        <v>178</v>
      </c>
      <c r="EF61" t="s">
        <v>178</v>
      </c>
      <c r="EG61" t="s">
        <v>178</v>
      </c>
      <c r="EH61" t="s">
        <v>178</v>
      </c>
      <c r="EI61" t="s">
        <v>179</v>
      </c>
      <c r="EJ61" t="s">
        <v>178</v>
      </c>
      <c r="EK61">
        <v>2</v>
      </c>
      <c r="EL61" t="s">
        <v>209</v>
      </c>
      <c r="EM61">
        <v>2022</v>
      </c>
      <c r="EN61">
        <v>2022</v>
      </c>
      <c r="EO61">
        <v>2</v>
      </c>
      <c r="EP61" t="s">
        <v>209</v>
      </c>
      <c r="EQ61">
        <v>2022</v>
      </c>
      <c r="ER61">
        <v>2021</v>
      </c>
      <c r="ES61" t="s">
        <v>178</v>
      </c>
    </row>
    <row r="62" spans="1:149" x14ac:dyDescent="0.45">
      <c r="A62">
        <v>1720</v>
      </c>
      <c r="B62">
        <v>977035</v>
      </c>
      <c r="C62" t="s">
        <v>173</v>
      </c>
      <c r="D62" t="s">
        <v>174</v>
      </c>
      <c r="E62" t="s">
        <v>175</v>
      </c>
      <c r="F62" t="s">
        <v>452</v>
      </c>
      <c r="I62" t="s">
        <v>177</v>
      </c>
      <c r="J62" t="s">
        <v>178</v>
      </c>
      <c r="K62" t="s">
        <v>178</v>
      </c>
      <c r="L62" t="s">
        <v>198</v>
      </c>
      <c r="M62" t="s">
        <v>235</v>
      </c>
      <c r="O62" t="s">
        <v>178</v>
      </c>
      <c r="P62" t="s">
        <v>178</v>
      </c>
      <c r="Q62" t="s">
        <v>180</v>
      </c>
      <c r="R62" t="s">
        <v>453</v>
      </c>
      <c r="S62" s="6">
        <v>44638</v>
      </c>
      <c r="T62" t="s">
        <v>454</v>
      </c>
      <c r="U62" t="s">
        <v>179</v>
      </c>
      <c r="V62">
        <v>0</v>
      </c>
      <c r="W62">
        <v>0</v>
      </c>
      <c r="X62" t="s">
        <v>353</v>
      </c>
      <c r="Z62" t="s">
        <v>223</v>
      </c>
      <c r="AA62" t="s">
        <v>178</v>
      </c>
      <c r="AB62" t="s">
        <v>184</v>
      </c>
      <c r="AC62">
        <v>328</v>
      </c>
      <c r="AD62" t="s">
        <v>179</v>
      </c>
      <c r="AE62" t="s">
        <v>204</v>
      </c>
      <c r="AF62" t="s">
        <v>178</v>
      </c>
      <c r="AG62" t="s">
        <v>179</v>
      </c>
      <c r="AH62" t="s">
        <v>178</v>
      </c>
      <c r="AJ62" t="s">
        <v>179</v>
      </c>
      <c r="AL62" t="s">
        <v>219</v>
      </c>
      <c r="AM62" t="s">
        <v>56</v>
      </c>
      <c r="AN62" t="s">
        <v>187</v>
      </c>
      <c r="AO62">
        <v>0</v>
      </c>
      <c r="AT62" s="6"/>
      <c r="AZ62" t="s">
        <v>192</v>
      </c>
      <c r="CA62" t="s">
        <v>178</v>
      </c>
      <c r="CG62" t="s">
        <v>178</v>
      </c>
      <c r="CH62" s="6"/>
      <c r="CI62" s="6"/>
      <c r="CJ62" s="6"/>
      <c r="CL62" s="6"/>
      <c r="CQ62" s="6"/>
      <c r="DT62">
        <v>45</v>
      </c>
      <c r="DU62" t="s">
        <v>179</v>
      </c>
      <c r="DV62" t="s">
        <v>220</v>
      </c>
      <c r="DW62" t="s">
        <v>178</v>
      </c>
      <c r="DX62" t="s">
        <v>178</v>
      </c>
      <c r="DY62" t="s">
        <v>178</v>
      </c>
      <c r="DZ62" t="s">
        <v>178</v>
      </c>
      <c r="EA62" t="s">
        <v>178</v>
      </c>
      <c r="EB62" t="s">
        <v>178</v>
      </c>
      <c r="EE62" t="s">
        <v>178</v>
      </c>
      <c r="EF62" t="s">
        <v>178</v>
      </c>
      <c r="EG62" t="s">
        <v>178</v>
      </c>
      <c r="EH62" t="s">
        <v>178</v>
      </c>
      <c r="EI62" t="s">
        <v>178</v>
      </c>
      <c r="EJ62" t="s">
        <v>178</v>
      </c>
      <c r="EK62">
        <v>3</v>
      </c>
      <c r="EL62" t="s">
        <v>209</v>
      </c>
      <c r="EM62">
        <v>2022</v>
      </c>
      <c r="EN62">
        <v>2022</v>
      </c>
      <c r="EO62">
        <v>3</v>
      </c>
      <c r="EP62" t="s">
        <v>209</v>
      </c>
      <c r="EQ62">
        <v>2022</v>
      </c>
      <c r="ER62">
        <v>2021</v>
      </c>
      <c r="ES62" t="s">
        <v>178</v>
      </c>
    </row>
    <row r="63" spans="1:149" x14ac:dyDescent="0.45">
      <c r="A63">
        <v>1733</v>
      </c>
      <c r="B63">
        <v>976758</v>
      </c>
      <c r="C63" t="s">
        <v>173</v>
      </c>
      <c r="D63" t="s">
        <v>174</v>
      </c>
      <c r="E63" t="s">
        <v>175</v>
      </c>
      <c r="F63" t="s">
        <v>323</v>
      </c>
      <c r="I63" t="s">
        <v>177</v>
      </c>
      <c r="J63" t="s">
        <v>179</v>
      </c>
      <c r="K63" t="s">
        <v>179</v>
      </c>
      <c r="M63" t="s">
        <v>455</v>
      </c>
      <c r="O63" t="s">
        <v>178</v>
      </c>
      <c r="P63" t="s">
        <v>178</v>
      </c>
      <c r="Q63" t="s">
        <v>180</v>
      </c>
      <c r="R63" t="s">
        <v>200</v>
      </c>
      <c r="S63" s="6">
        <v>44413</v>
      </c>
      <c r="T63" t="s">
        <v>456</v>
      </c>
      <c r="V63">
        <v>0</v>
      </c>
      <c r="W63">
        <v>13.5</v>
      </c>
      <c r="X63" t="s">
        <v>202</v>
      </c>
      <c r="AB63" t="s">
        <v>184</v>
      </c>
      <c r="AC63">
        <v>0</v>
      </c>
      <c r="AE63" t="s">
        <v>185</v>
      </c>
      <c r="AH63" t="s">
        <v>178</v>
      </c>
      <c r="AL63" t="s">
        <v>219</v>
      </c>
      <c r="AN63" t="s">
        <v>187</v>
      </c>
      <c r="AO63">
        <v>40</v>
      </c>
      <c r="AT63" s="6"/>
      <c r="AZ63" t="s">
        <v>192</v>
      </c>
      <c r="CA63" t="s">
        <v>178</v>
      </c>
      <c r="CG63" t="s">
        <v>178</v>
      </c>
      <c r="CH63" s="6"/>
      <c r="CJ63" s="6"/>
      <c r="DC63" t="s">
        <v>179</v>
      </c>
      <c r="DT63">
        <v>27</v>
      </c>
      <c r="DU63" t="s">
        <v>179</v>
      </c>
      <c r="DV63" t="s">
        <v>220</v>
      </c>
      <c r="DW63" t="s">
        <v>178</v>
      </c>
      <c r="DX63" t="s">
        <v>178</v>
      </c>
      <c r="DY63" t="s">
        <v>178</v>
      </c>
      <c r="DZ63" t="s">
        <v>178</v>
      </c>
      <c r="EA63" t="s">
        <v>178</v>
      </c>
      <c r="EB63" t="s">
        <v>178</v>
      </c>
      <c r="EE63" t="s">
        <v>178</v>
      </c>
      <c r="EF63" t="s">
        <v>178</v>
      </c>
      <c r="EG63" t="s">
        <v>178</v>
      </c>
      <c r="EH63" t="s">
        <v>178</v>
      </c>
      <c r="EI63" t="s">
        <v>178</v>
      </c>
      <c r="EJ63" t="s">
        <v>178</v>
      </c>
      <c r="EK63">
        <v>8</v>
      </c>
      <c r="EL63" t="s">
        <v>196</v>
      </c>
      <c r="EM63">
        <v>2021</v>
      </c>
      <c r="EN63">
        <v>2022</v>
      </c>
      <c r="EO63">
        <v>8</v>
      </c>
      <c r="EP63" t="s">
        <v>196</v>
      </c>
      <c r="EQ63">
        <v>2022</v>
      </c>
      <c r="ER63">
        <v>2022</v>
      </c>
      <c r="ES63" t="s">
        <v>178</v>
      </c>
    </row>
    <row r="64" spans="1:149" x14ac:dyDescent="0.45">
      <c r="A64">
        <v>2034</v>
      </c>
      <c r="B64">
        <v>977355</v>
      </c>
      <c r="C64" t="s">
        <v>173</v>
      </c>
      <c r="D64" t="s">
        <v>174</v>
      </c>
      <c r="E64" t="s">
        <v>175</v>
      </c>
      <c r="F64" t="s">
        <v>457</v>
      </c>
      <c r="I64" t="s">
        <v>177</v>
      </c>
      <c r="J64" t="s">
        <v>178</v>
      </c>
      <c r="K64" t="s">
        <v>178</v>
      </c>
      <c r="O64" t="s">
        <v>178</v>
      </c>
      <c r="P64" t="s">
        <v>178</v>
      </c>
      <c r="Q64" t="s">
        <v>180</v>
      </c>
      <c r="R64" t="s">
        <v>453</v>
      </c>
      <c r="S64" s="6">
        <v>44859</v>
      </c>
      <c r="T64" t="s">
        <v>458</v>
      </c>
      <c r="U64" t="s">
        <v>179</v>
      </c>
      <c r="X64" t="s">
        <v>459</v>
      </c>
      <c r="Z64" t="s">
        <v>203</v>
      </c>
      <c r="AA64" t="s">
        <v>178</v>
      </c>
      <c r="AB64" t="s">
        <v>184</v>
      </c>
      <c r="AC64">
        <v>0</v>
      </c>
      <c r="AD64" t="s">
        <v>178</v>
      </c>
      <c r="AE64" t="s">
        <v>204</v>
      </c>
      <c r="AF64" t="s">
        <v>178</v>
      </c>
      <c r="AG64" t="s">
        <v>179</v>
      </c>
      <c r="AH64" t="s">
        <v>178</v>
      </c>
      <c r="AI64" t="s">
        <v>396</v>
      </c>
      <c r="AJ64" t="s">
        <v>179</v>
      </c>
      <c r="AL64" t="s">
        <v>460</v>
      </c>
      <c r="AM64" t="s">
        <v>56</v>
      </c>
      <c r="AN64" t="s">
        <v>187</v>
      </c>
      <c r="AP64" t="s">
        <v>233</v>
      </c>
      <c r="AQ64" t="s">
        <v>178</v>
      </c>
      <c r="AT64" s="6"/>
      <c r="AU64" t="s">
        <v>178</v>
      </c>
      <c r="AV64" t="s">
        <v>190</v>
      </c>
      <c r="AX64" t="s">
        <v>365</v>
      </c>
      <c r="AY64" t="s">
        <v>461</v>
      </c>
      <c r="AZ64" t="s">
        <v>192</v>
      </c>
      <c r="CA64" t="s">
        <v>178</v>
      </c>
      <c r="CG64" t="s">
        <v>178</v>
      </c>
      <c r="CH64" s="6"/>
      <c r="CJ64" s="6"/>
      <c r="CL64" s="6"/>
      <c r="CQ64" s="6"/>
      <c r="DC64" t="s">
        <v>179</v>
      </c>
      <c r="DT64">
        <v>27</v>
      </c>
      <c r="DU64" t="s">
        <v>179</v>
      </c>
      <c r="DV64" t="s">
        <v>220</v>
      </c>
      <c r="DW64" t="s">
        <v>178</v>
      </c>
      <c r="DX64" t="s">
        <v>178</v>
      </c>
      <c r="DY64" t="s">
        <v>178</v>
      </c>
      <c r="DZ64" t="s">
        <v>178</v>
      </c>
      <c r="EA64" t="s">
        <v>178</v>
      </c>
      <c r="EB64" t="s">
        <v>178</v>
      </c>
      <c r="EE64" t="s">
        <v>178</v>
      </c>
      <c r="EF64" t="s">
        <v>178</v>
      </c>
      <c r="EG64" t="s">
        <v>178</v>
      </c>
      <c r="EH64" t="s">
        <v>178</v>
      </c>
      <c r="EI64" t="s">
        <v>178</v>
      </c>
      <c r="EJ64" t="s">
        <v>178</v>
      </c>
      <c r="EK64">
        <v>10</v>
      </c>
      <c r="EL64" t="s">
        <v>290</v>
      </c>
      <c r="EM64">
        <v>2022</v>
      </c>
      <c r="EN64">
        <v>2023</v>
      </c>
      <c r="EO64">
        <v>10</v>
      </c>
      <c r="EP64" t="s">
        <v>290</v>
      </c>
      <c r="EQ64">
        <v>2023</v>
      </c>
      <c r="ER64">
        <v>2022</v>
      </c>
      <c r="ES64" t="s">
        <v>178</v>
      </c>
    </row>
    <row r="65" spans="1:149" x14ac:dyDescent="0.45">
      <c r="A65">
        <v>2030</v>
      </c>
      <c r="B65">
        <v>977353</v>
      </c>
      <c r="C65" t="s">
        <v>173</v>
      </c>
      <c r="D65" t="s">
        <v>174</v>
      </c>
      <c r="E65" t="s">
        <v>175</v>
      </c>
      <c r="F65" t="s">
        <v>176</v>
      </c>
      <c r="J65" t="s">
        <v>178</v>
      </c>
      <c r="K65" t="s">
        <v>178</v>
      </c>
      <c r="O65" t="s">
        <v>178</v>
      </c>
      <c r="P65" t="s">
        <v>178</v>
      </c>
      <c r="Q65" t="s">
        <v>180</v>
      </c>
      <c r="R65" t="s">
        <v>200</v>
      </c>
      <c r="S65" s="6">
        <v>44831</v>
      </c>
      <c r="T65" t="s">
        <v>462</v>
      </c>
      <c r="X65" t="s">
        <v>182</v>
      </c>
      <c r="Z65" t="s">
        <v>66</v>
      </c>
      <c r="AA65" t="s">
        <v>178</v>
      </c>
      <c r="AB65" t="s">
        <v>184</v>
      </c>
      <c r="AC65">
        <v>0</v>
      </c>
      <c r="AD65" t="s">
        <v>179</v>
      </c>
      <c r="AE65" t="s">
        <v>185</v>
      </c>
      <c r="AF65" t="s">
        <v>178</v>
      </c>
      <c r="AG65" t="s">
        <v>179</v>
      </c>
      <c r="AH65" t="s">
        <v>178</v>
      </c>
      <c r="AJ65" t="s">
        <v>179</v>
      </c>
      <c r="AK65" t="s">
        <v>56</v>
      </c>
      <c r="AL65" t="s">
        <v>460</v>
      </c>
      <c r="AM65" t="s">
        <v>56</v>
      </c>
      <c r="AN65" t="s">
        <v>187</v>
      </c>
      <c r="AQ65" t="s">
        <v>178</v>
      </c>
      <c r="AT65" s="6"/>
      <c r="AU65" t="s">
        <v>178</v>
      </c>
      <c r="AV65" t="s">
        <v>463</v>
      </c>
      <c r="AX65" t="s">
        <v>178</v>
      </c>
      <c r="AY65" t="s">
        <v>122</v>
      </c>
      <c r="AZ65" t="s">
        <v>192</v>
      </c>
      <c r="CA65" t="s">
        <v>179</v>
      </c>
      <c r="CG65" t="s">
        <v>178</v>
      </c>
      <c r="CH65" s="6">
        <v>44858</v>
      </c>
      <c r="CJ65" s="6"/>
      <c r="CL65" s="6"/>
      <c r="CQ65" s="6"/>
      <c r="DT65">
        <v>41</v>
      </c>
      <c r="DU65" t="s">
        <v>179</v>
      </c>
      <c r="DV65" t="s">
        <v>220</v>
      </c>
      <c r="DW65" t="s">
        <v>178</v>
      </c>
      <c r="DX65" t="s">
        <v>178</v>
      </c>
      <c r="DY65" t="s">
        <v>179</v>
      </c>
      <c r="DZ65" t="s">
        <v>178</v>
      </c>
      <c r="EA65" t="s">
        <v>179</v>
      </c>
      <c r="EB65" t="s">
        <v>179</v>
      </c>
      <c r="EE65" t="s">
        <v>178</v>
      </c>
      <c r="EF65" t="s">
        <v>179</v>
      </c>
      <c r="EG65" t="s">
        <v>178</v>
      </c>
      <c r="EH65" t="s">
        <v>178</v>
      </c>
      <c r="EI65" t="s">
        <v>178</v>
      </c>
      <c r="EJ65" t="s">
        <v>178</v>
      </c>
      <c r="EK65">
        <v>10</v>
      </c>
      <c r="EL65" t="s">
        <v>290</v>
      </c>
      <c r="EM65">
        <v>2022</v>
      </c>
      <c r="EN65">
        <v>2023</v>
      </c>
      <c r="EO65">
        <v>9</v>
      </c>
      <c r="EP65" t="s">
        <v>196</v>
      </c>
      <c r="EQ65">
        <v>2023</v>
      </c>
      <c r="ER65">
        <v>2022</v>
      </c>
      <c r="ES65" t="s">
        <v>178</v>
      </c>
    </row>
    <row r="66" spans="1:149" x14ac:dyDescent="0.45">
      <c r="A66">
        <v>1966</v>
      </c>
      <c r="B66">
        <v>977282</v>
      </c>
      <c r="C66" t="s">
        <v>173</v>
      </c>
      <c r="D66" t="s">
        <v>174</v>
      </c>
      <c r="E66" t="s">
        <v>175</v>
      </c>
      <c r="F66" t="s">
        <v>464</v>
      </c>
      <c r="I66" t="s">
        <v>177</v>
      </c>
      <c r="J66" t="s">
        <v>178</v>
      </c>
      <c r="K66" t="s">
        <v>178</v>
      </c>
      <c r="O66" t="s">
        <v>178</v>
      </c>
      <c r="P66" t="s">
        <v>178</v>
      </c>
      <c r="Q66" t="s">
        <v>465</v>
      </c>
      <c r="R66" t="s">
        <v>200</v>
      </c>
      <c r="S66" s="6">
        <v>44789</v>
      </c>
      <c r="T66" t="s">
        <v>466</v>
      </c>
      <c r="U66" t="s">
        <v>178</v>
      </c>
      <c r="X66" t="s">
        <v>182</v>
      </c>
      <c r="Z66" t="s">
        <v>248</v>
      </c>
      <c r="AA66" t="s">
        <v>178</v>
      </c>
      <c r="AB66" t="s">
        <v>184</v>
      </c>
      <c r="AC66">
        <v>0</v>
      </c>
      <c r="AD66" t="s">
        <v>178</v>
      </c>
      <c r="AE66" t="s">
        <v>204</v>
      </c>
      <c r="AF66" t="s">
        <v>178</v>
      </c>
      <c r="AG66" t="s">
        <v>178</v>
      </c>
      <c r="AH66" t="s">
        <v>178</v>
      </c>
      <c r="AJ66" t="s">
        <v>178</v>
      </c>
      <c r="AL66" t="s">
        <v>219</v>
      </c>
      <c r="AM66" t="s">
        <v>56</v>
      </c>
      <c r="AN66" t="s">
        <v>187</v>
      </c>
      <c r="AQ66" t="s">
        <v>178</v>
      </c>
      <c r="AT66" s="6"/>
      <c r="AU66" t="s">
        <v>178</v>
      </c>
      <c r="AV66" t="s">
        <v>190</v>
      </c>
      <c r="AX66" t="s">
        <v>365</v>
      </c>
      <c r="AY66" t="s">
        <v>467</v>
      </c>
      <c r="AZ66" t="s">
        <v>192</v>
      </c>
      <c r="CA66" t="s">
        <v>178</v>
      </c>
      <c r="CG66" t="s">
        <v>178</v>
      </c>
      <c r="CH66" s="6"/>
      <c r="CJ66" s="6"/>
      <c r="CL66" s="6"/>
      <c r="CQ66" s="6"/>
      <c r="DC66" t="s">
        <v>179</v>
      </c>
      <c r="DT66">
        <v>20</v>
      </c>
      <c r="DU66" t="s">
        <v>179</v>
      </c>
      <c r="DV66" t="s">
        <v>220</v>
      </c>
      <c r="DW66" t="s">
        <v>178</v>
      </c>
      <c r="DX66" t="s">
        <v>178</v>
      </c>
      <c r="DY66" t="s">
        <v>178</v>
      </c>
      <c r="DZ66" t="s">
        <v>178</v>
      </c>
      <c r="EA66" t="s">
        <v>178</v>
      </c>
      <c r="EB66" t="s">
        <v>178</v>
      </c>
      <c r="EE66" t="s">
        <v>178</v>
      </c>
      <c r="EF66" t="s">
        <v>178</v>
      </c>
      <c r="EG66" t="s">
        <v>178</v>
      </c>
      <c r="EH66" t="s">
        <v>178</v>
      </c>
      <c r="EI66" t="s">
        <v>178</v>
      </c>
      <c r="EJ66" t="s">
        <v>178</v>
      </c>
      <c r="EK66">
        <v>8</v>
      </c>
      <c r="EL66" t="s">
        <v>196</v>
      </c>
      <c r="EM66">
        <v>2022</v>
      </c>
      <c r="EN66">
        <v>2023</v>
      </c>
      <c r="EO66">
        <v>8</v>
      </c>
      <c r="EP66" t="s">
        <v>196</v>
      </c>
      <c r="EQ66">
        <v>2023</v>
      </c>
      <c r="ER66">
        <v>2023</v>
      </c>
      <c r="ES66" t="s">
        <v>178</v>
      </c>
    </row>
    <row r="67" spans="1:149" x14ac:dyDescent="0.45">
      <c r="A67">
        <v>270</v>
      </c>
      <c r="B67">
        <v>976723</v>
      </c>
      <c r="C67" t="s">
        <v>173</v>
      </c>
      <c r="D67" t="s">
        <v>210</v>
      </c>
      <c r="E67" t="s">
        <v>175</v>
      </c>
      <c r="F67" t="s">
        <v>176</v>
      </c>
      <c r="I67" t="s">
        <v>177</v>
      </c>
      <c r="J67" t="s">
        <v>178</v>
      </c>
      <c r="K67" t="s">
        <v>178</v>
      </c>
      <c r="M67" t="s">
        <v>235</v>
      </c>
      <c r="O67" t="s">
        <v>178</v>
      </c>
      <c r="P67" t="s">
        <v>214</v>
      </c>
      <c r="Q67" t="s">
        <v>259</v>
      </c>
      <c r="R67" t="s">
        <v>215</v>
      </c>
      <c r="S67" s="6">
        <v>44148</v>
      </c>
      <c r="T67" t="s">
        <v>468</v>
      </c>
      <c r="U67" t="s">
        <v>178</v>
      </c>
      <c r="V67">
        <v>0</v>
      </c>
      <c r="W67">
        <v>10.5</v>
      </c>
      <c r="X67" t="s">
        <v>469</v>
      </c>
      <c r="Z67" t="s">
        <v>217</v>
      </c>
      <c r="AA67" t="s">
        <v>178</v>
      </c>
      <c r="AB67" t="s">
        <v>184</v>
      </c>
      <c r="AC67">
        <v>700</v>
      </c>
      <c r="AD67" t="s">
        <v>178</v>
      </c>
      <c r="AE67" t="s">
        <v>249</v>
      </c>
      <c r="AG67" t="s">
        <v>179</v>
      </c>
      <c r="AH67" t="s">
        <v>178</v>
      </c>
      <c r="AK67" t="s">
        <v>57</v>
      </c>
      <c r="AL67" t="s">
        <v>283</v>
      </c>
      <c r="AM67" t="s">
        <v>56</v>
      </c>
      <c r="AN67" t="s">
        <v>187</v>
      </c>
      <c r="AO67">
        <v>20</v>
      </c>
      <c r="AT67" s="6"/>
      <c r="AZ67" t="s">
        <v>192</v>
      </c>
      <c r="BA67" t="s">
        <v>470</v>
      </c>
      <c r="BB67" t="s">
        <v>240</v>
      </c>
      <c r="BC67" t="s">
        <v>471</v>
      </c>
      <c r="BD67">
        <v>15.75</v>
      </c>
      <c r="BE67">
        <v>40</v>
      </c>
      <c r="BF67" t="s">
        <v>179</v>
      </c>
      <c r="BG67" t="s">
        <v>179</v>
      </c>
      <c r="BH67" t="s">
        <v>178</v>
      </c>
      <c r="BI67" t="s">
        <v>178</v>
      </c>
      <c r="BJ67" t="s">
        <v>178</v>
      </c>
      <c r="BK67" t="s">
        <v>470</v>
      </c>
      <c r="BL67" t="s">
        <v>240</v>
      </c>
      <c r="BM67" t="s">
        <v>471</v>
      </c>
      <c r="BN67">
        <v>15.75</v>
      </c>
      <c r="BO67">
        <v>40</v>
      </c>
      <c r="BP67" t="s">
        <v>179</v>
      </c>
      <c r="BQ67" t="s">
        <v>179</v>
      </c>
      <c r="BR67" t="s">
        <v>178</v>
      </c>
      <c r="BS67" t="s">
        <v>178</v>
      </c>
      <c r="BT67" t="s">
        <v>178</v>
      </c>
      <c r="BX67" t="s">
        <v>449</v>
      </c>
      <c r="BY67" t="s">
        <v>243</v>
      </c>
      <c r="BZ67" t="s">
        <v>449</v>
      </c>
      <c r="CA67" t="s">
        <v>178</v>
      </c>
      <c r="CB67">
        <v>249</v>
      </c>
      <c r="CD67">
        <v>249</v>
      </c>
      <c r="CE67">
        <v>249</v>
      </c>
      <c r="CF67">
        <v>249</v>
      </c>
      <c r="CG67" t="s">
        <v>178</v>
      </c>
      <c r="CH67" s="6"/>
      <c r="CJ67" s="6"/>
      <c r="DT67">
        <v>23</v>
      </c>
      <c r="DU67" t="s">
        <v>179</v>
      </c>
      <c r="DV67" t="s">
        <v>220</v>
      </c>
      <c r="DW67" t="s">
        <v>179</v>
      </c>
      <c r="DX67" t="s">
        <v>179</v>
      </c>
      <c r="DY67" t="s">
        <v>179</v>
      </c>
      <c r="DZ67" t="s">
        <v>178</v>
      </c>
      <c r="EA67" t="s">
        <v>179</v>
      </c>
      <c r="EB67" t="s">
        <v>178</v>
      </c>
      <c r="ED67">
        <v>363</v>
      </c>
      <c r="EE67" t="s">
        <v>178</v>
      </c>
      <c r="EF67" t="s">
        <v>178</v>
      </c>
      <c r="EG67" t="s">
        <v>178</v>
      </c>
      <c r="EH67" t="s">
        <v>178</v>
      </c>
      <c r="EI67" t="s">
        <v>179</v>
      </c>
      <c r="EJ67" t="s">
        <v>178</v>
      </c>
      <c r="EK67">
        <v>11</v>
      </c>
      <c r="EL67" t="s">
        <v>290</v>
      </c>
      <c r="EM67">
        <v>2020</v>
      </c>
      <c r="EN67">
        <v>2021</v>
      </c>
      <c r="EO67">
        <v>11</v>
      </c>
      <c r="EP67" t="s">
        <v>290</v>
      </c>
      <c r="EQ67">
        <v>2021</v>
      </c>
      <c r="ER67">
        <v>2021</v>
      </c>
      <c r="ES67" t="s">
        <v>178</v>
      </c>
    </row>
    <row r="68" spans="1:149" x14ac:dyDescent="0.45">
      <c r="A68">
        <v>1817</v>
      </c>
      <c r="B68">
        <v>977213</v>
      </c>
      <c r="C68" t="s">
        <v>173</v>
      </c>
      <c r="D68" t="s">
        <v>174</v>
      </c>
      <c r="E68" t="s">
        <v>175</v>
      </c>
      <c r="F68" t="s">
        <v>176</v>
      </c>
      <c r="I68" t="s">
        <v>177</v>
      </c>
      <c r="J68" t="s">
        <v>179</v>
      </c>
      <c r="K68" t="s">
        <v>179</v>
      </c>
      <c r="L68" t="s">
        <v>407</v>
      </c>
      <c r="M68" t="s">
        <v>472</v>
      </c>
      <c r="O68" t="s">
        <v>178</v>
      </c>
      <c r="P68" t="s">
        <v>178</v>
      </c>
      <c r="Q68" t="s">
        <v>180</v>
      </c>
      <c r="R68" t="s">
        <v>200</v>
      </c>
      <c r="S68" s="6">
        <v>44741</v>
      </c>
      <c r="T68" t="s">
        <v>473</v>
      </c>
      <c r="U68" t="s">
        <v>178</v>
      </c>
      <c r="V68">
        <v>0</v>
      </c>
      <c r="X68" t="s">
        <v>227</v>
      </c>
      <c r="Z68" t="s">
        <v>66</v>
      </c>
      <c r="AA68" t="s">
        <v>178</v>
      </c>
      <c r="AB68" t="s">
        <v>184</v>
      </c>
      <c r="AC68">
        <v>1312</v>
      </c>
      <c r="AD68" t="s">
        <v>178</v>
      </c>
      <c r="AE68" t="s">
        <v>204</v>
      </c>
      <c r="AF68" t="s">
        <v>178</v>
      </c>
      <c r="AG68" t="s">
        <v>178</v>
      </c>
      <c r="AH68" t="s">
        <v>178</v>
      </c>
      <c r="AJ68" t="s">
        <v>178</v>
      </c>
      <c r="AK68" t="s">
        <v>56</v>
      </c>
      <c r="AL68" t="s">
        <v>232</v>
      </c>
      <c r="AM68" t="s">
        <v>56</v>
      </c>
      <c r="AN68" t="s">
        <v>187</v>
      </c>
      <c r="AR68">
        <v>16.399999999999999</v>
      </c>
      <c r="AT68" s="6"/>
      <c r="AY68" t="s">
        <v>409</v>
      </c>
      <c r="AZ68" t="s">
        <v>192</v>
      </c>
      <c r="BA68" t="s">
        <v>242</v>
      </c>
      <c r="BB68" t="s">
        <v>240</v>
      </c>
      <c r="BC68" t="s">
        <v>474</v>
      </c>
      <c r="BD68">
        <v>14</v>
      </c>
      <c r="BE68">
        <v>40</v>
      </c>
      <c r="BF68" t="s">
        <v>179</v>
      </c>
      <c r="BG68" t="s">
        <v>178</v>
      </c>
      <c r="BH68" t="s">
        <v>179</v>
      </c>
      <c r="BI68" t="s">
        <v>179</v>
      </c>
      <c r="BJ68" t="s">
        <v>179</v>
      </c>
      <c r="BK68" t="s">
        <v>193</v>
      </c>
      <c r="BL68" t="s">
        <v>277</v>
      </c>
      <c r="BM68" t="s">
        <v>475</v>
      </c>
      <c r="BN68">
        <v>18</v>
      </c>
      <c r="BO68">
        <v>40</v>
      </c>
      <c r="BP68" t="s">
        <v>179</v>
      </c>
      <c r="BQ68" t="s">
        <v>179</v>
      </c>
      <c r="BR68" t="s">
        <v>178</v>
      </c>
      <c r="BS68" t="s">
        <v>179</v>
      </c>
      <c r="BT68" t="s">
        <v>179</v>
      </c>
      <c r="BX68" t="s">
        <v>476</v>
      </c>
      <c r="BY68" t="s">
        <v>256</v>
      </c>
      <c r="CA68" t="s">
        <v>179</v>
      </c>
      <c r="CF68">
        <v>72</v>
      </c>
      <c r="CG68" t="s">
        <v>179</v>
      </c>
      <c r="CH68" s="6">
        <v>44747</v>
      </c>
      <c r="CI68" s="6" t="s">
        <v>179</v>
      </c>
      <c r="CJ68" s="6" t="s">
        <v>400</v>
      </c>
      <c r="DA68" t="s">
        <v>179</v>
      </c>
      <c r="DB68" t="s">
        <v>194</v>
      </c>
      <c r="DT68">
        <v>22</v>
      </c>
      <c r="DU68" t="s">
        <v>178</v>
      </c>
      <c r="DW68" t="s">
        <v>179</v>
      </c>
      <c r="DX68" t="s">
        <v>179</v>
      </c>
      <c r="DY68" t="s">
        <v>179</v>
      </c>
      <c r="DZ68" t="s">
        <v>178</v>
      </c>
      <c r="EA68" t="s">
        <v>178</v>
      </c>
      <c r="EB68" t="s">
        <v>179</v>
      </c>
      <c r="ED68">
        <v>46</v>
      </c>
      <c r="EE68" t="s">
        <v>178</v>
      </c>
      <c r="EF68" t="s">
        <v>178</v>
      </c>
      <c r="EG68" t="s">
        <v>178</v>
      </c>
      <c r="EH68" t="s">
        <v>178</v>
      </c>
      <c r="EI68" t="s">
        <v>179</v>
      </c>
      <c r="EJ68" t="s">
        <v>178</v>
      </c>
      <c r="EK68">
        <v>7</v>
      </c>
      <c r="EL68" t="s">
        <v>196</v>
      </c>
      <c r="EM68">
        <v>2022</v>
      </c>
      <c r="EN68">
        <v>2023</v>
      </c>
      <c r="EO68">
        <v>6</v>
      </c>
      <c r="EP68" t="s">
        <v>208</v>
      </c>
      <c r="EQ68">
        <v>2022</v>
      </c>
      <c r="ER68">
        <v>2022</v>
      </c>
      <c r="ES68" t="s">
        <v>178</v>
      </c>
    </row>
    <row r="69" spans="1:149" x14ac:dyDescent="0.45">
      <c r="A69">
        <v>227</v>
      </c>
      <c r="B69">
        <v>976805</v>
      </c>
      <c r="C69" t="s">
        <v>477</v>
      </c>
      <c r="D69" t="s">
        <v>174</v>
      </c>
      <c r="E69" t="s">
        <v>175</v>
      </c>
      <c r="F69" t="s">
        <v>176</v>
      </c>
      <c r="I69" t="s">
        <v>177</v>
      </c>
      <c r="J69" t="s">
        <v>179</v>
      </c>
      <c r="K69" t="s">
        <v>178</v>
      </c>
      <c r="O69" t="s">
        <v>178</v>
      </c>
      <c r="P69" t="s">
        <v>179</v>
      </c>
      <c r="Q69" t="s">
        <v>180</v>
      </c>
      <c r="R69" t="s">
        <v>200</v>
      </c>
      <c r="S69" s="6">
        <v>44439</v>
      </c>
      <c r="T69" t="s">
        <v>478</v>
      </c>
      <c r="U69" t="s">
        <v>178</v>
      </c>
      <c r="V69">
        <v>0</v>
      </c>
      <c r="W69">
        <v>0</v>
      </c>
      <c r="X69" t="s">
        <v>202</v>
      </c>
      <c r="Z69" t="s">
        <v>223</v>
      </c>
      <c r="AA69" t="s">
        <v>178</v>
      </c>
      <c r="AB69" t="s">
        <v>184</v>
      </c>
      <c r="AC69">
        <v>0</v>
      </c>
      <c r="AD69" t="s">
        <v>179</v>
      </c>
      <c r="AE69" t="s">
        <v>204</v>
      </c>
      <c r="AF69" t="s">
        <v>178</v>
      </c>
      <c r="AG69" t="s">
        <v>178</v>
      </c>
      <c r="AN69" t="s">
        <v>187</v>
      </c>
      <c r="AO69">
        <v>0</v>
      </c>
      <c r="AP69" t="s">
        <v>205</v>
      </c>
      <c r="AT69" s="6"/>
      <c r="AZ69" t="s">
        <v>192</v>
      </c>
      <c r="CA69" t="s">
        <v>178</v>
      </c>
      <c r="CG69" t="s">
        <v>178</v>
      </c>
      <c r="CH69" s="6"/>
      <c r="CJ69" s="6"/>
      <c r="CL69" s="6"/>
      <c r="CQ69" s="6"/>
      <c r="DC69" t="s">
        <v>179</v>
      </c>
      <c r="DT69">
        <v>44</v>
      </c>
      <c r="DU69" t="s">
        <v>178</v>
      </c>
      <c r="DW69" t="s">
        <v>178</v>
      </c>
      <c r="DX69" t="s">
        <v>178</v>
      </c>
      <c r="DY69" t="s">
        <v>178</v>
      </c>
      <c r="DZ69" t="s">
        <v>178</v>
      </c>
      <c r="EA69" t="s">
        <v>178</v>
      </c>
      <c r="EB69" t="s">
        <v>178</v>
      </c>
      <c r="EE69" t="s">
        <v>178</v>
      </c>
      <c r="EF69" t="s">
        <v>178</v>
      </c>
      <c r="EG69" t="s">
        <v>178</v>
      </c>
      <c r="EH69" t="s">
        <v>178</v>
      </c>
      <c r="EI69" t="s">
        <v>178</v>
      </c>
      <c r="EJ69" t="s">
        <v>178</v>
      </c>
      <c r="EK69">
        <v>8</v>
      </c>
      <c r="EL69" t="s">
        <v>196</v>
      </c>
      <c r="EM69">
        <v>2021</v>
      </c>
      <c r="EN69">
        <v>2022</v>
      </c>
      <c r="EO69">
        <v>8</v>
      </c>
      <c r="EP69" t="s">
        <v>196</v>
      </c>
      <c r="EQ69">
        <v>2022</v>
      </c>
      <c r="ER69">
        <v>2022</v>
      </c>
      <c r="ES69" t="s">
        <v>178</v>
      </c>
    </row>
    <row r="70" spans="1:149" x14ac:dyDescent="0.45">
      <c r="A70">
        <v>1897</v>
      </c>
      <c r="B70">
        <v>977238</v>
      </c>
      <c r="C70" t="s">
        <v>479</v>
      </c>
      <c r="D70" t="s">
        <v>174</v>
      </c>
      <c r="E70" t="s">
        <v>175</v>
      </c>
      <c r="F70" t="s">
        <v>480</v>
      </c>
      <c r="I70" t="s">
        <v>177</v>
      </c>
      <c r="J70" t="s">
        <v>178</v>
      </c>
      <c r="K70" t="s">
        <v>179</v>
      </c>
      <c r="O70" t="s">
        <v>178</v>
      </c>
      <c r="P70" t="s">
        <v>178</v>
      </c>
      <c r="Q70" t="s">
        <v>180</v>
      </c>
      <c r="R70" t="s">
        <v>200</v>
      </c>
      <c r="S70" s="6">
        <v>44754</v>
      </c>
      <c r="T70" t="s">
        <v>481</v>
      </c>
      <c r="U70" t="s">
        <v>178</v>
      </c>
      <c r="V70">
        <v>2</v>
      </c>
      <c r="X70" t="s">
        <v>182</v>
      </c>
      <c r="Z70" t="s">
        <v>223</v>
      </c>
      <c r="AA70" t="s">
        <v>178</v>
      </c>
      <c r="AB70" t="s">
        <v>184</v>
      </c>
      <c r="AC70">
        <v>0</v>
      </c>
      <c r="AD70" t="s">
        <v>179</v>
      </c>
      <c r="AE70" t="s">
        <v>303</v>
      </c>
      <c r="AF70" t="s">
        <v>178</v>
      </c>
      <c r="AG70" t="s">
        <v>178</v>
      </c>
      <c r="AH70" t="s">
        <v>178</v>
      </c>
      <c r="AJ70" t="s">
        <v>178</v>
      </c>
      <c r="AK70" t="s">
        <v>56</v>
      </c>
      <c r="AL70" t="s">
        <v>186</v>
      </c>
      <c r="AM70" t="s">
        <v>56</v>
      </c>
      <c r="AN70" t="s">
        <v>187</v>
      </c>
      <c r="AP70" t="s">
        <v>205</v>
      </c>
      <c r="AQ70" t="s">
        <v>178</v>
      </c>
      <c r="AR70">
        <v>1</v>
      </c>
      <c r="AT70" s="6" t="s">
        <v>189</v>
      </c>
      <c r="AU70" t="s">
        <v>482</v>
      </c>
      <c r="AV70" t="s">
        <v>190</v>
      </c>
      <c r="AX70" t="s">
        <v>483</v>
      </c>
      <c r="AY70" t="s">
        <v>484</v>
      </c>
      <c r="AZ70" t="s">
        <v>192</v>
      </c>
      <c r="CA70" t="s">
        <v>178</v>
      </c>
      <c r="CG70" t="s">
        <v>178</v>
      </c>
      <c r="CH70" s="6">
        <v>44802</v>
      </c>
      <c r="CI70" s="6" t="s">
        <v>179</v>
      </c>
      <c r="CJ70" s="6" t="s">
        <v>193</v>
      </c>
      <c r="CL70" s="6"/>
      <c r="CQ70" s="6"/>
      <c r="DA70" t="s">
        <v>179</v>
      </c>
      <c r="DB70" t="s">
        <v>194</v>
      </c>
      <c r="DR70" t="s">
        <v>195</v>
      </c>
      <c r="DT70">
        <v>49</v>
      </c>
      <c r="DU70" t="s">
        <v>178</v>
      </c>
      <c r="DW70" t="s">
        <v>179</v>
      </c>
      <c r="DX70" t="s">
        <v>178</v>
      </c>
      <c r="DY70" t="s">
        <v>179</v>
      </c>
      <c r="DZ70" t="s">
        <v>178</v>
      </c>
      <c r="EA70" t="s">
        <v>178</v>
      </c>
      <c r="EB70" t="s">
        <v>179</v>
      </c>
      <c r="EE70" t="s">
        <v>179</v>
      </c>
      <c r="EF70" t="s">
        <v>178</v>
      </c>
      <c r="EG70" t="s">
        <v>178</v>
      </c>
      <c r="EH70" t="s">
        <v>178</v>
      </c>
      <c r="EI70" t="s">
        <v>178</v>
      </c>
      <c r="EJ70" t="s">
        <v>178</v>
      </c>
      <c r="EK70">
        <v>8</v>
      </c>
      <c r="EL70" t="s">
        <v>196</v>
      </c>
      <c r="EM70">
        <v>2022</v>
      </c>
      <c r="EN70">
        <v>2023</v>
      </c>
      <c r="EO70">
        <v>7</v>
      </c>
      <c r="EP70" t="s">
        <v>196</v>
      </c>
      <c r="EQ70">
        <v>2023</v>
      </c>
      <c r="ER70">
        <v>2023</v>
      </c>
      <c r="ES70" t="s">
        <v>178</v>
      </c>
    </row>
    <row r="71" spans="1:149" x14ac:dyDescent="0.45">
      <c r="A71">
        <v>421</v>
      </c>
      <c r="B71">
        <v>976400</v>
      </c>
      <c r="C71" t="s">
        <v>173</v>
      </c>
      <c r="D71" t="s">
        <v>210</v>
      </c>
      <c r="E71" t="s">
        <v>175</v>
      </c>
      <c r="F71" t="s">
        <v>299</v>
      </c>
      <c r="I71" t="s">
        <v>177</v>
      </c>
      <c r="J71" t="s">
        <v>178</v>
      </c>
      <c r="K71" t="s">
        <v>178</v>
      </c>
      <c r="L71" t="s">
        <v>71</v>
      </c>
      <c r="N71" t="s">
        <v>213</v>
      </c>
      <c r="O71" t="s">
        <v>178</v>
      </c>
      <c r="P71" t="s">
        <v>214</v>
      </c>
      <c r="Q71" t="s">
        <v>180</v>
      </c>
      <c r="R71" t="s">
        <v>215</v>
      </c>
      <c r="S71" s="6">
        <v>44231</v>
      </c>
      <c r="T71" t="s">
        <v>485</v>
      </c>
      <c r="U71" t="s">
        <v>178</v>
      </c>
      <c r="V71">
        <v>0</v>
      </c>
      <c r="W71">
        <v>0</v>
      </c>
      <c r="Z71" t="s">
        <v>329</v>
      </c>
      <c r="AB71" t="s">
        <v>184</v>
      </c>
      <c r="AC71">
        <v>2</v>
      </c>
      <c r="AD71" t="s">
        <v>179</v>
      </c>
      <c r="AE71" t="s">
        <v>218</v>
      </c>
      <c r="AF71" t="s">
        <v>178</v>
      </c>
      <c r="AG71" t="s">
        <v>179</v>
      </c>
      <c r="AK71" t="s">
        <v>56</v>
      </c>
      <c r="AL71" t="s">
        <v>219</v>
      </c>
      <c r="AO71">
        <v>0</v>
      </c>
      <c r="AT71" s="6"/>
      <c r="AZ71" t="s">
        <v>192</v>
      </c>
      <c r="CA71" t="s">
        <v>178</v>
      </c>
      <c r="CG71" t="s">
        <v>178</v>
      </c>
      <c r="CH71" s="6">
        <v>44235</v>
      </c>
      <c r="CI71" s="6"/>
      <c r="CJ71" s="6"/>
      <c r="DB71" t="s">
        <v>194</v>
      </c>
      <c r="DC71" t="s">
        <v>179</v>
      </c>
      <c r="DT71">
        <v>24</v>
      </c>
      <c r="DU71" t="s">
        <v>179</v>
      </c>
      <c r="DV71" t="s">
        <v>220</v>
      </c>
      <c r="DW71" t="s">
        <v>179</v>
      </c>
      <c r="DX71" t="s">
        <v>178</v>
      </c>
      <c r="DY71" t="s">
        <v>179</v>
      </c>
      <c r="DZ71" t="s">
        <v>178</v>
      </c>
      <c r="EA71" t="s">
        <v>178</v>
      </c>
      <c r="EB71" t="s">
        <v>178</v>
      </c>
      <c r="EE71" t="s">
        <v>178</v>
      </c>
      <c r="EF71" t="s">
        <v>178</v>
      </c>
      <c r="EG71" t="s">
        <v>178</v>
      </c>
      <c r="EH71" t="s">
        <v>178</v>
      </c>
      <c r="EI71" t="s">
        <v>178</v>
      </c>
      <c r="EJ71" t="s">
        <v>178</v>
      </c>
      <c r="EK71">
        <v>2</v>
      </c>
      <c r="EL71" t="s">
        <v>209</v>
      </c>
      <c r="EM71">
        <v>2021</v>
      </c>
      <c r="EN71">
        <v>2021</v>
      </c>
      <c r="EO71">
        <v>2</v>
      </c>
      <c r="EP71" t="s">
        <v>209</v>
      </c>
      <c r="EQ71">
        <v>2021</v>
      </c>
      <c r="ER71">
        <v>2021</v>
      </c>
      <c r="ES71" t="s">
        <v>178</v>
      </c>
    </row>
    <row r="72" spans="1:149" x14ac:dyDescent="0.45">
      <c r="A72">
        <v>344</v>
      </c>
      <c r="B72">
        <v>976563</v>
      </c>
      <c r="C72" t="s">
        <v>173</v>
      </c>
      <c r="D72" t="s">
        <v>210</v>
      </c>
      <c r="E72" t="s">
        <v>175</v>
      </c>
      <c r="F72" t="s">
        <v>176</v>
      </c>
      <c r="I72" t="s">
        <v>177</v>
      </c>
      <c r="J72" t="s">
        <v>178</v>
      </c>
      <c r="K72" t="s">
        <v>178</v>
      </c>
      <c r="L72" t="s">
        <v>71</v>
      </c>
      <c r="N72" t="s">
        <v>213</v>
      </c>
      <c r="P72" t="s">
        <v>214</v>
      </c>
      <c r="Q72" t="s">
        <v>259</v>
      </c>
      <c r="R72" t="s">
        <v>215</v>
      </c>
      <c r="S72" s="6">
        <v>44302</v>
      </c>
      <c r="T72" t="s">
        <v>486</v>
      </c>
      <c r="U72" t="s">
        <v>178</v>
      </c>
      <c r="V72">
        <v>0</v>
      </c>
      <c r="W72">
        <v>0</v>
      </c>
      <c r="Z72" t="s">
        <v>272</v>
      </c>
      <c r="AA72" t="s">
        <v>178</v>
      </c>
      <c r="AB72" t="s">
        <v>184</v>
      </c>
      <c r="AC72">
        <v>0</v>
      </c>
      <c r="AD72" t="s">
        <v>178</v>
      </c>
      <c r="AE72" t="s">
        <v>218</v>
      </c>
      <c r="AF72" t="s">
        <v>178</v>
      </c>
      <c r="AG72" t="s">
        <v>178</v>
      </c>
      <c r="AH72" t="s">
        <v>178</v>
      </c>
      <c r="AK72" t="s">
        <v>56</v>
      </c>
      <c r="AT72" s="6"/>
      <c r="AZ72" t="s">
        <v>192</v>
      </c>
      <c r="CA72" t="s">
        <v>178</v>
      </c>
      <c r="CG72" t="s">
        <v>178</v>
      </c>
      <c r="CH72" s="6">
        <v>44305</v>
      </c>
      <c r="CI72" s="6"/>
      <c r="CJ72" s="6"/>
      <c r="CL72" s="6"/>
      <c r="CQ72" s="6"/>
      <c r="DC72" t="s">
        <v>179</v>
      </c>
      <c r="DT72">
        <v>22</v>
      </c>
      <c r="DU72" t="s">
        <v>178</v>
      </c>
      <c r="DW72" t="s">
        <v>178</v>
      </c>
      <c r="DX72" t="s">
        <v>178</v>
      </c>
      <c r="DY72" t="s">
        <v>179</v>
      </c>
      <c r="DZ72" t="s">
        <v>178</v>
      </c>
      <c r="EA72" t="s">
        <v>178</v>
      </c>
      <c r="EB72" t="s">
        <v>178</v>
      </c>
      <c r="EE72" t="s">
        <v>178</v>
      </c>
      <c r="EF72" t="s">
        <v>178</v>
      </c>
      <c r="EG72" t="s">
        <v>178</v>
      </c>
      <c r="EH72" t="s">
        <v>178</v>
      </c>
      <c r="EI72" t="s">
        <v>178</v>
      </c>
      <c r="EJ72" t="s">
        <v>178</v>
      </c>
      <c r="EK72">
        <v>4</v>
      </c>
      <c r="EL72" t="s">
        <v>208</v>
      </c>
      <c r="EM72">
        <v>2021</v>
      </c>
      <c r="EN72">
        <v>2021</v>
      </c>
      <c r="EO72">
        <v>4</v>
      </c>
      <c r="EP72" t="s">
        <v>208</v>
      </c>
      <c r="EQ72">
        <v>2021</v>
      </c>
      <c r="ER72">
        <v>2021</v>
      </c>
      <c r="ES72" t="s">
        <v>178</v>
      </c>
    </row>
    <row r="73" spans="1:149" x14ac:dyDescent="0.45">
      <c r="A73">
        <v>1846</v>
      </c>
      <c r="B73">
        <v>977236</v>
      </c>
      <c r="C73" t="s">
        <v>173</v>
      </c>
      <c r="D73" t="s">
        <v>174</v>
      </c>
      <c r="E73" t="s">
        <v>175</v>
      </c>
      <c r="F73" t="s">
        <v>176</v>
      </c>
      <c r="I73" t="s">
        <v>417</v>
      </c>
      <c r="J73" t="s">
        <v>179</v>
      </c>
      <c r="K73" t="s">
        <v>179</v>
      </c>
      <c r="O73" t="s">
        <v>178</v>
      </c>
      <c r="P73" t="s">
        <v>178</v>
      </c>
      <c r="Q73" t="s">
        <v>180</v>
      </c>
      <c r="R73" t="s">
        <v>200</v>
      </c>
      <c r="S73" s="6">
        <v>44713</v>
      </c>
      <c r="T73" t="s">
        <v>487</v>
      </c>
      <c r="U73" t="s">
        <v>178</v>
      </c>
      <c r="X73" t="s">
        <v>227</v>
      </c>
      <c r="Z73" t="s">
        <v>66</v>
      </c>
      <c r="AA73" t="s">
        <v>178</v>
      </c>
      <c r="AB73" t="s">
        <v>316</v>
      </c>
      <c r="AC73">
        <v>2300</v>
      </c>
      <c r="AD73" t="s">
        <v>178</v>
      </c>
      <c r="AE73" t="s">
        <v>204</v>
      </c>
      <c r="AF73" t="s">
        <v>178</v>
      </c>
      <c r="AG73" t="s">
        <v>178</v>
      </c>
      <c r="AH73" t="s">
        <v>178</v>
      </c>
      <c r="AI73" t="s">
        <v>488</v>
      </c>
      <c r="AJ73" t="s">
        <v>178</v>
      </c>
      <c r="AK73" t="s">
        <v>56</v>
      </c>
      <c r="AL73" t="s">
        <v>228</v>
      </c>
      <c r="AM73" t="s">
        <v>56</v>
      </c>
      <c r="AN73" t="s">
        <v>187</v>
      </c>
      <c r="AT73" s="6"/>
      <c r="AU73" t="s">
        <v>178</v>
      </c>
      <c r="AV73" t="s">
        <v>489</v>
      </c>
      <c r="AW73" t="s">
        <v>490</v>
      </c>
      <c r="AY73" t="s">
        <v>122</v>
      </c>
      <c r="AZ73" t="s">
        <v>192</v>
      </c>
      <c r="CA73" t="s">
        <v>179</v>
      </c>
      <c r="CG73" t="s">
        <v>178</v>
      </c>
      <c r="CH73" s="6">
        <v>44747</v>
      </c>
      <c r="CI73" s="6" t="s">
        <v>179</v>
      </c>
      <c r="CJ73" s="6" t="s">
        <v>400</v>
      </c>
      <c r="DA73" t="s">
        <v>179</v>
      </c>
      <c r="DB73" t="s">
        <v>194</v>
      </c>
      <c r="DR73" t="s">
        <v>195</v>
      </c>
      <c r="DT73">
        <v>40</v>
      </c>
      <c r="DU73" t="s">
        <v>179</v>
      </c>
      <c r="DV73" t="s">
        <v>220</v>
      </c>
      <c r="DW73" t="s">
        <v>179</v>
      </c>
      <c r="DX73" t="s">
        <v>178</v>
      </c>
      <c r="DY73" t="s">
        <v>179</v>
      </c>
      <c r="DZ73" t="s">
        <v>178</v>
      </c>
      <c r="EA73" t="s">
        <v>179</v>
      </c>
      <c r="EB73" t="s">
        <v>179</v>
      </c>
      <c r="EE73" t="s">
        <v>179</v>
      </c>
      <c r="EF73" t="s">
        <v>178</v>
      </c>
      <c r="EG73" t="s">
        <v>178</v>
      </c>
      <c r="EH73" t="s">
        <v>178</v>
      </c>
      <c r="EI73" t="s">
        <v>178</v>
      </c>
      <c r="EJ73" t="s">
        <v>178</v>
      </c>
      <c r="EK73">
        <v>7</v>
      </c>
      <c r="EL73" t="s">
        <v>196</v>
      </c>
      <c r="EM73">
        <v>2022</v>
      </c>
      <c r="EN73">
        <v>2023</v>
      </c>
      <c r="EO73">
        <v>6</v>
      </c>
      <c r="EP73" t="s">
        <v>208</v>
      </c>
      <c r="EQ73">
        <v>2022</v>
      </c>
      <c r="ER73">
        <v>2022</v>
      </c>
      <c r="ES73" t="s">
        <v>178</v>
      </c>
    </row>
    <row r="74" spans="1:149" x14ac:dyDescent="0.45">
      <c r="A74">
        <v>487</v>
      </c>
      <c r="B74">
        <v>976319</v>
      </c>
      <c r="C74" t="s">
        <v>173</v>
      </c>
      <c r="D74" t="s">
        <v>210</v>
      </c>
      <c r="E74" t="s">
        <v>175</v>
      </c>
      <c r="F74" t="s">
        <v>176</v>
      </c>
      <c r="I74" t="s">
        <v>177</v>
      </c>
      <c r="J74" t="s">
        <v>179</v>
      </c>
      <c r="K74" t="s">
        <v>179</v>
      </c>
      <c r="L74" t="s">
        <v>71</v>
      </c>
      <c r="M74" t="s">
        <v>56</v>
      </c>
      <c r="N74" t="s">
        <v>213</v>
      </c>
      <c r="O74" t="s">
        <v>178</v>
      </c>
      <c r="P74" t="s">
        <v>214</v>
      </c>
      <c r="Q74" t="s">
        <v>180</v>
      </c>
      <c r="R74" t="s">
        <v>491</v>
      </c>
      <c r="S74" s="6">
        <v>44144</v>
      </c>
      <c r="T74" t="s">
        <v>492</v>
      </c>
      <c r="U74" t="s">
        <v>178</v>
      </c>
      <c r="V74">
        <v>0</v>
      </c>
      <c r="W74">
        <v>0</v>
      </c>
      <c r="X74" t="s">
        <v>328</v>
      </c>
      <c r="Z74" t="s">
        <v>272</v>
      </c>
      <c r="AA74" t="s">
        <v>178</v>
      </c>
      <c r="AB74" t="s">
        <v>184</v>
      </c>
      <c r="AC74">
        <v>0</v>
      </c>
      <c r="AD74" t="s">
        <v>178</v>
      </c>
      <c r="AE74" t="s">
        <v>218</v>
      </c>
      <c r="AF74" t="s">
        <v>178</v>
      </c>
      <c r="AK74" t="s">
        <v>56</v>
      </c>
      <c r="AL74" t="s">
        <v>283</v>
      </c>
      <c r="AO74">
        <v>0</v>
      </c>
      <c r="AT74" s="6"/>
      <c r="AZ74" t="s">
        <v>192</v>
      </c>
      <c r="BA74" t="s">
        <v>284</v>
      </c>
      <c r="BB74" t="s">
        <v>240</v>
      </c>
      <c r="BC74" t="s">
        <v>493</v>
      </c>
      <c r="BD74">
        <v>16.5</v>
      </c>
      <c r="BE74">
        <v>40</v>
      </c>
      <c r="BF74" t="s">
        <v>179</v>
      </c>
      <c r="BG74" t="s">
        <v>179</v>
      </c>
      <c r="BH74" t="s">
        <v>178</v>
      </c>
      <c r="BI74" t="s">
        <v>178</v>
      </c>
      <c r="BJ74" t="s">
        <v>179</v>
      </c>
      <c r="BK74" t="s">
        <v>494</v>
      </c>
      <c r="BL74" t="s">
        <v>277</v>
      </c>
      <c r="BM74" t="s">
        <v>495</v>
      </c>
      <c r="BN74">
        <v>15</v>
      </c>
      <c r="BO74">
        <v>40</v>
      </c>
      <c r="BP74" t="s">
        <v>179</v>
      </c>
      <c r="BQ74" t="s">
        <v>178</v>
      </c>
      <c r="BR74" t="s">
        <v>178</v>
      </c>
      <c r="BS74" t="s">
        <v>178</v>
      </c>
      <c r="BT74" t="s">
        <v>178</v>
      </c>
      <c r="BU74" t="s">
        <v>179</v>
      </c>
      <c r="BV74" t="s">
        <v>496</v>
      </c>
      <c r="BX74" t="s">
        <v>242</v>
      </c>
      <c r="BY74" t="s">
        <v>243</v>
      </c>
      <c r="BZ74" t="s">
        <v>242</v>
      </c>
      <c r="CA74" t="s">
        <v>178</v>
      </c>
      <c r="CB74">
        <v>126</v>
      </c>
      <c r="CC74">
        <v>126</v>
      </c>
      <c r="CD74">
        <v>126</v>
      </c>
      <c r="CE74">
        <v>487</v>
      </c>
      <c r="CF74">
        <v>487</v>
      </c>
      <c r="CG74" t="s">
        <v>178</v>
      </c>
      <c r="CH74" s="6">
        <v>44207</v>
      </c>
      <c r="CI74" s="6" t="s">
        <v>179</v>
      </c>
      <c r="CJ74" s="6" t="s">
        <v>497</v>
      </c>
      <c r="DA74" t="s">
        <v>179</v>
      </c>
      <c r="DB74" t="s">
        <v>194</v>
      </c>
      <c r="DT74">
        <v>26</v>
      </c>
      <c r="DU74" t="s">
        <v>179</v>
      </c>
      <c r="DV74" t="s">
        <v>220</v>
      </c>
      <c r="DW74" t="s">
        <v>179</v>
      </c>
      <c r="DX74" t="s">
        <v>179</v>
      </c>
      <c r="DY74" t="s">
        <v>179</v>
      </c>
      <c r="DZ74" t="s">
        <v>178</v>
      </c>
      <c r="EA74" t="s">
        <v>179</v>
      </c>
      <c r="EB74" t="s">
        <v>178</v>
      </c>
      <c r="ED74">
        <v>157</v>
      </c>
      <c r="EE74" t="s">
        <v>178</v>
      </c>
      <c r="EF74" t="s">
        <v>178</v>
      </c>
      <c r="EG74" t="s">
        <v>178</v>
      </c>
      <c r="EH74" t="s">
        <v>178</v>
      </c>
      <c r="EI74" t="s">
        <v>179</v>
      </c>
      <c r="EJ74" t="s">
        <v>178</v>
      </c>
      <c r="EK74">
        <v>1</v>
      </c>
      <c r="EL74" t="s">
        <v>209</v>
      </c>
      <c r="EM74">
        <v>2021</v>
      </c>
      <c r="EN74">
        <v>2021</v>
      </c>
      <c r="EO74">
        <v>11</v>
      </c>
      <c r="EP74" t="s">
        <v>290</v>
      </c>
      <c r="EQ74">
        <v>2021</v>
      </c>
      <c r="ER74">
        <v>2021</v>
      </c>
      <c r="ES74" t="s">
        <v>178</v>
      </c>
    </row>
    <row r="75" spans="1:149" x14ac:dyDescent="0.45">
      <c r="A75">
        <v>308</v>
      </c>
      <c r="B75">
        <v>976632</v>
      </c>
      <c r="C75" t="s">
        <v>173</v>
      </c>
      <c r="D75" t="s">
        <v>210</v>
      </c>
      <c r="E75" t="s">
        <v>175</v>
      </c>
      <c r="F75" t="s">
        <v>257</v>
      </c>
      <c r="I75" t="s">
        <v>177</v>
      </c>
      <c r="J75" t="s">
        <v>178</v>
      </c>
      <c r="K75" t="s">
        <v>178</v>
      </c>
      <c r="L75" t="s">
        <v>71</v>
      </c>
      <c r="N75" t="s">
        <v>213</v>
      </c>
      <c r="O75" t="s">
        <v>178</v>
      </c>
      <c r="P75" t="s">
        <v>214</v>
      </c>
      <c r="Q75" t="s">
        <v>180</v>
      </c>
      <c r="R75" t="s">
        <v>215</v>
      </c>
      <c r="S75" s="6">
        <v>44343</v>
      </c>
      <c r="T75" t="s">
        <v>498</v>
      </c>
      <c r="V75">
        <v>0</v>
      </c>
      <c r="W75">
        <v>0</v>
      </c>
      <c r="Z75" t="s">
        <v>217</v>
      </c>
      <c r="AA75" t="s">
        <v>178</v>
      </c>
      <c r="AB75" t="s">
        <v>184</v>
      </c>
      <c r="AC75">
        <v>0</v>
      </c>
      <c r="AD75" t="s">
        <v>179</v>
      </c>
      <c r="AE75" t="s">
        <v>249</v>
      </c>
      <c r="AF75" t="s">
        <v>178</v>
      </c>
      <c r="AG75" t="s">
        <v>179</v>
      </c>
      <c r="AH75" t="s">
        <v>178</v>
      </c>
      <c r="AK75" t="s">
        <v>57</v>
      </c>
      <c r="AL75" t="s">
        <v>219</v>
      </c>
      <c r="AT75" s="6"/>
      <c r="AZ75" t="s">
        <v>192</v>
      </c>
      <c r="CA75" t="s">
        <v>178</v>
      </c>
      <c r="CG75" t="s">
        <v>178</v>
      </c>
      <c r="CH75" s="6"/>
      <c r="CJ75" s="6"/>
      <c r="DC75" t="s">
        <v>179</v>
      </c>
      <c r="DT75">
        <v>25</v>
      </c>
      <c r="DU75" t="s">
        <v>179</v>
      </c>
      <c r="DV75" t="s">
        <v>220</v>
      </c>
      <c r="DW75" t="s">
        <v>178</v>
      </c>
      <c r="DX75" t="s">
        <v>178</v>
      </c>
      <c r="DY75" t="s">
        <v>179</v>
      </c>
      <c r="DZ75" t="s">
        <v>178</v>
      </c>
      <c r="EA75" t="s">
        <v>178</v>
      </c>
      <c r="EB75" t="s">
        <v>178</v>
      </c>
      <c r="EE75" t="s">
        <v>178</v>
      </c>
      <c r="EF75" t="s">
        <v>178</v>
      </c>
      <c r="EG75" t="s">
        <v>178</v>
      </c>
      <c r="EH75" t="s">
        <v>178</v>
      </c>
      <c r="EI75" t="s">
        <v>178</v>
      </c>
      <c r="EJ75" t="s">
        <v>178</v>
      </c>
      <c r="EK75">
        <v>5</v>
      </c>
      <c r="EL75" t="s">
        <v>208</v>
      </c>
      <c r="EM75">
        <v>2021</v>
      </c>
      <c r="EN75">
        <v>2021</v>
      </c>
      <c r="EO75">
        <v>5</v>
      </c>
      <c r="EP75" t="s">
        <v>208</v>
      </c>
      <c r="EQ75">
        <v>2021</v>
      </c>
      <c r="ER75">
        <v>2021</v>
      </c>
      <c r="ES75" t="s">
        <v>178</v>
      </c>
    </row>
    <row r="76" spans="1:149" x14ac:dyDescent="0.45">
      <c r="A76">
        <v>1898</v>
      </c>
      <c r="B76">
        <v>976564</v>
      </c>
      <c r="C76" t="s">
        <v>173</v>
      </c>
      <c r="D76" t="s">
        <v>210</v>
      </c>
      <c r="E76" t="s">
        <v>175</v>
      </c>
      <c r="F76" t="s">
        <v>499</v>
      </c>
      <c r="I76" t="s">
        <v>177</v>
      </c>
      <c r="J76" t="s">
        <v>179</v>
      </c>
      <c r="K76" t="s">
        <v>178</v>
      </c>
      <c r="L76" t="s">
        <v>71</v>
      </c>
      <c r="N76" t="s">
        <v>213</v>
      </c>
      <c r="O76" t="s">
        <v>178</v>
      </c>
      <c r="P76" t="s">
        <v>214</v>
      </c>
      <c r="Q76" t="s">
        <v>259</v>
      </c>
      <c r="R76" t="s">
        <v>215</v>
      </c>
      <c r="S76" s="6">
        <v>44305</v>
      </c>
      <c r="T76" t="s">
        <v>500</v>
      </c>
      <c r="U76" t="s">
        <v>178</v>
      </c>
      <c r="V76">
        <v>0</v>
      </c>
      <c r="Z76" t="s">
        <v>272</v>
      </c>
      <c r="AA76" t="s">
        <v>178</v>
      </c>
      <c r="AB76" t="s">
        <v>184</v>
      </c>
      <c r="AC76">
        <v>0</v>
      </c>
      <c r="AD76" t="s">
        <v>178</v>
      </c>
      <c r="AE76" t="s">
        <v>218</v>
      </c>
      <c r="AF76" t="s">
        <v>178</v>
      </c>
      <c r="AG76" t="s">
        <v>178</v>
      </c>
      <c r="AH76" t="s">
        <v>178</v>
      </c>
      <c r="AK76" t="s">
        <v>54</v>
      </c>
      <c r="AL76" t="s">
        <v>219</v>
      </c>
      <c r="AR76">
        <v>0</v>
      </c>
      <c r="AT76" s="6"/>
      <c r="AY76" t="s">
        <v>238</v>
      </c>
      <c r="AZ76" t="s">
        <v>192</v>
      </c>
      <c r="BA76" t="s">
        <v>501</v>
      </c>
      <c r="BB76" t="s">
        <v>240</v>
      </c>
      <c r="BC76" t="s">
        <v>502</v>
      </c>
      <c r="BD76">
        <v>15</v>
      </c>
      <c r="BE76">
        <v>30</v>
      </c>
      <c r="BF76" t="s">
        <v>178</v>
      </c>
      <c r="BG76" t="s">
        <v>178</v>
      </c>
      <c r="BH76" t="s">
        <v>178</v>
      </c>
      <c r="BI76" t="s">
        <v>178</v>
      </c>
      <c r="BJ76" t="s">
        <v>179</v>
      </c>
      <c r="BK76" t="s">
        <v>503</v>
      </c>
      <c r="BL76" t="s">
        <v>277</v>
      </c>
      <c r="BM76" t="s">
        <v>504</v>
      </c>
      <c r="BN76">
        <v>18</v>
      </c>
      <c r="BO76">
        <v>40</v>
      </c>
      <c r="BP76" t="s">
        <v>179</v>
      </c>
      <c r="BQ76" t="s">
        <v>178</v>
      </c>
      <c r="BR76" t="s">
        <v>178</v>
      </c>
      <c r="BS76" t="s">
        <v>178</v>
      </c>
      <c r="BT76" t="s">
        <v>179</v>
      </c>
      <c r="BX76" t="s">
        <v>387</v>
      </c>
      <c r="BY76" t="s">
        <v>256</v>
      </c>
      <c r="BZ76" t="s">
        <v>505</v>
      </c>
      <c r="CA76" t="s">
        <v>178</v>
      </c>
      <c r="CB76">
        <v>72</v>
      </c>
      <c r="CD76">
        <v>72</v>
      </c>
      <c r="CE76">
        <v>72</v>
      </c>
      <c r="CF76">
        <v>88</v>
      </c>
      <c r="CG76" t="s">
        <v>178</v>
      </c>
      <c r="CH76" s="6">
        <v>44305</v>
      </c>
      <c r="CI76" s="6"/>
      <c r="CK76" t="s">
        <v>179</v>
      </c>
      <c r="CL76" t="s">
        <v>298</v>
      </c>
      <c r="DA76" t="s">
        <v>179</v>
      </c>
      <c r="DB76" t="s">
        <v>194</v>
      </c>
      <c r="DC76" t="s">
        <v>179</v>
      </c>
      <c r="DT76">
        <v>21</v>
      </c>
      <c r="DU76" t="s">
        <v>179</v>
      </c>
      <c r="DV76" t="s">
        <v>220</v>
      </c>
      <c r="DW76" t="s">
        <v>179</v>
      </c>
      <c r="DX76" t="s">
        <v>179</v>
      </c>
      <c r="DY76" t="s">
        <v>179</v>
      </c>
      <c r="DZ76" t="s">
        <v>178</v>
      </c>
      <c r="EA76" t="s">
        <v>178</v>
      </c>
      <c r="EB76" t="s">
        <v>178</v>
      </c>
      <c r="ED76">
        <v>76</v>
      </c>
      <c r="EE76" t="s">
        <v>178</v>
      </c>
      <c r="EF76" t="s">
        <v>178</v>
      </c>
      <c r="EG76" t="s">
        <v>178</v>
      </c>
      <c r="EH76" t="s">
        <v>178</v>
      </c>
      <c r="EI76" t="s">
        <v>179</v>
      </c>
      <c r="EJ76" t="s">
        <v>178</v>
      </c>
      <c r="EK76">
        <v>4</v>
      </c>
      <c r="EL76" t="s">
        <v>208</v>
      </c>
      <c r="EM76">
        <v>2021</v>
      </c>
      <c r="EN76">
        <v>2021</v>
      </c>
      <c r="EO76">
        <v>4</v>
      </c>
      <c r="EP76" t="s">
        <v>208</v>
      </c>
      <c r="EQ76">
        <v>2021</v>
      </c>
      <c r="ER76">
        <v>2021</v>
      </c>
      <c r="ES76" t="s">
        <v>178</v>
      </c>
    </row>
    <row r="77" spans="1:149" x14ac:dyDescent="0.45">
      <c r="A77">
        <v>379</v>
      </c>
      <c r="B77">
        <v>976472</v>
      </c>
      <c r="C77" t="s">
        <v>173</v>
      </c>
      <c r="D77" t="s">
        <v>210</v>
      </c>
      <c r="E77" t="s">
        <v>175</v>
      </c>
      <c r="F77" t="s">
        <v>176</v>
      </c>
      <c r="I77" t="s">
        <v>177</v>
      </c>
      <c r="L77" t="s">
        <v>71</v>
      </c>
      <c r="M77" t="s">
        <v>18</v>
      </c>
      <c r="N77" t="s">
        <v>213</v>
      </c>
      <c r="O77" t="s">
        <v>178</v>
      </c>
      <c r="P77" t="s">
        <v>214</v>
      </c>
      <c r="Q77" t="s">
        <v>180</v>
      </c>
      <c r="R77" t="s">
        <v>215</v>
      </c>
      <c r="S77" s="6">
        <v>44266</v>
      </c>
      <c r="T77" t="s">
        <v>506</v>
      </c>
      <c r="AA77" t="s">
        <v>178</v>
      </c>
      <c r="AB77" t="s">
        <v>184</v>
      </c>
      <c r="AC77">
        <v>0</v>
      </c>
      <c r="AD77" t="s">
        <v>179</v>
      </c>
      <c r="AE77" t="s">
        <v>249</v>
      </c>
      <c r="AF77" t="s">
        <v>178</v>
      </c>
      <c r="AG77" t="s">
        <v>179</v>
      </c>
      <c r="AK77" t="s">
        <v>56</v>
      </c>
      <c r="AL77" t="s">
        <v>219</v>
      </c>
      <c r="AT77" s="6"/>
      <c r="AZ77" t="s">
        <v>192</v>
      </c>
      <c r="CA77" t="s">
        <v>178</v>
      </c>
      <c r="CG77" t="s">
        <v>178</v>
      </c>
      <c r="CH77" s="6">
        <v>44270</v>
      </c>
      <c r="CI77" s="6"/>
      <c r="DC77" t="s">
        <v>179</v>
      </c>
      <c r="DT77">
        <v>33</v>
      </c>
      <c r="DU77" t="s">
        <v>179</v>
      </c>
      <c r="DV77" t="s">
        <v>220</v>
      </c>
      <c r="DW77" t="s">
        <v>178</v>
      </c>
      <c r="DX77" t="s">
        <v>178</v>
      </c>
      <c r="DY77" t="s">
        <v>179</v>
      </c>
      <c r="DZ77" t="s">
        <v>178</v>
      </c>
      <c r="EA77" t="s">
        <v>178</v>
      </c>
      <c r="EB77" t="s">
        <v>178</v>
      </c>
      <c r="EE77" t="s">
        <v>178</v>
      </c>
      <c r="EF77" t="s">
        <v>178</v>
      </c>
      <c r="EG77" t="s">
        <v>178</v>
      </c>
      <c r="EH77" t="s">
        <v>178</v>
      </c>
      <c r="EI77" t="s">
        <v>178</v>
      </c>
      <c r="EJ77" t="s">
        <v>178</v>
      </c>
      <c r="EK77">
        <v>3</v>
      </c>
      <c r="EL77" t="s">
        <v>209</v>
      </c>
      <c r="EM77">
        <v>2021</v>
      </c>
      <c r="EN77">
        <v>2021</v>
      </c>
      <c r="EO77">
        <v>3</v>
      </c>
      <c r="EP77" t="s">
        <v>209</v>
      </c>
      <c r="EQ77">
        <v>2021</v>
      </c>
      <c r="ER77">
        <v>2021</v>
      </c>
      <c r="ES77" t="s">
        <v>178</v>
      </c>
    </row>
    <row r="78" spans="1:149" x14ac:dyDescent="0.45">
      <c r="A78">
        <v>1967</v>
      </c>
      <c r="B78">
        <v>977295</v>
      </c>
      <c r="C78" t="s">
        <v>173</v>
      </c>
      <c r="D78" t="s">
        <v>174</v>
      </c>
      <c r="E78" t="s">
        <v>175</v>
      </c>
      <c r="F78" t="s">
        <v>507</v>
      </c>
      <c r="I78" t="s">
        <v>177</v>
      </c>
      <c r="J78" t="s">
        <v>178</v>
      </c>
      <c r="K78" t="s">
        <v>178</v>
      </c>
      <c r="O78" t="s">
        <v>178</v>
      </c>
      <c r="P78" t="s">
        <v>178</v>
      </c>
      <c r="Q78" t="s">
        <v>180</v>
      </c>
      <c r="R78" t="s">
        <v>200</v>
      </c>
      <c r="S78" s="6">
        <v>44795</v>
      </c>
      <c r="T78" t="s">
        <v>508</v>
      </c>
      <c r="U78" t="s">
        <v>178</v>
      </c>
      <c r="X78" t="s">
        <v>182</v>
      </c>
      <c r="Z78" t="s">
        <v>183</v>
      </c>
      <c r="AA78" t="s">
        <v>178</v>
      </c>
      <c r="AB78" t="s">
        <v>184</v>
      </c>
      <c r="AC78">
        <v>0</v>
      </c>
      <c r="AD78" t="s">
        <v>178</v>
      </c>
      <c r="AE78" t="s">
        <v>185</v>
      </c>
      <c r="AF78" t="s">
        <v>178</v>
      </c>
      <c r="AG78" t="s">
        <v>179</v>
      </c>
      <c r="AH78" t="s">
        <v>179</v>
      </c>
      <c r="AK78" t="s">
        <v>56</v>
      </c>
      <c r="AL78" t="s">
        <v>219</v>
      </c>
      <c r="AM78" t="s">
        <v>56</v>
      </c>
      <c r="AN78" t="s">
        <v>187</v>
      </c>
      <c r="AQ78" t="s">
        <v>178</v>
      </c>
      <c r="AT78" s="6"/>
      <c r="AU78" t="s">
        <v>178</v>
      </c>
      <c r="AV78" t="s">
        <v>190</v>
      </c>
      <c r="AX78" t="s">
        <v>178</v>
      </c>
      <c r="AY78" t="s">
        <v>191</v>
      </c>
      <c r="AZ78" t="s">
        <v>192</v>
      </c>
      <c r="CA78" t="s">
        <v>178</v>
      </c>
      <c r="CG78" t="s">
        <v>178</v>
      </c>
      <c r="CH78" s="6">
        <v>44802</v>
      </c>
      <c r="CI78" s="6" t="s">
        <v>179</v>
      </c>
      <c r="CJ78" t="s">
        <v>193</v>
      </c>
      <c r="CL78" s="6"/>
      <c r="CQ78" s="6"/>
      <c r="DA78" t="s">
        <v>179</v>
      </c>
      <c r="DB78" t="s">
        <v>194</v>
      </c>
      <c r="DT78">
        <v>18</v>
      </c>
      <c r="DU78" t="s">
        <v>179</v>
      </c>
      <c r="DV78" t="s">
        <v>220</v>
      </c>
      <c r="DW78" t="s">
        <v>179</v>
      </c>
      <c r="DX78" t="s">
        <v>178</v>
      </c>
      <c r="DY78" t="s">
        <v>179</v>
      </c>
      <c r="DZ78" t="s">
        <v>178</v>
      </c>
      <c r="EA78" t="s">
        <v>178</v>
      </c>
      <c r="EB78" t="s">
        <v>179</v>
      </c>
      <c r="EE78" t="s">
        <v>179</v>
      </c>
      <c r="EF78" t="s">
        <v>178</v>
      </c>
      <c r="EG78" t="s">
        <v>178</v>
      </c>
      <c r="EH78" t="s">
        <v>178</v>
      </c>
      <c r="EI78" t="s">
        <v>178</v>
      </c>
      <c r="EJ78" t="s">
        <v>178</v>
      </c>
      <c r="EK78">
        <v>8</v>
      </c>
      <c r="EL78" t="s">
        <v>196</v>
      </c>
      <c r="EM78">
        <v>2022</v>
      </c>
      <c r="EN78">
        <v>2023</v>
      </c>
      <c r="EO78">
        <v>8</v>
      </c>
      <c r="EP78" t="s">
        <v>196</v>
      </c>
      <c r="EQ78">
        <v>2023</v>
      </c>
      <c r="ER78">
        <v>2023</v>
      </c>
      <c r="ES78" t="s">
        <v>178</v>
      </c>
    </row>
    <row r="79" spans="1:149" x14ac:dyDescent="0.45">
      <c r="A79">
        <v>1803</v>
      </c>
      <c r="B79">
        <v>977196</v>
      </c>
      <c r="C79" t="s">
        <v>173</v>
      </c>
      <c r="D79" t="s">
        <v>174</v>
      </c>
      <c r="E79" t="s">
        <v>175</v>
      </c>
      <c r="F79" t="s">
        <v>176</v>
      </c>
      <c r="I79" t="s">
        <v>177</v>
      </c>
      <c r="J79" t="s">
        <v>178</v>
      </c>
      <c r="K79" t="s">
        <v>178</v>
      </c>
      <c r="L79" t="s">
        <v>311</v>
      </c>
      <c r="M79" t="s">
        <v>246</v>
      </c>
      <c r="O79" t="s">
        <v>178</v>
      </c>
      <c r="P79" t="s">
        <v>178</v>
      </c>
      <c r="Q79" t="s">
        <v>180</v>
      </c>
      <c r="R79" t="s">
        <v>200</v>
      </c>
      <c r="S79" s="6">
        <v>44726</v>
      </c>
      <c r="T79" t="s">
        <v>509</v>
      </c>
      <c r="U79" t="s">
        <v>179</v>
      </c>
      <c r="V79">
        <v>0</v>
      </c>
      <c r="X79" t="s">
        <v>227</v>
      </c>
      <c r="Z79" t="s">
        <v>66</v>
      </c>
      <c r="AA79" t="s">
        <v>178</v>
      </c>
      <c r="AB79" t="s">
        <v>184</v>
      </c>
      <c r="AC79">
        <v>800</v>
      </c>
      <c r="AD79" t="s">
        <v>179</v>
      </c>
      <c r="AE79" t="s">
        <v>204</v>
      </c>
      <c r="AG79" t="s">
        <v>179</v>
      </c>
      <c r="AH79" t="s">
        <v>178</v>
      </c>
      <c r="AL79" t="s">
        <v>237</v>
      </c>
      <c r="AM79" t="s">
        <v>56</v>
      </c>
      <c r="AN79" t="s">
        <v>187</v>
      </c>
      <c r="AP79" t="s">
        <v>205</v>
      </c>
      <c r="AR79">
        <v>13</v>
      </c>
      <c r="AT79" s="6"/>
      <c r="AY79" t="s">
        <v>510</v>
      </c>
      <c r="AZ79" t="s">
        <v>192</v>
      </c>
      <c r="CA79" t="s">
        <v>179</v>
      </c>
      <c r="CG79" t="s">
        <v>178</v>
      </c>
      <c r="CH79" s="6"/>
      <c r="CJ79" s="6"/>
      <c r="CL79" s="6"/>
      <c r="CQ79" s="6"/>
      <c r="DC79" t="s">
        <v>179</v>
      </c>
      <c r="DT79">
        <v>24</v>
      </c>
      <c r="DU79" t="s">
        <v>179</v>
      </c>
      <c r="DV79" t="s">
        <v>220</v>
      </c>
      <c r="DW79" t="s">
        <v>178</v>
      </c>
      <c r="DX79" t="s">
        <v>178</v>
      </c>
      <c r="DY79" t="s">
        <v>178</v>
      </c>
      <c r="DZ79" t="s">
        <v>178</v>
      </c>
      <c r="EA79" t="s">
        <v>179</v>
      </c>
      <c r="EB79" t="s">
        <v>178</v>
      </c>
      <c r="EE79" t="s">
        <v>178</v>
      </c>
      <c r="EF79" t="s">
        <v>178</v>
      </c>
      <c r="EG79" t="s">
        <v>178</v>
      </c>
      <c r="EH79" t="s">
        <v>178</v>
      </c>
      <c r="EI79" t="s">
        <v>178</v>
      </c>
      <c r="EJ79" t="s">
        <v>178</v>
      </c>
      <c r="EK79">
        <v>6</v>
      </c>
      <c r="EL79" t="s">
        <v>208</v>
      </c>
      <c r="EM79">
        <v>2022</v>
      </c>
      <c r="EN79">
        <v>2022</v>
      </c>
      <c r="EO79">
        <v>6</v>
      </c>
      <c r="EP79" t="s">
        <v>208</v>
      </c>
      <c r="EQ79">
        <v>2022</v>
      </c>
      <c r="ER79">
        <v>2022</v>
      </c>
      <c r="ES79" t="s">
        <v>178</v>
      </c>
    </row>
    <row r="80" spans="1:149" x14ac:dyDescent="0.45">
      <c r="A80">
        <v>1841</v>
      </c>
      <c r="B80">
        <v>977258</v>
      </c>
      <c r="C80" t="s">
        <v>376</v>
      </c>
      <c r="D80" t="s">
        <v>174</v>
      </c>
      <c r="E80" t="s">
        <v>175</v>
      </c>
      <c r="F80" t="s">
        <v>511</v>
      </c>
      <c r="I80" t="s">
        <v>177</v>
      </c>
      <c r="J80" t="s">
        <v>178</v>
      </c>
      <c r="K80" t="s">
        <v>178</v>
      </c>
      <c r="O80" t="s">
        <v>178</v>
      </c>
      <c r="P80" t="s">
        <v>178</v>
      </c>
      <c r="Q80" t="s">
        <v>180</v>
      </c>
      <c r="R80" t="s">
        <v>200</v>
      </c>
      <c r="S80" s="6">
        <v>44775</v>
      </c>
      <c r="T80" t="s">
        <v>512</v>
      </c>
      <c r="U80" t="s">
        <v>178</v>
      </c>
      <c r="X80" t="s">
        <v>182</v>
      </c>
      <c r="Z80" t="s">
        <v>183</v>
      </c>
      <c r="AA80" t="s">
        <v>178</v>
      </c>
      <c r="AB80" t="s">
        <v>184</v>
      </c>
      <c r="AC80">
        <v>0</v>
      </c>
      <c r="AD80" t="s">
        <v>179</v>
      </c>
      <c r="AE80" t="s">
        <v>185</v>
      </c>
      <c r="AF80" t="s">
        <v>178</v>
      </c>
      <c r="AG80" t="s">
        <v>179</v>
      </c>
      <c r="AH80" t="s">
        <v>178</v>
      </c>
      <c r="AJ80" t="s">
        <v>179</v>
      </c>
      <c r="AK80" t="s">
        <v>56</v>
      </c>
      <c r="AL80" t="s">
        <v>186</v>
      </c>
      <c r="AM80" t="s">
        <v>56</v>
      </c>
      <c r="AN80" t="s">
        <v>187</v>
      </c>
      <c r="AP80" t="s">
        <v>205</v>
      </c>
      <c r="AQ80" t="s">
        <v>178</v>
      </c>
      <c r="AT80" s="6"/>
      <c r="AU80" t="s">
        <v>178</v>
      </c>
      <c r="AV80" t="s">
        <v>190</v>
      </c>
      <c r="AX80" t="s">
        <v>178</v>
      </c>
      <c r="AY80" t="s">
        <v>191</v>
      </c>
      <c r="AZ80" t="s">
        <v>192</v>
      </c>
      <c r="CA80" t="s">
        <v>178</v>
      </c>
      <c r="CG80" t="s">
        <v>178</v>
      </c>
      <c r="CH80" s="6">
        <v>44802</v>
      </c>
      <c r="CI80" s="6" t="s">
        <v>179</v>
      </c>
      <c r="CJ80" s="6" t="s">
        <v>193</v>
      </c>
      <c r="CL80" s="6"/>
      <c r="CQ80" s="6"/>
      <c r="DA80" t="s">
        <v>179</v>
      </c>
      <c r="DB80" t="s">
        <v>194</v>
      </c>
      <c r="DR80" t="s">
        <v>195</v>
      </c>
      <c r="DT80">
        <v>20</v>
      </c>
      <c r="DU80" t="s">
        <v>178</v>
      </c>
      <c r="DW80" t="s">
        <v>179</v>
      </c>
      <c r="DX80" t="s">
        <v>178</v>
      </c>
      <c r="DY80" t="s">
        <v>179</v>
      </c>
      <c r="DZ80" t="s">
        <v>178</v>
      </c>
      <c r="EA80" t="s">
        <v>178</v>
      </c>
      <c r="EB80" t="s">
        <v>179</v>
      </c>
      <c r="EE80" t="s">
        <v>179</v>
      </c>
      <c r="EF80" t="s">
        <v>178</v>
      </c>
      <c r="EG80" t="s">
        <v>178</v>
      </c>
      <c r="EH80" t="s">
        <v>178</v>
      </c>
      <c r="EI80" t="s">
        <v>178</v>
      </c>
      <c r="EJ80" t="s">
        <v>178</v>
      </c>
      <c r="EK80">
        <v>8</v>
      </c>
      <c r="EL80" t="s">
        <v>196</v>
      </c>
      <c r="EM80">
        <v>2022</v>
      </c>
      <c r="EN80">
        <v>2023</v>
      </c>
      <c r="EO80">
        <v>8</v>
      </c>
      <c r="EP80" t="s">
        <v>196</v>
      </c>
      <c r="EQ80">
        <v>2023</v>
      </c>
      <c r="ER80">
        <v>2023</v>
      </c>
      <c r="ES80" t="s">
        <v>178</v>
      </c>
    </row>
    <row r="81" spans="1:149" x14ac:dyDescent="0.45">
      <c r="A81">
        <v>323</v>
      </c>
      <c r="B81">
        <v>976608</v>
      </c>
      <c r="C81" t="s">
        <v>173</v>
      </c>
      <c r="D81" t="s">
        <v>210</v>
      </c>
      <c r="E81" t="s">
        <v>175</v>
      </c>
      <c r="F81" t="s">
        <v>499</v>
      </c>
      <c r="I81" t="s">
        <v>177</v>
      </c>
      <c r="J81" t="s">
        <v>179</v>
      </c>
      <c r="K81" t="s">
        <v>178</v>
      </c>
      <c r="L81" t="s">
        <v>71</v>
      </c>
      <c r="N81" t="s">
        <v>213</v>
      </c>
      <c r="O81" t="s">
        <v>178</v>
      </c>
      <c r="P81" t="s">
        <v>214</v>
      </c>
      <c r="Q81" t="s">
        <v>259</v>
      </c>
      <c r="R81" t="s">
        <v>215</v>
      </c>
      <c r="S81" s="6">
        <v>44323</v>
      </c>
      <c r="T81" t="s">
        <v>231</v>
      </c>
      <c r="U81" t="s">
        <v>178</v>
      </c>
      <c r="V81">
        <v>0</v>
      </c>
      <c r="W81">
        <v>0</v>
      </c>
      <c r="Z81" t="s">
        <v>272</v>
      </c>
      <c r="AA81" t="s">
        <v>178</v>
      </c>
      <c r="AB81" t="s">
        <v>184</v>
      </c>
      <c r="AC81">
        <v>0</v>
      </c>
      <c r="AD81" t="s">
        <v>178</v>
      </c>
      <c r="AE81" t="s">
        <v>249</v>
      </c>
      <c r="AF81" t="s">
        <v>178</v>
      </c>
      <c r="AG81" t="s">
        <v>179</v>
      </c>
      <c r="AH81" t="s">
        <v>178</v>
      </c>
      <c r="AK81" t="s">
        <v>56</v>
      </c>
      <c r="AL81" t="s">
        <v>219</v>
      </c>
      <c r="AM81" t="s">
        <v>179</v>
      </c>
      <c r="AT81" s="6"/>
      <c r="AZ81" t="s">
        <v>192</v>
      </c>
      <c r="CA81" t="s">
        <v>178</v>
      </c>
      <c r="CG81" t="s">
        <v>178</v>
      </c>
      <c r="CH81" s="6">
        <v>44340</v>
      </c>
      <c r="CI81" s="6"/>
      <c r="CJ81" s="6"/>
      <c r="CL81" s="6"/>
      <c r="CQ81" s="6"/>
      <c r="DC81" t="s">
        <v>179</v>
      </c>
      <c r="DT81">
        <v>20</v>
      </c>
      <c r="DU81" t="s">
        <v>179</v>
      </c>
      <c r="DV81" t="s">
        <v>220</v>
      </c>
      <c r="DW81" t="s">
        <v>178</v>
      </c>
      <c r="DX81" t="s">
        <v>178</v>
      </c>
      <c r="DY81" t="s">
        <v>179</v>
      </c>
      <c r="DZ81" t="s">
        <v>178</v>
      </c>
      <c r="EA81" t="s">
        <v>178</v>
      </c>
      <c r="EB81" t="s">
        <v>178</v>
      </c>
      <c r="EE81" t="s">
        <v>178</v>
      </c>
      <c r="EF81" t="s">
        <v>178</v>
      </c>
      <c r="EG81" t="s">
        <v>178</v>
      </c>
      <c r="EH81" t="s">
        <v>178</v>
      </c>
      <c r="EI81" t="s">
        <v>178</v>
      </c>
      <c r="EJ81" t="s">
        <v>178</v>
      </c>
      <c r="EK81">
        <v>5</v>
      </c>
      <c r="EL81" t="s">
        <v>208</v>
      </c>
      <c r="EM81">
        <v>2021</v>
      </c>
      <c r="EN81">
        <v>2021</v>
      </c>
      <c r="EO81">
        <v>5</v>
      </c>
      <c r="EP81" t="s">
        <v>208</v>
      </c>
      <c r="EQ81">
        <v>2021</v>
      </c>
      <c r="ER81">
        <v>2021</v>
      </c>
      <c r="ES81" t="s">
        <v>178</v>
      </c>
    </row>
    <row r="82" spans="1:149" x14ac:dyDescent="0.45">
      <c r="A82">
        <v>1719</v>
      </c>
      <c r="B82">
        <v>977028</v>
      </c>
      <c r="C82" t="s">
        <v>173</v>
      </c>
      <c r="D82" t="s">
        <v>224</v>
      </c>
      <c r="E82" t="s">
        <v>175</v>
      </c>
      <c r="F82" t="s">
        <v>176</v>
      </c>
      <c r="I82" t="s">
        <v>417</v>
      </c>
      <c r="J82" t="s">
        <v>178</v>
      </c>
      <c r="K82" t="s">
        <v>178</v>
      </c>
      <c r="L82" t="s">
        <v>513</v>
      </c>
      <c r="M82" t="s">
        <v>199</v>
      </c>
      <c r="O82" t="s">
        <v>178</v>
      </c>
      <c r="P82" t="s">
        <v>178</v>
      </c>
      <c r="Q82" t="s">
        <v>180</v>
      </c>
      <c r="R82" t="s">
        <v>200</v>
      </c>
      <c r="S82" s="6">
        <v>44628</v>
      </c>
      <c r="T82" t="s">
        <v>514</v>
      </c>
      <c r="U82" t="s">
        <v>178</v>
      </c>
      <c r="V82">
        <v>0</v>
      </c>
      <c r="W82">
        <v>12.75</v>
      </c>
      <c r="X82" t="s">
        <v>202</v>
      </c>
      <c r="Z82" t="s">
        <v>345</v>
      </c>
      <c r="AA82" t="s">
        <v>178</v>
      </c>
      <c r="AB82" t="s">
        <v>184</v>
      </c>
      <c r="AC82">
        <v>0</v>
      </c>
      <c r="AD82" t="s">
        <v>179</v>
      </c>
      <c r="AE82" t="s">
        <v>185</v>
      </c>
      <c r="AF82" t="s">
        <v>178</v>
      </c>
      <c r="AG82" t="s">
        <v>179</v>
      </c>
      <c r="AH82" t="s">
        <v>178</v>
      </c>
      <c r="AJ82" t="s">
        <v>178</v>
      </c>
      <c r="AL82" t="s">
        <v>219</v>
      </c>
      <c r="AM82" t="s">
        <v>56</v>
      </c>
      <c r="AN82" t="s">
        <v>187</v>
      </c>
      <c r="AO82">
        <v>40</v>
      </c>
      <c r="AP82" t="s">
        <v>205</v>
      </c>
      <c r="AT82" s="6"/>
      <c r="AZ82" t="s">
        <v>192</v>
      </c>
      <c r="CA82" t="s">
        <v>178</v>
      </c>
      <c r="CG82" t="s">
        <v>178</v>
      </c>
      <c r="CH82" s="6"/>
      <c r="CJ82" s="6"/>
      <c r="CL82" s="6"/>
      <c r="CQ82" s="6"/>
      <c r="DC82" t="s">
        <v>179</v>
      </c>
      <c r="DT82">
        <v>35</v>
      </c>
      <c r="DU82" t="s">
        <v>179</v>
      </c>
      <c r="DV82" t="s">
        <v>220</v>
      </c>
      <c r="DW82" t="s">
        <v>178</v>
      </c>
      <c r="DX82" t="s">
        <v>178</v>
      </c>
      <c r="DY82" t="s">
        <v>178</v>
      </c>
      <c r="DZ82" t="s">
        <v>178</v>
      </c>
      <c r="EA82" t="s">
        <v>178</v>
      </c>
      <c r="EB82" t="s">
        <v>178</v>
      </c>
      <c r="EE82" t="s">
        <v>178</v>
      </c>
      <c r="EF82" t="s">
        <v>178</v>
      </c>
      <c r="EG82" t="s">
        <v>178</v>
      </c>
      <c r="EH82" t="s">
        <v>178</v>
      </c>
      <c r="EI82" t="s">
        <v>178</v>
      </c>
      <c r="EJ82" t="s">
        <v>178</v>
      </c>
      <c r="EK82">
        <v>3</v>
      </c>
      <c r="EL82" t="s">
        <v>209</v>
      </c>
      <c r="EM82">
        <v>2022</v>
      </c>
      <c r="EN82">
        <v>2022</v>
      </c>
      <c r="EO82">
        <v>3</v>
      </c>
      <c r="EP82" t="s">
        <v>209</v>
      </c>
      <c r="EQ82">
        <v>2022</v>
      </c>
      <c r="ER82">
        <v>2022</v>
      </c>
      <c r="ES82" t="s">
        <v>178</v>
      </c>
    </row>
    <row r="83" spans="1:149" x14ac:dyDescent="0.45">
      <c r="A83">
        <v>371</v>
      </c>
      <c r="B83">
        <v>976480</v>
      </c>
      <c r="C83" t="s">
        <v>173</v>
      </c>
      <c r="D83" t="s">
        <v>210</v>
      </c>
      <c r="E83" t="s">
        <v>175</v>
      </c>
      <c r="F83" t="s">
        <v>323</v>
      </c>
      <c r="H83" t="s">
        <v>515</v>
      </c>
      <c r="I83" t="s">
        <v>177</v>
      </c>
      <c r="J83" t="s">
        <v>178</v>
      </c>
      <c r="K83" t="s">
        <v>178</v>
      </c>
      <c r="L83" t="s">
        <v>71</v>
      </c>
      <c r="N83" t="s">
        <v>213</v>
      </c>
      <c r="O83" t="s">
        <v>178</v>
      </c>
      <c r="P83" t="s">
        <v>214</v>
      </c>
      <c r="Q83" t="s">
        <v>180</v>
      </c>
      <c r="R83" t="s">
        <v>215</v>
      </c>
      <c r="S83" s="6">
        <v>44270</v>
      </c>
      <c r="T83" t="s">
        <v>516</v>
      </c>
      <c r="U83" t="s">
        <v>178</v>
      </c>
      <c r="X83" t="s">
        <v>314</v>
      </c>
      <c r="Z83" t="s">
        <v>315</v>
      </c>
      <c r="AA83" t="s">
        <v>178</v>
      </c>
      <c r="AB83" t="s">
        <v>184</v>
      </c>
      <c r="AC83">
        <v>1200</v>
      </c>
      <c r="AD83" t="s">
        <v>178</v>
      </c>
      <c r="AE83" t="s">
        <v>218</v>
      </c>
      <c r="AF83" t="s">
        <v>178</v>
      </c>
      <c r="AG83" t="s">
        <v>178</v>
      </c>
      <c r="AL83" t="s">
        <v>219</v>
      </c>
      <c r="AT83" s="6"/>
      <c r="AZ83" t="s">
        <v>192</v>
      </c>
      <c r="CA83" t="s">
        <v>179</v>
      </c>
      <c r="CG83" t="s">
        <v>178</v>
      </c>
      <c r="CH83" s="6"/>
      <c r="CJ83" s="6"/>
      <c r="DC83" t="s">
        <v>179</v>
      </c>
      <c r="DT83">
        <v>21</v>
      </c>
      <c r="DU83" t="s">
        <v>179</v>
      </c>
      <c r="DV83" t="s">
        <v>220</v>
      </c>
      <c r="DW83" t="s">
        <v>178</v>
      </c>
      <c r="DX83" t="s">
        <v>178</v>
      </c>
      <c r="DY83" t="s">
        <v>178</v>
      </c>
      <c r="DZ83" t="s">
        <v>178</v>
      </c>
      <c r="EA83" t="s">
        <v>179</v>
      </c>
      <c r="EB83" t="s">
        <v>178</v>
      </c>
      <c r="EE83" t="s">
        <v>178</v>
      </c>
      <c r="EF83" t="s">
        <v>178</v>
      </c>
      <c r="EG83" t="s">
        <v>178</v>
      </c>
      <c r="EH83" t="s">
        <v>178</v>
      </c>
      <c r="EI83" t="s">
        <v>178</v>
      </c>
      <c r="EJ83" t="s">
        <v>178</v>
      </c>
      <c r="EK83">
        <v>3</v>
      </c>
      <c r="EL83" t="s">
        <v>209</v>
      </c>
      <c r="EM83">
        <v>2021</v>
      </c>
      <c r="EN83">
        <v>2021</v>
      </c>
      <c r="EO83">
        <v>3</v>
      </c>
      <c r="EP83" t="s">
        <v>209</v>
      </c>
      <c r="EQ83">
        <v>2021</v>
      </c>
      <c r="ER83">
        <v>2021</v>
      </c>
      <c r="ES83" t="s">
        <v>178</v>
      </c>
    </row>
    <row r="84" spans="1:149" x14ac:dyDescent="0.45">
      <c r="A84">
        <v>1882</v>
      </c>
      <c r="B84">
        <v>977263</v>
      </c>
      <c r="C84" t="s">
        <v>173</v>
      </c>
      <c r="D84" t="s">
        <v>174</v>
      </c>
      <c r="E84" t="s">
        <v>175</v>
      </c>
      <c r="F84" t="s">
        <v>517</v>
      </c>
      <c r="I84" t="s">
        <v>177</v>
      </c>
      <c r="J84" t="s">
        <v>178</v>
      </c>
      <c r="K84" t="s">
        <v>178</v>
      </c>
      <c r="O84" t="s">
        <v>178</v>
      </c>
      <c r="P84" t="s">
        <v>178</v>
      </c>
      <c r="Q84" t="s">
        <v>180</v>
      </c>
      <c r="R84" t="s">
        <v>200</v>
      </c>
      <c r="S84" s="6">
        <v>44775</v>
      </c>
      <c r="T84" t="s">
        <v>518</v>
      </c>
      <c r="U84" t="s">
        <v>178</v>
      </c>
      <c r="Z84" t="s">
        <v>183</v>
      </c>
      <c r="AA84" t="s">
        <v>178</v>
      </c>
      <c r="AB84" t="s">
        <v>184</v>
      </c>
      <c r="AC84">
        <v>0</v>
      </c>
      <c r="AD84" t="s">
        <v>179</v>
      </c>
      <c r="AE84" t="s">
        <v>185</v>
      </c>
      <c r="AF84" t="s">
        <v>178</v>
      </c>
      <c r="AG84" t="s">
        <v>178</v>
      </c>
      <c r="AH84" t="s">
        <v>178</v>
      </c>
      <c r="AJ84" t="s">
        <v>178</v>
      </c>
      <c r="AL84" t="s">
        <v>219</v>
      </c>
      <c r="AM84" t="s">
        <v>56</v>
      </c>
      <c r="AN84" t="s">
        <v>187</v>
      </c>
      <c r="AQ84" t="s">
        <v>178</v>
      </c>
      <c r="AT84" s="6" t="s">
        <v>189</v>
      </c>
      <c r="AU84" t="s">
        <v>178</v>
      </c>
      <c r="AV84" t="s">
        <v>190</v>
      </c>
      <c r="AX84" t="s">
        <v>178</v>
      </c>
      <c r="AY84" t="s">
        <v>191</v>
      </c>
      <c r="AZ84" t="s">
        <v>192</v>
      </c>
      <c r="CA84" t="s">
        <v>178</v>
      </c>
      <c r="CG84" t="s">
        <v>178</v>
      </c>
      <c r="CH84" s="6"/>
      <c r="CJ84" s="6"/>
      <c r="CL84" s="6"/>
      <c r="CQ84" s="6"/>
      <c r="DC84" t="s">
        <v>179</v>
      </c>
      <c r="DT84">
        <v>39</v>
      </c>
      <c r="DU84" t="s">
        <v>179</v>
      </c>
      <c r="DV84" t="s">
        <v>220</v>
      </c>
      <c r="DW84" t="s">
        <v>178</v>
      </c>
      <c r="DX84" t="s">
        <v>178</v>
      </c>
      <c r="DY84" t="s">
        <v>178</v>
      </c>
      <c r="DZ84" t="s">
        <v>178</v>
      </c>
      <c r="EA84" t="s">
        <v>178</v>
      </c>
      <c r="EB84" t="s">
        <v>178</v>
      </c>
      <c r="EE84" t="s">
        <v>178</v>
      </c>
      <c r="EF84" t="s">
        <v>178</v>
      </c>
      <c r="EG84" t="s">
        <v>178</v>
      </c>
      <c r="EH84" t="s">
        <v>178</v>
      </c>
      <c r="EI84" t="s">
        <v>178</v>
      </c>
      <c r="EJ84" t="s">
        <v>178</v>
      </c>
      <c r="EK84">
        <v>8</v>
      </c>
      <c r="EL84" t="s">
        <v>196</v>
      </c>
      <c r="EM84">
        <v>2022</v>
      </c>
      <c r="EN84">
        <v>2023</v>
      </c>
      <c r="EO84">
        <v>8</v>
      </c>
      <c r="EP84" t="s">
        <v>196</v>
      </c>
      <c r="EQ84">
        <v>2023</v>
      </c>
      <c r="ER84">
        <v>2023</v>
      </c>
      <c r="ES84" t="s">
        <v>178</v>
      </c>
    </row>
    <row r="85" spans="1:149" x14ac:dyDescent="0.45">
      <c r="A85">
        <v>1964</v>
      </c>
      <c r="B85">
        <v>977262</v>
      </c>
      <c r="C85" t="s">
        <v>173</v>
      </c>
      <c r="D85" t="s">
        <v>174</v>
      </c>
      <c r="E85" t="s">
        <v>175</v>
      </c>
      <c r="F85" t="s">
        <v>517</v>
      </c>
      <c r="I85" t="s">
        <v>177</v>
      </c>
      <c r="J85" t="s">
        <v>178</v>
      </c>
      <c r="K85" t="s">
        <v>178</v>
      </c>
      <c r="O85" t="s">
        <v>178</v>
      </c>
      <c r="P85" t="s">
        <v>178</v>
      </c>
      <c r="Q85" t="s">
        <v>180</v>
      </c>
      <c r="R85" t="s">
        <v>200</v>
      </c>
      <c r="S85" s="6">
        <v>44775</v>
      </c>
      <c r="T85" t="s">
        <v>519</v>
      </c>
      <c r="U85" t="s">
        <v>178</v>
      </c>
      <c r="Z85" t="s">
        <v>345</v>
      </c>
      <c r="AA85" t="s">
        <v>178</v>
      </c>
      <c r="AB85" t="s">
        <v>184</v>
      </c>
      <c r="AC85">
        <v>0</v>
      </c>
      <c r="AD85" t="s">
        <v>179</v>
      </c>
      <c r="AE85" t="s">
        <v>204</v>
      </c>
      <c r="AF85" t="s">
        <v>178</v>
      </c>
      <c r="AG85" t="s">
        <v>179</v>
      </c>
      <c r="AH85" t="s">
        <v>178</v>
      </c>
      <c r="AJ85" t="s">
        <v>179</v>
      </c>
      <c r="AL85" t="s">
        <v>219</v>
      </c>
      <c r="AM85" t="s">
        <v>56</v>
      </c>
      <c r="AN85" t="s">
        <v>187</v>
      </c>
      <c r="AP85" t="s">
        <v>205</v>
      </c>
      <c r="AQ85" t="s">
        <v>178</v>
      </c>
      <c r="AT85" s="6"/>
      <c r="AU85" t="s">
        <v>178</v>
      </c>
      <c r="AV85" t="s">
        <v>190</v>
      </c>
      <c r="AX85" t="s">
        <v>178</v>
      </c>
      <c r="AY85" t="s">
        <v>520</v>
      </c>
      <c r="AZ85" t="s">
        <v>192</v>
      </c>
      <c r="CA85" t="s">
        <v>178</v>
      </c>
      <c r="CG85" t="s">
        <v>178</v>
      </c>
      <c r="CH85" s="6"/>
      <c r="CJ85" s="6"/>
      <c r="CL85" s="6"/>
      <c r="CQ85" s="6"/>
      <c r="DC85" t="s">
        <v>179</v>
      </c>
      <c r="DT85">
        <v>34</v>
      </c>
      <c r="DU85" t="s">
        <v>179</v>
      </c>
      <c r="DV85" t="s">
        <v>220</v>
      </c>
      <c r="DW85" t="s">
        <v>178</v>
      </c>
      <c r="DX85" t="s">
        <v>178</v>
      </c>
      <c r="DY85" t="s">
        <v>178</v>
      </c>
      <c r="DZ85" t="s">
        <v>178</v>
      </c>
      <c r="EA85" t="s">
        <v>178</v>
      </c>
      <c r="EB85" t="s">
        <v>178</v>
      </c>
      <c r="EE85" t="s">
        <v>178</v>
      </c>
      <c r="EF85" t="s">
        <v>178</v>
      </c>
      <c r="EG85" t="s">
        <v>178</v>
      </c>
      <c r="EH85" t="s">
        <v>178</v>
      </c>
      <c r="EI85" t="s">
        <v>178</v>
      </c>
      <c r="EJ85" t="s">
        <v>178</v>
      </c>
      <c r="EK85">
        <v>8</v>
      </c>
      <c r="EL85" t="s">
        <v>196</v>
      </c>
      <c r="EM85">
        <v>2022</v>
      </c>
      <c r="EN85">
        <v>2023</v>
      </c>
      <c r="EO85">
        <v>8</v>
      </c>
      <c r="EP85" t="s">
        <v>196</v>
      </c>
      <c r="EQ85">
        <v>2023</v>
      </c>
      <c r="ER85">
        <v>2023</v>
      </c>
      <c r="ES85" t="s">
        <v>178</v>
      </c>
    </row>
    <row r="86" spans="1:149" x14ac:dyDescent="0.45">
      <c r="A86">
        <v>133</v>
      </c>
      <c r="B86">
        <v>976936</v>
      </c>
      <c r="C86" t="s">
        <v>173</v>
      </c>
      <c r="D86" t="s">
        <v>224</v>
      </c>
      <c r="E86" t="s">
        <v>175</v>
      </c>
      <c r="F86" t="s">
        <v>176</v>
      </c>
      <c r="I86" t="s">
        <v>177</v>
      </c>
      <c r="J86" t="s">
        <v>178</v>
      </c>
      <c r="K86" t="s">
        <v>178</v>
      </c>
      <c r="L86" t="s">
        <v>415</v>
      </c>
      <c r="M86" t="s">
        <v>225</v>
      </c>
      <c r="O86" t="s">
        <v>178</v>
      </c>
      <c r="P86" t="s">
        <v>178</v>
      </c>
      <c r="Q86" t="s">
        <v>180</v>
      </c>
      <c r="R86" t="s">
        <v>200</v>
      </c>
      <c r="S86" s="6">
        <v>44567</v>
      </c>
      <c r="T86" t="s">
        <v>521</v>
      </c>
      <c r="U86" t="s">
        <v>178</v>
      </c>
      <c r="V86">
        <v>0</v>
      </c>
      <c r="W86">
        <v>12.75</v>
      </c>
      <c r="X86" t="s">
        <v>227</v>
      </c>
      <c r="AA86" t="s">
        <v>178</v>
      </c>
      <c r="AB86" t="s">
        <v>184</v>
      </c>
      <c r="AC86">
        <v>600</v>
      </c>
      <c r="AD86" t="s">
        <v>179</v>
      </c>
      <c r="AE86" t="s">
        <v>204</v>
      </c>
      <c r="AF86" t="s">
        <v>178</v>
      </c>
      <c r="AG86" t="s">
        <v>179</v>
      </c>
      <c r="AH86" t="s">
        <v>178</v>
      </c>
      <c r="AJ86" t="s">
        <v>179</v>
      </c>
      <c r="AK86" t="s">
        <v>56</v>
      </c>
      <c r="AL86" t="s">
        <v>228</v>
      </c>
      <c r="AM86" t="s">
        <v>56</v>
      </c>
      <c r="AN86" t="s">
        <v>187</v>
      </c>
      <c r="AO86">
        <v>25</v>
      </c>
      <c r="AP86" t="s">
        <v>414</v>
      </c>
      <c r="AT86" s="6"/>
      <c r="AZ86" t="s">
        <v>192</v>
      </c>
      <c r="CA86" t="s">
        <v>178</v>
      </c>
      <c r="CG86" t="s">
        <v>178</v>
      </c>
      <c r="CH86" s="6">
        <v>44571</v>
      </c>
      <c r="CI86" s="6" t="s">
        <v>179</v>
      </c>
      <c r="CJ86" s="6" t="s">
        <v>244</v>
      </c>
      <c r="CL86" s="6"/>
      <c r="CQ86" s="6"/>
      <c r="DA86" t="s">
        <v>179</v>
      </c>
      <c r="DB86" t="s">
        <v>194</v>
      </c>
      <c r="DR86" t="s">
        <v>434</v>
      </c>
      <c r="DT86">
        <v>46</v>
      </c>
      <c r="DU86" t="s">
        <v>179</v>
      </c>
      <c r="DV86" t="s">
        <v>220</v>
      </c>
      <c r="DW86" t="s">
        <v>179</v>
      </c>
      <c r="DX86" t="s">
        <v>178</v>
      </c>
      <c r="DY86" t="s">
        <v>179</v>
      </c>
      <c r="DZ86" t="s">
        <v>178</v>
      </c>
      <c r="EA86" t="s">
        <v>178</v>
      </c>
      <c r="EB86" t="s">
        <v>179</v>
      </c>
      <c r="EE86" t="s">
        <v>179</v>
      </c>
      <c r="EF86" t="s">
        <v>178</v>
      </c>
      <c r="EG86" t="s">
        <v>178</v>
      </c>
      <c r="EH86" t="s">
        <v>178</v>
      </c>
      <c r="EI86" t="s">
        <v>178</v>
      </c>
      <c r="EJ86" t="s">
        <v>178</v>
      </c>
      <c r="EK86">
        <v>1</v>
      </c>
      <c r="EL86" t="s">
        <v>209</v>
      </c>
      <c r="EM86">
        <v>2022</v>
      </c>
      <c r="EN86">
        <v>2022</v>
      </c>
      <c r="EO86">
        <v>1</v>
      </c>
      <c r="EP86" t="s">
        <v>209</v>
      </c>
      <c r="EQ86">
        <v>2022</v>
      </c>
      <c r="ER86">
        <v>2022</v>
      </c>
      <c r="ES86" t="s">
        <v>178</v>
      </c>
    </row>
    <row r="87" spans="1:149" x14ac:dyDescent="0.45">
      <c r="A87">
        <v>231</v>
      </c>
      <c r="B87">
        <v>976797</v>
      </c>
      <c r="C87" t="s">
        <v>173</v>
      </c>
      <c r="D87" t="s">
        <v>174</v>
      </c>
      <c r="E87" t="s">
        <v>175</v>
      </c>
      <c r="F87" t="s">
        <v>176</v>
      </c>
      <c r="I87" t="s">
        <v>177</v>
      </c>
      <c r="J87" t="s">
        <v>179</v>
      </c>
      <c r="K87" t="s">
        <v>179</v>
      </c>
      <c r="M87" t="s">
        <v>55</v>
      </c>
      <c r="O87" t="s">
        <v>178</v>
      </c>
      <c r="P87" t="s">
        <v>178</v>
      </c>
      <c r="Q87" t="s">
        <v>180</v>
      </c>
      <c r="R87" t="s">
        <v>200</v>
      </c>
      <c r="S87" s="6">
        <v>44432</v>
      </c>
      <c r="T87" t="s">
        <v>522</v>
      </c>
      <c r="V87">
        <v>0</v>
      </c>
      <c r="W87">
        <v>15</v>
      </c>
      <c r="X87" t="s">
        <v>202</v>
      </c>
      <c r="Z87" t="s">
        <v>203</v>
      </c>
      <c r="AB87" t="s">
        <v>184</v>
      </c>
      <c r="AC87">
        <v>0</v>
      </c>
      <c r="AE87" t="s">
        <v>185</v>
      </c>
      <c r="AH87" t="s">
        <v>178</v>
      </c>
      <c r="AK87" t="s">
        <v>55</v>
      </c>
      <c r="AL87" t="s">
        <v>219</v>
      </c>
      <c r="AM87" t="s">
        <v>55</v>
      </c>
      <c r="AN87" t="s">
        <v>187</v>
      </c>
      <c r="AO87">
        <v>40</v>
      </c>
      <c r="AT87" s="6"/>
      <c r="AZ87" t="s">
        <v>192</v>
      </c>
      <c r="CA87" t="s">
        <v>178</v>
      </c>
      <c r="CG87" t="s">
        <v>178</v>
      </c>
      <c r="CH87" s="6">
        <v>44446</v>
      </c>
      <c r="CI87" s="6"/>
      <c r="CJ87" s="6"/>
      <c r="DT87">
        <v>23</v>
      </c>
      <c r="DU87" t="s">
        <v>179</v>
      </c>
      <c r="DV87" t="s">
        <v>220</v>
      </c>
      <c r="DW87" t="s">
        <v>178</v>
      </c>
      <c r="DX87" t="s">
        <v>178</v>
      </c>
      <c r="DY87" t="s">
        <v>179</v>
      </c>
      <c r="DZ87" t="s">
        <v>178</v>
      </c>
      <c r="EA87" t="s">
        <v>178</v>
      </c>
      <c r="EB87" t="s">
        <v>179</v>
      </c>
      <c r="EE87" t="s">
        <v>178</v>
      </c>
      <c r="EF87" t="s">
        <v>178</v>
      </c>
      <c r="EG87" t="s">
        <v>178</v>
      </c>
      <c r="EH87" t="s">
        <v>178</v>
      </c>
      <c r="EI87" t="s">
        <v>178</v>
      </c>
      <c r="EJ87" t="s">
        <v>178</v>
      </c>
      <c r="EK87">
        <v>9</v>
      </c>
      <c r="EL87" t="s">
        <v>196</v>
      </c>
      <c r="EM87">
        <v>2021</v>
      </c>
      <c r="EN87">
        <v>2022</v>
      </c>
      <c r="EO87">
        <v>8</v>
      </c>
      <c r="EP87" t="s">
        <v>196</v>
      </c>
      <c r="EQ87">
        <v>2022</v>
      </c>
      <c r="ER87">
        <v>2022</v>
      </c>
      <c r="ES87" t="s">
        <v>178</v>
      </c>
    </row>
    <row r="88" spans="1:149" x14ac:dyDescent="0.45">
      <c r="A88">
        <v>479</v>
      </c>
      <c r="B88">
        <v>976331</v>
      </c>
      <c r="C88" t="s">
        <v>173</v>
      </c>
      <c r="D88" t="s">
        <v>210</v>
      </c>
      <c r="E88" t="s">
        <v>175</v>
      </c>
      <c r="F88" t="s">
        <v>176</v>
      </c>
      <c r="I88" t="s">
        <v>177</v>
      </c>
      <c r="J88" t="s">
        <v>178</v>
      </c>
      <c r="K88" t="s">
        <v>178</v>
      </c>
      <c r="L88" t="s">
        <v>71</v>
      </c>
      <c r="N88" t="s">
        <v>213</v>
      </c>
      <c r="O88" t="s">
        <v>178</v>
      </c>
      <c r="P88" t="s">
        <v>214</v>
      </c>
      <c r="Q88" t="s">
        <v>180</v>
      </c>
      <c r="R88" t="s">
        <v>215</v>
      </c>
      <c r="S88" s="6">
        <v>44155</v>
      </c>
      <c r="T88" t="s">
        <v>523</v>
      </c>
      <c r="U88" t="s">
        <v>178</v>
      </c>
      <c r="V88">
        <v>5</v>
      </c>
      <c r="W88">
        <v>0</v>
      </c>
      <c r="X88" t="s">
        <v>524</v>
      </c>
      <c r="Z88" t="s">
        <v>402</v>
      </c>
      <c r="AA88" t="s">
        <v>178</v>
      </c>
      <c r="AB88" t="s">
        <v>184</v>
      </c>
      <c r="AC88">
        <v>0</v>
      </c>
      <c r="AD88" t="s">
        <v>179</v>
      </c>
      <c r="AE88" t="s">
        <v>249</v>
      </c>
      <c r="AF88" t="s">
        <v>178</v>
      </c>
      <c r="AG88" t="s">
        <v>178</v>
      </c>
      <c r="AL88" t="s">
        <v>219</v>
      </c>
      <c r="AM88" t="s">
        <v>179</v>
      </c>
      <c r="AT88" s="6"/>
      <c r="AZ88" t="s">
        <v>192</v>
      </c>
      <c r="CA88" t="s">
        <v>178</v>
      </c>
      <c r="CG88" t="s">
        <v>178</v>
      </c>
      <c r="CH88" s="6"/>
      <c r="CJ88" s="6"/>
      <c r="DC88" t="s">
        <v>179</v>
      </c>
      <c r="DT88">
        <v>51</v>
      </c>
      <c r="DU88" t="s">
        <v>179</v>
      </c>
      <c r="DV88" t="s">
        <v>220</v>
      </c>
      <c r="DW88" t="s">
        <v>178</v>
      </c>
      <c r="DX88" t="s">
        <v>178</v>
      </c>
      <c r="DY88" t="s">
        <v>178</v>
      </c>
      <c r="DZ88" t="s">
        <v>178</v>
      </c>
      <c r="EA88" t="s">
        <v>178</v>
      </c>
      <c r="EB88" t="s">
        <v>178</v>
      </c>
      <c r="EE88" t="s">
        <v>178</v>
      </c>
      <c r="EF88" t="s">
        <v>178</v>
      </c>
      <c r="EG88" t="s">
        <v>178</v>
      </c>
      <c r="EH88" t="s">
        <v>178</v>
      </c>
      <c r="EI88" t="s">
        <v>178</v>
      </c>
      <c r="EJ88" t="s">
        <v>178</v>
      </c>
      <c r="EK88">
        <v>11</v>
      </c>
      <c r="EL88" t="s">
        <v>290</v>
      </c>
      <c r="EM88">
        <v>2020</v>
      </c>
      <c r="EN88">
        <v>2021</v>
      </c>
      <c r="EO88">
        <v>11</v>
      </c>
      <c r="EP88" t="s">
        <v>290</v>
      </c>
      <c r="EQ88">
        <v>2021</v>
      </c>
      <c r="ER88">
        <v>2021</v>
      </c>
      <c r="ES88" t="s">
        <v>178</v>
      </c>
    </row>
    <row r="89" spans="1:149" x14ac:dyDescent="0.45">
      <c r="A89">
        <v>1786</v>
      </c>
      <c r="B89">
        <v>977215</v>
      </c>
      <c r="C89" t="s">
        <v>173</v>
      </c>
      <c r="D89" t="s">
        <v>224</v>
      </c>
      <c r="E89" t="s">
        <v>175</v>
      </c>
      <c r="F89" t="s">
        <v>176</v>
      </c>
      <c r="I89" t="s">
        <v>177</v>
      </c>
      <c r="J89" t="s">
        <v>178</v>
      </c>
      <c r="K89" t="s">
        <v>178</v>
      </c>
      <c r="L89" t="s">
        <v>525</v>
      </c>
      <c r="M89" t="s">
        <v>235</v>
      </c>
      <c r="O89" t="s">
        <v>178</v>
      </c>
      <c r="P89" t="s">
        <v>178</v>
      </c>
      <c r="Q89" t="s">
        <v>180</v>
      </c>
      <c r="R89" t="s">
        <v>200</v>
      </c>
      <c r="S89" s="6">
        <v>44721</v>
      </c>
      <c r="T89" t="s">
        <v>526</v>
      </c>
      <c r="U89" t="s">
        <v>178</v>
      </c>
      <c r="V89">
        <v>0</v>
      </c>
      <c r="Z89" t="s">
        <v>183</v>
      </c>
      <c r="AA89" t="s">
        <v>178</v>
      </c>
      <c r="AB89" t="s">
        <v>184</v>
      </c>
      <c r="AC89">
        <v>0</v>
      </c>
      <c r="AD89" t="s">
        <v>179</v>
      </c>
      <c r="AE89" t="s">
        <v>204</v>
      </c>
      <c r="AF89" t="s">
        <v>178</v>
      </c>
      <c r="AG89" t="s">
        <v>179</v>
      </c>
      <c r="AH89" t="s">
        <v>178</v>
      </c>
      <c r="AL89" t="s">
        <v>219</v>
      </c>
      <c r="AM89" t="s">
        <v>56</v>
      </c>
      <c r="AN89" t="s">
        <v>187</v>
      </c>
      <c r="AP89" t="s">
        <v>205</v>
      </c>
      <c r="AR89">
        <v>0</v>
      </c>
      <c r="AT89" s="6"/>
      <c r="AY89" t="s">
        <v>238</v>
      </c>
      <c r="AZ89" t="s">
        <v>192</v>
      </c>
      <c r="CA89" t="s">
        <v>178</v>
      </c>
      <c r="CG89" t="s">
        <v>178</v>
      </c>
      <c r="CH89" s="6"/>
      <c r="CJ89" s="6"/>
      <c r="CL89" s="6"/>
      <c r="CQ89" s="6"/>
      <c r="DT89">
        <v>27</v>
      </c>
      <c r="DU89" t="s">
        <v>179</v>
      </c>
      <c r="DV89" t="s">
        <v>220</v>
      </c>
      <c r="DW89" t="s">
        <v>178</v>
      </c>
      <c r="DX89" t="s">
        <v>178</v>
      </c>
      <c r="DY89" t="s">
        <v>178</v>
      </c>
      <c r="DZ89" t="s">
        <v>178</v>
      </c>
      <c r="EA89" t="s">
        <v>178</v>
      </c>
      <c r="EB89" t="s">
        <v>178</v>
      </c>
      <c r="EE89" t="s">
        <v>178</v>
      </c>
      <c r="EF89" t="s">
        <v>178</v>
      </c>
      <c r="EG89" t="s">
        <v>178</v>
      </c>
      <c r="EH89" t="s">
        <v>178</v>
      </c>
      <c r="EI89" t="s">
        <v>178</v>
      </c>
      <c r="EJ89" t="s">
        <v>178</v>
      </c>
      <c r="EK89">
        <v>6</v>
      </c>
      <c r="EL89" t="s">
        <v>208</v>
      </c>
      <c r="EM89">
        <v>2022</v>
      </c>
      <c r="EN89">
        <v>2022</v>
      </c>
      <c r="EO89">
        <v>6</v>
      </c>
      <c r="EP89" t="s">
        <v>208</v>
      </c>
      <c r="EQ89">
        <v>2022</v>
      </c>
      <c r="ER89">
        <v>2022</v>
      </c>
      <c r="ES89" t="s">
        <v>178</v>
      </c>
    </row>
    <row r="90" spans="1:149" x14ac:dyDescent="0.45">
      <c r="A90">
        <v>435</v>
      </c>
      <c r="B90">
        <v>976383</v>
      </c>
      <c r="C90" t="s">
        <v>527</v>
      </c>
      <c r="D90" t="s">
        <v>210</v>
      </c>
      <c r="E90" t="s">
        <v>175</v>
      </c>
      <c r="F90" t="s">
        <v>176</v>
      </c>
      <c r="I90" t="s">
        <v>177</v>
      </c>
      <c r="J90" t="s">
        <v>178</v>
      </c>
      <c r="K90" t="s">
        <v>178</v>
      </c>
      <c r="L90" t="s">
        <v>71</v>
      </c>
      <c r="N90" t="s">
        <v>213</v>
      </c>
      <c r="O90" t="s">
        <v>178</v>
      </c>
      <c r="P90" t="s">
        <v>214</v>
      </c>
      <c r="Q90" t="s">
        <v>180</v>
      </c>
      <c r="R90" t="s">
        <v>215</v>
      </c>
      <c r="S90" s="6">
        <v>44203</v>
      </c>
      <c r="T90" t="s">
        <v>528</v>
      </c>
      <c r="U90" t="s">
        <v>178</v>
      </c>
      <c r="V90">
        <v>1</v>
      </c>
      <c r="W90">
        <v>0</v>
      </c>
      <c r="Z90" t="s">
        <v>402</v>
      </c>
      <c r="AA90" t="s">
        <v>178</v>
      </c>
      <c r="AB90" t="s">
        <v>184</v>
      </c>
      <c r="AC90">
        <v>0</v>
      </c>
      <c r="AD90" t="s">
        <v>179</v>
      </c>
      <c r="AE90" t="s">
        <v>218</v>
      </c>
      <c r="AF90" t="s">
        <v>178</v>
      </c>
      <c r="AG90" t="s">
        <v>178</v>
      </c>
      <c r="AK90" t="s">
        <v>56</v>
      </c>
      <c r="AM90" t="s">
        <v>179</v>
      </c>
      <c r="AO90">
        <v>0</v>
      </c>
      <c r="AT90" s="6"/>
      <c r="AZ90" t="s">
        <v>192</v>
      </c>
      <c r="CA90" t="s">
        <v>178</v>
      </c>
      <c r="CG90" t="s">
        <v>178</v>
      </c>
      <c r="CH90" s="6">
        <v>44207</v>
      </c>
      <c r="CI90" s="6"/>
      <c r="CJ90" s="6"/>
      <c r="CL90" s="6"/>
      <c r="CQ90" s="6"/>
      <c r="DC90" t="s">
        <v>179</v>
      </c>
      <c r="DT90">
        <v>43</v>
      </c>
      <c r="DU90" t="s">
        <v>178</v>
      </c>
      <c r="DW90" t="s">
        <v>178</v>
      </c>
      <c r="DX90" t="s">
        <v>178</v>
      </c>
      <c r="DY90" t="s">
        <v>179</v>
      </c>
      <c r="DZ90" t="s">
        <v>178</v>
      </c>
      <c r="EA90" t="s">
        <v>178</v>
      </c>
      <c r="EB90" t="s">
        <v>178</v>
      </c>
      <c r="EE90" t="s">
        <v>178</v>
      </c>
      <c r="EF90" t="s">
        <v>178</v>
      </c>
      <c r="EG90" t="s">
        <v>178</v>
      </c>
      <c r="EH90" t="s">
        <v>178</v>
      </c>
      <c r="EI90" t="s">
        <v>178</v>
      </c>
      <c r="EJ90" t="s">
        <v>178</v>
      </c>
      <c r="EK90">
        <v>1</v>
      </c>
      <c r="EL90" t="s">
        <v>209</v>
      </c>
      <c r="EM90">
        <v>2021</v>
      </c>
      <c r="EN90">
        <v>2021</v>
      </c>
      <c r="EO90">
        <v>1</v>
      </c>
      <c r="EP90" t="s">
        <v>209</v>
      </c>
      <c r="EQ90">
        <v>2021</v>
      </c>
      <c r="ER90">
        <v>2021</v>
      </c>
      <c r="ES90" t="s">
        <v>178</v>
      </c>
    </row>
    <row r="91" spans="1:149" x14ac:dyDescent="0.45">
      <c r="A91">
        <v>1757</v>
      </c>
      <c r="B91">
        <v>976739</v>
      </c>
      <c r="C91" t="s">
        <v>173</v>
      </c>
      <c r="D91" t="s">
        <v>174</v>
      </c>
      <c r="E91" t="s">
        <v>175</v>
      </c>
      <c r="F91" t="s">
        <v>299</v>
      </c>
      <c r="I91" t="s">
        <v>177</v>
      </c>
      <c r="J91" t="s">
        <v>178</v>
      </c>
      <c r="K91" t="s">
        <v>178</v>
      </c>
      <c r="M91" t="s">
        <v>529</v>
      </c>
      <c r="O91" t="s">
        <v>179</v>
      </c>
      <c r="P91" t="s">
        <v>214</v>
      </c>
      <c r="Q91" t="s">
        <v>259</v>
      </c>
      <c r="R91" t="s">
        <v>200</v>
      </c>
      <c r="S91" s="6">
        <v>44404</v>
      </c>
      <c r="T91" t="s">
        <v>530</v>
      </c>
      <c r="U91" t="s">
        <v>178</v>
      </c>
      <c r="V91">
        <v>2</v>
      </c>
      <c r="W91">
        <v>0</v>
      </c>
      <c r="X91" t="s">
        <v>531</v>
      </c>
      <c r="Z91" t="s">
        <v>248</v>
      </c>
      <c r="AA91" t="s">
        <v>178</v>
      </c>
      <c r="AB91" t="s">
        <v>184</v>
      </c>
      <c r="AC91">
        <v>0</v>
      </c>
      <c r="AD91" t="s">
        <v>178</v>
      </c>
      <c r="AE91" t="s">
        <v>185</v>
      </c>
      <c r="AF91" t="s">
        <v>178</v>
      </c>
      <c r="AG91" t="s">
        <v>178</v>
      </c>
      <c r="AH91" t="s">
        <v>178</v>
      </c>
      <c r="AK91" t="s">
        <v>57</v>
      </c>
      <c r="AL91" t="s">
        <v>372</v>
      </c>
      <c r="AM91" t="s">
        <v>57</v>
      </c>
      <c r="AN91" t="s">
        <v>187</v>
      </c>
      <c r="AO91">
        <v>40</v>
      </c>
      <c r="AP91" t="s">
        <v>532</v>
      </c>
      <c r="AT91" s="6"/>
      <c r="AZ91" t="s">
        <v>192</v>
      </c>
      <c r="BA91" t="s">
        <v>533</v>
      </c>
      <c r="BB91" t="s">
        <v>240</v>
      </c>
      <c r="BC91" t="s">
        <v>241</v>
      </c>
      <c r="BD91">
        <v>14</v>
      </c>
      <c r="BE91">
        <v>40</v>
      </c>
      <c r="BF91" t="s">
        <v>179</v>
      </c>
      <c r="BG91" t="s">
        <v>179</v>
      </c>
      <c r="BH91" t="s">
        <v>178</v>
      </c>
      <c r="BI91" t="s">
        <v>179</v>
      </c>
      <c r="BJ91" t="s">
        <v>178</v>
      </c>
      <c r="BK91" t="s">
        <v>533</v>
      </c>
      <c r="BL91" t="s">
        <v>240</v>
      </c>
      <c r="BM91" t="s">
        <v>241</v>
      </c>
      <c r="BN91">
        <v>14</v>
      </c>
      <c r="BO91">
        <v>40</v>
      </c>
      <c r="BP91" t="s">
        <v>179</v>
      </c>
      <c r="BQ91" t="s">
        <v>179</v>
      </c>
      <c r="BR91" t="s">
        <v>178</v>
      </c>
      <c r="BS91" t="s">
        <v>179</v>
      </c>
      <c r="BT91" t="s">
        <v>178</v>
      </c>
      <c r="BX91" t="s">
        <v>229</v>
      </c>
      <c r="BY91" t="s">
        <v>256</v>
      </c>
      <c r="BZ91" t="s">
        <v>534</v>
      </c>
      <c r="CA91" t="s">
        <v>178</v>
      </c>
      <c r="CB91">
        <v>39</v>
      </c>
      <c r="CD91">
        <v>39</v>
      </c>
      <c r="CE91">
        <v>39</v>
      </c>
      <c r="CF91">
        <v>217</v>
      </c>
      <c r="CG91" t="s">
        <v>179</v>
      </c>
      <c r="CH91" s="6"/>
      <c r="CJ91" s="6"/>
      <c r="DD91" t="s">
        <v>264</v>
      </c>
      <c r="DE91">
        <v>7</v>
      </c>
      <c r="DL91" t="s">
        <v>265</v>
      </c>
      <c r="DT91">
        <v>35</v>
      </c>
      <c r="DU91" t="s">
        <v>179</v>
      </c>
      <c r="DV91" t="s">
        <v>220</v>
      </c>
      <c r="DW91" t="s">
        <v>179</v>
      </c>
      <c r="DX91" t="s">
        <v>179</v>
      </c>
      <c r="DY91" t="s">
        <v>179</v>
      </c>
      <c r="DZ91" t="s">
        <v>178</v>
      </c>
      <c r="EA91" t="s">
        <v>178</v>
      </c>
      <c r="EB91" t="s">
        <v>179</v>
      </c>
      <c r="ED91">
        <v>23</v>
      </c>
      <c r="EE91" t="s">
        <v>178</v>
      </c>
      <c r="EF91" t="s">
        <v>178</v>
      </c>
      <c r="EG91" t="s">
        <v>178</v>
      </c>
      <c r="EH91" t="s">
        <v>178</v>
      </c>
      <c r="EI91" t="s">
        <v>179</v>
      </c>
      <c r="EJ91" t="s">
        <v>178</v>
      </c>
      <c r="EK91">
        <v>7</v>
      </c>
      <c r="EL91" t="s">
        <v>196</v>
      </c>
      <c r="EM91">
        <v>2021</v>
      </c>
      <c r="EN91">
        <v>2022</v>
      </c>
      <c r="EO91">
        <v>7</v>
      </c>
      <c r="EP91" t="s">
        <v>196</v>
      </c>
      <c r="EQ91">
        <v>2022</v>
      </c>
      <c r="ER91">
        <v>2022</v>
      </c>
      <c r="ES91" t="s">
        <v>178</v>
      </c>
    </row>
    <row r="92" spans="1:149" x14ac:dyDescent="0.45">
      <c r="A92">
        <v>76</v>
      </c>
      <c r="B92">
        <v>977020</v>
      </c>
      <c r="C92" t="s">
        <v>173</v>
      </c>
      <c r="D92" t="s">
        <v>224</v>
      </c>
      <c r="E92" t="s">
        <v>175</v>
      </c>
      <c r="F92" t="s">
        <v>176</v>
      </c>
      <c r="I92" t="s">
        <v>177</v>
      </c>
      <c r="J92" t="s">
        <v>179</v>
      </c>
      <c r="K92" t="s">
        <v>179</v>
      </c>
      <c r="L92" t="s">
        <v>535</v>
      </c>
      <c r="M92" t="s">
        <v>199</v>
      </c>
      <c r="O92" t="s">
        <v>178</v>
      </c>
      <c r="P92" t="s">
        <v>178</v>
      </c>
      <c r="Q92" t="s">
        <v>180</v>
      </c>
      <c r="R92" t="s">
        <v>200</v>
      </c>
      <c r="S92" s="6">
        <v>44627</v>
      </c>
      <c r="T92" t="s">
        <v>536</v>
      </c>
      <c r="U92" t="s">
        <v>178</v>
      </c>
      <c r="V92">
        <v>0</v>
      </c>
      <c r="W92">
        <v>0</v>
      </c>
      <c r="X92" t="s">
        <v>202</v>
      </c>
      <c r="Z92" t="s">
        <v>223</v>
      </c>
      <c r="AA92" t="s">
        <v>178</v>
      </c>
      <c r="AB92" t="s">
        <v>184</v>
      </c>
      <c r="AC92">
        <v>0</v>
      </c>
      <c r="AD92" t="s">
        <v>179</v>
      </c>
      <c r="AE92" t="s">
        <v>204</v>
      </c>
      <c r="AF92" t="s">
        <v>178</v>
      </c>
      <c r="AG92" t="s">
        <v>178</v>
      </c>
      <c r="AH92" t="s">
        <v>178</v>
      </c>
      <c r="AJ92" t="s">
        <v>178</v>
      </c>
      <c r="AL92" t="s">
        <v>219</v>
      </c>
      <c r="AM92" t="s">
        <v>56</v>
      </c>
      <c r="AN92" t="s">
        <v>187</v>
      </c>
      <c r="AO92">
        <v>0</v>
      </c>
      <c r="AP92" t="s">
        <v>205</v>
      </c>
      <c r="AT92" s="6"/>
      <c r="AZ92" t="s">
        <v>192</v>
      </c>
      <c r="CA92" t="s">
        <v>178</v>
      </c>
      <c r="CG92" t="s">
        <v>178</v>
      </c>
      <c r="CH92" s="6"/>
      <c r="CJ92" s="6"/>
      <c r="DC92" t="s">
        <v>179</v>
      </c>
      <c r="DT92">
        <v>52</v>
      </c>
      <c r="DU92" t="s">
        <v>179</v>
      </c>
      <c r="DV92" t="s">
        <v>220</v>
      </c>
      <c r="DW92" t="s">
        <v>178</v>
      </c>
      <c r="DX92" t="s">
        <v>178</v>
      </c>
      <c r="DY92" t="s">
        <v>178</v>
      </c>
      <c r="DZ92" t="s">
        <v>178</v>
      </c>
      <c r="EA92" t="s">
        <v>178</v>
      </c>
      <c r="EB92" t="s">
        <v>178</v>
      </c>
      <c r="EE92" t="s">
        <v>178</v>
      </c>
      <c r="EF92" t="s">
        <v>178</v>
      </c>
      <c r="EG92" t="s">
        <v>178</v>
      </c>
      <c r="EH92" t="s">
        <v>178</v>
      </c>
      <c r="EI92" t="s">
        <v>178</v>
      </c>
      <c r="EJ92" t="s">
        <v>178</v>
      </c>
      <c r="EK92">
        <v>3</v>
      </c>
      <c r="EL92" t="s">
        <v>209</v>
      </c>
      <c r="EM92">
        <v>2022</v>
      </c>
      <c r="EN92">
        <v>2022</v>
      </c>
      <c r="EO92">
        <v>3</v>
      </c>
      <c r="EP92" t="s">
        <v>209</v>
      </c>
      <c r="EQ92">
        <v>2022</v>
      </c>
      <c r="ER92">
        <v>2022</v>
      </c>
      <c r="ES92" t="s">
        <v>178</v>
      </c>
    </row>
    <row r="93" spans="1:149" x14ac:dyDescent="0.45">
      <c r="A93">
        <v>183</v>
      </c>
      <c r="B93">
        <v>976866</v>
      </c>
      <c r="C93" t="s">
        <v>173</v>
      </c>
      <c r="D93" t="s">
        <v>224</v>
      </c>
      <c r="E93" t="s">
        <v>175</v>
      </c>
      <c r="F93" t="s">
        <v>299</v>
      </c>
      <c r="I93" t="s">
        <v>177</v>
      </c>
      <c r="J93" t="s">
        <v>179</v>
      </c>
      <c r="K93" t="s">
        <v>178</v>
      </c>
      <c r="O93" t="s">
        <v>179</v>
      </c>
      <c r="P93" t="s">
        <v>178</v>
      </c>
      <c r="Q93" t="s">
        <v>259</v>
      </c>
      <c r="R93" t="s">
        <v>200</v>
      </c>
      <c r="S93" s="6">
        <v>44495</v>
      </c>
      <c r="T93" t="s">
        <v>537</v>
      </c>
      <c r="U93" t="s">
        <v>178</v>
      </c>
      <c r="V93">
        <v>0</v>
      </c>
      <c r="W93">
        <v>19</v>
      </c>
      <c r="X93" t="s">
        <v>227</v>
      </c>
      <c r="AA93" t="s">
        <v>178</v>
      </c>
      <c r="AB93" t="s">
        <v>538</v>
      </c>
      <c r="AC93">
        <v>2700</v>
      </c>
      <c r="AD93" t="s">
        <v>178</v>
      </c>
      <c r="AE93" t="s">
        <v>539</v>
      </c>
      <c r="AF93" t="s">
        <v>178</v>
      </c>
      <c r="AL93" t="s">
        <v>219</v>
      </c>
      <c r="AM93" t="s">
        <v>55</v>
      </c>
      <c r="AN93" t="s">
        <v>187</v>
      </c>
      <c r="AO93">
        <v>40</v>
      </c>
      <c r="AT93" s="6"/>
      <c r="AZ93" t="s">
        <v>192</v>
      </c>
      <c r="CA93" t="s">
        <v>178</v>
      </c>
      <c r="CG93" t="s">
        <v>178</v>
      </c>
      <c r="CH93" s="6"/>
      <c r="CJ93" s="6"/>
      <c r="DC93" t="s">
        <v>179</v>
      </c>
      <c r="DT93">
        <v>34</v>
      </c>
      <c r="DU93" t="s">
        <v>179</v>
      </c>
      <c r="DV93" t="s">
        <v>220</v>
      </c>
      <c r="DW93" t="s">
        <v>178</v>
      </c>
      <c r="DX93" t="s">
        <v>178</v>
      </c>
      <c r="DY93" t="s">
        <v>178</v>
      </c>
      <c r="DZ93" t="s">
        <v>178</v>
      </c>
      <c r="EA93" t="s">
        <v>178</v>
      </c>
      <c r="EB93" t="s">
        <v>178</v>
      </c>
      <c r="EE93" t="s">
        <v>178</v>
      </c>
      <c r="EF93" t="s">
        <v>178</v>
      </c>
      <c r="EG93" t="s">
        <v>178</v>
      </c>
      <c r="EH93" t="s">
        <v>178</v>
      </c>
      <c r="EI93" t="s">
        <v>178</v>
      </c>
      <c r="EJ93" t="s">
        <v>178</v>
      </c>
      <c r="EK93">
        <v>10</v>
      </c>
      <c r="EL93" t="s">
        <v>290</v>
      </c>
      <c r="EM93">
        <v>2021</v>
      </c>
      <c r="EN93">
        <v>2022</v>
      </c>
      <c r="EO93">
        <v>10</v>
      </c>
      <c r="EP93" t="s">
        <v>290</v>
      </c>
      <c r="EQ93">
        <v>2022</v>
      </c>
      <c r="ER93">
        <v>2022</v>
      </c>
      <c r="ES93" t="s">
        <v>178</v>
      </c>
    </row>
    <row r="94" spans="1:149" x14ac:dyDescent="0.45">
      <c r="A94">
        <v>322</v>
      </c>
      <c r="B94">
        <v>976609</v>
      </c>
      <c r="C94" t="s">
        <v>173</v>
      </c>
      <c r="D94" t="s">
        <v>210</v>
      </c>
      <c r="E94" t="s">
        <v>175</v>
      </c>
      <c r="F94" t="s">
        <v>176</v>
      </c>
      <c r="I94" t="s">
        <v>177</v>
      </c>
      <c r="J94" t="s">
        <v>179</v>
      </c>
      <c r="K94" t="s">
        <v>179</v>
      </c>
      <c r="L94" t="s">
        <v>71</v>
      </c>
      <c r="N94" t="s">
        <v>213</v>
      </c>
      <c r="O94" t="s">
        <v>178</v>
      </c>
      <c r="P94" t="s">
        <v>214</v>
      </c>
      <c r="Q94" t="s">
        <v>180</v>
      </c>
      <c r="R94" t="s">
        <v>215</v>
      </c>
      <c r="S94" s="6">
        <v>44323</v>
      </c>
      <c r="T94" t="s">
        <v>540</v>
      </c>
      <c r="U94" t="s">
        <v>178</v>
      </c>
      <c r="V94">
        <v>0</v>
      </c>
      <c r="W94">
        <v>0</v>
      </c>
      <c r="X94" t="s">
        <v>314</v>
      </c>
      <c r="Z94" t="s">
        <v>315</v>
      </c>
      <c r="AA94" t="s">
        <v>178</v>
      </c>
      <c r="AB94" t="s">
        <v>184</v>
      </c>
      <c r="AC94">
        <v>600</v>
      </c>
      <c r="AD94" t="s">
        <v>178</v>
      </c>
      <c r="AE94" t="s">
        <v>218</v>
      </c>
      <c r="AF94" t="s">
        <v>178</v>
      </c>
      <c r="AG94" t="s">
        <v>178</v>
      </c>
      <c r="AH94" t="s">
        <v>178</v>
      </c>
      <c r="AL94" t="s">
        <v>219</v>
      </c>
      <c r="AT94" s="6"/>
      <c r="AZ94" t="s">
        <v>192</v>
      </c>
      <c r="CA94" t="s">
        <v>179</v>
      </c>
      <c r="CG94" t="s">
        <v>178</v>
      </c>
      <c r="CH94" s="6"/>
      <c r="CL94" s="6"/>
      <c r="CQ94" s="6"/>
      <c r="DT94">
        <v>24</v>
      </c>
      <c r="DU94" t="s">
        <v>179</v>
      </c>
      <c r="DV94" t="s">
        <v>220</v>
      </c>
      <c r="DW94" t="s">
        <v>178</v>
      </c>
      <c r="DX94" t="s">
        <v>178</v>
      </c>
      <c r="DY94" t="s">
        <v>178</v>
      </c>
      <c r="DZ94" t="s">
        <v>178</v>
      </c>
      <c r="EA94" t="s">
        <v>179</v>
      </c>
      <c r="EB94" t="s">
        <v>178</v>
      </c>
      <c r="EE94" t="s">
        <v>178</v>
      </c>
      <c r="EF94" t="s">
        <v>178</v>
      </c>
      <c r="EG94" t="s">
        <v>178</v>
      </c>
      <c r="EH94" t="s">
        <v>178</v>
      </c>
      <c r="EI94" t="s">
        <v>178</v>
      </c>
      <c r="EJ94" t="s">
        <v>178</v>
      </c>
      <c r="EK94">
        <v>5</v>
      </c>
      <c r="EL94" t="s">
        <v>208</v>
      </c>
      <c r="EM94">
        <v>2021</v>
      </c>
      <c r="EN94">
        <v>2021</v>
      </c>
      <c r="EO94">
        <v>5</v>
      </c>
      <c r="EP94" t="s">
        <v>208</v>
      </c>
      <c r="EQ94">
        <v>2021</v>
      </c>
      <c r="ER94">
        <v>2021</v>
      </c>
      <c r="ES94" t="s">
        <v>178</v>
      </c>
    </row>
    <row r="95" spans="1:149" x14ac:dyDescent="0.45">
      <c r="A95">
        <v>1896</v>
      </c>
      <c r="B95">
        <v>977300</v>
      </c>
      <c r="C95" t="s">
        <v>173</v>
      </c>
      <c r="D95" t="s">
        <v>174</v>
      </c>
      <c r="E95" t="s">
        <v>175</v>
      </c>
      <c r="F95" t="s">
        <v>394</v>
      </c>
      <c r="I95" t="s">
        <v>177</v>
      </c>
      <c r="J95" t="s">
        <v>178</v>
      </c>
      <c r="K95" t="s">
        <v>178</v>
      </c>
      <c r="O95" t="s">
        <v>178</v>
      </c>
      <c r="P95" t="s">
        <v>179</v>
      </c>
      <c r="Q95" t="s">
        <v>180</v>
      </c>
      <c r="S95" s="6">
        <v>44805</v>
      </c>
      <c r="T95" t="s">
        <v>541</v>
      </c>
      <c r="U95" t="s">
        <v>178</v>
      </c>
      <c r="X95" t="s">
        <v>227</v>
      </c>
      <c r="Z95" t="s">
        <v>66</v>
      </c>
      <c r="AA95" t="s">
        <v>178</v>
      </c>
      <c r="AB95" t="s">
        <v>184</v>
      </c>
      <c r="AC95">
        <v>1600</v>
      </c>
      <c r="AD95" t="s">
        <v>178</v>
      </c>
      <c r="AE95" t="s">
        <v>185</v>
      </c>
      <c r="AF95" t="s">
        <v>178</v>
      </c>
      <c r="AG95" t="s">
        <v>178</v>
      </c>
      <c r="AH95" t="s">
        <v>178</v>
      </c>
      <c r="AI95" t="s">
        <v>396</v>
      </c>
      <c r="AJ95" t="s">
        <v>178</v>
      </c>
      <c r="AK95" t="s">
        <v>56</v>
      </c>
      <c r="AL95" t="s">
        <v>186</v>
      </c>
      <c r="AM95" t="s">
        <v>56</v>
      </c>
      <c r="AN95" t="s">
        <v>187</v>
      </c>
      <c r="AP95" t="s">
        <v>233</v>
      </c>
      <c r="AQ95" t="s">
        <v>178</v>
      </c>
      <c r="AT95" s="6" t="s">
        <v>189</v>
      </c>
      <c r="AU95" t="s">
        <v>482</v>
      </c>
      <c r="AV95" t="s">
        <v>542</v>
      </c>
      <c r="AX95" t="s">
        <v>178</v>
      </c>
      <c r="AY95" t="s">
        <v>122</v>
      </c>
      <c r="AZ95" t="s">
        <v>192</v>
      </c>
      <c r="CA95" t="s">
        <v>179</v>
      </c>
      <c r="CG95" t="s">
        <v>178</v>
      </c>
      <c r="CH95" s="6">
        <v>44802</v>
      </c>
      <c r="CI95" s="6" t="s">
        <v>179</v>
      </c>
      <c r="CJ95" s="6" t="s">
        <v>193</v>
      </c>
      <c r="DA95" t="s">
        <v>179</v>
      </c>
      <c r="DB95" t="s">
        <v>194</v>
      </c>
      <c r="DR95" t="s">
        <v>195</v>
      </c>
      <c r="DT95">
        <v>20</v>
      </c>
      <c r="DU95" t="s">
        <v>179</v>
      </c>
      <c r="DW95" t="s">
        <v>179</v>
      </c>
      <c r="DX95" t="s">
        <v>178</v>
      </c>
      <c r="DY95" t="s">
        <v>179</v>
      </c>
      <c r="DZ95" t="s">
        <v>178</v>
      </c>
      <c r="EA95" t="s">
        <v>179</v>
      </c>
      <c r="EB95" t="s">
        <v>179</v>
      </c>
      <c r="EE95" t="s">
        <v>179</v>
      </c>
      <c r="EF95" t="s">
        <v>178</v>
      </c>
      <c r="EG95" t="s">
        <v>178</v>
      </c>
      <c r="EH95" t="s">
        <v>178</v>
      </c>
      <c r="EI95" t="s">
        <v>178</v>
      </c>
      <c r="EJ95" t="s">
        <v>178</v>
      </c>
      <c r="EK95">
        <v>8</v>
      </c>
      <c r="EL95" t="s">
        <v>196</v>
      </c>
      <c r="EM95">
        <v>2022</v>
      </c>
      <c r="EN95">
        <v>2023</v>
      </c>
      <c r="EO95">
        <v>9</v>
      </c>
      <c r="EP95" t="s">
        <v>196</v>
      </c>
      <c r="EQ95">
        <v>2023</v>
      </c>
      <c r="ER95">
        <v>2023</v>
      </c>
      <c r="ES95" t="s">
        <v>178</v>
      </c>
    </row>
    <row r="96" spans="1:149" x14ac:dyDescent="0.45">
      <c r="A96">
        <v>18</v>
      </c>
      <c r="B96">
        <v>977109</v>
      </c>
      <c r="C96" t="s">
        <v>173</v>
      </c>
      <c r="D96" t="s">
        <v>224</v>
      </c>
      <c r="E96" t="s">
        <v>175</v>
      </c>
      <c r="F96" t="s">
        <v>176</v>
      </c>
      <c r="I96" t="s">
        <v>177</v>
      </c>
      <c r="J96" t="s">
        <v>178</v>
      </c>
      <c r="K96" t="s">
        <v>178</v>
      </c>
      <c r="L96" t="s">
        <v>543</v>
      </c>
      <c r="M96" t="s">
        <v>199</v>
      </c>
      <c r="O96" t="s">
        <v>178</v>
      </c>
      <c r="P96" t="s">
        <v>178</v>
      </c>
      <c r="Q96" t="s">
        <v>180</v>
      </c>
      <c r="R96" t="s">
        <v>200</v>
      </c>
      <c r="S96" s="6">
        <v>44680</v>
      </c>
      <c r="T96" t="s">
        <v>544</v>
      </c>
      <c r="U96" t="s">
        <v>179</v>
      </c>
      <c r="V96">
        <v>0</v>
      </c>
      <c r="W96">
        <v>11.75</v>
      </c>
      <c r="X96" t="s">
        <v>423</v>
      </c>
      <c r="Z96" t="s">
        <v>302</v>
      </c>
      <c r="AA96" t="s">
        <v>178</v>
      </c>
      <c r="AB96" t="s">
        <v>184</v>
      </c>
      <c r="AC96">
        <v>0</v>
      </c>
      <c r="AD96" t="s">
        <v>179</v>
      </c>
      <c r="AE96" t="s">
        <v>204</v>
      </c>
      <c r="AF96" t="s">
        <v>178</v>
      </c>
      <c r="AG96" t="s">
        <v>179</v>
      </c>
      <c r="AH96" t="s">
        <v>178</v>
      </c>
      <c r="AJ96" t="s">
        <v>179</v>
      </c>
      <c r="AK96" t="s">
        <v>56</v>
      </c>
      <c r="AL96" t="s">
        <v>254</v>
      </c>
      <c r="AM96" t="s">
        <v>56</v>
      </c>
      <c r="AN96" t="s">
        <v>187</v>
      </c>
      <c r="AO96">
        <v>35</v>
      </c>
      <c r="AP96" t="s">
        <v>205</v>
      </c>
      <c r="AT96" s="6"/>
      <c r="AZ96" t="s">
        <v>192</v>
      </c>
      <c r="CA96" t="s">
        <v>178</v>
      </c>
      <c r="CG96" t="s">
        <v>178</v>
      </c>
      <c r="CH96" s="6">
        <v>44683</v>
      </c>
      <c r="CI96" s="6"/>
      <c r="CJ96" s="6"/>
      <c r="DB96" t="s">
        <v>194</v>
      </c>
      <c r="DT96">
        <v>45</v>
      </c>
      <c r="DU96" t="s">
        <v>179</v>
      </c>
      <c r="DV96" t="s">
        <v>220</v>
      </c>
      <c r="DW96" t="s">
        <v>179</v>
      </c>
      <c r="DX96" t="s">
        <v>178</v>
      </c>
      <c r="DY96" t="s">
        <v>179</v>
      </c>
      <c r="DZ96" t="s">
        <v>178</v>
      </c>
      <c r="EA96" t="s">
        <v>178</v>
      </c>
      <c r="EB96" t="s">
        <v>179</v>
      </c>
      <c r="EE96" t="s">
        <v>179</v>
      </c>
      <c r="EF96" t="s">
        <v>178</v>
      </c>
      <c r="EG96" t="s">
        <v>178</v>
      </c>
      <c r="EH96" t="s">
        <v>178</v>
      </c>
      <c r="EI96" t="s">
        <v>178</v>
      </c>
      <c r="EJ96" t="s">
        <v>178</v>
      </c>
      <c r="EK96">
        <v>5</v>
      </c>
      <c r="EL96" t="s">
        <v>208</v>
      </c>
      <c r="EM96">
        <v>2022</v>
      </c>
      <c r="EN96">
        <v>2022</v>
      </c>
      <c r="EO96">
        <v>4</v>
      </c>
      <c r="EP96" t="s">
        <v>208</v>
      </c>
      <c r="EQ96">
        <v>2022</v>
      </c>
      <c r="ER96">
        <v>2022</v>
      </c>
      <c r="ES96" t="s">
        <v>178</v>
      </c>
    </row>
    <row r="97" spans="1:149" x14ac:dyDescent="0.45">
      <c r="A97">
        <v>476</v>
      </c>
      <c r="B97">
        <v>976335</v>
      </c>
      <c r="C97" t="s">
        <v>173</v>
      </c>
      <c r="D97" t="s">
        <v>210</v>
      </c>
      <c r="E97" t="s">
        <v>175</v>
      </c>
      <c r="F97" t="s">
        <v>176</v>
      </c>
      <c r="I97" t="s">
        <v>177</v>
      </c>
      <c r="J97" t="s">
        <v>179</v>
      </c>
      <c r="K97" t="s">
        <v>179</v>
      </c>
      <c r="L97" t="s">
        <v>71</v>
      </c>
      <c r="N97" t="s">
        <v>213</v>
      </c>
      <c r="O97" t="s">
        <v>178</v>
      </c>
      <c r="P97" t="s">
        <v>214</v>
      </c>
      <c r="Q97" t="s">
        <v>180</v>
      </c>
      <c r="R97" t="s">
        <v>215</v>
      </c>
      <c r="S97" s="6">
        <v>44160</v>
      </c>
      <c r="T97" t="s">
        <v>545</v>
      </c>
      <c r="U97" t="s">
        <v>178</v>
      </c>
      <c r="V97">
        <v>0</v>
      </c>
      <c r="W97">
        <v>0</v>
      </c>
      <c r="X97" t="s">
        <v>328</v>
      </c>
      <c r="Z97" t="s">
        <v>329</v>
      </c>
      <c r="AA97" t="s">
        <v>178</v>
      </c>
      <c r="AB97" t="s">
        <v>184</v>
      </c>
      <c r="AC97">
        <v>900</v>
      </c>
      <c r="AD97" t="s">
        <v>178</v>
      </c>
      <c r="AE97" t="s">
        <v>249</v>
      </c>
      <c r="AF97" t="s">
        <v>178</v>
      </c>
      <c r="AG97" t="s">
        <v>178</v>
      </c>
      <c r="AK97" t="s">
        <v>55</v>
      </c>
      <c r="AL97" t="s">
        <v>219</v>
      </c>
      <c r="AO97">
        <v>0</v>
      </c>
      <c r="AT97" s="6"/>
      <c r="AZ97" t="s">
        <v>192</v>
      </c>
      <c r="CA97" t="s">
        <v>178</v>
      </c>
      <c r="CG97" t="s">
        <v>178</v>
      </c>
      <c r="CH97" s="6">
        <v>44165</v>
      </c>
      <c r="CI97" s="6"/>
      <c r="CJ97" s="6"/>
      <c r="DB97" t="s">
        <v>194</v>
      </c>
      <c r="DC97" t="s">
        <v>179</v>
      </c>
      <c r="DT97">
        <v>30</v>
      </c>
      <c r="DU97" t="s">
        <v>179</v>
      </c>
      <c r="DV97" t="s">
        <v>220</v>
      </c>
      <c r="DW97" t="s">
        <v>179</v>
      </c>
      <c r="DX97" t="s">
        <v>178</v>
      </c>
      <c r="DY97" t="s">
        <v>179</v>
      </c>
      <c r="DZ97" t="s">
        <v>178</v>
      </c>
      <c r="EA97" t="s">
        <v>178</v>
      </c>
      <c r="EB97" t="s">
        <v>178</v>
      </c>
      <c r="EE97" t="s">
        <v>178</v>
      </c>
      <c r="EF97" t="s">
        <v>178</v>
      </c>
      <c r="EG97" t="s">
        <v>178</v>
      </c>
      <c r="EH97" t="s">
        <v>178</v>
      </c>
      <c r="EI97" t="s">
        <v>178</v>
      </c>
      <c r="EJ97" t="s">
        <v>178</v>
      </c>
      <c r="EK97">
        <v>11</v>
      </c>
      <c r="EL97" t="s">
        <v>290</v>
      </c>
      <c r="EM97">
        <v>2020</v>
      </c>
      <c r="EN97">
        <v>2021</v>
      </c>
      <c r="EO97">
        <v>11</v>
      </c>
      <c r="EP97" t="s">
        <v>290</v>
      </c>
      <c r="EQ97">
        <v>2021</v>
      </c>
      <c r="ER97">
        <v>2021</v>
      </c>
      <c r="ES97" t="s">
        <v>178</v>
      </c>
    </row>
    <row r="98" spans="1:149" x14ac:dyDescent="0.45">
      <c r="A98">
        <v>1722</v>
      </c>
      <c r="B98">
        <v>977090</v>
      </c>
      <c r="C98" t="s">
        <v>173</v>
      </c>
      <c r="D98" t="s">
        <v>224</v>
      </c>
      <c r="E98" t="s">
        <v>175</v>
      </c>
      <c r="F98" t="s">
        <v>176</v>
      </c>
      <c r="I98" t="s">
        <v>177</v>
      </c>
      <c r="J98" t="s">
        <v>179</v>
      </c>
      <c r="K98" t="s">
        <v>179</v>
      </c>
      <c r="L98" t="s">
        <v>546</v>
      </c>
      <c r="M98" t="s">
        <v>235</v>
      </c>
      <c r="O98" t="s">
        <v>178</v>
      </c>
      <c r="P98" t="s">
        <v>178</v>
      </c>
      <c r="Q98" t="s">
        <v>180</v>
      </c>
      <c r="R98" t="s">
        <v>200</v>
      </c>
      <c r="S98" s="6">
        <v>44663</v>
      </c>
      <c r="T98" t="s">
        <v>547</v>
      </c>
      <c r="U98" t="s">
        <v>178</v>
      </c>
      <c r="V98">
        <v>0</v>
      </c>
      <c r="W98">
        <v>0</v>
      </c>
      <c r="Z98" t="s">
        <v>302</v>
      </c>
      <c r="AA98" t="s">
        <v>178</v>
      </c>
      <c r="AB98" t="s">
        <v>184</v>
      </c>
      <c r="AC98">
        <v>0</v>
      </c>
      <c r="AD98" t="s">
        <v>179</v>
      </c>
      <c r="AE98" t="s">
        <v>204</v>
      </c>
      <c r="AF98" t="s">
        <v>178</v>
      </c>
      <c r="AG98" t="s">
        <v>178</v>
      </c>
      <c r="AH98" t="s">
        <v>178</v>
      </c>
      <c r="AL98" t="s">
        <v>219</v>
      </c>
      <c r="AM98" t="s">
        <v>56</v>
      </c>
      <c r="AN98" t="s">
        <v>187</v>
      </c>
      <c r="AO98">
        <v>40</v>
      </c>
      <c r="AP98" t="s">
        <v>205</v>
      </c>
      <c r="AT98" s="6"/>
      <c r="AZ98" t="s">
        <v>192</v>
      </c>
      <c r="CA98" t="s">
        <v>178</v>
      </c>
      <c r="CG98" t="s">
        <v>178</v>
      </c>
      <c r="CH98" s="6"/>
      <c r="DT98">
        <v>34</v>
      </c>
      <c r="DU98" t="s">
        <v>179</v>
      </c>
      <c r="DV98" t="s">
        <v>220</v>
      </c>
      <c r="DW98" t="s">
        <v>178</v>
      </c>
      <c r="DX98" t="s">
        <v>178</v>
      </c>
      <c r="DY98" t="s">
        <v>178</v>
      </c>
      <c r="DZ98" t="s">
        <v>178</v>
      </c>
      <c r="EA98" t="s">
        <v>178</v>
      </c>
      <c r="EB98" t="s">
        <v>178</v>
      </c>
      <c r="EE98" t="s">
        <v>178</v>
      </c>
      <c r="EF98" t="s">
        <v>178</v>
      </c>
      <c r="EG98" t="s">
        <v>178</v>
      </c>
      <c r="EH98" t="s">
        <v>178</v>
      </c>
      <c r="EI98" t="s">
        <v>178</v>
      </c>
      <c r="EJ98" t="s">
        <v>178</v>
      </c>
      <c r="EK98">
        <v>4</v>
      </c>
      <c r="EL98" t="s">
        <v>208</v>
      </c>
      <c r="EM98">
        <v>2022</v>
      </c>
      <c r="EN98">
        <v>2022</v>
      </c>
      <c r="EO98">
        <v>4</v>
      </c>
      <c r="EP98" t="s">
        <v>208</v>
      </c>
      <c r="EQ98">
        <v>2022</v>
      </c>
      <c r="ER98">
        <v>2022</v>
      </c>
      <c r="ES98" t="s">
        <v>178</v>
      </c>
    </row>
    <row r="99" spans="1:149" x14ac:dyDescent="0.45">
      <c r="A99">
        <v>420</v>
      </c>
      <c r="B99">
        <v>976402</v>
      </c>
      <c r="C99" t="s">
        <v>173</v>
      </c>
      <c r="D99" t="s">
        <v>210</v>
      </c>
      <c r="E99" t="s">
        <v>175</v>
      </c>
      <c r="F99" t="s">
        <v>323</v>
      </c>
      <c r="H99" t="s">
        <v>548</v>
      </c>
      <c r="I99" t="s">
        <v>177</v>
      </c>
      <c r="J99" t="s">
        <v>178</v>
      </c>
      <c r="K99" t="s">
        <v>178</v>
      </c>
      <c r="L99" t="s">
        <v>71</v>
      </c>
      <c r="N99" t="s">
        <v>213</v>
      </c>
      <c r="O99" t="s">
        <v>178</v>
      </c>
      <c r="P99" t="s">
        <v>214</v>
      </c>
      <c r="Q99" t="s">
        <v>180</v>
      </c>
      <c r="R99" t="s">
        <v>215</v>
      </c>
      <c r="S99" s="6">
        <v>44231</v>
      </c>
      <c r="T99" t="s">
        <v>549</v>
      </c>
      <c r="U99" t="s">
        <v>178</v>
      </c>
      <c r="V99">
        <v>0</v>
      </c>
      <c r="W99">
        <v>0</v>
      </c>
      <c r="Z99" t="s">
        <v>217</v>
      </c>
      <c r="AA99" t="s">
        <v>178</v>
      </c>
      <c r="AB99" t="s">
        <v>184</v>
      </c>
      <c r="AC99">
        <v>0</v>
      </c>
      <c r="AD99" t="s">
        <v>179</v>
      </c>
      <c r="AE99" t="s">
        <v>218</v>
      </c>
      <c r="AF99" t="s">
        <v>178</v>
      </c>
      <c r="AG99" t="s">
        <v>178</v>
      </c>
      <c r="AL99" t="s">
        <v>219</v>
      </c>
      <c r="AO99">
        <v>0</v>
      </c>
      <c r="AT99" s="6"/>
      <c r="AZ99" t="s">
        <v>192</v>
      </c>
      <c r="CA99" t="s">
        <v>178</v>
      </c>
      <c r="CG99" t="s">
        <v>178</v>
      </c>
      <c r="CH99" s="6"/>
      <c r="CL99" s="6"/>
      <c r="CQ99" s="6"/>
      <c r="DT99">
        <v>23</v>
      </c>
      <c r="DU99" t="s">
        <v>179</v>
      </c>
      <c r="DV99" t="s">
        <v>220</v>
      </c>
      <c r="DW99" t="s">
        <v>178</v>
      </c>
      <c r="DX99" t="s">
        <v>178</v>
      </c>
      <c r="DY99" t="s">
        <v>178</v>
      </c>
      <c r="DZ99" t="s">
        <v>178</v>
      </c>
      <c r="EA99" t="s">
        <v>178</v>
      </c>
      <c r="EB99" t="s">
        <v>178</v>
      </c>
      <c r="EE99" t="s">
        <v>178</v>
      </c>
      <c r="EF99" t="s">
        <v>178</v>
      </c>
      <c r="EG99" t="s">
        <v>178</v>
      </c>
      <c r="EH99" t="s">
        <v>178</v>
      </c>
      <c r="EI99" t="s">
        <v>178</v>
      </c>
      <c r="EJ99" t="s">
        <v>178</v>
      </c>
      <c r="EK99">
        <v>2</v>
      </c>
      <c r="EL99" t="s">
        <v>209</v>
      </c>
      <c r="EM99">
        <v>2021</v>
      </c>
      <c r="EN99">
        <v>2021</v>
      </c>
      <c r="EO99">
        <v>2</v>
      </c>
      <c r="EP99" t="s">
        <v>209</v>
      </c>
      <c r="EQ99">
        <v>2021</v>
      </c>
      <c r="ER99">
        <v>2021</v>
      </c>
      <c r="ES99" t="s">
        <v>178</v>
      </c>
    </row>
    <row r="100" spans="1:149" x14ac:dyDescent="0.45">
      <c r="A100">
        <v>391</v>
      </c>
      <c r="B100">
        <v>976460</v>
      </c>
      <c r="C100" t="s">
        <v>173</v>
      </c>
      <c r="D100" t="s">
        <v>210</v>
      </c>
      <c r="E100" t="s">
        <v>175</v>
      </c>
      <c r="F100" t="s">
        <v>176</v>
      </c>
      <c r="I100" t="s">
        <v>177</v>
      </c>
      <c r="J100" t="s">
        <v>179</v>
      </c>
      <c r="K100" t="s">
        <v>179</v>
      </c>
      <c r="L100" t="s">
        <v>71</v>
      </c>
      <c r="N100" t="s">
        <v>213</v>
      </c>
      <c r="O100" t="s">
        <v>178</v>
      </c>
      <c r="P100" t="s">
        <v>214</v>
      </c>
      <c r="Q100" t="s">
        <v>180</v>
      </c>
      <c r="R100" t="s">
        <v>215</v>
      </c>
      <c r="S100" s="6">
        <v>44260</v>
      </c>
      <c r="T100" t="s">
        <v>550</v>
      </c>
      <c r="U100" t="s">
        <v>178</v>
      </c>
      <c r="V100">
        <v>0</v>
      </c>
      <c r="W100">
        <v>0</v>
      </c>
      <c r="X100" t="s">
        <v>314</v>
      </c>
      <c r="Z100" t="s">
        <v>315</v>
      </c>
      <c r="AA100" t="s">
        <v>178</v>
      </c>
      <c r="AB100" t="s">
        <v>184</v>
      </c>
      <c r="AC100">
        <v>1200</v>
      </c>
      <c r="AD100" t="s">
        <v>178</v>
      </c>
      <c r="AE100" t="s">
        <v>403</v>
      </c>
      <c r="AF100" t="s">
        <v>178</v>
      </c>
      <c r="AG100" t="s">
        <v>178</v>
      </c>
      <c r="AK100" t="s">
        <v>56</v>
      </c>
      <c r="AL100" t="s">
        <v>283</v>
      </c>
      <c r="AO100">
        <v>0</v>
      </c>
      <c r="AT100" s="6"/>
      <c r="AZ100" t="s">
        <v>192</v>
      </c>
      <c r="BA100" t="s">
        <v>551</v>
      </c>
      <c r="BB100" t="s">
        <v>240</v>
      </c>
      <c r="BC100" t="s">
        <v>348</v>
      </c>
      <c r="BD100">
        <v>16</v>
      </c>
      <c r="BE100">
        <v>40</v>
      </c>
      <c r="BF100" t="s">
        <v>179</v>
      </c>
      <c r="BG100" t="s">
        <v>179</v>
      </c>
      <c r="BH100" t="s">
        <v>178</v>
      </c>
      <c r="BI100" t="s">
        <v>178</v>
      </c>
      <c r="BJ100" t="s">
        <v>178</v>
      </c>
      <c r="BK100" t="s">
        <v>552</v>
      </c>
      <c r="BL100" t="s">
        <v>277</v>
      </c>
      <c r="BM100" t="s">
        <v>553</v>
      </c>
      <c r="BN100">
        <v>18</v>
      </c>
      <c r="BO100">
        <v>38</v>
      </c>
      <c r="BP100" t="s">
        <v>179</v>
      </c>
      <c r="BQ100" t="s">
        <v>178</v>
      </c>
      <c r="BR100" t="s">
        <v>178</v>
      </c>
      <c r="BS100" t="s">
        <v>178</v>
      </c>
      <c r="BT100" t="s">
        <v>179</v>
      </c>
      <c r="BW100" t="s">
        <v>179</v>
      </c>
      <c r="BX100" t="s">
        <v>288</v>
      </c>
      <c r="BY100" t="s">
        <v>243</v>
      </c>
      <c r="BZ100" t="s">
        <v>288</v>
      </c>
      <c r="CA100" t="s">
        <v>179</v>
      </c>
      <c r="CB100">
        <v>386</v>
      </c>
      <c r="CC100">
        <v>468</v>
      </c>
      <c r="CD100">
        <v>468</v>
      </c>
      <c r="CE100">
        <v>468</v>
      </c>
      <c r="CF100">
        <v>468</v>
      </c>
      <c r="CG100" t="s">
        <v>178</v>
      </c>
      <c r="CH100" s="6">
        <v>44270</v>
      </c>
      <c r="CI100" s="6" t="s">
        <v>179</v>
      </c>
      <c r="CJ100" s="6" t="s">
        <v>279</v>
      </c>
      <c r="CL100" s="6"/>
      <c r="CQ100" s="6"/>
      <c r="DA100" t="s">
        <v>179</v>
      </c>
      <c r="DB100" t="s">
        <v>194</v>
      </c>
      <c r="DT100">
        <v>21</v>
      </c>
      <c r="DU100" t="s">
        <v>179</v>
      </c>
      <c r="DV100" t="s">
        <v>220</v>
      </c>
      <c r="DW100" t="s">
        <v>179</v>
      </c>
      <c r="DX100" t="s">
        <v>179</v>
      </c>
      <c r="DY100" t="s">
        <v>179</v>
      </c>
      <c r="DZ100" t="s">
        <v>178</v>
      </c>
      <c r="EA100" t="s">
        <v>179</v>
      </c>
      <c r="EB100" t="s">
        <v>178</v>
      </c>
      <c r="ED100">
        <v>81</v>
      </c>
      <c r="EE100" t="s">
        <v>178</v>
      </c>
      <c r="EF100" t="s">
        <v>178</v>
      </c>
      <c r="EG100" t="s">
        <v>178</v>
      </c>
      <c r="EH100" t="s">
        <v>178</v>
      </c>
      <c r="EI100" t="s">
        <v>179</v>
      </c>
      <c r="EJ100" t="s">
        <v>178</v>
      </c>
      <c r="EK100">
        <v>3</v>
      </c>
      <c r="EL100" t="s">
        <v>209</v>
      </c>
      <c r="EM100">
        <v>2021</v>
      </c>
      <c r="EN100">
        <v>2021</v>
      </c>
      <c r="EO100">
        <v>3</v>
      </c>
      <c r="EP100" t="s">
        <v>209</v>
      </c>
      <c r="EQ100">
        <v>2021</v>
      </c>
      <c r="ER100">
        <v>2021</v>
      </c>
      <c r="ES100" t="s">
        <v>178</v>
      </c>
    </row>
    <row r="101" spans="1:149" x14ac:dyDescent="0.45">
      <c r="A101">
        <v>54</v>
      </c>
      <c r="B101">
        <v>977059</v>
      </c>
      <c r="C101" t="s">
        <v>173</v>
      </c>
      <c r="D101" t="s">
        <v>224</v>
      </c>
      <c r="E101" t="s">
        <v>175</v>
      </c>
      <c r="F101" t="s">
        <v>554</v>
      </c>
      <c r="I101" t="s">
        <v>177</v>
      </c>
      <c r="J101" t="s">
        <v>179</v>
      </c>
      <c r="K101" t="s">
        <v>178</v>
      </c>
      <c r="L101" t="s">
        <v>421</v>
      </c>
      <c r="M101" t="s">
        <v>199</v>
      </c>
      <c r="O101" t="s">
        <v>178</v>
      </c>
      <c r="P101" t="s">
        <v>178</v>
      </c>
      <c r="Q101" t="s">
        <v>259</v>
      </c>
      <c r="R101" t="s">
        <v>200</v>
      </c>
      <c r="S101" s="6">
        <v>44651</v>
      </c>
      <c r="T101" t="s">
        <v>555</v>
      </c>
      <c r="U101" t="s">
        <v>178</v>
      </c>
      <c r="V101">
        <v>0</v>
      </c>
      <c r="W101">
        <v>11.75</v>
      </c>
      <c r="X101" t="s">
        <v>227</v>
      </c>
      <c r="AA101" t="s">
        <v>178</v>
      </c>
      <c r="AB101" t="s">
        <v>184</v>
      </c>
      <c r="AC101">
        <v>1500</v>
      </c>
      <c r="AD101" t="s">
        <v>178</v>
      </c>
      <c r="AE101" t="s">
        <v>204</v>
      </c>
      <c r="AF101" t="s">
        <v>178</v>
      </c>
      <c r="AG101" t="s">
        <v>179</v>
      </c>
      <c r="AK101" t="s">
        <v>56</v>
      </c>
      <c r="AL101" t="s">
        <v>237</v>
      </c>
      <c r="AM101" t="s">
        <v>56</v>
      </c>
      <c r="AN101" t="s">
        <v>187</v>
      </c>
      <c r="AP101" t="s">
        <v>205</v>
      </c>
      <c r="AT101" s="6"/>
      <c r="AZ101" t="s">
        <v>192</v>
      </c>
      <c r="BA101" t="s">
        <v>556</v>
      </c>
      <c r="BB101" t="s">
        <v>240</v>
      </c>
      <c r="BC101" t="s">
        <v>557</v>
      </c>
      <c r="BD101">
        <v>15</v>
      </c>
      <c r="BE101">
        <v>40</v>
      </c>
      <c r="BF101" t="s">
        <v>179</v>
      </c>
      <c r="BG101" t="s">
        <v>178</v>
      </c>
      <c r="BH101" t="s">
        <v>178</v>
      </c>
      <c r="BI101" t="s">
        <v>178</v>
      </c>
      <c r="BJ101" t="s">
        <v>178</v>
      </c>
      <c r="BK101" t="s">
        <v>556</v>
      </c>
      <c r="BL101" t="s">
        <v>240</v>
      </c>
      <c r="BM101" t="s">
        <v>557</v>
      </c>
      <c r="BN101">
        <v>15</v>
      </c>
      <c r="BO101">
        <v>40</v>
      </c>
      <c r="BP101" t="s">
        <v>179</v>
      </c>
      <c r="BQ101" t="s">
        <v>178</v>
      </c>
      <c r="BR101" t="s">
        <v>178</v>
      </c>
      <c r="BS101" t="s">
        <v>178</v>
      </c>
      <c r="BT101" t="s">
        <v>178</v>
      </c>
      <c r="CA101" t="s">
        <v>178</v>
      </c>
      <c r="CG101" t="s">
        <v>179</v>
      </c>
      <c r="CH101" s="6">
        <v>44683</v>
      </c>
      <c r="CI101" s="6" t="s">
        <v>179</v>
      </c>
      <c r="CJ101" s="6" t="s">
        <v>356</v>
      </c>
      <c r="DA101" t="s">
        <v>179</v>
      </c>
      <c r="DB101" t="s">
        <v>194</v>
      </c>
      <c r="DT101">
        <v>24</v>
      </c>
      <c r="DU101" t="s">
        <v>179</v>
      </c>
      <c r="DV101" t="s">
        <v>220</v>
      </c>
      <c r="DW101" t="s">
        <v>179</v>
      </c>
      <c r="DX101" t="s">
        <v>179</v>
      </c>
      <c r="DY101" t="s">
        <v>179</v>
      </c>
      <c r="DZ101" t="s">
        <v>178</v>
      </c>
      <c r="EA101" t="s">
        <v>179</v>
      </c>
      <c r="EB101" t="s">
        <v>178</v>
      </c>
      <c r="ED101">
        <v>130</v>
      </c>
      <c r="EE101" t="s">
        <v>178</v>
      </c>
      <c r="EF101" t="s">
        <v>178</v>
      </c>
      <c r="EG101" t="s">
        <v>178</v>
      </c>
      <c r="EH101" t="s">
        <v>178</v>
      </c>
      <c r="EI101" t="s">
        <v>179</v>
      </c>
      <c r="EJ101" t="s">
        <v>178</v>
      </c>
      <c r="EK101">
        <v>5</v>
      </c>
      <c r="EL101" t="s">
        <v>208</v>
      </c>
      <c r="EM101">
        <v>2022</v>
      </c>
      <c r="EN101">
        <v>2022</v>
      </c>
      <c r="EO101">
        <v>3</v>
      </c>
      <c r="EP101" t="s">
        <v>209</v>
      </c>
      <c r="EQ101">
        <v>2022</v>
      </c>
      <c r="ER101">
        <v>2022</v>
      </c>
      <c r="ES101" t="s">
        <v>178</v>
      </c>
    </row>
    <row r="102" spans="1:149" x14ac:dyDescent="0.45">
      <c r="A102">
        <v>345</v>
      </c>
      <c r="B102">
        <v>976562</v>
      </c>
      <c r="C102" t="s">
        <v>173</v>
      </c>
      <c r="D102" t="s">
        <v>210</v>
      </c>
      <c r="E102" t="s">
        <v>175</v>
      </c>
      <c r="F102" t="s">
        <v>299</v>
      </c>
      <c r="I102" t="s">
        <v>177</v>
      </c>
      <c r="J102" t="s">
        <v>178</v>
      </c>
      <c r="K102" t="s">
        <v>178</v>
      </c>
      <c r="L102" t="s">
        <v>71</v>
      </c>
      <c r="N102" t="s">
        <v>213</v>
      </c>
      <c r="O102" t="s">
        <v>178</v>
      </c>
      <c r="P102" t="s">
        <v>214</v>
      </c>
      <c r="Q102" t="s">
        <v>180</v>
      </c>
      <c r="R102" t="s">
        <v>215</v>
      </c>
      <c r="S102" s="6">
        <v>44305</v>
      </c>
      <c r="T102" t="s">
        <v>558</v>
      </c>
      <c r="U102" t="s">
        <v>178</v>
      </c>
      <c r="V102">
        <v>0</v>
      </c>
      <c r="W102">
        <v>0</v>
      </c>
      <c r="Z102" t="s">
        <v>272</v>
      </c>
      <c r="AA102" t="s">
        <v>178</v>
      </c>
      <c r="AB102" t="s">
        <v>184</v>
      </c>
      <c r="AC102">
        <v>0</v>
      </c>
      <c r="AD102" t="s">
        <v>178</v>
      </c>
      <c r="AE102" t="s">
        <v>218</v>
      </c>
      <c r="AF102" t="s">
        <v>178</v>
      </c>
      <c r="AG102" t="s">
        <v>178</v>
      </c>
      <c r="AH102" t="s">
        <v>178</v>
      </c>
      <c r="AK102" t="s">
        <v>56</v>
      </c>
      <c r="AL102" t="s">
        <v>228</v>
      </c>
      <c r="AT102" s="6"/>
      <c r="AZ102" t="s">
        <v>192</v>
      </c>
      <c r="CA102" t="s">
        <v>178</v>
      </c>
      <c r="CG102" t="s">
        <v>178</v>
      </c>
      <c r="CH102" s="6">
        <v>44305</v>
      </c>
      <c r="CI102" s="6" t="s">
        <v>179</v>
      </c>
      <c r="CJ102" s="6" t="s">
        <v>385</v>
      </c>
      <c r="DA102" t="s">
        <v>179</v>
      </c>
      <c r="DB102" t="s">
        <v>194</v>
      </c>
      <c r="DC102" t="s">
        <v>179</v>
      </c>
      <c r="DR102" t="s">
        <v>230</v>
      </c>
      <c r="DT102">
        <v>25</v>
      </c>
      <c r="DU102" t="s">
        <v>179</v>
      </c>
      <c r="DV102" t="s">
        <v>220</v>
      </c>
      <c r="DW102" t="s">
        <v>179</v>
      </c>
      <c r="DX102" t="s">
        <v>178</v>
      </c>
      <c r="DY102" t="s">
        <v>179</v>
      </c>
      <c r="DZ102" t="s">
        <v>178</v>
      </c>
      <c r="EA102" t="s">
        <v>178</v>
      </c>
      <c r="EB102" t="s">
        <v>178</v>
      </c>
      <c r="EE102" t="s">
        <v>178</v>
      </c>
      <c r="EF102" t="s">
        <v>178</v>
      </c>
      <c r="EG102" t="s">
        <v>178</v>
      </c>
      <c r="EH102" t="s">
        <v>178</v>
      </c>
      <c r="EI102" t="s">
        <v>178</v>
      </c>
      <c r="EJ102" t="s">
        <v>178</v>
      </c>
      <c r="EK102">
        <v>4</v>
      </c>
      <c r="EL102" t="s">
        <v>208</v>
      </c>
      <c r="EM102">
        <v>2021</v>
      </c>
      <c r="EN102">
        <v>2021</v>
      </c>
      <c r="EO102">
        <v>4</v>
      </c>
      <c r="EP102" t="s">
        <v>208</v>
      </c>
      <c r="EQ102">
        <v>2021</v>
      </c>
      <c r="ER102">
        <v>2021</v>
      </c>
      <c r="ES102" t="s">
        <v>178</v>
      </c>
    </row>
    <row r="103" spans="1:149" x14ac:dyDescent="0.45">
      <c r="A103">
        <v>340</v>
      </c>
      <c r="B103">
        <v>976581</v>
      </c>
      <c r="C103" t="s">
        <v>173</v>
      </c>
      <c r="D103" t="s">
        <v>210</v>
      </c>
      <c r="E103" t="s">
        <v>175</v>
      </c>
      <c r="F103" t="s">
        <v>176</v>
      </c>
      <c r="G103" t="s">
        <v>559</v>
      </c>
      <c r="I103" t="s">
        <v>177</v>
      </c>
      <c r="J103" t="s">
        <v>178</v>
      </c>
      <c r="K103" t="s">
        <v>178</v>
      </c>
      <c r="L103" t="s">
        <v>71</v>
      </c>
      <c r="N103" t="s">
        <v>213</v>
      </c>
      <c r="O103" t="s">
        <v>178</v>
      </c>
      <c r="P103" t="s">
        <v>214</v>
      </c>
      <c r="Q103" t="s">
        <v>259</v>
      </c>
      <c r="R103" t="s">
        <v>215</v>
      </c>
      <c r="S103" s="6">
        <v>44305</v>
      </c>
      <c r="T103" t="s">
        <v>560</v>
      </c>
      <c r="U103" t="s">
        <v>178</v>
      </c>
      <c r="V103">
        <v>0</v>
      </c>
      <c r="W103">
        <v>0</v>
      </c>
      <c r="AA103" t="s">
        <v>178</v>
      </c>
      <c r="AB103" t="s">
        <v>316</v>
      </c>
      <c r="AC103">
        <v>0</v>
      </c>
      <c r="AD103" t="s">
        <v>178</v>
      </c>
      <c r="AE103" t="s">
        <v>249</v>
      </c>
      <c r="AF103" t="s">
        <v>178</v>
      </c>
      <c r="AG103" t="s">
        <v>178</v>
      </c>
      <c r="AH103" t="s">
        <v>178</v>
      </c>
      <c r="AK103" t="s">
        <v>54</v>
      </c>
      <c r="AL103" t="s">
        <v>561</v>
      </c>
      <c r="AO103">
        <v>0</v>
      </c>
      <c r="AT103" s="6"/>
      <c r="AZ103" t="s">
        <v>192</v>
      </c>
      <c r="CA103" t="s">
        <v>178</v>
      </c>
      <c r="CG103" t="s">
        <v>178</v>
      </c>
      <c r="CH103" s="6">
        <v>44305</v>
      </c>
      <c r="CI103" s="6"/>
      <c r="CJ103" s="6"/>
      <c r="CK103" t="s">
        <v>179</v>
      </c>
      <c r="CL103" s="6" t="s">
        <v>298</v>
      </c>
      <c r="CQ103" s="6"/>
      <c r="DA103" t="s">
        <v>179</v>
      </c>
      <c r="DB103" t="s">
        <v>194</v>
      </c>
      <c r="DT103">
        <v>21</v>
      </c>
      <c r="DU103" t="s">
        <v>179</v>
      </c>
      <c r="DV103" t="s">
        <v>220</v>
      </c>
      <c r="DW103" t="s">
        <v>179</v>
      </c>
      <c r="DX103" t="s">
        <v>178</v>
      </c>
      <c r="DY103" t="s">
        <v>179</v>
      </c>
      <c r="DZ103" t="s">
        <v>178</v>
      </c>
      <c r="EA103" t="s">
        <v>178</v>
      </c>
      <c r="EB103" t="s">
        <v>179</v>
      </c>
      <c r="EE103" t="s">
        <v>179</v>
      </c>
      <c r="EF103" t="s">
        <v>178</v>
      </c>
      <c r="EG103" t="s">
        <v>178</v>
      </c>
      <c r="EH103" t="s">
        <v>178</v>
      </c>
      <c r="EI103" t="s">
        <v>178</v>
      </c>
      <c r="EJ103" t="s">
        <v>178</v>
      </c>
      <c r="EK103">
        <v>4</v>
      </c>
      <c r="EL103" t="s">
        <v>208</v>
      </c>
      <c r="EM103">
        <v>2021</v>
      </c>
      <c r="EN103">
        <v>2021</v>
      </c>
      <c r="EO103">
        <v>4</v>
      </c>
      <c r="EP103" t="s">
        <v>208</v>
      </c>
      <c r="EQ103">
        <v>2021</v>
      </c>
      <c r="ER103">
        <v>2021</v>
      </c>
      <c r="ES103" t="s">
        <v>178</v>
      </c>
    </row>
    <row r="104" spans="1:149" x14ac:dyDescent="0.45">
      <c r="A104">
        <v>1787</v>
      </c>
      <c r="B104">
        <v>977226</v>
      </c>
      <c r="C104" t="s">
        <v>173</v>
      </c>
      <c r="D104" t="s">
        <v>174</v>
      </c>
      <c r="E104" t="s">
        <v>175</v>
      </c>
      <c r="F104" t="s">
        <v>562</v>
      </c>
      <c r="I104" t="s">
        <v>177</v>
      </c>
      <c r="J104" t="s">
        <v>178</v>
      </c>
      <c r="K104" t="s">
        <v>179</v>
      </c>
      <c r="L104" t="s">
        <v>525</v>
      </c>
      <c r="M104" t="s">
        <v>235</v>
      </c>
      <c r="O104" t="s">
        <v>179</v>
      </c>
      <c r="P104" t="s">
        <v>178</v>
      </c>
      <c r="Q104" t="s">
        <v>259</v>
      </c>
      <c r="R104" t="s">
        <v>200</v>
      </c>
      <c r="S104" s="6">
        <v>44741</v>
      </c>
      <c r="T104" t="s">
        <v>563</v>
      </c>
      <c r="U104" t="s">
        <v>178</v>
      </c>
      <c r="V104">
        <v>0</v>
      </c>
      <c r="X104" t="s">
        <v>423</v>
      </c>
      <c r="Z104" t="s">
        <v>203</v>
      </c>
      <c r="AA104" t="s">
        <v>178</v>
      </c>
      <c r="AB104" t="s">
        <v>184</v>
      </c>
      <c r="AC104">
        <v>0</v>
      </c>
      <c r="AD104" t="s">
        <v>179</v>
      </c>
      <c r="AE104" t="s">
        <v>204</v>
      </c>
      <c r="AF104" t="s">
        <v>178</v>
      </c>
      <c r="AG104" t="s">
        <v>179</v>
      </c>
      <c r="AH104" t="s">
        <v>178</v>
      </c>
      <c r="AJ104" t="s">
        <v>179</v>
      </c>
      <c r="AM104" t="s">
        <v>56</v>
      </c>
      <c r="AN104" t="s">
        <v>187</v>
      </c>
      <c r="AP104" t="s">
        <v>564</v>
      </c>
      <c r="AR104">
        <v>13</v>
      </c>
      <c r="AT104" s="6"/>
      <c r="AY104" t="s">
        <v>206</v>
      </c>
      <c r="AZ104" t="s">
        <v>192</v>
      </c>
      <c r="CA104" t="s">
        <v>178</v>
      </c>
      <c r="CG104" t="s">
        <v>178</v>
      </c>
      <c r="CH104" s="6"/>
      <c r="CJ104" s="6"/>
      <c r="CL104" s="6"/>
      <c r="CQ104" s="6"/>
      <c r="DT104">
        <v>23</v>
      </c>
      <c r="DU104" t="s">
        <v>178</v>
      </c>
      <c r="DW104" t="s">
        <v>178</v>
      </c>
      <c r="DX104" t="s">
        <v>178</v>
      </c>
      <c r="DY104" t="s">
        <v>178</v>
      </c>
      <c r="DZ104" t="s">
        <v>178</v>
      </c>
      <c r="EA104" t="s">
        <v>178</v>
      </c>
      <c r="EB104" t="s">
        <v>178</v>
      </c>
      <c r="EE104" t="s">
        <v>178</v>
      </c>
      <c r="EF104" t="s">
        <v>178</v>
      </c>
      <c r="EG104" t="s">
        <v>178</v>
      </c>
      <c r="EH104" t="s">
        <v>178</v>
      </c>
      <c r="EI104" t="s">
        <v>178</v>
      </c>
      <c r="EJ104" t="s">
        <v>178</v>
      </c>
      <c r="EK104">
        <v>6</v>
      </c>
      <c r="EL104" t="s">
        <v>208</v>
      </c>
      <c r="EM104">
        <v>2022</v>
      </c>
      <c r="EN104">
        <v>2022</v>
      </c>
      <c r="EO104">
        <v>6</v>
      </c>
      <c r="EP104" t="s">
        <v>208</v>
      </c>
      <c r="EQ104">
        <v>2022</v>
      </c>
      <c r="ER104">
        <v>2022</v>
      </c>
      <c r="ES104" t="s">
        <v>178</v>
      </c>
    </row>
    <row r="105" spans="1:149" x14ac:dyDescent="0.45">
      <c r="A105">
        <v>301</v>
      </c>
      <c r="B105">
        <v>976639</v>
      </c>
      <c r="C105" t="s">
        <v>173</v>
      </c>
      <c r="D105" t="s">
        <v>210</v>
      </c>
      <c r="E105" t="s">
        <v>175</v>
      </c>
      <c r="F105" t="s">
        <v>176</v>
      </c>
      <c r="I105" t="s">
        <v>177</v>
      </c>
      <c r="J105" t="s">
        <v>179</v>
      </c>
      <c r="K105" t="s">
        <v>178</v>
      </c>
      <c r="L105" t="s">
        <v>71</v>
      </c>
      <c r="N105" t="s">
        <v>213</v>
      </c>
      <c r="O105" t="s">
        <v>178</v>
      </c>
      <c r="P105" t="s">
        <v>214</v>
      </c>
      <c r="Q105" t="s">
        <v>180</v>
      </c>
      <c r="R105" t="s">
        <v>215</v>
      </c>
      <c r="S105" s="6">
        <v>44355</v>
      </c>
      <c r="T105" t="s">
        <v>565</v>
      </c>
      <c r="U105" t="s">
        <v>178</v>
      </c>
      <c r="V105">
        <v>0</v>
      </c>
      <c r="W105">
        <v>0</v>
      </c>
      <c r="Z105" t="s">
        <v>446</v>
      </c>
      <c r="AA105" t="s">
        <v>178</v>
      </c>
      <c r="AB105" t="s">
        <v>184</v>
      </c>
      <c r="AC105">
        <v>0</v>
      </c>
      <c r="AD105" t="s">
        <v>179</v>
      </c>
      <c r="AE105" t="s">
        <v>218</v>
      </c>
      <c r="AF105" t="s">
        <v>178</v>
      </c>
      <c r="AG105" t="s">
        <v>179</v>
      </c>
      <c r="AH105" t="s">
        <v>178</v>
      </c>
      <c r="AL105" t="s">
        <v>219</v>
      </c>
      <c r="AM105" t="s">
        <v>56</v>
      </c>
      <c r="AO105">
        <v>0</v>
      </c>
      <c r="AT105" s="6"/>
      <c r="AZ105" t="s">
        <v>192</v>
      </c>
      <c r="CA105" t="s">
        <v>178</v>
      </c>
      <c r="CG105" t="s">
        <v>178</v>
      </c>
      <c r="CH105" s="6"/>
      <c r="CJ105" s="6"/>
      <c r="CL105" s="6"/>
      <c r="CQ105" s="6"/>
      <c r="DT105">
        <v>22</v>
      </c>
      <c r="DU105" t="s">
        <v>179</v>
      </c>
      <c r="DV105" t="s">
        <v>220</v>
      </c>
      <c r="DW105" t="s">
        <v>178</v>
      </c>
      <c r="DX105" t="s">
        <v>178</v>
      </c>
      <c r="DY105" t="s">
        <v>178</v>
      </c>
      <c r="DZ105" t="s">
        <v>178</v>
      </c>
      <c r="EA105" t="s">
        <v>178</v>
      </c>
      <c r="EB105" t="s">
        <v>178</v>
      </c>
      <c r="EE105" t="s">
        <v>178</v>
      </c>
      <c r="EF105" t="s">
        <v>178</v>
      </c>
      <c r="EG105" t="s">
        <v>178</v>
      </c>
      <c r="EH105" t="s">
        <v>178</v>
      </c>
      <c r="EI105" t="s">
        <v>178</v>
      </c>
      <c r="EJ105" t="s">
        <v>178</v>
      </c>
      <c r="EK105">
        <v>6</v>
      </c>
      <c r="EL105" t="s">
        <v>208</v>
      </c>
      <c r="EM105">
        <v>2021</v>
      </c>
      <c r="EN105">
        <v>2021</v>
      </c>
      <c r="EO105">
        <v>6</v>
      </c>
      <c r="EP105" t="s">
        <v>208</v>
      </c>
      <c r="EQ105">
        <v>2021</v>
      </c>
      <c r="ER105">
        <v>2021</v>
      </c>
      <c r="ES105" t="s">
        <v>178</v>
      </c>
    </row>
    <row r="106" spans="1:149" x14ac:dyDescent="0.45">
      <c r="A106">
        <v>48</v>
      </c>
      <c r="B106">
        <v>977072</v>
      </c>
      <c r="C106" t="s">
        <v>173</v>
      </c>
      <c r="D106" t="s">
        <v>224</v>
      </c>
      <c r="E106" t="s">
        <v>175</v>
      </c>
      <c r="F106" t="s">
        <v>299</v>
      </c>
      <c r="I106" t="s">
        <v>177</v>
      </c>
      <c r="J106" t="s">
        <v>178</v>
      </c>
      <c r="K106" t="s">
        <v>178</v>
      </c>
      <c r="L106" t="s">
        <v>421</v>
      </c>
      <c r="M106" t="s">
        <v>246</v>
      </c>
      <c r="O106" t="s">
        <v>178</v>
      </c>
      <c r="P106" t="s">
        <v>178</v>
      </c>
      <c r="Q106" t="s">
        <v>180</v>
      </c>
      <c r="R106" t="s">
        <v>200</v>
      </c>
      <c r="S106" s="6">
        <v>44651</v>
      </c>
      <c r="T106" t="s">
        <v>566</v>
      </c>
      <c r="U106" t="s">
        <v>178</v>
      </c>
      <c r="V106">
        <v>0</v>
      </c>
      <c r="W106">
        <v>16</v>
      </c>
      <c r="X106" t="s">
        <v>202</v>
      </c>
      <c r="Z106" t="s">
        <v>223</v>
      </c>
      <c r="AA106" t="s">
        <v>178</v>
      </c>
      <c r="AB106" t="s">
        <v>184</v>
      </c>
      <c r="AC106">
        <v>0</v>
      </c>
      <c r="AD106" t="s">
        <v>179</v>
      </c>
      <c r="AE106" t="s">
        <v>204</v>
      </c>
      <c r="AF106" t="s">
        <v>178</v>
      </c>
      <c r="AG106" t="s">
        <v>179</v>
      </c>
      <c r="AH106" t="s">
        <v>178</v>
      </c>
      <c r="AJ106" t="s">
        <v>179</v>
      </c>
      <c r="AK106" t="s">
        <v>56</v>
      </c>
      <c r="AL106" t="s">
        <v>424</v>
      </c>
      <c r="AM106" t="s">
        <v>56</v>
      </c>
      <c r="AN106" t="s">
        <v>187</v>
      </c>
      <c r="AO106">
        <v>40</v>
      </c>
      <c r="AP106" t="s">
        <v>205</v>
      </c>
      <c r="AT106" s="6"/>
      <c r="AZ106" t="s">
        <v>192</v>
      </c>
      <c r="BA106" t="s">
        <v>389</v>
      </c>
      <c r="BB106" t="s">
        <v>277</v>
      </c>
      <c r="BC106" t="s">
        <v>567</v>
      </c>
      <c r="BD106">
        <v>17</v>
      </c>
      <c r="BE106">
        <v>40</v>
      </c>
      <c r="BF106" t="s">
        <v>179</v>
      </c>
      <c r="BG106" t="s">
        <v>179</v>
      </c>
      <c r="BH106" t="s">
        <v>178</v>
      </c>
      <c r="BI106" t="s">
        <v>179</v>
      </c>
      <c r="BJ106" t="s">
        <v>178</v>
      </c>
      <c r="BK106" t="s">
        <v>389</v>
      </c>
      <c r="BL106" t="s">
        <v>277</v>
      </c>
      <c r="BM106" t="s">
        <v>567</v>
      </c>
      <c r="BN106">
        <v>17</v>
      </c>
      <c r="BO106">
        <v>40</v>
      </c>
      <c r="BP106" t="s">
        <v>179</v>
      </c>
      <c r="BQ106" t="s">
        <v>179</v>
      </c>
      <c r="BR106" t="s">
        <v>178</v>
      </c>
      <c r="BS106" t="s">
        <v>179</v>
      </c>
      <c r="BT106" t="s">
        <v>178</v>
      </c>
      <c r="BX106" t="s">
        <v>255</v>
      </c>
      <c r="BY106" t="s">
        <v>243</v>
      </c>
      <c r="BZ106" t="s">
        <v>255</v>
      </c>
      <c r="CA106" t="s">
        <v>178</v>
      </c>
      <c r="CB106">
        <v>58</v>
      </c>
      <c r="CD106">
        <v>58</v>
      </c>
      <c r="CE106">
        <v>58</v>
      </c>
      <c r="CF106">
        <v>58</v>
      </c>
      <c r="CG106" t="s">
        <v>179</v>
      </c>
      <c r="CH106" s="6">
        <v>44655</v>
      </c>
      <c r="CI106" s="6" t="s">
        <v>179</v>
      </c>
      <c r="CJ106" s="6" t="s">
        <v>207</v>
      </c>
      <c r="CL106" s="6"/>
      <c r="CQ106" s="6"/>
      <c r="DA106" t="s">
        <v>179</v>
      </c>
      <c r="DB106" t="s">
        <v>194</v>
      </c>
      <c r="DD106" t="s">
        <v>426</v>
      </c>
      <c r="DE106">
        <v>4</v>
      </c>
      <c r="DI106" t="s">
        <v>265</v>
      </c>
      <c r="DT106">
        <v>60</v>
      </c>
      <c r="DU106" t="s">
        <v>178</v>
      </c>
      <c r="DW106" t="s">
        <v>179</v>
      </c>
      <c r="DX106" t="s">
        <v>179</v>
      </c>
      <c r="DY106" t="s">
        <v>179</v>
      </c>
      <c r="DZ106" t="s">
        <v>178</v>
      </c>
      <c r="EA106" t="s">
        <v>179</v>
      </c>
      <c r="EB106" t="s">
        <v>178</v>
      </c>
      <c r="ED106">
        <v>61</v>
      </c>
      <c r="EE106" t="s">
        <v>178</v>
      </c>
      <c r="EF106" t="s">
        <v>178</v>
      </c>
      <c r="EG106" t="s">
        <v>178</v>
      </c>
      <c r="EH106" t="s">
        <v>178</v>
      </c>
      <c r="EI106" t="s">
        <v>179</v>
      </c>
      <c r="EJ106" t="s">
        <v>178</v>
      </c>
      <c r="EK106">
        <v>4</v>
      </c>
      <c r="EL106" t="s">
        <v>208</v>
      </c>
      <c r="EM106">
        <v>2022</v>
      </c>
      <c r="EN106">
        <v>2022</v>
      </c>
      <c r="EO106">
        <v>3</v>
      </c>
      <c r="EP106" t="s">
        <v>209</v>
      </c>
      <c r="EQ106">
        <v>2022</v>
      </c>
      <c r="ER106">
        <v>2022</v>
      </c>
      <c r="ES106" t="s">
        <v>178</v>
      </c>
    </row>
    <row r="107" spans="1:149" x14ac:dyDescent="0.45">
      <c r="A107">
        <v>1734</v>
      </c>
      <c r="B107">
        <v>976799</v>
      </c>
      <c r="C107" t="s">
        <v>173</v>
      </c>
      <c r="D107" t="s">
        <v>174</v>
      </c>
      <c r="E107" t="s">
        <v>175</v>
      </c>
      <c r="F107" t="s">
        <v>176</v>
      </c>
      <c r="I107" t="s">
        <v>177</v>
      </c>
      <c r="J107" t="s">
        <v>179</v>
      </c>
      <c r="K107" t="s">
        <v>179</v>
      </c>
      <c r="M107" t="s">
        <v>55</v>
      </c>
      <c r="O107" t="s">
        <v>178</v>
      </c>
      <c r="P107" t="s">
        <v>178</v>
      </c>
      <c r="Q107" t="s">
        <v>180</v>
      </c>
      <c r="R107" t="s">
        <v>200</v>
      </c>
      <c r="S107" s="6">
        <v>44432</v>
      </c>
      <c r="T107" t="s">
        <v>568</v>
      </c>
      <c r="V107">
        <v>0</v>
      </c>
      <c r="W107">
        <v>15.8</v>
      </c>
      <c r="X107" t="s">
        <v>227</v>
      </c>
      <c r="AB107" t="s">
        <v>538</v>
      </c>
      <c r="AC107">
        <v>3500</v>
      </c>
      <c r="AE107" t="s">
        <v>185</v>
      </c>
      <c r="AH107" t="s">
        <v>178</v>
      </c>
      <c r="AK107" t="s">
        <v>55</v>
      </c>
      <c r="AL107" t="s">
        <v>219</v>
      </c>
      <c r="AM107" t="s">
        <v>55</v>
      </c>
      <c r="AN107" t="s">
        <v>187</v>
      </c>
      <c r="AO107">
        <v>40</v>
      </c>
      <c r="AT107" s="6"/>
      <c r="AZ107" t="s">
        <v>192</v>
      </c>
      <c r="CA107" t="s">
        <v>178</v>
      </c>
      <c r="CG107" t="s">
        <v>178</v>
      </c>
      <c r="CH107" s="6">
        <v>44446</v>
      </c>
      <c r="CI107" s="6"/>
      <c r="CJ107" s="6"/>
      <c r="DT107">
        <v>24</v>
      </c>
      <c r="DU107" t="s">
        <v>179</v>
      </c>
      <c r="DV107" t="s">
        <v>220</v>
      </c>
      <c r="DW107" t="s">
        <v>178</v>
      </c>
      <c r="DX107" t="s">
        <v>178</v>
      </c>
      <c r="DY107" t="s">
        <v>179</v>
      </c>
      <c r="DZ107" t="s">
        <v>178</v>
      </c>
      <c r="EA107" t="s">
        <v>178</v>
      </c>
      <c r="EB107" t="s">
        <v>179</v>
      </c>
      <c r="EE107" t="s">
        <v>178</v>
      </c>
      <c r="EF107" t="s">
        <v>178</v>
      </c>
      <c r="EG107" t="s">
        <v>178</v>
      </c>
      <c r="EH107" t="s">
        <v>178</v>
      </c>
      <c r="EI107" t="s">
        <v>178</v>
      </c>
      <c r="EJ107" t="s">
        <v>178</v>
      </c>
      <c r="EK107">
        <v>9</v>
      </c>
      <c r="EL107" t="s">
        <v>196</v>
      </c>
      <c r="EM107">
        <v>2021</v>
      </c>
      <c r="EN107">
        <v>2022</v>
      </c>
      <c r="EO107">
        <v>8</v>
      </c>
      <c r="EP107" t="s">
        <v>196</v>
      </c>
      <c r="EQ107">
        <v>2022</v>
      </c>
      <c r="ER107">
        <v>2022</v>
      </c>
      <c r="ES107" t="s">
        <v>178</v>
      </c>
    </row>
    <row r="108" spans="1:149" x14ac:dyDescent="0.45">
      <c r="A108">
        <v>1739</v>
      </c>
      <c r="B108">
        <v>976983</v>
      </c>
      <c r="C108" t="s">
        <v>173</v>
      </c>
      <c r="D108" t="s">
        <v>224</v>
      </c>
      <c r="E108" t="s">
        <v>175</v>
      </c>
      <c r="F108" t="s">
        <v>176</v>
      </c>
      <c r="I108" t="s">
        <v>177</v>
      </c>
      <c r="J108" t="s">
        <v>178</v>
      </c>
      <c r="K108" t="s">
        <v>178</v>
      </c>
      <c r="L108" t="s">
        <v>569</v>
      </c>
      <c r="M108" t="s">
        <v>235</v>
      </c>
      <c r="O108" t="s">
        <v>178</v>
      </c>
      <c r="P108" t="s">
        <v>178</v>
      </c>
      <c r="Q108" t="s">
        <v>180</v>
      </c>
      <c r="R108" t="s">
        <v>200</v>
      </c>
      <c r="S108" s="6">
        <v>44599</v>
      </c>
      <c r="T108" t="s">
        <v>570</v>
      </c>
      <c r="U108" t="s">
        <v>178</v>
      </c>
      <c r="V108">
        <v>0</v>
      </c>
      <c r="W108">
        <v>11.75</v>
      </c>
      <c r="X108" t="s">
        <v>571</v>
      </c>
      <c r="Z108" t="s">
        <v>223</v>
      </c>
      <c r="AA108" t="s">
        <v>178</v>
      </c>
      <c r="AB108" t="s">
        <v>184</v>
      </c>
      <c r="AC108">
        <v>800</v>
      </c>
      <c r="AD108" t="s">
        <v>179</v>
      </c>
      <c r="AE108" t="s">
        <v>204</v>
      </c>
      <c r="AF108" t="s">
        <v>178</v>
      </c>
      <c r="AG108" t="s">
        <v>178</v>
      </c>
      <c r="AH108" t="s">
        <v>179</v>
      </c>
      <c r="AK108" t="s">
        <v>56</v>
      </c>
      <c r="AL108" t="s">
        <v>219</v>
      </c>
      <c r="AM108" t="s">
        <v>56</v>
      </c>
      <c r="AN108" t="s">
        <v>187</v>
      </c>
      <c r="AO108">
        <v>20</v>
      </c>
      <c r="AT108" s="6"/>
      <c r="AZ108" t="s">
        <v>192</v>
      </c>
      <c r="CA108" t="s">
        <v>178</v>
      </c>
      <c r="CG108" t="s">
        <v>178</v>
      </c>
      <c r="CH108" s="6">
        <v>44599</v>
      </c>
      <c r="CI108" s="6"/>
      <c r="CJ108" s="6"/>
      <c r="DT108">
        <v>34</v>
      </c>
      <c r="DU108" t="s">
        <v>179</v>
      </c>
      <c r="DV108" t="s">
        <v>220</v>
      </c>
      <c r="DW108" t="s">
        <v>178</v>
      </c>
      <c r="DX108" t="s">
        <v>178</v>
      </c>
      <c r="DY108" t="s">
        <v>179</v>
      </c>
      <c r="DZ108" t="s">
        <v>178</v>
      </c>
      <c r="EA108" t="s">
        <v>178</v>
      </c>
      <c r="EB108" t="s">
        <v>179</v>
      </c>
      <c r="EE108" t="s">
        <v>178</v>
      </c>
      <c r="EF108" t="s">
        <v>178</v>
      </c>
      <c r="EG108" t="s">
        <v>178</v>
      </c>
      <c r="EH108" t="s">
        <v>178</v>
      </c>
      <c r="EI108" t="s">
        <v>178</v>
      </c>
      <c r="EJ108" t="s">
        <v>178</v>
      </c>
      <c r="EK108">
        <v>2</v>
      </c>
      <c r="EL108" t="s">
        <v>209</v>
      </c>
      <c r="EM108">
        <v>2022</v>
      </c>
      <c r="EN108">
        <v>2022</v>
      </c>
      <c r="EO108">
        <v>2</v>
      </c>
      <c r="EP108" t="s">
        <v>209</v>
      </c>
      <c r="EQ108">
        <v>2022</v>
      </c>
      <c r="ER108">
        <v>2022</v>
      </c>
      <c r="ES108" t="s">
        <v>178</v>
      </c>
    </row>
    <row r="109" spans="1:149" x14ac:dyDescent="0.45">
      <c r="A109">
        <v>441</v>
      </c>
      <c r="B109">
        <v>976377</v>
      </c>
      <c r="C109" t="s">
        <v>173</v>
      </c>
      <c r="D109" t="s">
        <v>210</v>
      </c>
      <c r="E109" t="s">
        <v>175</v>
      </c>
      <c r="F109" t="s">
        <v>176</v>
      </c>
      <c r="I109" t="s">
        <v>417</v>
      </c>
      <c r="J109" t="s">
        <v>179</v>
      </c>
      <c r="K109" t="s">
        <v>179</v>
      </c>
      <c r="L109" t="s">
        <v>71</v>
      </c>
      <c r="N109" t="s">
        <v>323</v>
      </c>
      <c r="O109" t="s">
        <v>178</v>
      </c>
      <c r="P109" t="s">
        <v>214</v>
      </c>
      <c r="Q109" t="s">
        <v>180</v>
      </c>
      <c r="R109" t="s">
        <v>215</v>
      </c>
      <c r="S109" s="6">
        <v>44203</v>
      </c>
      <c r="T109" t="s">
        <v>572</v>
      </c>
      <c r="U109" t="s">
        <v>178</v>
      </c>
      <c r="V109">
        <v>3</v>
      </c>
      <c r="W109">
        <v>0</v>
      </c>
      <c r="X109" t="s">
        <v>328</v>
      </c>
      <c r="Z109" t="s">
        <v>446</v>
      </c>
      <c r="AA109" t="s">
        <v>178</v>
      </c>
      <c r="AB109" t="s">
        <v>184</v>
      </c>
      <c r="AC109">
        <v>0</v>
      </c>
      <c r="AD109" t="s">
        <v>178</v>
      </c>
      <c r="AE109" t="s">
        <v>218</v>
      </c>
      <c r="AF109" t="s">
        <v>178</v>
      </c>
      <c r="AG109" t="s">
        <v>178</v>
      </c>
      <c r="AK109" t="s">
        <v>56</v>
      </c>
      <c r="AL109" t="s">
        <v>573</v>
      </c>
      <c r="AO109">
        <v>0</v>
      </c>
      <c r="AT109" s="6"/>
      <c r="AZ109" t="s">
        <v>192</v>
      </c>
      <c r="CA109" t="s">
        <v>178</v>
      </c>
      <c r="CG109" t="s">
        <v>178</v>
      </c>
      <c r="CH109" s="6">
        <v>44207</v>
      </c>
      <c r="CI109" s="6" t="s">
        <v>179</v>
      </c>
      <c r="CJ109" s="6" t="s">
        <v>497</v>
      </c>
      <c r="CL109" s="6"/>
      <c r="CQ109" s="6"/>
      <c r="DA109" t="s">
        <v>179</v>
      </c>
      <c r="DB109" t="s">
        <v>194</v>
      </c>
      <c r="DD109" t="s">
        <v>574</v>
      </c>
      <c r="DE109">
        <v>1</v>
      </c>
      <c r="DF109" t="s">
        <v>265</v>
      </c>
      <c r="DT109">
        <v>46</v>
      </c>
      <c r="DU109" t="s">
        <v>178</v>
      </c>
      <c r="DW109" t="s">
        <v>179</v>
      </c>
      <c r="DX109" t="s">
        <v>178</v>
      </c>
      <c r="DY109" t="s">
        <v>179</v>
      </c>
      <c r="DZ109" t="s">
        <v>178</v>
      </c>
      <c r="EA109" t="s">
        <v>178</v>
      </c>
      <c r="EB109" t="s">
        <v>179</v>
      </c>
      <c r="EE109" t="s">
        <v>179</v>
      </c>
      <c r="EF109" t="s">
        <v>178</v>
      </c>
      <c r="EG109" t="s">
        <v>178</v>
      </c>
      <c r="EH109" t="s">
        <v>178</v>
      </c>
      <c r="EI109" t="s">
        <v>178</v>
      </c>
      <c r="EJ109" t="s">
        <v>178</v>
      </c>
      <c r="EK109">
        <v>1</v>
      </c>
      <c r="EL109" t="s">
        <v>209</v>
      </c>
      <c r="EM109">
        <v>2021</v>
      </c>
      <c r="EN109">
        <v>2021</v>
      </c>
      <c r="EO109">
        <v>1</v>
      </c>
      <c r="EP109" t="s">
        <v>209</v>
      </c>
      <c r="EQ109">
        <v>2021</v>
      </c>
      <c r="ER109">
        <v>2021</v>
      </c>
      <c r="ES109" t="s">
        <v>178</v>
      </c>
    </row>
    <row r="110" spans="1:149" x14ac:dyDescent="0.45">
      <c r="A110">
        <v>440</v>
      </c>
      <c r="B110">
        <v>976378</v>
      </c>
      <c r="C110" t="s">
        <v>173</v>
      </c>
      <c r="D110" t="s">
        <v>210</v>
      </c>
      <c r="E110" t="s">
        <v>175</v>
      </c>
      <c r="F110" t="s">
        <v>176</v>
      </c>
      <c r="I110" t="s">
        <v>177</v>
      </c>
      <c r="J110" t="s">
        <v>178</v>
      </c>
      <c r="K110" t="s">
        <v>178</v>
      </c>
      <c r="L110" t="s">
        <v>71</v>
      </c>
      <c r="N110" t="s">
        <v>213</v>
      </c>
      <c r="O110" t="s">
        <v>178</v>
      </c>
      <c r="P110" t="s">
        <v>214</v>
      </c>
      <c r="Q110" t="s">
        <v>180</v>
      </c>
      <c r="R110" t="s">
        <v>215</v>
      </c>
      <c r="S110" s="6">
        <v>44201</v>
      </c>
      <c r="T110" t="s">
        <v>575</v>
      </c>
      <c r="U110" t="s">
        <v>178</v>
      </c>
      <c r="V110">
        <v>0</v>
      </c>
      <c r="W110">
        <v>0</v>
      </c>
      <c r="X110" t="s">
        <v>314</v>
      </c>
      <c r="Z110" t="s">
        <v>315</v>
      </c>
      <c r="AA110" t="s">
        <v>178</v>
      </c>
      <c r="AB110" t="s">
        <v>184</v>
      </c>
      <c r="AC110">
        <v>400</v>
      </c>
      <c r="AD110" t="s">
        <v>178</v>
      </c>
      <c r="AE110" t="s">
        <v>218</v>
      </c>
      <c r="AF110" t="s">
        <v>178</v>
      </c>
      <c r="AG110" t="s">
        <v>178</v>
      </c>
      <c r="AK110" t="s">
        <v>56</v>
      </c>
      <c r="AL110" t="s">
        <v>283</v>
      </c>
      <c r="AM110" t="s">
        <v>179</v>
      </c>
      <c r="AT110" s="6"/>
      <c r="AZ110" t="s">
        <v>192</v>
      </c>
      <c r="BA110" t="s">
        <v>576</v>
      </c>
      <c r="BB110" t="s">
        <v>240</v>
      </c>
      <c r="BC110" t="s">
        <v>577</v>
      </c>
      <c r="BD110">
        <v>11</v>
      </c>
      <c r="BE110">
        <v>20</v>
      </c>
      <c r="BF110" t="s">
        <v>178</v>
      </c>
      <c r="BG110" t="s">
        <v>179</v>
      </c>
      <c r="BH110" t="s">
        <v>178</v>
      </c>
      <c r="BI110" t="s">
        <v>178</v>
      </c>
      <c r="BJ110" t="s">
        <v>178</v>
      </c>
      <c r="BK110" t="s">
        <v>578</v>
      </c>
      <c r="BL110" t="s">
        <v>277</v>
      </c>
      <c r="BM110" t="s">
        <v>579</v>
      </c>
      <c r="BN110">
        <v>15</v>
      </c>
      <c r="BO110">
        <v>40</v>
      </c>
      <c r="BP110" t="s">
        <v>179</v>
      </c>
      <c r="BQ110" t="s">
        <v>178</v>
      </c>
      <c r="BR110" t="s">
        <v>178</v>
      </c>
      <c r="BS110" t="s">
        <v>178</v>
      </c>
      <c r="BT110" t="s">
        <v>178</v>
      </c>
      <c r="BW110" t="s">
        <v>179</v>
      </c>
      <c r="BX110" t="s">
        <v>451</v>
      </c>
      <c r="BY110" t="s">
        <v>243</v>
      </c>
      <c r="BZ110" t="s">
        <v>451</v>
      </c>
      <c r="CA110" t="s">
        <v>179</v>
      </c>
      <c r="CB110">
        <v>601</v>
      </c>
      <c r="CC110">
        <v>625</v>
      </c>
      <c r="CD110">
        <v>625</v>
      </c>
      <c r="CE110">
        <v>625</v>
      </c>
      <c r="CF110">
        <v>625</v>
      </c>
      <c r="CG110" t="s">
        <v>178</v>
      </c>
      <c r="CH110" s="6">
        <v>44207</v>
      </c>
      <c r="CI110" s="6"/>
      <c r="CJ110" s="6"/>
      <c r="CL110" s="6"/>
      <c r="CQ110" s="6"/>
      <c r="DB110" t="s">
        <v>194</v>
      </c>
      <c r="DT110">
        <v>21</v>
      </c>
      <c r="DU110" t="s">
        <v>179</v>
      </c>
      <c r="DV110" t="s">
        <v>220</v>
      </c>
      <c r="DW110" t="s">
        <v>179</v>
      </c>
      <c r="DX110" t="s">
        <v>179</v>
      </c>
      <c r="DY110" t="s">
        <v>179</v>
      </c>
      <c r="DZ110" t="s">
        <v>178</v>
      </c>
      <c r="EA110" t="s">
        <v>179</v>
      </c>
      <c r="EB110" t="s">
        <v>178</v>
      </c>
      <c r="ED110">
        <v>24</v>
      </c>
      <c r="EE110" t="s">
        <v>178</v>
      </c>
      <c r="EF110" t="s">
        <v>178</v>
      </c>
      <c r="EG110" t="s">
        <v>178</v>
      </c>
      <c r="EH110" t="s">
        <v>178</v>
      </c>
      <c r="EI110" t="s">
        <v>179</v>
      </c>
      <c r="EJ110" t="s">
        <v>178</v>
      </c>
      <c r="EK110">
        <v>1</v>
      </c>
      <c r="EL110" t="s">
        <v>209</v>
      </c>
      <c r="EM110">
        <v>2021</v>
      </c>
      <c r="EN110">
        <v>2021</v>
      </c>
      <c r="EO110">
        <v>1</v>
      </c>
      <c r="EP110" t="s">
        <v>209</v>
      </c>
      <c r="EQ110">
        <v>2021</v>
      </c>
      <c r="ER110">
        <v>2021</v>
      </c>
      <c r="ES110" t="s">
        <v>178</v>
      </c>
    </row>
    <row r="111" spans="1:149" x14ac:dyDescent="0.45">
      <c r="A111">
        <v>229</v>
      </c>
      <c r="B111">
        <v>976802</v>
      </c>
      <c r="C111" t="s">
        <v>173</v>
      </c>
      <c r="D111" t="s">
        <v>174</v>
      </c>
      <c r="E111" t="s">
        <v>175</v>
      </c>
      <c r="F111" t="s">
        <v>176</v>
      </c>
      <c r="I111" t="s">
        <v>177</v>
      </c>
      <c r="J111" t="s">
        <v>179</v>
      </c>
      <c r="K111" t="s">
        <v>179</v>
      </c>
      <c r="O111" t="s">
        <v>178</v>
      </c>
      <c r="P111" t="s">
        <v>179</v>
      </c>
      <c r="Q111" t="s">
        <v>180</v>
      </c>
      <c r="R111" t="s">
        <v>200</v>
      </c>
      <c r="S111" s="6">
        <v>44432</v>
      </c>
      <c r="T111" t="s">
        <v>568</v>
      </c>
      <c r="U111" t="s">
        <v>178</v>
      </c>
      <c r="V111">
        <v>0</v>
      </c>
      <c r="W111">
        <v>11.75</v>
      </c>
      <c r="X111" t="s">
        <v>202</v>
      </c>
      <c r="AA111" t="s">
        <v>178</v>
      </c>
      <c r="AB111" t="s">
        <v>184</v>
      </c>
      <c r="AC111">
        <v>0</v>
      </c>
      <c r="AD111" t="s">
        <v>178</v>
      </c>
      <c r="AE111" t="s">
        <v>185</v>
      </c>
      <c r="AF111" t="s">
        <v>178</v>
      </c>
      <c r="AG111" t="s">
        <v>179</v>
      </c>
      <c r="AH111" t="s">
        <v>178</v>
      </c>
      <c r="AK111" t="s">
        <v>55</v>
      </c>
      <c r="AL111" t="s">
        <v>228</v>
      </c>
      <c r="AM111" t="s">
        <v>55</v>
      </c>
      <c r="AN111" t="s">
        <v>187</v>
      </c>
      <c r="AO111">
        <v>40</v>
      </c>
      <c r="AT111" s="6"/>
      <c r="AZ111" t="s">
        <v>192</v>
      </c>
      <c r="CA111" t="s">
        <v>178</v>
      </c>
      <c r="CG111" t="s">
        <v>178</v>
      </c>
      <c r="CH111" s="6">
        <v>44446</v>
      </c>
      <c r="CI111" s="6"/>
      <c r="CJ111" s="6"/>
      <c r="CL111" s="6"/>
      <c r="CQ111" s="6"/>
      <c r="DB111" t="s">
        <v>194</v>
      </c>
      <c r="DR111" t="s">
        <v>580</v>
      </c>
      <c r="DT111">
        <v>24</v>
      </c>
      <c r="DU111" t="s">
        <v>179</v>
      </c>
      <c r="DV111" t="s">
        <v>220</v>
      </c>
      <c r="DW111" t="s">
        <v>179</v>
      </c>
      <c r="DX111" t="s">
        <v>178</v>
      </c>
      <c r="DY111" t="s">
        <v>179</v>
      </c>
      <c r="DZ111" t="s">
        <v>178</v>
      </c>
      <c r="EA111" t="s">
        <v>178</v>
      </c>
      <c r="EB111" t="s">
        <v>179</v>
      </c>
      <c r="EE111" t="s">
        <v>179</v>
      </c>
      <c r="EF111" t="s">
        <v>178</v>
      </c>
      <c r="EG111" t="s">
        <v>178</v>
      </c>
      <c r="EH111" t="s">
        <v>178</v>
      </c>
      <c r="EI111" t="s">
        <v>178</v>
      </c>
      <c r="EJ111" t="s">
        <v>178</v>
      </c>
      <c r="EK111">
        <v>9</v>
      </c>
      <c r="EL111" t="s">
        <v>196</v>
      </c>
      <c r="EM111">
        <v>2021</v>
      </c>
      <c r="EN111">
        <v>2022</v>
      </c>
      <c r="EO111">
        <v>8</v>
      </c>
      <c r="EP111" t="s">
        <v>196</v>
      </c>
      <c r="EQ111">
        <v>2022</v>
      </c>
      <c r="ER111">
        <v>2022</v>
      </c>
      <c r="ES111" t="s">
        <v>178</v>
      </c>
    </row>
    <row r="112" spans="1:149" x14ac:dyDescent="0.45">
      <c r="A112">
        <v>1726</v>
      </c>
      <c r="B112">
        <v>976807</v>
      </c>
      <c r="C112" t="s">
        <v>173</v>
      </c>
      <c r="D112" t="s">
        <v>174</v>
      </c>
      <c r="E112" t="s">
        <v>175</v>
      </c>
      <c r="F112" t="s">
        <v>176</v>
      </c>
      <c r="I112" t="s">
        <v>177</v>
      </c>
      <c r="J112" t="s">
        <v>179</v>
      </c>
      <c r="K112" t="s">
        <v>179</v>
      </c>
      <c r="L112" t="s">
        <v>581</v>
      </c>
      <c r="M112" t="s">
        <v>331</v>
      </c>
      <c r="O112" t="s">
        <v>178</v>
      </c>
      <c r="P112" t="s">
        <v>179</v>
      </c>
      <c r="Q112" t="s">
        <v>180</v>
      </c>
      <c r="R112" t="s">
        <v>200</v>
      </c>
      <c r="S112" s="6">
        <v>44441</v>
      </c>
      <c r="T112" t="s">
        <v>582</v>
      </c>
      <c r="U112" t="s">
        <v>178</v>
      </c>
      <c r="V112">
        <v>0</v>
      </c>
      <c r="W112">
        <v>0</v>
      </c>
      <c r="X112" t="s">
        <v>202</v>
      </c>
      <c r="Z112" t="s">
        <v>66</v>
      </c>
      <c r="AA112" t="s">
        <v>178</v>
      </c>
      <c r="AB112" t="s">
        <v>184</v>
      </c>
      <c r="AC112">
        <v>2000</v>
      </c>
      <c r="AD112" t="s">
        <v>178</v>
      </c>
      <c r="AE112" t="s">
        <v>204</v>
      </c>
      <c r="AF112" t="s">
        <v>178</v>
      </c>
      <c r="AG112" t="s">
        <v>178</v>
      </c>
      <c r="AH112" t="s">
        <v>178</v>
      </c>
      <c r="AK112" t="s">
        <v>55</v>
      </c>
      <c r="AL112" t="s">
        <v>219</v>
      </c>
      <c r="AM112" t="s">
        <v>55</v>
      </c>
      <c r="AN112" t="s">
        <v>187</v>
      </c>
      <c r="AO112">
        <v>0</v>
      </c>
      <c r="AT112" s="6"/>
      <c r="AZ112" t="s">
        <v>192</v>
      </c>
      <c r="CA112" t="s">
        <v>179</v>
      </c>
      <c r="CG112" t="s">
        <v>178</v>
      </c>
      <c r="CH112" s="6">
        <v>44446</v>
      </c>
      <c r="CI112" s="6"/>
      <c r="CJ112" s="6"/>
      <c r="CL112" s="6"/>
      <c r="CQ112" s="6"/>
      <c r="DT112">
        <v>24</v>
      </c>
      <c r="DU112" t="s">
        <v>179</v>
      </c>
      <c r="DV112" t="s">
        <v>220</v>
      </c>
      <c r="DW112" t="s">
        <v>178</v>
      </c>
      <c r="DX112" t="s">
        <v>178</v>
      </c>
      <c r="DY112" t="s">
        <v>179</v>
      </c>
      <c r="DZ112" t="s">
        <v>178</v>
      </c>
      <c r="EA112" t="s">
        <v>179</v>
      </c>
      <c r="EB112" t="s">
        <v>179</v>
      </c>
      <c r="EE112" t="s">
        <v>178</v>
      </c>
      <c r="EF112" t="s">
        <v>178</v>
      </c>
      <c r="EG112" t="s">
        <v>178</v>
      </c>
      <c r="EH112" t="s">
        <v>178</v>
      </c>
      <c r="EI112" t="s">
        <v>178</v>
      </c>
      <c r="EJ112" t="s">
        <v>178</v>
      </c>
      <c r="EK112">
        <v>9</v>
      </c>
      <c r="EL112" t="s">
        <v>196</v>
      </c>
      <c r="EM112">
        <v>2021</v>
      </c>
      <c r="EN112">
        <v>2022</v>
      </c>
      <c r="EO112">
        <v>9</v>
      </c>
      <c r="EP112" t="s">
        <v>196</v>
      </c>
      <c r="EQ112">
        <v>2022</v>
      </c>
      <c r="ER112">
        <v>2022</v>
      </c>
      <c r="ES112" t="s">
        <v>178</v>
      </c>
    </row>
    <row r="113" spans="1:149" x14ac:dyDescent="0.45">
      <c r="A113">
        <v>366</v>
      </c>
      <c r="B113">
        <v>976522</v>
      </c>
      <c r="C113" t="s">
        <v>173</v>
      </c>
      <c r="D113" t="s">
        <v>210</v>
      </c>
      <c r="E113" t="s">
        <v>175</v>
      </c>
      <c r="F113" t="s">
        <v>323</v>
      </c>
      <c r="H113" t="s">
        <v>583</v>
      </c>
      <c r="I113" t="s">
        <v>177</v>
      </c>
      <c r="J113" t="s">
        <v>178</v>
      </c>
      <c r="K113" t="s">
        <v>178</v>
      </c>
      <c r="L113" t="s">
        <v>71</v>
      </c>
      <c r="M113" t="s">
        <v>225</v>
      </c>
      <c r="N113" t="s">
        <v>213</v>
      </c>
      <c r="O113" t="s">
        <v>178</v>
      </c>
      <c r="P113" t="s">
        <v>214</v>
      </c>
      <c r="Q113" t="s">
        <v>180</v>
      </c>
      <c r="R113" t="s">
        <v>215</v>
      </c>
      <c r="S113" s="6">
        <v>44292</v>
      </c>
      <c r="T113" t="s">
        <v>584</v>
      </c>
      <c r="U113" t="s">
        <v>178</v>
      </c>
      <c r="V113">
        <v>0</v>
      </c>
      <c r="W113">
        <v>0</v>
      </c>
      <c r="Z113" t="s">
        <v>272</v>
      </c>
      <c r="AA113" t="s">
        <v>178</v>
      </c>
      <c r="AB113" t="s">
        <v>184</v>
      </c>
      <c r="AC113">
        <v>0</v>
      </c>
      <c r="AD113" t="s">
        <v>179</v>
      </c>
      <c r="AE113" t="s">
        <v>218</v>
      </c>
      <c r="AF113" t="s">
        <v>178</v>
      </c>
      <c r="AG113" t="s">
        <v>179</v>
      </c>
      <c r="AL113" t="s">
        <v>219</v>
      </c>
      <c r="AM113" t="s">
        <v>179</v>
      </c>
      <c r="AO113">
        <v>0</v>
      </c>
      <c r="AT113" s="6"/>
      <c r="AZ113" t="s">
        <v>192</v>
      </c>
      <c r="CA113" t="s">
        <v>178</v>
      </c>
      <c r="CG113" t="s">
        <v>178</v>
      </c>
      <c r="CH113" s="6"/>
      <c r="CJ113" s="6"/>
      <c r="CL113" s="6"/>
      <c r="CQ113" s="6"/>
      <c r="DT113">
        <v>30</v>
      </c>
      <c r="DU113" t="s">
        <v>179</v>
      </c>
      <c r="DV113" t="s">
        <v>220</v>
      </c>
      <c r="DW113" t="s">
        <v>178</v>
      </c>
      <c r="DX113" t="s">
        <v>178</v>
      </c>
      <c r="DY113" t="s">
        <v>178</v>
      </c>
      <c r="DZ113" t="s">
        <v>178</v>
      </c>
      <c r="EA113" t="s">
        <v>178</v>
      </c>
      <c r="EB113" t="s">
        <v>178</v>
      </c>
      <c r="EE113" t="s">
        <v>178</v>
      </c>
      <c r="EF113" t="s">
        <v>178</v>
      </c>
      <c r="EG113" t="s">
        <v>178</v>
      </c>
      <c r="EH113" t="s">
        <v>178</v>
      </c>
      <c r="EI113" t="s">
        <v>178</v>
      </c>
      <c r="EJ113" t="s">
        <v>178</v>
      </c>
      <c r="EK113">
        <v>4</v>
      </c>
      <c r="EL113" t="s">
        <v>208</v>
      </c>
      <c r="EM113">
        <v>2021</v>
      </c>
      <c r="EN113">
        <v>2021</v>
      </c>
      <c r="EO113">
        <v>4</v>
      </c>
      <c r="EP113" t="s">
        <v>208</v>
      </c>
      <c r="EQ113">
        <v>2021</v>
      </c>
      <c r="ER113">
        <v>2021</v>
      </c>
      <c r="ES113" t="s">
        <v>178</v>
      </c>
    </row>
    <row r="114" spans="1:149" x14ac:dyDescent="0.45">
      <c r="A114">
        <v>131</v>
      </c>
      <c r="B114">
        <v>976939</v>
      </c>
      <c r="C114" t="s">
        <v>173</v>
      </c>
      <c r="D114" t="s">
        <v>174</v>
      </c>
      <c r="E114" t="s">
        <v>175</v>
      </c>
      <c r="F114" t="s">
        <v>585</v>
      </c>
      <c r="I114" t="s">
        <v>177</v>
      </c>
      <c r="J114" t="s">
        <v>178</v>
      </c>
      <c r="K114" t="s">
        <v>178</v>
      </c>
      <c r="M114" t="s">
        <v>225</v>
      </c>
      <c r="O114" t="s">
        <v>178</v>
      </c>
      <c r="P114" t="s">
        <v>178</v>
      </c>
      <c r="Q114" t="s">
        <v>259</v>
      </c>
      <c r="R114" t="s">
        <v>200</v>
      </c>
      <c r="S114" s="6">
        <v>44568</v>
      </c>
      <c r="T114" t="s">
        <v>586</v>
      </c>
      <c r="U114" t="s">
        <v>178</v>
      </c>
      <c r="V114">
        <v>0</v>
      </c>
      <c r="W114">
        <v>15</v>
      </c>
      <c r="Z114" t="s">
        <v>345</v>
      </c>
      <c r="AA114" t="s">
        <v>178</v>
      </c>
      <c r="AB114" t="s">
        <v>184</v>
      </c>
      <c r="AC114">
        <v>0</v>
      </c>
      <c r="AD114" t="s">
        <v>178</v>
      </c>
      <c r="AE114" t="s">
        <v>204</v>
      </c>
      <c r="AF114" t="s">
        <v>178</v>
      </c>
      <c r="AG114" t="s">
        <v>178</v>
      </c>
      <c r="AH114" t="s">
        <v>178</v>
      </c>
      <c r="AJ114" t="s">
        <v>179</v>
      </c>
      <c r="AK114" t="s">
        <v>56</v>
      </c>
      <c r="AL114" t="s">
        <v>228</v>
      </c>
      <c r="AM114" t="s">
        <v>56</v>
      </c>
      <c r="AN114" t="s">
        <v>187</v>
      </c>
      <c r="AO114">
        <v>30</v>
      </c>
      <c r="AP114" t="s">
        <v>233</v>
      </c>
      <c r="AT114" s="6"/>
      <c r="AZ114" t="s">
        <v>192</v>
      </c>
      <c r="CA114" t="s">
        <v>178</v>
      </c>
      <c r="CG114" t="s">
        <v>178</v>
      </c>
      <c r="CH114" s="6">
        <v>44571</v>
      </c>
      <c r="CI114" s="6" t="s">
        <v>179</v>
      </c>
      <c r="CJ114" s="6" t="s">
        <v>244</v>
      </c>
      <c r="CL114" s="6"/>
      <c r="CQ114" s="6"/>
      <c r="DA114" t="s">
        <v>179</v>
      </c>
      <c r="DB114" t="s">
        <v>194</v>
      </c>
      <c r="DR114" t="s">
        <v>230</v>
      </c>
      <c r="DT114">
        <v>40</v>
      </c>
      <c r="DU114" t="s">
        <v>179</v>
      </c>
      <c r="DV114" t="s">
        <v>220</v>
      </c>
      <c r="DW114" t="s">
        <v>179</v>
      </c>
      <c r="DX114" t="s">
        <v>178</v>
      </c>
      <c r="DY114" t="s">
        <v>179</v>
      </c>
      <c r="DZ114" t="s">
        <v>178</v>
      </c>
      <c r="EA114" t="s">
        <v>178</v>
      </c>
      <c r="EB114" t="s">
        <v>179</v>
      </c>
      <c r="EE114" t="s">
        <v>179</v>
      </c>
      <c r="EF114" t="s">
        <v>178</v>
      </c>
      <c r="EG114" t="s">
        <v>178</v>
      </c>
      <c r="EH114" t="s">
        <v>178</v>
      </c>
      <c r="EI114" t="s">
        <v>178</v>
      </c>
      <c r="EJ114" t="s">
        <v>178</v>
      </c>
      <c r="EK114">
        <v>1</v>
      </c>
      <c r="EL114" t="s">
        <v>209</v>
      </c>
      <c r="EM114">
        <v>2022</v>
      </c>
      <c r="EN114">
        <v>2022</v>
      </c>
      <c r="EO114">
        <v>1</v>
      </c>
      <c r="EP114" t="s">
        <v>209</v>
      </c>
      <c r="EQ114">
        <v>2022</v>
      </c>
      <c r="ER114">
        <v>2022</v>
      </c>
      <c r="ES114" t="s">
        <v>178</v>
      </c>
    </row>
    <row r="115" spans="1:149" x14ac:dyDescent="0.45">
      <c r="A115">
        <v>1723</v>
      </c>
      <c r="B115">
        <v>977092</v>
      </c>
      <c r="C115" t="s">
        <v>173</v>
      </c>
      <c r="D115" t="s">
        <v>224</v>
      </c>
      <c r="E115" t="s">
        <v>175</v>
      </c>
      <c r="F115" t="s">
        <v>176</v>
      </c>
      <c r="I115" t="s">
        <v>177</v>
      </c>
      <c r="J115" t="s">
        <v>178</v>
      </c>
      <c r="K115" t="s">
        <v>178</v>
      </c>
      <c r="L115" t="s">
        <v>410</v>
      </c>
      <c r="M115" t="s">
        <v>246</v>
      </c>
      <c r="O115" t="s">
        <v>178</v>
      </c>
      <c r="P115" t="s">
        <v>178</v>
      </c>
      <c r="Q115" t="s">
        <v>180</v>
      </c>
      <c r="R115" t="s">
        <v>200</v>
      </c>
      <c r="S115" s="6">
        <v>44670</v>
      </c>
      <c r="T115" t="s">
        <v>587</v>
      </c>
      <c r="U115" t="s">
        <v>178</v>
      </c>
      <c r="V115">
        <v>0</v>
      </c>
      <c r="W115">
        <v>11.75</v>
      </c>
      <c r="Z115" t="s">
        <v>302</v>
      </c>
      <c r="AA115" t="s">
        <v>178</v>
      </c>
      <c r="AB115" t="s">
        <v>184</v>
      </c>
      <c r="AC115">
        <v>0</v>
      </c>
      <c r="AD115" t="s">
        <v>179</v>
      </c>
      <c r="AE115" t="s">
        <v>204</v>
      </c>
      <c r="AF115" t="s">
        <v>178</v>
      </c>
      <c r="AG115" t="s">
        <v>178</v>
      </c>
      <c r="AH115" t="s">
        <v>178</v>
      </c>
      <c r="AJ115" t="s">
        <v>178</v>
      </c>
      <c r="AK115" t="s">
        <v>56</v>
      </c>
      <c r="AL115" t="s">
        <v>219</v>
      </c>
      <c r="AM115" t="s">
        <v>56</v>
      </c>
      <c r="AN115" t="s">
        <v>187</v>
      </c>
      <c r="AO115">
        <v>30</v>
      </c>
      <c r="AT115" s="6"/>
      <c r="AZ115" t="s">
        <v>192</v>
      </c>
      <c r="CA115" t="s">
        <v>178</v>
      </c>
      <c r="CG115" t="s">
        <v>178</v>
      </c>
      <c r="CH115" s="6"/>
      <c r="CJ115" s="6"/>
      <c r="CL115" s="6"/>
      <c r="CQ115" s="6"/>
      <c r="DC115" t="s">
        <v>179</v>
      </c>
      <c r="DT115">
        <v>33</v>
      </c>
      <c r="DU115" t="s">
        <v>179</v>
      </c>
      <c r="DV115" t="s">
        <v>220</v>
      </c>
      <c r="DW115" t="s">
        <v>178</v>
      </c>
      <c r="DX115" t="s">
        <v>178</v>
      </c>
      <c r="DY115" t="s">
        <v>178</v>
      </c>
      <c r="DZ115" t="s">
        <v>178</v>
      </c>
      <c r="EA115" t="s">
        <v>178</v>
      </c>
      <c r="EB115" t="s">
        <v>178</v>
      </c>
      <c r="EE115" t="s">
        <v>178</v>
      </c>
      <c r="EF115" t="s">
        <v>178</v>
      </c>
      <c r="EG115" t="s">
        <v>178</v>
      </c>
      <c r="EH115" t="s">
        <v>178</v>
      </c>
      <c r="EI115" t="s">
        <v>178</v>
      </c>
      <c r="EJ115" t="s">
        <v>178</v>
      </c>
      <c r="EK115">
        <v>4</v>
      </c>
      <c r="EL115" t="s">
        <v>208</v>
      </c>
      <c r="EM115">
        <v>2022</v>
      </c>
      <c r="EN115">
        <v>2022</v>
      </c>
      <c r="EO115">
        <v>4</v>
      </c>
      <c r="EP115" t="s">
        <v>208</v>
      </c>
      <c r="EQ115">
        <v>2022</v>
      </c>
      <c r="ER115">
        <v>2022</v>
      </c>
      <c r="ES115" t="s">
        <v>178</v>
      </c>
    </row>
    <row r="116" spans="1:149" x14ac:dyDescent="0.45">
      <c r="A116">
        <v>2042</v>
      </c>
      <c r="B116">
        <v>977308</v>
      </c>
      <c r="C116" t="s">
        <v>173</v>
      </c>
      <c r="D116" t="s">
        <v>174</v>
      </c>
      <c r="E116" t="s">
        <v>175</v>
      </c>
      <c r="F116" t="s">
        <v>176</v>
      </c>
      <c r="I116" t="s">
        <v>177</v>
      </c>
      <c r="J116" t="s">
        <v>179</v>
      </c>
      <c r="K116" t="s">
        <v>178</v>
      </c>
      <c r="O116" t="s">
        <v>178</v>
      </c>
      <c r="P116" t="s">
        <v>178</v>
      </c>
      <c r="Q116" t="s">
        <v>180</v>
      </c>
      <c r="R116" t="s">
        <v>200</v>
      </c>
      <c r="S116" s="6">
        <v>44817</v>
      </c>
      <c r="T116" t="s">
        <v>588</v>
      </c>
      <c r="U116" t="s">
        <v>178</v>
      </c>
      <c r="X116" t="s">
        <v>227</v>
      </c>
      <c r="Z116" t="s">
        <v>66</v>
      </c>
      <c r="AA116" t="s">
        <v>178</v>
      </c>
      <c r="AB116" t="s">
        <v>184</v>
      </c>
      <c r="AC116">
        <v>1200</v>
      </c>
      <c r="AD116" t="s">
        <v>178</v>
      </c>
      <c r="AE116" t="s">
        <v>204</v>
      </c>
      <c r="AF116" t="s">
        <v>178</v>
      </c>
      <c r="AH116" t="s">
        <v>178</v>
      </c>
      <c r="AK116" t="s">
        <v>56</v>
      </c>
      <c r="AL116" t="s">
        <v>219</v>
      </c>
      <c r="AM116" t="s">
        <v>56</v>
      </c>
      <c r="AN116" t="s">
        <v>187</v>
      </c>
      <c r="AP116" t="s">
        <v>589</v>
      </c>
      <c r="AQ116" t="s">
        <v>178</v>
      </c>
      <c r="AT116" s="6"/>
      <c r="AU116" t="s">
        <v>178</v>
      </c>
      <c r="AV116" t="s">
        <v>590</v>
      </c>
      <c r="AX116" t="s">
        <v>178</v>
      </c>
      <c r="AY116" t="s">
        <v>122</v>
      </c>
      <c r="AZ116" t="s">
        <v>192</v>
      </c>
      <c r="CA116" t="s">
        <v>179</v>
      </c>
      <c r="CG116" t="s">
        <v>178</v>
      </c>
      <c r="CH116" s="6"/>
      <c r="CJ116" s="6"/>
      <c r="CL116" s="6"/>
      <c r="CQ116" s="6"/>
      <c r="DT116">
        <v>19</v>
      </c>
      <c r="DU116" t="s">
        <v>179</v>
      </c>
      <c r="DV116" t="s">
        <v>220</v>
      </c>
      <c r="DW116" t="s">
        <v>178</v>
      </c>
      <c r="DX116" t="s">
        <v>178</v>
      </c>
      <c r="DY116" t="s">
        <v>178</v>
      </c>
      <c r="DZ116" t="s">
        <v>179</v>
      </c>
      <c r="EA116" t="s">
        <v>179</v>
      </c>
      <c r="EB116" t="s">
        <v>179</v>
      </c>
      <c r="EE116" t="s">
        <v>178</v>
      </c>
      <c r="EF116" t="s">
        <v>178</v>
      </c>
      <c r="EG116" t="s">
        <v>178</v>
      </c>
      <c r="EH116" t="s">
        <v>178</v>
      </c>
      <c r="EI116" t="s">
        <v>178</v>
      </c>
      <c r="EJ116" t="s">
        <v>178</v>
      </c>
      <c r="EK116">
        <v>9</v>
      </c>
      <c r="EL116" t="s">
        <v>196</v>
      </c>
      <c r="EM116">
        <v>2022</v>
      </c>
      <c r="EN116">
        <v>2023</v>
      </c>
      <c r="EO116">
        <v>9</v>
      </c>
      <c r="EP116" t="s">
        <v>196</v>
      </c>
      <c r="EQ116">
        <v>2023</v>
      </c>
      <c r="ER116">
        <v>2023</v>
      </c>
      <c r="ES116" t="s">
        <v>178</v>
      </c>
    </row>
    <row r="117" spans="1:149" x14ac:dyDescent="0.45">
      <c r="A117">
        <v>100</v>
      </c>
      <c r="B117">
        <v>976986</v>
      </c>
      <c r="C117" t="s">
        <v>393</v>
      </c>
      <c r="D117" t="s">
        <v>174</v>
      </c>
      <c r="E117" t="s">
        <v>175</v>
      </c>
      <c r="F117" t="s">
        <v>270</v>
      </c>
      <c r="I117" t="s">
        <v>177</v>
      </c>
      <c r="J117" t="s">
        <v>179</v>
      </c>
      <c r="K117" t="s">
        <v>179</v>
      </c>
      <c r="L117" t="s">
        <v>591</v>
      </c>
      <c r="M117" t="s">
        <v>592</v>
      </c>
      <c r="O117" t="s">
        <v>178</v>
      </c>
      <c r="P117" t="s">
        <v>178</v>
      </c>
      <c r="Q117" t="s">
        <v>180</v>
      </c>
      <c r="R117" t="s">
        <v>200</v>
      </c>
      <c r="S117" s="6">
        <v>44607</v>
      </c>
      <c r="T117" t="s">
        <v>593</v>
      </c>
      <c r="U117" t="s">
        <v>178</v>
      </c>
      <c r="V117">
        <v>0</v>
      </c>
      <c r="W117">
        <v>12</v>
      </c>
      <c r="Z117" t="s">
        <v>203</v>
      </c>
      <c r="AA117" t="s">
        <v>178</v>
      </c>
      <c r="AB117" t="s">
        <v>184</v>
      </c>
      <c r="AC117">
        <v>0</v>
      </c>
      <c r="AD117" t="s">
        <v>178</v>
      </c>
      <c r="AE117" t="s">
        <v>303</v>
      </c>
      <c r="AF117" t="s">
        <v>178</v>
      </c>
      <c r="AG117" t="s">
        <v>178</v>
      </c>
      <c r="AH117" t="s">
        <v>178</v>
      </c>
      <c r="AJ117" t="s">
        <v>179</v>
      </c>
      <c r="AM117" t="s">
        <v>56</v>
      </c>
      <c r="AN117" t="s">
        <v>187</v>
      </c>
      <c r="AO117">
        <v>40</v>
      </c>
      <c r="AT117" s="6"/>
      <c r="AZ117" t="s">
        <v>192</v>
      </c>
      <c r="CA117" t="s">
        <v>178</v>
      </c>
      <c r="CG117" t="s">
        <v>178</v>
      </c>
      <c r="CH117" s="6"/>
      <c r="CJ117" s="6"/>
      <c r="CL117" s="6"/>
      <c r="CQ117" s="6"/>
      <c r="DC117" t="s">
        <v>179</v>
      </c>
      <c r="DT117">
        <v>23</v>
      </c>
      <c r="DU117" t="s">
        <v>178</v>
      </c>
      <c r="DW117" t="s">
        <v>178</v>
      </c>
      <c r="DX117" t="s">
        <v>178</v>
      </c>
      <c r="DY117" t="s">
        <v>178</v>
      </c>
      <c r="DZ117" t="s">
        <v>178</v>
      </c>
      <c r="EA117" t="s">
        <v>178</v>
      </c>
      <c r="EB117" t="s">
        <v>178</v>
      </c>
      <c r="EE117" t="s">
        <v>178</v>
      </c>
      <c r="EF117" t="s">
        <v>178</v>
      </c>
      <c r="EG117" t="s">
        <v>178</v>
      </c>
      <c r="EH117" t="s">
        <v>178</v>
      </c>
      <c r="EI117" t="s">
        <v>178</v>
      </c>
      <c r="EJ117" t="s">
        <v>178</v>
      </c>
      <c r="EK117">
        <v>2</v>
      </c>
      <c r="EL117" t="s">
        <v>209</v>
      </c>
      <c r="EM117">
        <v>2022</v>
      </c>
      <c r="EN117">
        <v>2022</v>
      </c>
      <c r="EO117">
        <v>2</v>
      </c>
      <c r="EP117" t="s">
        <v>209</v>
      </c>
      <c r="EQ117">
        <v>2022</v>
      </c>
      <c r="ER117">
        <v>2022</v>
      </c>
      <c r="ES117" t="s">
        <v>178</v>
      </c>
    </row>
    <row r="118" spans="1:149" x14ac:dyDescent="0.45">
      <c r="A118">
        <v>232</v>
      </c>
      <c r="B118">
        <v>976788</v>
      </c>
      <c r="C118" t="s">
        <v>173</v>
      </c>
      <c r="D118" t="s">
        <v>174</v>
      </c>
      <c r="E118" t="s">
        <v>175</v>
      </c>
      <c r="F118" t="s">
        <v>270</v>
      </c>
      <c r="I118" t="s">
        <v>177</v>
      </c>
      <c r="J118" t="s">
        <v>179</v>
      </c>
      <c r="K118" t="s">
        <v>179</v>
      </c>
      <c r="M118" t="s">
        <v>594</v>
      </c>
      <c r="O118" t="s">
        <v>178</v>
      </c>
      <c r="P118" t="s">
        <v>178</v>
      </c>
      <c r="Q118" t="s">
        <v>180</v>
      </c>
      <c r="R118" t="s">
        <v>200</v>
      </c>
      <c r="S118" s="6">
        <v>44432</v>
      </c>
      <c r="T118" t="s">
        <v>595</v>
      </c>
      <c r="U118" t="s">
        <v>178</v>
      </c>
      <c r="V118">
        <v>0</v>
      </c>
      <c r="W118">
        <v>13</v>
      </c>
      <c r="X118" t="s">
        <v>227</v>
      </c>
      <c r="Z118" t="s">
        <v>66</v>
      </c>
      <c r="AA118" t="s">
        <v>178</v>
      </c>
      <c r="AB118" t="s">
        <v>184</v>
      </c>
      <c r="AC118">
        <v>1040</v>
      </c>
      <c r="AD118" t="s">
        <v>179</v>
      </c>
      <c r="AE118" t="s">
        <v>204</v>
      </c>
      <c r="AF118" t="s">
        <v>178</v>
      </c>
      <c r="AG118" t="s">
        <v>178</v>
      </c>
      <c r="AH118" t="s">
        <v>178</v>
      </c>
      <c r="AL118" t="s">
        <v>219</v>
      </c>
      <c r="AM118" t="s">
        <v>55</v>
      </c>
      <c r="AN118" t="s">
        <v>187</v>
      </c>
      <c r="AO118">
        <v>20</v>
      </c>
      <c r="AT118" s="6"/>
      <c r="AZ118" t="s">
        <v>192</v>
      </c>
      <c r="CA118" t="s">
        <v>179</v>
      </c>
      <c r="CG118" t="s">
        <v>178</v>
      </c>
      <c r="CH118" s="6"/>
      <c r="CJ118" s="6"/>
      <c r="CL118" s="6"/>
      <c r="CQ118" s="6"/>
      <c r="DC118" t="s">
        <v>179</v>
      </c>
      <c r="DT118">
        <v>29</v>
      </c>
      <c r="DU118" t="s">
        <v>179</v>
      </c>
      <c r="DV118" t="s">
        <v>220</v>
      </c>
      <c r="DW118" t="s">
        <v>178</v>
      </c>
      <c r="DX118" t="s">
        <v>178</v>
      </c>
      <c r="DY118" t="s">
        <v>178</v>
      </c>
      <c r="DZ118" t="s">
        <v>178</v>
      </c>
      <c r="EA118" t="s">
        <v>179</v>
      </c>
      <c r="EB118" t="s">
        <v>178</v>
      </c>
      <c r="EE118" t="s">
        <v>178</v>
      </c>
      <c r="EF118" t="s">
        <v>178</v>
      </c>
      <c r="EG118" t="s">
        <v>178</v>
      </c>
      <c r="EH118" t="s">
        <v>178</v>
      </c>
      <c r="EI118" t="s">
        <v>178</v>
      </c>
      <c r="EJ118" t="s">
        <v>178</v>
      </c>
      <c r="EK118">
        <v>8</v>
      </c>
      <c r="EL118" t="s">
        <v>196</v>
      </c>
      <c r="EM118">
        <v>2021</v>
      </c>
      <c r="EN118">
        <v>2022</v>
      </c>
      <c r="EO118">
        <v>8</v>
      </c>
      <c r="EP118" t="s">
        <v>196</v>
      </c>
      <c r="EQ118">
        <v>2022</v>
      </c>
      <c r="ER118">
        <v>2022</v>
      </c>
      <c r="ES118" t="s">
        <v>178</v>
      </c>
    </row>
    <row r="119" spans="1:149" x14ac:dyDescent="0.45">
      <c r="A119">
        <v>1785</v>
      </c>
      <c r="B119">
        <v>977212</v>
      </c>
      <c r="C119" t="s">
        <v>596</v>
      </c>
      <c r="D119" t="s">
        <v>224</v>
      </c>
      <c r="E119" t="s">
        <v>175</v>
      </c>
      <c r="F119" t="s">
        <v>176</v>
      </c>
      <c r="I119" t="s">
        <v>177</v>
      </c>
      <c r="J119" t="s">
        <v>179</v>
      </c>
      <c r="K119" t="s">
        <v>179</v>
      </c>
      <c r="L119" t="s">
        <v>407</v>
      </c>
      <c r="M119" t="s">
        <v>246</v>
      </c>
      <c r="O119" t="s">
        <v>178</v>
      </c>
      <c r="P119" t="s">
        <v>178</v>
      </c>
      <c r="Q119" t="s">
        <v>180</v>
      </c>
      <c r="R119" t="s">
        <v>200</v>
      </c>
      <c r="S119" s="6">
        <v>44740</v>
      </c>
      <c r="T119" t="s">
        <v>597</v>
      </c>
      <c r="U119" t="s">
        <v>178</v>
      </c>
      <c r="V119">
        <v>0</v>
      </c>
      <c r="Z119" t="s">
        <v>345</v>
      </c>
      <c r="AA119" t="s">
        <v>178</v>
      </c>
      <c r="AB119" t="s">
        <v>184</v>
      </c>
      <c r="AC119">
        <v>0</v>
      </c>
      <c r="AD119" t="s">
        <v>179</v>
      </c>
      <c r="AE119" t="s">
        <v>204</v>
      </c>
      <c r="AF119" t="s">
        <v>178</v>
      </c>
      <c r="AG119" t="s">
        <v>178</v>
      </c>
      <c r="AH119" t="s">
        <v>178</v>
      </c>
      <c r="AM119" t="s">
        <v>56</v>
      </c>
      <c r="AN119" t="s">
        <v>187</v>
      </c>
      <c r="AP119" t="s">
        <v>205</v>
      </c>
      <c r="AR119">
        <v>22</v>
      </c>
      <c r="AT119" s="6"/>
      <c r="AY119" t="s">
        <v>206</v>
      </c>
      <c r="AZ119" t="s">
        <v>192</v>
      </c>
      <c r="CA119" t="s">
        <v>178</v>
      </c>
      <c r="CG119" t="s">
        <v>178</v>
      </c>
      <c r="CH119" s="6"/>
      <c r="CJ119" s="6"/>
      <c r="DT119">
        <v>35</v>
      </c>
      <c r="DU119" t="s">
        <v>179</v>
      </c>
      <c r="DW119" t="s">
        <v>178</v>
      </c>
      <c r="DX119" t="s">
        <v>178</v>
      </c>
      <c r="DY119" t="s">
        <v>178</v>
      </c>
      <c r="DZ119" t="s">
        <v>178</v>
      </c>
      <c r="EA119" t="s">
        <v>178</v>
      </c>
      <c r="EB119" t="s">
        <v>178</v>
      </c>
      <c r="EE119" t="s">
        <v>178</v>
      </c>
      <c r="EF119" t="s">
        <v>178</v>
      </c>
      <c r="EG119" t="s">
        <v>178</v>
      </c>
      <c r="EH119" t="s">
        <v>178</v>
      </c>
      <c r="EI119" t="s">
        <v>178</v>
      </c>
      <c r="EJ119" t="s">
        <v>178</v>
      </c>
      <c r="EK119">
        <v>6</v>
      </c>
      <c r="EL119" t="s">
        <v>208</v>
      </c>
      <c r="EM119">
        <v>2022</v>
      </c>
      <c r="EN119">
        <v>2022</v>
      </c>
      <c r="EO119">
        <v>6</v>
      </c>
      <c r="EP119" t="s">
        <v>208</v>
      </c>
      <c r="EQ119">
        <v>2022</v>
      </c>
      <c r="ER119">
        <v>2022</v>
      </c>
      <c r="ES119" t="s">
        <v>178</v>
      </c>
    </row>
    <row r="120" spans="1:149" x14ac:dyDescent="0.45">
      <c r="A120">
        <v>1863</v>
      </c>
      <c r="B120">
        <v>977210</v>
      </c>
      <c r="C120" t="s">
        <v>173</v>
      </c>
      <c r="D120" t="s">
        <v>174</v>
      </c>
      <c r="E120" t="s">
        <v>175</v>
      </c>
      <c r="F120" t="s">
        <v>176</v>
      </c>
      <c r="I120" t="s">
        <v>177</v>
      </c>
      <c r="J120" t="s">
        <v>178</v>
      </c>
      <c r="K120" t="s">
        <v>178</v>
      </c>
      <c r="L120" t="s">
        <v>407</v>
      </c>
      <c r="M120" t="s">
        <v>598</v>
      </c>
      <c r="O120" t="s">
        <v>178</v>
      </c>
      <c r="P120" t="s">
        <v>178</v>
      </c>
      <c r="Q120" t="s">
        <v>180</v>
      </c>
      <c r="R120" t="s">
        <v>200</v>
      </c>
      <c r="S120" s="6">
        <v>44740</v>
      </c>
      <c r="T120" t="s">
        <v>599</v>
      </c>
      <c r="U120" t="s">
        <v>178</v>
      </c>
      <c r="V120">
        <v>0</v>
      </c>
      <c r="AA120" t="s">
        <v>178</v>
      </c>
      <c r="AB120" t="s">
        <v>184</v>
      </c>
      <c r="AC120">
        <v>0</v>
      </c>
      <c r="AD120" t="s">
        <v>178</v>
      </c>
      <c r="AE120" t="s">
        <v>204</v>
      </c>
      <c r="AF120" t="s">
        <v>178</v>
      </c>
      <c r="AG120" t="s">
        <v>178</v>
      </c>
      <c r="AH120" t="s">
        <v>178</v>
      </c>
      <c r="AJ120" t="s">
        <v>178</v>
      </c>
      <c r="AK120" t="s">
        <v>56</v>
      </c>
      <c r="AL120" t="s">
        <v>237</v>
      </c>
      <c r="AM120" t="s">
        <v>56</v>
      </c>
      <c r="AN120" t="s">
        <v>187</v>
      </c>
      <c r="AR120">
        <v>0</v>
      </c>
      <c r="AT120" s="6"/>
      <c r="AY120" t="s">
        <v>238</v>
      </c>
      <c r="AZ120" t="s">
        <v>192</v>
      </c>
      <c r="BA120" t="s">
        <v>600</v>
      </c>
      <c r="BB120" t="s">
        <v>240</v>
      </c>
      <c r="BC120" t="s">
        <v>504</v>
      </c>
      <c r="BD120">
        <v>16.5</v>
      </c>
      <c r="BE120">
        <v>40</v>
      </c>
      <c r="BF120" t="s">
        <v>179</v>
      </c>
      <c r="BG120" t="s">
        <v>179</v>
      </c>
      <c r="BH120" t="s">
        <v>178</v>
      </c>
      <c r="BI120" t="s">
        <v>179</v>
      </c>
      <c r="BJ120" t="s">
        <v>179</v>
      </c>
      <c r="BK120" t="s">
        <v>600</v>
      </c>
      <c r="BL120" t="s">
        <v>240</v>
      </c>
      <c r="BM120" t="s">
        <v>504</v>
      </c>
      <c r="BN120">
        <v>16.5</v>
      </c>
      <c r="BO120">
        <v>40</v>
      </c>
      <c r="BP120" t="s">
        <v>179</v>
      </c>
      <c r="BQ120" t="s">
        <v>179</v>
      </c>
      <c r="BR120" t="s">
        <v>178</v>
      </c>
      <c r="BS120" t="s">
        <v>179</v>
      </c>
      <c r="BT120" t="s">
        <v>179</v>
      </c>
      <c r="CA120" t="s">
        <v>178</v>
      </c>
      <c r="CG120" t="s">
        <v>179</v>
      </c>
      <c r="CH120" s="6">
        <v>44747</v>
      </c>
      <c r="CI120" s="6" t="s">
        <v>179</v>
      </c>
      <c r="CJ120" s="6" t="s">
        <v>400</v>
      </c>
      <c r="CL120" s="6"/>
      <c r="CQ120" s="6"/>
      <c r="DA120" t="s">
        <v>179</v>
      </c>
      <c r="DB120" t="s">
        <v>194</v>
      </c>
      <c r="DT120">
        <v>20</v>
      </c>
      <c r="DU120" t="s">
        <v>179</v>
      </c>
      <c r="DV120" t="s">
        <v>220</v>
      </c>
      <c r="DW120" t="s">
        <v>179</v>
      </c>
      <c r="DX120" t="s">
        <v>179</v>
      </c>
      <c r="DY120" t="s">
        <v>179</v>
      </c>
      <c r="DZ120" t="s">
        <v>178</v>
      </c>
      <c r="EA120" t="s">
        <v>179</v>
      </c>
      <c r="EB120" t="s">
        <v>178</v>
      </c>
      <c r="ED120">
        <v>95</v>
      </c>
      <c r="EE120" t="s">
        <v>178</v>
      </c>
      <c r="EF120" t="s">
        <v>178</v>
      </c>
      <c r="EG120" t="s">
        <v>178</v>
      </c>
      <c r="EH120" t="s">
        <v>178</v>
      </c>
      <c r="EI120" t="s">
        <v>179</v>
      </c>
      <c r="EJ120" t="s">
        <v>178</v>
      </c>
      <c r="EK120">
        <v>7</v>
      </c>
      <c r="EL120" t="s">
        <v>196</v>
      </c>
      <c r="EM120">
        <v>2022</v>
      </c>
      <c r="EN120">
        <v>2023</v>
      </c>
      <c r="EO120">
        <v>6</v>
      </c>
      <c r="EP120" t="s">
        <v>208</v>
      </c>
      <c r="EQ120">
        <v>2022</v>
      </c>
      <c r="ER120">
        <v>2022</v>
      </c>
      <c r="ES120" t="s">
        <v>178</v>
      </c>
    </row>
    <row r="121" spans="1:149" x14ac:dyDescent="0.45">
      <c r="A121">
        <v>264</v>
      </c>
      <c r="B121">
        <v>976733</v>
      </c>
      <c r="C121" t="s">
        <v>261</v>
      </c>
      <c r="D121" t="s">
        <v>224</v>
      </c>
      <c r="E121" t="s">
        <v>175</v>
      </c>
      <c r="F121" t="s">
        <v>176</v>
      </c>
      <c r="I121" t="s">
        <v>177</v>
      </c>
      <c r="J121" t="s">
        <v>178</v>
      </c>
      <c r="K121" t="s">
        <v>178</v>
      </c>
      <c r="M121" t="s">
        <v>225</v>
      </c>
      <c r="P121" t="s">
        <v>214</v>
      </c>
      <c r="Q121" t="s">
        <v>180</v>
      </c>
      <c r="R121" t="s">
        <v>200</v>
      </c>
      <c r="S121" s="6">
        <v>44397</v>
      </c>
      <c r="T121" t="s">
        <v>601</v>
      </c>
      <c r="U121" t="s">
        <v>178</v>
      </c>
      <c r="V121">
        <v>0</v>
      </c>
      <c r="W121">
        <v>0</v>
      </c>
      <c r="Z121" t="s">
        <v>223</v>
      </c>
      <c r="AA121" t="s">
        <v>178</v>
      </c>
      <c r="AB121" t="s">
        <v>184</v>
      </c>
      <c r="AC121">
        <v>0</v>
      </c>
      <c r="AD121" t="s">
        <v>178</v>
      </c>
      <c r="AE121" t="s">
        <v>204</v>
      </c>
      <c r="AF121" t="s">
        <v>178</v>
      </c>
      <c r="AG121" t="s">
        <v>179</v>
      </c>
      <c r="AH121" t="s">
        <v>178</v>
      </c>
      <c r="AK121" t="s">
        <v>56</v>
      </c>
      <c r="AL121" t="s">
        <v>354</v>
      </c>
      <c r="AM121" t="s">
        <v>56</v>
      </c>
      <c r="AN121" t="s">
        <v>187</v>
      </c>
      <c r="AO121">
        <v>25</v>
      </c>
      <c r="AT121" s="6"/>
      <c r="AZ121" t="s">
        <v>192</v>
      </c>
      <c r="CA121" t="s">
        <v>178</v>
      </c>
      <c r="CG121" t="s">
        <v>178</v>
      </c>
      <c r="CH121" s="6">
        <v>44410</v>
      </c>
      <c r="CI121" s="6" t="s">
        <v>179</v>
      </c>
      <c r="CJ121" s="6" t="s">
        <v>444</v>
      </c>
      <c r="DA121" t="s">
        <v>179</v>
      </c>
      <c r="DD121" t="s">
        <v>264</v>
      </c>
      <c r="DE121">
        <v>7</v>
      </c>
      <c r="DL121" t="s">
        <v>265</v>
      </c>
      <c r="DR121" t="s">
        <v>580</v>
      </c>
      <c r="DT121">
        <v>26</v>
      </c>
      <c r="DU121" t="s">
        <v>179</v>
      </c>
      <c r="DV121" t="s">
        <v>220</v>
      </c>
      <c r="DW121" t="s">
        <v>179</v>
      </c>
      <c r="DX121" t="s">
        <v>178</v>
      </c>
      <c r="DY121" t="s">
        <v>179</v>
      </c>
      <c r="DZ121" t="s">
        <v>178</v>
      </c>
      <c r="EA121" t="s">
        <v>178</v>
      </c>
      <c r="EB121" t="s">
        <v>179</v>
      </c>
      <c r="EE121" t="s">
        <v>179</v>
      </c>
      <c r="EF121" t="s">
        <v>178</v>
      </c>
      <c r="EG121" t="s">
        <v>178</v>
      </c>
      <c r="EH121" t="s">
        <v>178</v>
      </c>
      <c r="EI121" t="s">
        <v>178</v>
      </c>
      <c r="EJ121" t="s">
        <v>178</v>
      </c>
      <c r="EK121">
        <v>8</v>
      </c>
      <c r="EL121" t="s">
        <v>196</v>
      </c>
      <c r="EM121">
        <v>2021</v>
      </c>
      <c r="EN121">
        <v>2022</v>
      </c>
      <c r="EO121">
        <v>7</v>
      </c>
      <c r="EP121" t="s">
        <v>196</v>
      </c>
      <c r="EQ121">
        <v>2022</v>
      </c>
      <c r="ER121">
        <v>2021</v>
      </c>
      <c r="ES121" t="s">
        <v>178</v>
      </c>
    </row>
    <row r="122" spans="1:149" x14ac:dyDescent="0.45">
      <c r="A122">
        <v>1769</v>
      </c>
      <c r="B122">
        <v>977086</v>
      </c>
      <c r="C122" t="s">
        <v>173</v>
      </c>
      <c r="D122" t="s">
        <v>224</v>
      </c>
      <c r="E122" t="s">
        <v>175</v>
      </c>
      <c r="F122" t="s">
        <v>176</v>
      </c>
      <c r="I122" t="s">
        <v>177</v>
      </c>
      <c r="J122" t="s">
        <v>179</v>
      </c>
      <c r="K122" t="s">
        <v>178</v>
      </c>
      <c r="L122" t="s">
        <v>546</v>
      </c>
      <c r="M122" t="s">
        <v>246</v>
      </c>
      <c r="O122" t="s">
        <v>178</v>
      </c>
      <c r="P122" t="s">
        <v>178</v>
      </c>
      <c r="Q122" t="s">
        <v>180</v>
      </c>
      <c r="R122" t="s">
        <v>200</v>
      </c>
      <c r="S122" s="6">
        <v>44663</v>
      </c>
      <c r="T122" t="s">
        <v>602</v>
      </c>
      <c r="U122" t="s">
        <v>178</v>
      </c>
      <c r="V122">
        <v>0</v>
      </c>
      <c r="W122">
        <v>17</v>
      </c>
      <c r="X122" t="s">
        <v>202</v>
      </c>
      <c r="Z122" t="s">
        <v>203</v>
      </c>
      <c r="AA122" t="s">
        <v>179</v>
      </c>
      <c r="AB122" t="s">
        <v>184</v>
      </c>
      <c r="AC122">
        <v>0</v>
      </c>
      <c r="AD122" t="s">
        <v>179</v>
      </c>
      <c r="AE122" t="s">
        <v>204</v>
      </c>
      <c r="AF122" t="s">
        <v>178</v>
      </c>
      <c r="AG122" t="s">
        <v>179</v>
      </c>
      <c r="AH122" t="s">
        <v>179</v>
      </c>
      <c r="AJ122" t="s">
        <v>179</v>
      </c>
      <c r="AK122" t="s">
        <v>56</v>
      </c>
      <c r="AL122" t="s">
        <v>228</v>
      </c>
      <c r="AM122" t="s">
        <v>56</v>
      </c>
      <c r="AN122" t="s">
        <v>187</v>
      </c>
      <c r="AO122">
        <v>40</v>
      </c>
      <c r="AP122" t="s">
        <v>205</v>
      </c>
      <c r="AT122" s="6"/>
      <c r="AZ122" t="s">
        <v>192</v>
      </c>
      <c r="CA122" t="s">
        <v>178</v>
      </c>
      <c r="CG122" t="s">
        <v>178</v>
      </c>
      <c r="CH122" s="6">
        <v>44683</v>
      </c>
      <c r="CI122" s="6" t="s">
        <v>179</v>
      </c>
      <c r="CJ122" s="6" t="s">
        <v>356</v>
      </c>
      <c r="DA122" t="s">
        <v>179</v>
      </c>
      <c r="DB122" t="s">
        <v>194</v>
      </c>
      <c r="DR122" t="s">
        <v>358</v>
      </c>
      <c r="DT122">
        <v>34</v>
      </c>
      <c r="DU122" t="s">
        <v>179</v>
      </c>
      <c r="DV122" t="s">
        <v>220</v>
      </c>
      <c r="DW122" t="s">
        <v>179</v>
      </c>
      <c r="DX122" t="s">
        <v>178</v>
      </c>
      <c r="DY122" t="s">
        <v>179</v>
      </c>
      <c r="DZ122" t="s">
        <v>178</v>
      </c>
      <c r="EA122" t="s">
        <v>178</v>
      </c>
      <c r="EB122" t="s">
        <v>179</v>
      </c>
      <c r="EE122" t="s">
        <v>179</v>
      </c>
      <c r="EF122" t="s">
        <v>178</v>
      </c>
      <c r="EG122" t="s">
        <v>178</v>
      </c>
      <c r="EH122" t="s">
        <v>178</v>
      </c>
      <c r="EI122" t="s">
        <v>178</v>
      </c>
      <c r="EJ122" t="s">
        <v>178</v>
      </c>
      <c r="EK122">
        <v>5</v>
      </c>
      <c r="EL122" t="s">
        <v>208</v>
      </c>
      <c r="EM122">
        <v>2022</v>
      </c>
      <c r="EN122">
        <v>2022</v>
      </c>
      <c r="EO122">
        <v>4</v>
      </c>
      <c r="EP122" t="s">
        <v>208</v>
      </c>
      <c r="EQ122">
        <v>2022</v>
      </c>
      <c r="ER122">
        <v>2022</v>
      </c>
      <c r="ES122" t="s">
        <v>178</v>
      </c>
    </row>
    <row r="123" spans="1:149" x14ac:dyDescent="0.45">
      <c r="A123">
        <v>59</v>
      </c>
      <c r="B123">
        <v>977046</v>
      </c>
      <c r="C123" t="s">
        <v>173</v>
      </c>
      <c r="D123" t="s">
        <v>174</v>
      </c>
      <c r="E123" t="s">
        <v>175</v>
      </c>
      <c r="F123" t="s">
        <v>176</v>
      </c>
      <c r="I123" t="s">
        <v>177</v>
      </c>
      <c r="J123" t="s">
        <v>178</v>
      </c>
      <c r="K123" t="s">
        <v>178</v>
      </c>
      <c r="L123" t="s">
        <v>421</v>
      </c>
      <c r="M123" t="s">
        <v>603</v>
      </c>
      <c r="O123" t="s">
        <v>178</v>
      </c>
      <c r="P123" t="s">
        <v>178</v>
      </c>
      <c r="Q123" t="s">
        <v>604</v>
      </c>
      <c r="R123" t="s">
        <v>200</v>
      </c>
      <c r="S123" s="6">
        <v>44651</v>
      </c>
      <c r="T123" t="s">
        <v>605</v>
      </c>
      <c r="U123" t="s">
        <v>178</v>
      </c>
      <c r="V123">
        <v>0</v>
      </c>
      <c r="W123">
        <v>16.399999999999999</v>
      </c>
      <c r="X123" t="s">
        <v>227</v>
      </c>
      <c r="Z123" t="s">
        <v>66</v>
      </c>
      <c r="AA123" t="s">
        <v>178</v>
      </c>
      <c r="AB123" t="s">
        <v>184</v>
      </c>
      <c r="AC123">
        <v>1200</v>
      </c>
      <c r="AD123" t="s">
        <v>178</v>
      </c>
      <c r="AE123" t="s">
        <v>204</v>
      </c>
      <c r="AF123" t="s">
        <v>178</v>
      </c>
      <c r="AG123" t="s">
        <v>179</v>
      </c>
      <c r="AH123" t="s">
        <v>178</v>
      </c>
      <c r="AJ123" t="s">
        <v>178</v>
      </c>
      <c r="AK123" t="s">
        <v>56</v>
      </c>
      <c r="AL123" t="s">
        <v>219</v>
      </c>
      <c r="AM123" t="s">
        <v>56</v>
      </c>
      <c r="AN123" t="s">
        <v>187</v>
      </c>
      <c r="AO123">
        <v>24</v>
      </c>
      <c r="AT123" s="6"/>
      <c r="AZ123" t="s">
        <v>192</v>
      </c>
      <c r="CA123" t="s">
        <v>179</v>
      </c>
      <c r="CG123" t="s">
        <v>178</v>
      </c>
      <c r="CH123" s="6">
        <v>44655</v>
      </c>
      <c r="CI123" s="6" t="s">
        <v>179</v>
      </c>
      <c r="CJ123" s="6" t="s">
        <v>207</v>
      </c>
      <c r="DA123" t="s">
        <v>179</v>
      </c>
      <c r="DB123" t="s">
        <v>194</v>
      </c>
      <c r="DT123">
        <v>35</v>
      </c>
      <c r="DU123" t="s">
        <v>179</v>
      </c>
      <c r="DV123" t="s">
        <v>220</v>
      </c>
      <c r="DW123" t="s">
        <v>179</v>
      </c>
      <c r="DX123" t="s">
        <v>178</v>
      </c>
      <c r="DY123" t="s">
        <v>179</v>
      </c>
      <c r="DZ123" t="s">
        <v>178</v>
      </c>
      <c r="EA123" t="s">
        <v>179</v>
      </c>
      <c r="EB123" t="s">
        <v>179</v>
      </c>
      <c r="EE123" t="s">
        <v>179</v>
      </c>
      <c r="EF123" t="s">
        <v>178</v>
      </c>
      <c r="EG123" t="s">
        <v>178</v>
      </c>
      <c r="EH123" t="s">
        <v>178</v>
      </c>
      <c r="EI123" t="s">
        <v>178</v>
      </c>
      <c r="EJ123" t="s">
        <v>178</v>
      </c>
      <c r="EK123">
        <v>4</v>
      </c>
      <c r="EL123" t="s">
        <v>208</v>
      </c>
      <c r="EM123">
        <v>2022</v>
      </c>
      <c r="EN123">
        <v>2022</v>
      </c>
      <c r="EO123">
        <v>3</v>
      </c>
      <c r="EP123" t="s">
        <v>209</v>
      </c>
      <c r="EQ123">
        <v>2022</v>
      </c>
      <c r="ER123">
        <v>2022</v>
      </c>
      <c r="ES123" t="s">
        <v>178</v>
      </c>
    </row>
    <row r="124" spans="1:149" x14ac:dyDescent="0.45">
      <c r="A124">
        <v>113</v>
      </c>
      <c r="B124">
        <v>976970</v>
      </c>
      <c r="C124" t="s">
        <v>173</v>
      </c>
      <c r="D124" t="s">
        <v>224</v>
      </c>
      <c r="E124" t="s">
        <v>175</v>
      </c>
      <c r="F124" t="s">
        <v>176</v>
      </c>
      <c r="I124" t="s">
        <v>417</v>
      </c>
      <c r="J124" t="s">
        <v>179</v>
      </c>
      <c r="K124" t="s">
        <v>179</v>
      </c>
      <c r="M124" t="s">
        <v>331</v>
      </c>
      <c r="O124" t="s">
        <v>178</v>
      </c>
      <c r="P124" t="s">
        <v>178</v>
      </c>
      <c r="Q124" t="s">
        <v>180</v>
      </c>
      <c r="R124" t="s">
        <v>200</v>
      </c>
      <c r="S124" s="6">
        <v>44594</v>
      </c>
      <c r="T124" t="s">
        <v>606</v>
      </c>
      <c r="U124" t="s">
        <v>178</v>
      </c>
      <c r="V124">
        <v>0</v>
      </c>
      <c r="W124">
        <v>17</v>
      </c>
      <c r="X124" t="s">
        <v>202</v>
      </c>
      <c r="Z124" t="s">
        <v>223</v>
      </c>
      <c r="AA124" t="s">
        <v>178</v>
      </c>
      <c r="AB124" t="s">
        <v>184</v>
      </c>
      <c r="AC124">
        <v>1000</v>
      </c>
      <c r="AD124" t="s">
        <v>178</v>
      </c>
      <c r="AE124" t="s">
        <v>204</v>
      </c>
      <c r="AF124" t="s">
        <v>178</v>
      </c>
      <c r="AG124" t="s">
        <v>178</v>
      </c>
      <c r="AH124" t="s">
        <v>178</v>
      </c>
      <c r="AL124" t="s">
        <v>219</v>
      </c>
      <c r="AM124" t="s">
        <v>55</v>
      </c>
      <c r="AN124" t="s">
        <v>187</v>
      </c>
      <c r="AO124">
        <v>40</v>
      </c>
      <c r="AP124" t="s">
        <v>564</v>
      </c>
      <c r="AT124" s="6"/>
      <c r="AZ124" t="s">
        <v>192</v>
      </c>
      <c r="CA124" t="s">
        <v>178</v>
      </c>
      <c r="CG124" t="s">
        <v>178</v>
      </c>
      <c r="CH124" s="6"/>
      <c r="CI124" s="6"/>
      <c r="DC124" t="s">
        <v>179</v>
      </c>
      <c r="DT124">
        <v>34</v>
      </c>
      <c r="DU124" t="s">
        <v>179</v>
      </c>
      <c r="DV124" t="s">
        <v>220</v>
      </c>
      <c r="DW124" t="s">
        <v>178</v>
      </c>
      <c r="DX124" t="s">
        <v>178</v>
      </c>
      <c r="DY124" t="s">
        <v>178</v>
      </c>
      <c r="DZ124" t="s">
        <v>178</v>
      </c>
      <c r="EA124" t="s">
        <v>178</v>
      </c>
      <c r="EB124" t="s">
        <v>178</v>
      </c>
      <c r="EE124" t="s">
        <v>178</v>
      </c>
      <c r="EF124" t="s">
        <v>178</v>
      </c>
      <c r="EG124" t="s">
        <v>178</v>
      </c>
      <c r="EH124" t="s">
        <v>178</v>
      </c>
      <c r="EI124" t="s">
        <v>178</v>
      </c>
      <c r="EJ124" t="s">
        <v>178</v>
      </c>
      <c r="EK124">
        <v>2</v>
      </c>
      <c r="EL124" t="s">
        <v>209</v>
      </c>
      <c r="EM124">
        <v>2022</v>
      </c>
      <c r="EN124">
        <v>2022</v>
      </c>
      <c r="EO124">
        <v>2</v>
      </c>
      <c r="EP124" t="s">
        <v>209</v>
      </c>
      <c r="EQ124">
        <v>2022</v>
      </c>
      <c r="ER124">
        <v>2022</v>
      </c>
      <c r="ES124" t="s">
        <v>178</v>
      </c>
    </row>
    <row r="125" spans="1:149" x14ac:dyDescent="0.45">
      <c r="A125">
        <v>1762</v>
      </c>
      <c r="B125">
        <v>976745</v>
      </c>
      <c r="C125" t="s">
        <v>173</v>
      </c>
      <c r="D125" t="s">
        <v>174</v>
      </c>
      <c r="E125" t="s">
        <v>175</v>
      </c>
      <c r="F125" t="s">
        <v>176</v>
      </c>
      <c r="I125" t="s">
        <v>177</v>
      </c>
      <c r="J125" t="s">
        <v>179</v>
      </c>
      <c r="K125" t="s">
        <v>178</v>
      </c>
      <c r="M125" t="s">
        <v>607</v>
      </c>
      <c r="P125" t="s">
        <v>214</v>
      </c>
      <c r="Q125" t="s">
        <v>180</v>
      </c>
      <c r="R125" t="s">
        <v>200</v>
      </c>
      <c r="S125" s="6">
        <v>44407</v>
      </c>
      <c r="T125" t="s">
        <v>608</v>
      </c>
      <c r="U125" t="s">
        <v>178</v>
      </c>
      <c r="V125">
        <v>0</v>
      </c>
      <c r="W125">
        <v>0</v>
      </c>
      <c r="X125" t="s">
        <v>227</v>
      </c>
      <c r="Z125" t="s">
        <v>248</v>
      </c>
      <c r="AA125" t="s">
        <v>178</v>
      </c>
      <c r="AB125" t="s">
        <v>184</v>
      </c>
      <c r="AC125">
        <v>2000</v>
      </c>
      <c r="AD125" t="s">
        <v>178</v>
      </c>
      <c r="AE125" t="s">
        <v>303</v>
      </c>
      <c r="AF125" t="s">
        <v>178</v>
      </c>
      <c r="AG125" t="s">
        <v>178</v>
      </c>
      <c r="AH125" t="s">
        <v>178</v>
      </c>
      <c r="AK125" t="s">
        <v>56</v>
      </c>
      <c r="AL125" t="s">
        <v>228</v>
      </c>
      <c r="AM125" t="s">
        <v>56</v>
      </c>
      <c r="AN125" t="s">
        <v>187</v>
      </c>
      <c r="AO125">
        <v>40</v>
      </c>
      <c r="AT125" s="6"/>
      <c r="AZ125" t="s">
        <v>192</v>
      </c>
      <c r="BA125" t="s">
        <v>387</v>
      </c>
      <c r="BB125" t="s">
        <v>240</v>
      </c>
      <c r="BC125" t="s">
        <v>504</v>
      </c>
      <c r="BD125">
        <v>19</v>
      </c>
      <c r="BE125">
        <v>30</v>
      </c>
      <c r="BF125" t="s">
        <v>178</v>
      </c>
      <c r="BG125" t="s">
        <v>179</v>
      </c>
      <c r="BH125" t="s">
        <v>178</v>
      </c>
      <c r="BI125" t="s">
        <v>179</v>
      </c>
      <c r="BJ125" t="s">
        <v>179</v>
      </c>
      <c r="BK125" t="s">
        <v>387</v>
      </c>
      <c r="BL125" t="s">
        <v>240</v>
      </c>
      <c r="BM125" t="s">
        <v>504</v>
      </c>
      <c r="BN125">
        <v>19</v>
      </c>
      <c r="BO125">
        <v>30</v>
      </c>
      <c r="BP125" t="s">
        <v>178</v>
      </c>
      <c r="BQ125" t="s">
        <v>179</v>
      </c>
      <c r="BR125" t="s">
        <v>178</v>
      </c>
      <c r="BS125" t="s">
        <v>179</v>
      </c>
      <c r="BT125" t="s">
        <v>179</v>
      </c>
      <c r="CA125" t="s">
        <v>178</v>
      </c>
      <c r="CG125" t="s">
        <v>179</v>
      </c>
      <c r="CH125" s="6">
        <v>44410</v>
      </c>
      <c r="CI125" t="s">
        <v>179</v>
      </c>
      <c r="CJ125" t="s">
        <v>362</v>
      </c>
      <c r="CL125" s="6"/>
      <c r="CQ125" s="6"/>
      <c r="DA125" t="s">
        <v>179</v>
      </c>
      <c r="DR125" t="s">
        <v>609</v>
      </c>
      <c r="DS125" t="s">
        <v>610</v>
      </c>
      <c r="DT125">
        <v>22</v>
      </c>
      <c r="DU125" t="s">
        <v>179</v>
      </c>
      <c r="DV125" t="s">
        <v>220</v>
      </c>
      <c r="DW125" t="s">
        <v>179</v>
      </c>
      <c r="DX125" t="s">
        <v>179</v>
      </c>
      <c r="DY125" t="s">
        <v>179</v>
      </c>
      <c r="DZ125" t="s">
        <v>178</v>
      </c>
      <c r="EA125" t="s">
        <v>179</v>
      </c>
      <c r="EB125" t="s">
        <v>178</v>
      </c>
      <c r="ED125">
        <v>62</v>
      </c>
      <c r="EE125" t="s">
        <v>178</v>
      </c>
      <c r="EF125" t="s">
        <v>178</v>
      </c>
      <c r="EG125" t="s">
        <v>178</v>
      </c>
      <c r="EH125" t="s">
        <v>178</v>
      </c>
      <c r="EI125" t="s">
        <v>179</v>
      </c>
      <c r="EJ125" t="s">
        <v>178</v>
      </c>
      <c r="EK125">
        <v>8</v>
      </c>
      <c r="EL125" t="s">
        <v>196</v>
      </c>
      <c r="EM125">
        <v>2021</v>
      </c>
      <c r="EN125">
        <v>2022</v>
      </c>
      <c r="EO125">
        <v>7</v>
      </c>
      <c r="EP125" t="s">
        <v>196</v>
      </c>
      <c r="EQ125">
        <v>2022</v>
      </c>
      <c r="ER125">
        <v>2022</v>
      </c>
      <c r="ES125" t="s">
        <v>178</v>
      </c>
    </row>
    <row r="126" spans="1:149" x14ac:dyDescent="0.45">
      <c r="A126">
        <v>81</v>
      </c>
      <c r="B126">
        <v>977013</v>
      </c>
      <c r="C126" t="s">
        <v>173</v>
      </c>
      <c r="D126" t="s">
        <v>611</v>
      </c>
      <c r="E126" t="s">
        <v>175</v>
      </c>
      <c r="F126" t="s">
        <v>176</v>
      </c>
      <c r="I126" t="s">
        <v>177</v>
      </c>
      <c r="J126" t="s">
        <v>178</v>
      </c>
      <c r="K126" t="s">
        <v>178</v>
      </c>
      <c r="L126" t="s">
        <v>612</v>
      </c>
      <c r="M126" t="s">
        <v>613</v>
      </c>
      <c r="O126" t="s">
        <v>178</v>
      </c>
      <c r="P126" t="s">
        <v>178</v>
      </c>
      <c r="Q126" t="s">
        <v>180</v>
      </c>
      <c r="R126" t="s">
        <v>200</v>
      </c>
      <c r="S126" s="6">
        <v>44621</v>
      </c>
      <c r="T126" t="s">
        <v>614</v>
      </c>
      <c r="U126" t="s">
        <v>178</v>
      </c>
      <c r="V126">
        <v>0</v>
      </c>
      <c r="X126" t="s">
        <v>202</v>
      </c>
      <c r="Z126" t="s">
        <v>183</v>
      </c>
      <c r="AA126" t="s">
        <v>178</v>
      </c>
      <c r="AB126" t="s">
        <v>184</v>
      </c>
      <c r="AC126">
        <v>0</v>
      </c>
      <c r="AD126" t="s">
        <v>179</v>
      </c>
      <c r="AE126" t="s">
        <v>204</v>
      </c>
      <c r="AF126" t="s">
        <v>178</v>
      </c>
      <c r="AG126" t="s">
        <v>179</v>
      </c>
      <c r="AH126" t="s">
        <v>178</v>
      </c>
      <c r="AJ126" t="s">
        <v>178</v>
      </c>
      <c r="AK126" t="s">
        <v>56</v>
      </c>
      <c r="AL126" t="s">
        <v>228</v>
      </c>
      <c r="AM126" t="s">
        <v>56</v>
      </c>
      <c r="AN126" t="s">
        <v>187</v>
      </c>
      <c r="AP126" t="s">
        <v>205</v>
      </c>
      <c r="AT126" s="6"/>
      <c r="AZ126" t="s">
        <v>192</v>
      </c>
      <c r="CA126" t="s">
        <v>178</v>
      </c>
      <c r="CG126" t="s">
        <v>178</v>
      </c>
      <c r="CH126" s="6">
        <v>44627</v>
      </c>
      <c r="CI126" s="6" t="s">
        <v>179</v>
      </c>
      <c r="CJ126" s="6" t="s">
        <v>229</v>
      </c>
      <c r="CL126" s="6"/>
      <c r="CQ126" s="6"/>
      <c r="DA126" t="s">
        <v>179</v>
      </c>
      <c r="DB126" t="s">
        <v>194</v>
      </c>
      <c r="DR126" t="s">
        <v>230</v>
      </c>
      <c r="DT126">
        <v>44</v>
      </c>
      <c r="DU126" t="s">
        <v>179</v>
      </c>
      <c r="DV126" t="s">
        <v>220</v>
      </c>
      <c r="DW126" t="s">
        <v>179</v>
      </c>
      <c r="DX126" t="s">
        <v>178</v>
      </c>
      <c r="DY126" t="s">
        <v>179</v>
      </c>
      <c r="DZ126" t="s">
        <v>178</v>
      </c>
      <c r="EA126" t="s">
        <v>178</v>
      </c>
      <c r="EB126" t="s">
        <v>179</v>
      </c>
      <c r="EE126" t="s">
        <v>179</v>
      </c>
      <c r="EF126" t="s">
        <v>178</v>
      </c>
      <c r="EG126" t="s">
        <v>178</v>
      </c>
      <c r="EH126" t="s">
        <v>178</v>
      </c>
      <c r="EI126" t="s">
        <v>178</v>
      </c>
      <c r="EJ126" t="s">
        <v>178</v>
      </c>
      <c r="EK126">
        <v>3</v>
      </c>
      <c r="EL126" t="s">
        <v>209</v>
      </c>
      <c r="EM126">
        <v>2022</v>
      </c>
      <c r="EN126">
        <v>2022</v>
      </c>
      <c r="EO126">
        <v>3</v>
      </c>
      <c r="EP126" t="s">
        <v>209</v>
      </c>
      <c r="EQ126">
        <v>2022</v>
      </c>
      <c r="ER126">
        <v>2022</v>
      </c>
      <c r="ES126" t="s">
        <v>178</v>
      </c>
    </row>
    <row r="127" spans="1:149" x14ac:dyDescent="0.45">
      <c r="A127">
        <v>1880</v>
      </c>
      <c r="B127">
        <v>977248</v>
      </c>
      <c r="C127" t="s">
        <v>173</v>
      </c>
      <c r="D127" t="s">
        <v>174</v>
      </c>
      <c r="E127" t="s">
        <v>175</v>
      </c>
      <c r="F127" t="s">
        <v>615</v>
      </c>
      <c r="I127" t="s">
        <v>177</v>
      </c>
      <c r="J127" t="s">
        <v>178</v>
      </c>
      <c r="K127" t="s">
        <v>178</v>
      </c>
      <c r="O127" t="s">
        <v>178</v>
      </c>
      <c r="P127" t="s">
        <v>178</v>
      </c>
      <c r="Q127" t="s">
        <v>180</v>
      </c>
      <c r="R127" t="s">
        <v>200</v>
      </c>
      <c r="S127" s="6">
        <v>44761</v>
      </c>
      <c r="T127" t="s">
        <v>616</v>
      </c>
      <c r="U127" t="s">
        <v>178</v>
      </c>
      <c r="X127" t="s">
        <v>182</v>
      </c>
      <c r="Z127" t="s">
        <v>248</v>
      </c>
      <c r="AA127" t="s">
        <v>178</v>
      </c>
      <c r="AB127" t="s">
        <v>184</v>
      </c>
      <c r="AC127">
        <v>0</v>
      </c>
      <c r="AD127" t="s">
        <v>178</v>
      </c>
      <c r="AE127" t="s">
        <v>204</v>
      </c>
      <c r="AF127" t="s">
        <v>178</v>
      </c>
      <c r="AG127" t="s">
        <v>178</v>
      </c>
      <c r="AH127" t="s">
        <v>178</v>
      </c>
      <c r="AI127" t="s">
        <v>396</v>
      </c>
      <c r="AL127" t="s">
        <v>219</v>
      </c>
      <c r="AM127" t="s">
        <v>56</v>
      </c>
      <c r="AN127" t="s">
        <v>187</v>
      </c>
      <c r="AQ127" t="s">
        <v>178</v>
      </c>
      <c r="AT127" s="6"/>
      <c r="AU127" t="s">
        <v>178</v>
      </c>
      <c r="AV127" t="s">
        <v>190</v>
      </c>
      <c r="AX127" t="s">
        <v>617</v>
      </c>
      <c r="AY127" t="s">
        <v>618</v>
      </c>
      <c r="AZ127" t="s">
        <v>192</v>
      </c>
      <c r="CA127" t="s">
        <v>178</v>
      </c>
      <c r="CG127" t="s">
        <v>178</v>
      </c>
      <c r="CH127" s="6"/>
      <c r="CI127" s="6"/>
      <c r="CJ127" s="6"/>
      <c r="CL127" s="6"/>
      <c r="CQ127" s="6"/>
      <c r="DT127">
        <v>23</v>
      </c>
      <c r="DU127" t="s">
        <v>179</v>
      </c>
      <c r="DV127" t="s">
        <v>220</v>
      </c>
      <c r="DW127" t="s">
        <v>178</v>
      </c>
      <c r="DX127" t="s">
        <v>178</v>
      </c>
      <c r="DY127" t="s">
        <v>178</v>
      </c>
      <c r="DZ127" t="s">
        <v>178</v>
      </c>
      <c r="EA127" t="s">
        <v>178</v>
      </c>
      <c r="EB127" t="s">
        <v>178</v>
      </c>
      <c r="EE127" t="s">
        <v>178</v>
      </c>
      <c r="EF127" t="s">
        <v>178</v>
      </c>
      <c r="EG127" t="s">
        <v>178</v>
      </c>
      <c r="EH127" t="s">
        <v>178</v>
      </c>
      <c r="EI127" t="s">
        <v>178</v>
      </c>
      <c r="EJ127" t="s">
        <v>178</v>
      </c>
      <c r="EK127">
        <v>7</v>
      </c>
      <c r="EL127" t="s">
        <v>196</v>
      </c>
      <c r="EM127">
        <v>2022</v>
      </c>
      <c r="EN127">
        <v>2023</v>
      </c>
      <c r="EO127">
        <v>7</v>
      </c>
      <c r="EP127" t="s">
        <v>196</v>
      </c>
      <c r="EQ127">
        <v>2023</v>
      </c>
      <c r="ER127">
        <v>2022</v>
      </c>
      <c r="ES127" t="s">
        <v>178</v>
      </c>
    </row>
    <row r="128" spans="1:149" x14ac:dyDescent="0.45">
      <c r="A128">
        <v>392</v>
      </c>
      <c r="B128">
        <v>976459</v>
      </c>
      <c r="C128" t="s">
        <v>173</v>
      </c>
      <c r="D128" t="s">
        <v>210</v>
      </c>
      <c r="E128" t="s">
        <v>175</v>
      </c>
      <c r="F128" t="s">
        <v>299</v>
      </c>
      <c r="I128" t="s">
        <v>177</v>
      </c>
      <c r="J128" t="s">
        <v>179</v>
      </c>
      <c r="K128" t="s">
        <v>179</v>
      </c>
      <c r="L128" t="s">
        <v>71</v>
      </c>
      <c r="N128" t="s">
        <v>213</v>
      </c>
      <c r="O128" t="s">
        <v>178</v>
      </c>
      <c r="P128" t="s">
        <v>214</v>
      </c>
      <c r="Q128" t="s">
        <v>180</v>
      </c>
      <c r="R128" t="s">
        <v>215</v>
      </c>
      <c r="S128" s="6">
        <v>44259</v>
      </c>
      <c r="T128" t="s">
        <v>619</v>
      </c>
      <c r="U128" t="s">
        <v>178</v>
      </c>
      <c r="V128">
        <v>1</v>
      </c>
      <c r="X128" t="s">
        <v>314</v>
      </c>
      <c r="Z128" t="s">
        <v>315</v>
      </c>
      <c r="AA128" t="s">
        <v>178</v>
      </c>
      <c r="AB128" t="s">
        <v>316</v>
      </c>
      <c r="AC128">
        <v>4000</v>
      </c>
      <c r="AD128" t="s">
        <v>178</v>
      </c>
      <c r="AE128" t="s">
        <v>218</v>
      </c>
      <c r="AF128" t="s">
        <v>178</v>
      </c>
      <c r="AG128" t="s">
        <v>178</v>
      </c>
      <c r="AL128" t="s">
        <v>219</v>
      </c>
      <c r="AT128" s="6"/>
      <c r="AZ128" t="s">
        <v>192</v>
      </c>
      <c r="CA128" t="s">
        <v>179</v>
      </c>
      <c r="CG128" t="s">
        <v>178</v>
      </c>
      <c r="CH128" s="6"/>
      <c r="CJ128" s="6"/>
      <c r="CL128" s="6"/>
      <c r="CQ128" s="6"/>
      <c r="DT128">
        <v>31</v>
      </c>
      <c r="DU128" t="s">
        <v>179</v>
      </c>
      <c r="DV128" t="s">
        <v>220</v>
      </c>
      <c r="DW128" t="s">
        <v>178</v>
      </c>
      <c r="DX128" t="s">
        <v>178</v>
      </c>
      <c r="DY128" t="s">
        <v>178</v>
      </c>
      <c r="DZ128" t="s">
        <v>178</v>
      </c>
      <c r="EA128" t="s">
        <v>179</v>
      </c>
      <c r="EB128" t="s">
        <v>178</v>
      </c>
      <c r="EE128" t="s">
        <v>178</v>
      </c>
      <c r="EF128" t="s">
        <v>178</v>
      </c>
      <c r="EG128" t="s">
        <v>178</v>
      </c>
      <c r="EH128" t="s">
        <v>178</v>
      </c>
      <c r="EI128" t="s">
        <v>178</v>
      </c>
      <c r="EJ128" t="s">
        <v>178</v>
      </c>
      <c r="EK128">
        <v>3</v>
      </c>
      <c r="EL128" t="s">
        <v>209</v>
      </c>
      <c r="EM128">
        <v>2021</v>
      </c>
      <c r="EN128">
        <v>2021</v>
      </c>
      <c r="EO128">
        <v>3</v>
      </c>
      <c r="EP128" t="s">
        <v>209</v>
      </c>
      <c r="EQ128">
        <v>2021</v>
      </c>
      <c r="ER128">
        <v>2023</v>
      </c>
      <c r="ES128" t="s">
        <v>178</v>
      </c>
    </row>
    <row r="129" spans="1:148" x14ac:dyDescent="0.45">
      <c r="A129">
        <v>364</v>
      </c>
      <c r="B129">
        <v>976540</v>
      </c>
      <c r="C129" t="s">
        <v>173</v>
      </c>
      <c r="D129" t="s">
        <v>210</v>
      </c>
      <c r="E129" t="s">
        <v>175</v>
      </c>
      <c r="F129" t="s">
        <v>176</v>
      </c>
      <c r="I129" t="s">
        <v>177</v>
      </c>
      <c r="J129" t="s">
        <v>178</v>
      </c>
      <c r="K129" t="s">
        <v>178</v>
      </c>
      <c r="L129" t="s">
        <v>71</v>
      </c>
      <c r="N129" t="s">
        <v>213</v>
      </c>
      <c r="O129" t="s">
        <v>179</v>
      </c>
      <c r="P129" t="s">
        <v>214</v>
      </c>
      <c r="Q129" t="s">
        <v>259</v>
      </c>
      <c r="R129" t="s">
        <v>215</v>
      </c>
      <c r="S129" s="6">
        <v>44294</v>
      </c>
      <c r="T129" t="s">
        <v>620</v>
      </c>
      <c r="U129" t="s">
        <v>178</v>
      </c>
      <c r="V129">
        <v>0</v>
      </c>
      <c r="W129">
        <v>0</v>
      </c>
      <c r="Z129" t="s">
        <v>272</v>
      </c>
      <c r="AA129" t="s">
        <v>178</v>
      </c>
      <c r="AB129" t="s">
        <v>184</v>
      </c>
      <c r="AC129">
        <v>0</v>
      </c>
      <c r="AD129" t="s">
        <v>178</v>
      </c>
      <c r="AE129" t="s">
        <v>218</v>
      </c>
      <c r="AF129" t="s">
        <v>178</v>
      </c>
      <c r="AG129" t="s">
        <v>178</v>
      </c>
      <c r="AH129" t="s">
        <v>178</v>
      </c>
      <c r="AK129" t="s">
        <v>54</v>
      </c>
      <c r="AL129" t="s">
        <v>283</v>
      </c>
      <c r="AM129" t="s">
        <v>179</v>
      </c>
      <c r="AO129">
        <v>0</v>
      </c>
      <c r="AZ129" t="s">
        <v>192</v>
      </c>
      <c r="CA129" t="s">
        <v>178</v>
      </c>
      <c r="CG129" t="s">
        <v>178</v>
      </c>
      <c r="CH129" s="6">
        <v>44305</v>
      </c>
      <c r="DC129" t="s">
        <v>179</v>
      </c>
      <c r="DT129">
        <v>21</v>
      </c>
      <c r="DU129" t="s">
        <v>179</v>
      </c>
      <c r="DV129" t="s">
        <v>220</v>
      </c>
      <c r="DW129" t="s">
        <v>178</v>
      </c>
      <c r="DX129" t="s">
        <v>178</v>
      </c>
      <c r="DY129" t="s">
        <v>179</v>
      </c>
      <c r="DZ129" t="s">
        <v>178</v>
      </c>
      <c r="EA129" t="s">
        <v>178</v>
      </c>
      <c r="EB129" t="s">
        <v>178</v>
      </c>
      <c r="EE129" t="s">
        <v>178</v>
      </c>
      <c r="EF129" t="s">
        <v>178</v>
      </c>
      <c r="EG129" t="s">
        <v>178</v>
      </c>
      <c r="EH129" t="s">
        <v>178</v>
      </c>
      <c r="EI129" t="s">
        <v>178</v>
      </c>
      <c r="EJ129" t="s">
        <v>178</v>
      </c>
      <c r="EK129">
        <v>4</v>
      </c>
      <c r="EL129" t="s">
        <v>208</v>
      </c>
      <c r="EM129">
        <v>2021</v>
      </c>
      <c r="EN129">
        <v>2021</v>
      </c>
      <c r="EO129">
        <v>4</v>
      </c>
      <c r="EP129" t="s">
        <v>208</v>
      </c>
      <c r="EQ129">
        <v>2021</v>
      </c>
      <c r="ER129">
        <v>2021</v>
      </c>
    </row>
    <row r="130" spans="1:148" x14ac:dyDescent="0.45">
      <c r="A130">
        <v>392</v>
      </c>
      <c r="B130">
        <v>976459</v>
      </c>
      <c r="C130" t="s">
        <v>173</v>
      </c>
      <c r="D130" t="s">
        <v>210</v>
      </c>
      <c r="E130" t="s">
        <v>175</v>
      </c>
      <c r="F130" t="s">
        <v>299</v>
      </c>
      <c r="I130" t="s">
        <v>177</v>
      </c>
      <c r="J130" t="s">
        <v>179</v>
      </c>
      <c r="K130" t="s">
        <v>179</v>
      </c>
      <c r="L130" t="s">
        <v>71</v>
      </c>
      <c r="N130" t="s">
        <v>213</v>
      </c>
      <c r="O130" t="s">
        <v>178</v>
      </c>
      <c r="P130" t="s">
        <v>214</v>
      </c>
      <c r="Q130" t="s">
        <v>180</v>
      </c>
      <c r="R130" t="s">
        <v>215</v>
      </c>
      <c r="S130" s="6">
        <v>44259</v>
      </c>
      <c r="T130" t="s">
        <v>619</v>
      </c>
      <c r="U130" t="s">
        <v>178</v>
      </c>
      <c r="V130">
        <v>1</v>
      </c>
      <c r="X130" t="s">
        <v>314</v>
      </c>
      <c r="Z130" t="s">
        <v>315</v>
      </c>
      <c r="AA130" t="s">
        <v>178</v>
      </c>
      <c r="AB130" t="s">
        <v>316</v>
      </c>
      <c r="AC130">
        <v>4000</v>
      </c>
      <c r="AD130" t="s">
        <v>178</v>
      </c>
      <c r="AE130" t="s">
        <v>218</v>
      </c>
      <c r="AF130" t="s">
        <v>178</v>
      </c>
      <c r="AG130" t="s">
        <v>178</v>
      </c>
      <c r="AL130" t="s">
        <v>219</v>
      </c>
      <c r="AZ130" t="s">
        <v>192</v>
      </c>
      <c r="CA130" t="s">
        <v>179</v>
      </c>
      <c r="CG130" t="s">
        <v>178</v>
      </c>
      <c r="DT130">
        <v>31</v>
      </c>
      <c r="DU130" t="s">
        <v>179</v>
      </c>
      <c r="DV130" t="s">
        <v>220</v>
      </c>
      <c r="DW130" t="s">
        <v>178</v>
      </c>
      <c r="DX130" t="s">
        <v>178</v>
      </c>
      <c r="DY130" t="s">
        <v>178</v>
      </c>
      <c r="DZ130" t="s">
        <v>178</v>
      </c>
      <c r="EA130" t="s">
        <v>179</v>
      </c>
      <c r="EB130" t="s">
        <v>178</v>
      </c>
      <c r="EE130" t="s">
        <v>178</v>
      </c>
      <c r="EF130" t="s">
        <v>178</v>
      </c>
      <c r="EG130" t="s">
        <v>178</v>
      </c>
      <c r="EH130" t="s">
        <v>178</v>
      </c>
      <c r="EI130" t="s">
        <v>178</v>
      </c>
      <c r="EJ130" t="s">
        <v>178</v>
      </c>
      <c r="EK130">
        <v>3</v>
      </c>
      <c r="EL130" t="s">
        <v>209</v>
      </c>
      <c r="EM130">
        <v>2021</v>
      </c>
      <c r="EN130">
        <v>2021</v>
      </c>
      <c r="EO130">
        <v>3</v>
      </c>
      <c r="EP130" t="s">
        <v>209</v>
      </c>
      <c r="EQ130">
        <v>2021</v>
      </c>
    </row>
    <row r="131" spans="1:148" x14ac:dyDescent="0.45">
      <c r="A131">
        <v>364</v>
      </c>
      <c r="B131">
        <v>976540</v>
      </c>
      <c r="C131" t="s">
        <v>173</v>
      </c>
      <c r="D131" t="s">
        <v>210</v>
      </c>
      <c r="E131" t="s">
        <v>175</v>
      </c>
      <c r="F131" t="s">
        <v>176</v>
      </c>
      <c r="I131" t="s">
        <v>177</v>
      </c>
      <c r="J131" t="s">
        <v>178</v>
      </c>
      <c r="K131" t="s">
        <v>178</v>
      </c>
      <c r="L131" t="s">
        <v>71</v>
      </c>
      <c r="N131" t="s">
        <v>213</v>
      </c>
      <c r="O131" t="s">
        <v>179</v>
      </c>
      <c r="P131" t="s">
        <v>214</v>
      </c>
      <c r="Q131" t="s">
        <v>259</v>
      </c>
      <c r="R131" t="s">
        <v>215</v>
      </c>
      <c r="S131" s="6">
        <v>44294</v>
      </c>
      <c r="T131" t="s">
        <v>620</v>
      </c>
      <c r="U131" t="s">
        <v>178</v>
      </c>
      <c r="V131">
        <v>0</v>
      </c>
      <c r="W131">
        <v>0</v>
      </c>
      <c r="Z131" t="s">
        <v>272</v>
      </c>
      <c r="AA131" t="s">
        <v>178</v>
      </c>
      <c r="AB131" t="s">
        <v>184</v>
      </c>
      <c r="AC131">
        <v>0</v>
      </c>
      <c r="AD131" t="s">
        <v>178</v>
      </c>
      <c r="AE131" t="s">
        <v>218</v>
      </c>
      <c r="AF131" t="s">
        <v>178</v>
      </c>
      <c r="AG131" t="s">
        <v>178</v>
      </c>
      <c r="AH131" t="s">
        <v>178</v>
      </c>
      <c r="AK131" t="s">
        <v>54</v>
      </c>
      <c r="AL131" t="s">
        <v>283</v>
      </c>
      <c r="AM131" t="s">
        <v>179</v>
      </c>
      <c r="AO131">
        <v>0</v>
      </c>
      <c r="AZ131" t="s">
        <v>192</v>
      </c>
      <c r="CA131" t="s">
        <v>178</v>
      </c>
      <c r="CG131" t="s">
        <v>178</v>
      </c>
      <c r="CH131" s="6">
        <v>44305</v>
      </c>
      <c r="DC131" t="s">
        <v>179</v>
      </c>
      <c r="DT131">
        <v>20</v>
      </c>
      <c r="DU131" t="s">
        <v>179</v>
      </c>
      <c r="DV131" t="s">
        <v>220</v>
      </c>
      <c r="DW131" t="s">
        <v>178</v>
      </c>
      <c r="DX131" t="s">
        <v>178</v>
      </c>
      <c r="DY131" t="s">
        <v>179</v>
      </c>
      <c r="DZ131" t="s">
        <v>178</v>
      </c>
      <c r="EA131" t="s">
        <v>178</v>
      </c>
      <c r="EB131" t="s">
        <v>178</v>
      </c>
      <c r="EE131" t="s">
        <v>178</v>
      </c>
      <c r="EF131" t="s">
        <v>178</v>
      </c>
      <c r="EG131" t="s">
        <v>178</v>
      </c>
      <c r="EH131" t="s">
        <v>178</v>
      </c>
      <c r="EI131" t="s">
        <v>178</v>
      </c>
      <c r="EJ131" t="s">
        <v>178</v>
      </c>
      <c r="EK131">
        <v>4</v>
      </c>
      <c r="EL131" t="s">
        <v>208</v>
      </c>
      <c r="EM131">
        <v>2021</v>
      </c>
      <c r="EN131">
        <v>2021</v>
      </c>
      <c r="EO131">
        <v>4</v>
      </c>
      <c r="EP131" t="s">
        <v>208</v>
      </c>
      <c r="EQ131">
        <v>2021</v>
      </c>
    </row>
  </sheetData>
  <autoFilter ref="A1:DX108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Demographics</vt:lpstr>
      <vt:lpstr>Outcomes</vt:lpstr>
      <vt:lpstr>Client 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Randall</dc:creator>
  <cp:lastModifiedBy>Frederic Randall</cp:lastModifiedBy>
  <dcterms:created xsi:type="dcterms:W3CDTF">2021-04-06T19:22:58Z</dcterms:created>
  <dcterms:modified xsi:type="dcterms:W3CDTF">2023-01-20T17:15:58Z</dcterms:modified>
</cp:coreProperties>
</file>