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ables/table1.xml" ContentType="application/vnd.openxmlformats-officedocument.spreadsheetml.table+xml"/>
  <Override PartName="/xl/comments9.xml" ContentType="application/vnd.openxmlformats-officedocument.spreadsheetml.comments+xml"/>
  <Override PartName="/xl/drawings/drawing13.xml" ContentType="application/vnd.openxmlformats-officedocument.drawing+xml"/>
  <Override PartName="/xl/comments10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4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pivotTables/pivotTable2.xml" ContentType="application/vnd.openxmlformats-officedocument.spreadsheetml.pivotTable+xml"/>
  <Override PartName="/xl/drawings/drawing15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3.xml" ContentType="application/vnd.openxmlformats-officedocument.spreadsheetml.pivotTable+xml"/>
  <Override PartName="/xl/drawings/drawing1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pivotTables/pivotTable4.xml" ContentType="application/vnd.openxmlformats-officedocument.spreadsheetml.pivotTable+xml"/>
  <Override PartName="/xl/drawings/drawing17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fricaiacom.sharepoint.com/sites/AIAProjects/Shared Documents/2025_Pr61_Vopak_SD/01. Background and Resources/02. AIA Internal References/"/>
    </mc:Choice>
  </mc:AlternateContent>
  <xr:revisionPtr revIDLastSave="0" documentId="8_{A4B17126-0950-40C3-A944-D9694A11E24E}" xr6:coauthVersionLast="47" xr6:coauthVersionMax="47" xr10:uidLastSave="{00000000-0000-0000-0000-000000000000}"/>
  <bookViews>
    <workbookView xWindow="-98" yWindow="-98" windowWidth="19396" windowHeight="11475" tabRatio="807" firstSheet="12" activeTab="12" xr2:uid="{718CDEA9-2469-47F3-A7BE-6BAE2700FB80}"/>
  </bookViews>
  <sheets>
    <sheet name="Notes" sheetId="13" r:id="rId1"/>
    <sheet name="Summary" sheetId="18" state="hidden" r:id="rId2"/>
    <sheet name="Assumptions" sheetId="35" r:id="rId3"/>
    <sheet name="Supply Forecast" sheetId="34" r:id="rId4"/>
    <sheet name="Jet - DemandSupply" sheetId="23" r:id="rId5"/>
    <sheet name="Diesel - DemandSupply" sheetId="38" r:id="rId6"/>
    <sheet name="Gasoline - DemandSupply" sheetId="39" r:id="rId7"/>
    <sheet name="Total LF - DemandSupply" sheetId="44" state="hidden" r:id="rId8"/>
    <sheet name="Deficit Manual " sheetId="52" r:id="rId9"/>
    <sheet name="fJetFuel" sheetId="31" r:id="rId10"/>
    <sheet name="fDiesel" sheetId="42" r:id="rId11"/>
    <sheet name="fGasoline" sheetId="41" r:id="rId12"/>
    <sheet name="fImports" sheetId="51" r:id="rId13"/>
    <sheet name="Market share" sheetId="53" r:id="rId14"/>
    <sheet name="fEV Penetration" sheetId="43" r:id="rId15"/>
    <sheet name="Deficit Calculations" sheetId="48" r:id="rId16"/>
    <sheet name="Defecit" sheetId="49" state="hidden" r:id="rId17"/>
    <sheet name="Cost Analysis " sheetId="50" r:id="rId18"/>
    <sheet name="RegJetFuel" sheetId="40" r:id="rId19"/>
    <sheet name="RegDiesel" sheetId="46" r:id="rId20"/>
    <sheet name="RegGasoline" sheetId="47" r:id="rId21"/>
    <sheet name="RegEV" sheetId="45" r:id="rId22"/>
    <sheet name="RegJetFuel-GDP&amp;DepPass" sheetId="36" state="hidden" r:id="rId23"/>
    <sheet name="RegJetGDP_per_capita&amp;DPassv1" sheetId="37" state="hidden" r:id="rId24"/>
    <sheet name="RegJetFuel - GDP_Per Capita" sheetId="25" state="hidden" r:id="rId25"/>
    <sheet name="RegJetFuel - GDP" sheetId="26" state="hidden" r:id="rId26"/>
    <sheet name="Arrivals_AP" sheetId="21" r:id="rId27"/>
    <sheet name="Departures_AP" sheetId="15" r:id="rId28"/>
    <sheet name="Arrivals_pass" sheetId="16" state="hidden" r:id="rId29"/>
    <sheet name="Departures_pass" sheetId="17" r:id="rId30"/>
    <sheet name="Airplane Movement - Departures" sheetId="5" state="hidden" r:id="rId31"/>
    <sheet name="Passenger Movement - Departures" sheetId="7" state="hidden" r:id="rId32"/>
    <sheet name="Airplane Movement - Arrivals" sheetId="4" state="hidden" r:id="rId33"/>
    <sheet name="Passenger Movement - Arrivals" sheetId="6" state="hidden" r:id="rId34"/>
    <sheet name="Airplane Movement" sheetId="2" state="hidden" r:id="rId35"/>
    <sheet name="Passenger Movement" sheetId="3" state="hidden" r:id="rId36"/>
  </sheets>
  <externalReferences>
    <externalReference r:id="rId37"/>
    <externalReference r:id="rId38"/>
  </externalReferences>
  <definedNames>
    <definedName name="_xlnm._FilterDatabase" localSheetId="14" hidden="1">'fEV Penetration'!$B$9:$U$50</definedName>
    <definedName name="Crude_oil_litresPerBarrel" localSheetId="8">[1]Assumptions!$G$91</definedName>
    <definedName name="Crude_oil_litresPerBarrel" localSheetId="12">[1]Assumptions!$G$91</definedName>
    <definedName name="Crude_oil_litresPerBarrel" localSheetId="13">[1]Assumptions!$G$91</definedName>
    <definedName name="Crude_oil_litresPerBarrel">Assumptions!$G$91</definedName>
    <definedName name="DieselDemandPowerGen_High">Assumptions!$O$171:$P$200</definedName>
    <definedName name="DieselDemandPowerGen_Low">Assumptions!$L$171:$M$200</definedName>
    <definedName name="DieselDemandSupply" localSheetId="8">'[1]Diesel - DemandSupply'!$C:$N</definedName>
    <definedName name="DieselDemandSupply" localSheetId="12">'[1]Diesel - DemandSupply'!$C:$N</definedName>
    <definedName name="DieselDemandSupply" localSheetId="13">'[1]Diesel - DemandSupply'!$C:$N</definedName>
    <definedName name="DieselDemandSupply">'Diesel - DemandSupply'!$C:$N</definedName>
    <definedName name="DieselPayloads" localSheetId="8">[1]Assumptions!$L$299:$N$342</definedName>
    <definedName name="DieselPayloads" localSheetId="12">[1]Assumptions!$L$299:$N$342</definedName>
    <definedName name="DieselPayloads" localSheetId="13">[1]Assumptions!$L$299:$N$342</definedName>
    <definedName name="DieselPayloads">Assumptions!$L$299:$N$342</definedName>
    <definedName name="EskomDieselDemand" localSheetId="8">[1]Assumptions!$C$189:$H$232</definedName>
    <definedName name="EskomDieselDemand" localSheetId="12">[1]Assumptions!$C$189:$H$232</definedName>
    <definedName name="EskomDieselDemand" localSheetId="13">[1]Assumptions!$C$189:$H$232</definedName>
    <definedName name="EskomDieselDemand">Assumptions!$C$189:$H$232</definedName>
    <definedName name="EV_High_Penetration" localSheetId="8">[1]Assumptions!$E$286:$E$289</definedName>
    <definedName name="EV_High_Penetration" localSheetId="12">[1]Assumptions!$E$286:$E$289</definedName>
    <definedName name="EV_High_Penetration" localSheetId="13">[1]Assumptions!$E$286:$E$289</definedName>
    <definedName name="EV_High_Penetration">Assumptions!$E$286:$E$289</definedName>
    <definedName name="EV_Low_Penetration" localSheetId="8">[1]Assumptions!$D$286:$D$289</definedName>
    <definedName name="EV_Low_Penetration" localSheetId="12">[1]Assumptions!$D$286:$D$289</definedName>
    <definedName name="EV_Low_Penetration" localSheetId="13">[1]Assumptions!$D$286:$D$289</definedName>
    <definedName name="EV_Low_Penetration">Assumptions!$D$286:$D$289</definedName>
    <definedName name="ExternalData_1" localSheetId="34" hidden="1">'Airplane Movement'!$A$2:$AM$71</definedName>
    <definedName name="ExternalData_1" localSheetId="32" hidden="1">'Airplane Movement - Arrivals'!$A$2:$O$49</definedName>
    <definedName name="ExternalData_1" localSheetId="30" hidden="1">'Airplane Movement - Departures'!$A$2:$O$53</definedName>
    <definedName name="ExternalData_1" localSheetId="35" hidden="1">'Passenger Movement'!$A$1:$AM$71</definedName>
    <definedName name="GasolineDemandSupply" localSheetId="8">'[1]Gasoline - DemandSupply'!$C:$AB</definedName>
    <definedName name="GasolineDemandSupply" localSheetId="12">'[1]Gasoline - DemandSupply'!$C:$AB</definedName>
    <definedName name="GasolineDemandSupply" localSheetId="13">'[1]Gasoline - DemandSupply'!$C:$AB</definedName>
    <definedName name="GasolineDemandSupply">'Gasoline - DemandSupply'!$C:$AB</definedName>
    <definedName name="GDP" localSheetId="8">[1]Assumptions!$Z$8:$AH$54</definedName>
    <definedName name="GDP" localSheetId="12">[1]Assumptions!$Z$8:$AH$54</definedName>
    <definedName name="GDP" localSheetId="13">[1]Assumptions!$Z$8:$AH$54</definedName>
    <definedName name="GDP">Assumptions!$Z$8:$AH$54</definedName>
    <definedName name="GDP_high_growth" localSheetId="8">[1]Assumptions!$C$8:$E$39</definedName>
    <definedName name="GDP_high_growth" localSheetId="12">[1]Assumptions!$C$8:$E$39</definedName>
    <definedName name="GDP_high_growth" localSheetId="13">[1]Assumptions!$C$8:$E$39</definedName>
    <definedName name="GDP_high_growth">Assumptions!$C$8:$E$39</definedName>
    <definedName name="GDP_low_growth" localSheetId="8">[1]Assumptions!$G$8:$I$39</definedName>
    <definedName name="GDP_low_growth" localSheetId="12">[1]Assumptions!$G$8:$I$39</definedName>
    <definedName name="GDP_low_growth" localSheetId="13">[1]Assumptions!$G$8:$I$39</definedName>
    <definedName name="GDP_low_growth">Assumptions!$G$8:$I$39</definedName>
    <definedName name="HighEfficiency_Improvement_Diesel" localSheetId="8">[1]Assumptions!$E$8:$E$39</definedName>
    <definedName name="HighEfficiency_Improvement_Diesel" localSheetId="12">[1]Assumptions!$E$8:$E$39</definedName>
    <definedName name="HighEfficiency_Improvement_Diesel" localSheetId="13">[1]Assumptions!$E$8:$E$39</definedName>
    <definedName name="HighEfficiency_Improvement_Diesel">Assumptions!$E$8:$E$39</definedName>
    <definedName name="HighEfficiency_Improvement_Gasoline" localSheetId="8">[1]Assumptions!$F$8:$F$39</definedName>
    <definedName name="HighEfficiency_Improvement_Gasoline" localSheetId="12">[1]Assumptions!$F$8:$F$39</definedName>
    <definedName name="HighEfficiency_Improvement_Gasoline" localSheetId="13">[1]Assumptions!$F$8:$F$39</definedName>
    <definedName name="HighEfficiency_Improvement_Gasoline">Assumptions!$F$8:$F$39</definedName>
    <definedName name="JetDemandSupply" localSheetId="8">'[1]Jet - DemandSupply'!$D:$L</definedName>
    <definedName name="JetDemandSupply" localSheetId="12">'[1]Jet - DemandSupply'!$D:$L</definedName>
    <definedName name="JetDemandSupply" localSheetId="13">'[1]Jet - DemandSupply'!$D:$L</definedName>
    <definedName name="JetDemandSupply">'Jet - DemandSupply'!$D:$L</definedName>
    <definedName name="LoadFactor_High">Assumptions!$M$172:$M$200</definedName>
    <definedName name="LoadFactor_Low">Assumptions!$M$204:$M$232</definedName>
    <definedName name="LoadShedding_High">Assumptions!$O$236:$P$263</definedName>
    <definedName name="LoadShedding_Low">Assumptions!$O$266:$P$293</definedName>
    <definedName name="LowEfficiency_Improvement_Diesel" localSheetId="8">[1]Assumptions!$I$8:$I$39</definedName>
    <definedName name="LowEfficiency_Improvement_Diesel" localSheetId="12">[1]Assumptions!$I$8:$I$39</definedName>
    <definedName name="LowEfficiency_Improvement_Diesel" localSheetId="13">[1]Assumptions!$I$8:$I$39</definedName>
    <definedName name="LowEfficiency_Improvement_Diesel">Assumptions!$I$8:$I$39</definedName>
    <definedName name="LowEfficiency_Improvement_Gasoline" localSheetId="8">[1]Assumptions!$J$8:$J$39</definedName>
    <definedName name="LowEfficiency_Improvement_Gasoline" localSheetId="12">[1]Assumptions!$J$8:$J$39</definedName>
    <definedName name="LowEfficiency_Improvement_Gasoline" localSheetId="13">[1]Assumptions!$J$8:$J$39</definedName>
    <definedName name="LowEfficiency_Improvement_Gasoline">Assumptions!$J$8:$J$39</definedName>
    <definedName name="Macros_header" localSheetId="8">[1]Assumptions!$Z$8:$AE$8</definedName>
    <definedName name="Macros_header" localSheetId="12">[1]Assumptions!$Z$8:$AE$8</definedName>
    <definedName name="Macros_header" localSheetId="13">[1]Assumptions!$Z$8:$AE$8</definedName>
    <definedName name="Macros_header">Assumptions!$Z$8:$AE$8</definedName>
    <definedName name="Macros_year" localSheetId="8">[1]Assumptions!$Z$8:$Z$5434</definedName>
    <definedName name="Macros_year" localSheetId="12">[1]Assumptions!$Z$8:$Z$5434</definedName>
    <definedName name="Macros_year" localSheetId="13">[1]Assumptions!$Z$8:$Z$5434</definedName>
    <definedName name="Macros_year">Assumptions!$Z$8:$Z$5434</definedName>
    <definedName name="MJ_Litres_Conversion" localSheetId="8">[1]Assumptions!$D$183</definedName>
    <definedName name="MJ_Litres_Conversion" localSheetId="12">[1]Assumptions!$D$183</definedName>
    <definedName name="MJ_Litres_Conversion" localSheetId="13">[1]Assumptions!$D$183</definedName>
    <definedName name="MJ_Litres_Conversion">Assumptions!$D$183</definedName>
    <definedName name="Operational_days" localSheetId="8">[1]Assumptions!$G$93</definedName>
    <definedName name="Operational_days" localSheetId="12">[1]Assumptions!$G$93</definedName>
    <definedName name="Operational_days" localSheetId="13">[1]Assumptions!$G$93</definedName>
    <definedName name="Operational_days">Assumptions!$G$93</definedName>
    <definedName name="PaxBaseScenario">Assumptions!$L$54:$N$85</definedName>
    <definedName name="PaxHighScenario" localSheetId="8">[1]Assumptions!$C$54:$E$85</definedName>
    <definedName name="PaxHighScenario" localSheetId="12">[1]Assumptions!$C$54:$E$85</definedName>
    <definedName name="PaxHighScenario" localSheetId="13">[1]Assumptions!$C$54:$E$85</definedName>
    <definedName name="PaxHighScenario">Assumptions!$C$54:$E$85</definedName>
    <definedName name="PaxLowScenario" localSheetId="8">[1]Assumptions!$G$54:$I$85</definedName>
    <definedName name="PaxLowScenario" localSheetId="12">[1]Assumptions!$G$54:$I$85</definedName>
    <definedName name="PaxLowScenario" localSheetId="13">[1]Assumptions!$G$54:$I$85</definedName>
    <definedName name="PaxLowScenario">Assumptions!$G$54:$I$85</definedName>
    <definedName name="PowerGen_Capacity" localSheetId="8">[1]Assumptions!$C$171:$D$178</definedName>
    <definedName name="PowerGen_Capacity" localSheetId="12">[1]Assumptions!$C$171:$D$178</definedName>
    <definedName name="PowerGen_Capacity" localSheetId="13">[1]Assumptions!$C$171:$D$178</definedName>
    <definedName name="PowerGen_Capacity">Assumptions!$C$171:$D$178</definedName>
    <definedName name="PowerGen_Efficiency" localSheetId="8">[1]Assumptions!$D$182</definedName>
    <definedName name="PowerGen_Efficiency" localSheetId="12">[1]Assumptions!$D$182</definedName>
    <definedName name="PowerGen_Efficiency" localSheetId="13">[1]Assumptions!$D$182</definedName>
    <definedName name="PowerGen_Efficiency">Assumptions!$D$182</definedName>
    <definedName name="PowerGenDieselDemand_High">Assumptions!$O$171:$P$200</definedName>
    <definedName name="PowerGenDieselDemand_Low">Assumptions!$O$203:$P$232</definedName>
    <definedName name="PowerGenLoadFactor_High">Assumptions!$L$171:$M$200</definedName>
    <definedName name="PowerGenLoadFactor_Low">Assumptions!$L$203:$M$232</definedName>
    <definedName name="PowerGenOCGT_Capacity_High" localSheetId="8">[1]Assumptions!$L$236:$M$263</definedName>
    <definedName name="PowerGenOCGT_Capacity_High" localSheetId="12">[1]Assumptions!$L$236:$M$263</definedName>
    <definedName name="PowerGenOCGT_Capacity_High" localSheetId="13">[1]Assumptions!$L$236:$M$263</definedName>
    <definedName name="PowerGenOCGT_Capacity_High">Assumptions!$L$236:$M$263</definedName>
    <definedName name="PowerGenOCGT_Capacity_Low" localSheetId="8">[1]Assumptions!$L$266:$M$293</definedName>
    <definedName name="PowerGenOCGT_Capacity_Low" localSheetId="12">[1]Assumptions!$L$266:$M$293</definedName>
    <definedName name="PowerGenOCGT_Capacity_Low" localSheetId="13">[1]Assumptions!$L$266:$M$293</definedName>
    <definedName name="PowerGenOCGT_Capacity_Low">Assumptions!$L$266:$M$293</definedName>
    <definedName name="Product_select" localSheetId="8">[1]fSupply!$B$14</definedName>
    <definedName name="Product_select" localSheetId="12">[1]fSupply!$B$14</definedName>
    <definedName name="Product_select" localSheetId="13">[1]fSupply!$B$14</definedName>
    <definedName name="Product_select">'Supply Forecast'!$B$14</definedName>
    <definedName name="Production_High" localSheetId="8">[1]Assumptions!$L$102:$R$13102:'[1]Assumptions'!$R$111</definedName>
    <definedName name="Production_High" localSheetId="12">[1]Assumptions!$L$102:$R$13102:'[1]Assumptions'!$R$111</definedName>
    <definedName name="Production_High" localSheetId="13">[1]Assumptions!$L$102:$R$13102:'[1]Assumptions'!$R$111</definedName>
    <definedName name="Production_High">Assumptions!$L$102:$R$13102:'Assumptions'!$R$111</definedName>
    <definedName name="Production_Low" localSheetId="8">[1]Assumptions!$L$135:$R$164</definedName>
    <definedName name="Production_Low" localSheetId="12">[1]Assumptions!$L$135:$R$164</definedName>
    <definedName name="Production_Low" localSheetId="13">[1]Assumptions!$L$135:$R$164</definedName>
    <definedName name="Production_Low">Assumptions!$L$135:$R$164</definedName>
    <definedName name="Refinery" localSheetId="8">[1]Assumptions!$L$93:$R$98</definedName>
    <definedName name="Refinery" localSheetId="12">[1]Assumptions!$L$93:$R$98</definedName>
    <definedName name="Refinery" localSheetId="13">[1]Assumptions!$L$93:$R$98</definedName>
    <definedName name="Refinery">Assumptions!$L$93:$R$98</definedName>
    <definedName name="Refinery_availability" localSheetId="8">[1]Assumptions!$G$92</definedName>
    <definedName name="Refinery_availability" localSheetId="12">[1]Assumptions!$G$92</definedName>
    <definedName name="Refinery_availability" localSheetId="13">[1]Assumptions!$G$92</definedName>
    <definedName name="Refinery_availability">Assumptions!$G$92</definedName>
    <definedName name="Refinery_capacity" localSheetId="8">[1]Assumptions!$L$93:$R$94</definedName>
    <definedName name="Refinery_capacity" localSheetId="12">[1]Assumptions!$L$93:$R$94</definedName>
    <definedName name="Refinery_capacity" localSheetId="13">[1]Assumptions!$L$93:$R$94</definedName>
    <definedName name="Refinery_capacity">Assumptions!$L$93:$R$94</definedName>
    <definedName name="SupplyFuelMix">Assumptions!$L$95:$R$97</definedName>
    <definedName name="TJ_GWh_Conversion" localSheetId="8">[1]Assumptions!$D$181</definedName>
    <definedName name="TJ_GWh_Conversion" localSheetId="12">[1]Assumptions!$D$181</definedName>
    <definedName name="TJ_GWh_Conversion" localSheetId="13">[1]Assumptions!$D$181</definedName>
    <definedName name="TJ_GWh_Conversion">Assumptions!$D$181</definedName>
    <definedName name="ULP_CPIIndex2015" localSheetId="8">[1]Assumptions!$L$349:$O$392</definedName>
    <definedName name="ULP_CPIIndex2015" localSheetId="12">[1]Assumptions!$L$349:$O$392</definedName>
    <definedName name="ULP_CPIIndex2015" localSheetId="13">[1]Assumptions!$L$349:$O$392</definedName>
    <definedName name="ULP_CPIIndex2015">Assumptions!$L$349:$O$392</definedName>
    <definedName name="Volume_NumberTrucks" localSheetId="8">[1]Assumptions!$C$238:$F$27938:'[1]Assumptions'!$F$252</definedName>
    <definedName name="Volume_NumberTrucks" localSheetId="12">[1]Assumptions!$C$238:$F$27938:'[1]Assumptions'!$F$252</definedName>
    <definedName name="Volume_NumberTrucks" localSheetId="13">[1]Assumptions!$C$238:$F$27938:'[1]Assumptions'!$F$252</definedName>
    <definedName name="Volume_NumberTrucks">Assumptions!$C$238:$F$27938:'Assumptions'!$F$252</definedName>
  </definedNames>
  <calcPr calcId="191028"/>
  <pivotCaches>
    <pivotCache cacheId="6" r:id="rId39"/>
    <pivotCache cacheId="7" r:id="rId40"/>
    <pivotCache cacheId="8" r:id="rId41"/>
    <pivotCache cacheId="9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53" l="1"/>
  <c r="G120" i="53"/>
  <c r="G122" i="53"/>
  <c r="G96" i="53"/>
  <c r="G98" i="53"/>
  <c r="G97" i="53"/>
  <c r="F45" i="53"/>
  <c r="H45" i="53"/>
  <c r="F47" i="53"/>
  <c r="F24" i="53"/>
  <c r="D96" i="51"/>
  <c r="D97" i="51"/>
  <c r="C83" i="51"/>
  <c r="C84" i="51"/>
  <c r="C85" i="51"/>
  <c r="C86" i="51"/>
  <c r="C87" i="51"/>
  <c r="C88" i="51"/>
  <c r="C89" i="51"/>
  <c r="C90" i="51"/>
  <c r="C91" i="51"/>
  <c r="C92" i="51"/>
  <c r="C93" i="51"/>
  <c r="C94" i="51"/>
  <c r="C95" i="51"/>
  <c r="C96" i="51"/>
  <c r="C97" i="51"/>
  <c r="C82" i="51"/>
  <c r="B96" i="51"/>
  <c r="E96" i="51" s="1"/>
  <c r="B97" i="51"/>
  <c r="E97" i="51" s="1"/>
  <c r="B83" i="51"/>
  <c r="I83" i="51" s="1"/>
  <c r="B84" i="51"/>
  <c r="E84" i="51" s="1"/>
  <c r="B85" i="51"/>
  <c r="I85" i="51" s="1"/>
  <c r="B86" i="51"/>
  <c r="I86" i="51" s="1"/>
  <c r="B87" i="51"/>
  <c r="I87" i="51" s="1"/>
  <c r="B88" i="51"/>
  <c r="I88" i="51" s="1"/>
  <c r="B89" i="51"/>
  <c r="E89" i="51" s="1"/>
  <c r="B90" i="51"/>
  <c r="I90" i="51" s="1"/>
  <c r="B91" i="51"/>
  <c r="I91" i="51" s="1"/>
  <c r="B92" i="51"/>
  <c r="E92" i="51" s="1"/>
  <c r="B93" i="51"/>
  <c r="I93" i="51" s="1"/>
  <c r="B94" i="51"/>
  <c r="I94" i="51" s="1"/>
  <c r="B95" i="51"/>
  <c r="I95" i="51" s="1"/>
  <c r="B82" i="51"/>
  <c r="I82" i="51" s="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82" i="51"/>
  <c r="N61" i="51"/>
  <c r="B58" i="51"/>
  <c r="I58" i="51" s="1"/>
  <c r="B59" i="51"/>
  <c r="F59" i="51" s="1"/>
  <c r="B60" i="51"/>
  <c r="I60" i="51" s="1"/>
  <c r="B61" i="51"/>
  <c r="I61" i="51" s="1"/>
  <c r="D60" i="51"/>
  <c r="D61" i="51"/>
  <c r="D59" i="51"/>
  <c r="D58" i="51"/>
  <c r="D57" i="51"/>
  <c r="D56" i="51"/>
  <c r="D55" i="51"/>
  <c r="D54" i="51"/>
  <c r="D53" i="51"/>
  <c r="D52" i="51"/>
  <c r="D51" i="51"/>
  <c r="D50" i="51"/>
  <c r="D49" i="51"/>
  <c r="D48" i="51"/>
  <c r="D47" i="51"/>
  <c r="D46" i="51"/>
  <c r="B56" i="51"/>
  <c r="I56" i="51" s="1"/>
  <c r="B57" i="51"/>
  <c r="I57" i="51" s="1"/>
  <c r="B52" i="51"/>
  <c r="G52" i="51" s="1"/>
  <c r="B53" i="51"/>
  <c r="I53" i="51" s="1"/>
  <c r="B54" i="51"/>
  <c r="I54" i="51" s="1"/>
  <c r="B55" i="51"/>
  <c r="I55" i="51" s="1"/>
  <c r="B49" i="51"/>
  <c r="I49" i="51" s="1"/>
  <c r="B50" i="51"/>
  <c r="I50" i="51" s="1"/>
  <c r="B51" i="51"/>
  <c r="G51" i="51" s="1"/>
  <c r="B47" i="51"/>
  <c r="E47" i="51" s="1"/>
  <c r="B48" i="51"/>
  <c r="I48" i="51" s="1"/>
  <c r="B46" i="51"/>
  <c r="I46" i="51" s="1"/>
  <c r="M35" i="38"/>
  <c r="M36" i="38"/>
  <c r="M37" i="38"/>
  <c r="M34" i="38"/>
  <c r="E35" i="39"/>
  <c r="E36" i="39"/>
  <c r="E37" i="39"/>
  <c r="E34" i="39"/>
  <c r="C25" i="34"/>
  <c r="D25" i="34"/>
  <c r="F25" i="34"/>
  <c r="G25" i="34"/>
  <c r="H25" i="34"/>
  <c r="F17" i="34"/>
  <c r="G17" i="34"/>
  <c r="H17" i="34"/>
  <c r="F18" i="34"/>
  <c r="G18" i="34"/>
  <c r="H18" i="34"/>
  <c r="F19" i="34"/>
  <c r="G19" i="34"/>
  <c r="H19" i="34"/>
  <c r="F20" i="34"/>
  <c r="G20" i="34"/>
  <c r="H20" i="34"/>
  <c r="F21" i="34"/>
  <c r="G21" i="34"/>
  <c r="H21" i="34"/>
  <c r="F22" i="34"/>
  <c r="G22" i="34"/>
  <c r="H22" i="34"/>
  <c r="F23" i="34"/>
  <c r="G23" i="34"/>
  <c r="H23" i="34"/>
  <c r="F24" i="34"/>
  <c r="G24" i="34"/>
  <c r="H24" i="34"/>
  <c r="C17" i="34"/>
  <c r="D17" i="34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E18" i="34"/>
  <c r="E19" i="34"/>
  <c r="E20" i="34"/>
  <c r="E21" i="34"/>
  <c r="E22" i="34"/>
  <c r="E23" i="34"/>
  <c r="E24" i="34"/>
  <c r="E25" i="34"/>
  <c r="K49" i="34"/>
  <c r="J35" i="38"/>
  <c r="J36" i="38"/>
  <c r="J37" i="38"/>
  <c r="J38" i="38"/>
  <c r="J39" i="38"/>
  <c r="J40" i="38"/>
  <c r="J41" i="38"/>
  <c r="J42" i="38"/>
  <c r="J43" i="38"/>
  <c r="J44" i="38"/>
  <c r="J45" i="38"/>
  <c r="J46" i="38"/>
  <c r="J47" i="38"/>
  <c r="J48" i="38"/>
  <c r="J49" i="38"/>
  <c r="J50" i="38"/>
  <c r="J51" i="38"/>
  <c r="J52" i="38"/>
  <c r="J53" i="38"/>
  <c r="J54" i="38"/>
  <c r="J34" i="38"/>
  <c r="D35" i="38"/>
  <c r="E35" i="38"/>
  <c r="F35" i="38"/>
  <c r="G35" i="38"/>
  <c r="H35" i="38"/>
  <c r="I35" i="38"/>
  <c r="D36" i="38"/>
  <c r="D33" i="38" s="1"/>
  <c r="E36" i="38"/>
  <c r="F36" i="38"/>
  <c r="G36" i="38"/>
  <c r="H36" i="38"/>
  <c r="I36" i="38"/>
  <c r="D37" i="38"/>
  <c r="E37" i="38"/>
  <c r="F37" i="38"/>
  <c r="F33" i="38" s="1"/>
  <c r="G37" i="38"/>
  <c r="H37" i="38"/>
  <c r="I37" i="38"/>
  <c r="D38" i="38"/>
  <c r="E38" i="38"/>
  <c r="F38" i="38"/>
  <c r="G38" i="38"/>
  <c r="H38" i="38"/>
  <c r="H33" i="38" s="1"/>
  <c r="I38" i="38"/>
  <c r="D39" i="38"/>
  <c r="E39" i="38"/>
  <c r="F39" i="38"/>
  <c r="G39" i="38"/>
  <c r="H39" i="38"/>
  <c r="I39" i="38"/>
  <c r="D40" i="38"/>
  <c r="E40" i="38"/>
  <c r="F40" i="38"/>
  <c r="G40" i="38"/>
  <c r="H40" i="38"/>
  <c r="I40" i="38"/>
  <c r="D41" i="38"/>
  <c r="E41" i="38"/>
  <c r="F41" i="38"/>
  <c r="G41" i="38"/>
  <c r="H41" i="38"/>
  <c r="I41" i="38"/>
  <c r="D42" i="38"/>
  <c r="E42" i="38"/>
  <c r="F42" i="38"/>
  <c r="G42" i="38"/>
  <c r="H42" i="38"/>
  <c r="I42" i="38"/>
  <c r="D43" i="38"/>
  <c r="E43" i="38"/>
  <c r="F43" i="38"/>
  <c r="G43" i="38"/>
  <c r="G33" i="38" s="1"/>
  <c r="H43" i="38"/>
  <c r="I43" i="38"/>
  <c r="D44" i="38"/>
  <c r="E44" i="38"/>
  <c r="F44" i="38"/>
  <c r="G44" i="38"/>
  <c r="H44" i="38"/>
  <c r="I44" i="38"/>
  <c r="I33" i="38" s="1"/>
  <c r="D45" i="38"/>
  <c r="E45" i="38"/>
  <c r="F45" i="38"/>
  <c r="G45" i="38"/>
  <c r="H45" i="38"/>
  <c r="I45" i="38"/>
  <c r="D46" i="38"/>
  <c r="E46" i="38"/>
  <c r="F46" i="38"/>
  <c r="G46" i="38"/>
  <c r="H46" i="38"/>
  <c r="I46" i="38"/>
  <c r="D47" i="38"/>
  <c r="E47" i="38"/>
  <c r="F47" i="38"/>
  <c r="G47" i="38"/>
  <c r="H47" i="38"/>
  <c r="I47" i="38"/>
  <c r="D48" i="38"/>
  <c r="E48" i="38"/>
  <c r="F48" i="38"/>
  <c r="G48" i="38"/>
  <c r="H48" i="38"/>
  <c r="I48" i="38"/>
  <c r="D49" i="38"/>
  <c r="E49" i="38"/>
  <c r="F49" i="38"/>
  <c r="G49" i="38"/>
  <c r="H49" i="38"/>
  <c r="I49" i="38"/>
  <c r="D50" i="38"/>
  <c r="E50" i="38"/>
  <c r="F50" i="38"/>
  <c r="G50" i="38"/>
  <c r="H50" i="38"/>
  <c r="I50" i="38"/>
  <c r="D51" i="38"/>
  <c r="E51" i="38"/>
  <c r="F51" i="38"/>
  <c r="G51" i="38"/>
  <c r="H51" i="38"/>
  <c r="I51" i="38"/>
  <c r="D52" i="38"/>
  <c r="E52" i="38"/>
  <c r="F52" i="38"/>
  <c r="G52" i="38"/>
  <c r="H52" i="38"/>
  <c r="I52" i="38"/>
  <c r="D53" i="38"/>
  <c r="E53" i="38"/>
  <c r="F53" i="38"/>
  <c r="G53" i="38"/>
  <c r="H53" i="38"/>
  <c r="I53" i="38"/>
  <c r="D54" i="38"/>
  <c r="E54" i="38"/>
  <c r="F54" i="38"/>
  <c r="G54" i="38"/>
  <c r="H54" i="38"/>
  <c r="I54" i="38"/>
  <c r="E34" i="38"/>
  <c r="F34" i="38"/>
  <c r="G34" i="38"/>
  <c r="H34" i="38"/>
  <c r="I34" i="38"/>
  <c r="D34" i="38"/>
  <c r="J54" i="39"/>
  <c r="J52" i="39" s="1"/>
  <c r="J55" i="39"/>
  <c r="J56" i="39"/>
  <c r="J57" i="39"/>
  <c r="J58" i="39"/>
  <c r="J59" i="39"/>
  <c r="J60" i="39"/>
  <c r="J61" i="39"/>
  <c r="J62" i="39"/>
  <c r="J63" i="39"/>
  <c r="J64" i="39"/>
  <c r="J65" i="39"/>
  <c r="J66" i="39"/>
  <c r="J67" i="39"/>
  <c r="J68" i="39"/>
  <c r="J69" i="39"/>
  <c r="J70" i="39"/>
  <c r="J71" i="39"/>
  <c r="J72" i="39"/>
  <c r="J73" i="39"/>
  <c r="I54" i="39"/>
  <c r="I55" i="39"/>
  <c r="I56" i="39"/>
  <c r="I57" i="39"/>
  <c r="I58" i="39"/>
  <c r="I59" i="39"/>
  <c r="I60" i="39"/>
  <c r="I61" i="39"/>
  <c r="I52" i="39" s="1"/>
  <c r="I62" i="39"/>
  <c r="I63" i="39"/>
  <c r="I64" i="39"/>
  <c r="I65" i="39"/>
  <c r="I66" i="39"/>
  <c r="I67" i="39"/>
  <c r="I68" i="39"/>
  <c r="I69" i="39"/>
  <c r="I70" i="39"/>
  <c r="I71" i="39"/>
  <c r="I72" i="39"/>
  <c r="I7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H70" i="39"/>
  <c r="H71" i="39"/>
  <c r="H72" i="39"/>
  <c r="H73" i="39"/>
  <c r="G54" i="39"/>
  <c r="G55" i="39"/>
  <c r="G56" i="39"/>
  <c r="G57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F54" i="39"/>
  <c r="F55" i="39"/>
  <c r="F56" i="39"/>
  <c r="F57" i="39"/>
  <c r="F58" i="39"/>
  <c r="F59" i="39"/>
  <c r="F60" i="39"/>
  <c r="F52" i="39" s="1"/>
  <c r="F61" i="39"/>
  <c r="F62" i="39"/>
  <c r="F63" i="39"/>
  <c r="F64" i="39"/>
  <c r="F65" i="39"/>
  <c r="F66" i="39"/>
  <c r="F67" i="39"/>
  <c r="F68" i="39"/>
  <c r="F69" i="39"/>
  <c r="F70" i="39"/>
  <c r="F71" i="39"/>
  <c r="F72" i="39"/>
  <c r="F73" i="39"/>
  <c r="E54" i="39"/>
  <c r="E55" i="39"/>
  <c r="E56" i="39"/>
  <c r="E57" i="39"/>
  <c r="E58" i="39"/>
  <c r="E59" i="39"/>
  <c r="E60" i="39"/>
  <c r="E61" i="39"/>
  <c r="E52" i="39" s="1"/>
  <c r="E62" i="39"/>
  <c r="E63" i="39"/>
  <c r="E64" i="39"/>
  <c r="E65" i="39"/>
  <c r="E66" i="39"/>
  <c r="E67" i="39"/>
  <c r="E68" i="39"/>
  <c r="E69" i="39"/>
  <c r="E70" i="39"/>
  <c r="E71" i="39"/>
  <c r="E72" i="39"/>
  <c r="E73" i="39"/>
  <c r="D54" i="39"/>
  <c r="D55" i="39"/>
  <c r="D52" i="39" s="1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J53" i="39"/>
  <c r="F53" i="39"/>
  <c r="G53" i="39"/>
  <c r="H53" i="39"/>
  <c r="I53" i="39"/>
  <c r="E53" i="39"/>
  <c r="D53" i="39"/>
  <c r="E33" i="38"/>
  <c r="G52" i="39"/>
  <c r="H52" i="39"/>
  <c r="I55" i="52"/>
  <c r="I56" i="52"/>
  <c r="I54" i="52"/>
  <c r="I53" i="52"/>
  <c r="I52" i="52"/>
  <c r="D55" i="52"/>
  <c r="D56" i="52"/>
  <c r="G59" i="51" l="1"/>
  <c r="N22" i="34"/>
  <c r="N20" i="34"/>
  <c r="E52" i="51"/>
  <c r="G55" i="51"/>
  <c r="F55" i="51"/>
  <c r="G47" i="51"/>
  <c r="I52" i="51"/>
  <c r="F52" i="51"/>
  <c r="H59" i="51"/>
  <c r="I51" i="51"/>
  <c r="E59" i="51"/>
  <c r="F51" i="51"/>
  <c r="H55" i="51"/>
  <c r="I47" i="51"/>
  <c r="E55" i="51"/>
  <c r="F47" i="51"/>
  <c r="H52" i="51"/>
  <c r="N18" i="34"/>
  <c r="H51" i="51"/>
  <c r="E51" i="51"/>
  <c r="H47" i="51"/>
  <c r="I59" i="51"/>
  <c r="N24" i="34"/>
  <c r="F92" i="51"/>
  <c r="K92" i="51" s="1"/>
  <c r="F84" i="51"/>
  <c r="K84" i="51" s="1"/>
  <c r="G84" i="51"/>
  <c r="N21" i="34"/>
  <c r="H84" i="51"/>
  <c r="E83" i="51"/>
  <c r="N25" i="34"/>
  <c r="E95" i="51"/>
  <c r="E60" i="51"/>
  <c r="F60" i="51"/>
  <c r="G60" i="51"/>
  <c r="H60" i="51"/>
  <c r="E88" i="51"/>
  <c r="F85" i="51"/>
  <c r="H92" i="51"/>
  <c r="E91" i="51"/>
  <c r="H89" i="51"/>
  <c r="E58" i="51"/>
  <c r="E50" i="51"/>
  <c r="F58" i="51"/>
  <c r="F50" i="51"/>
  <c r="G58" i="51"/>
  <c r="G50" i="51"/>
  <c r="H58" i="51"/>
  <c r="H50" i="51"/>
  <c r="G82" i="51"/>
  <c r="E57" i="51"/>
  <c r="E49" i="51"/>
  <c r="F57" i="51"/>
  <c r="F49" i="51"/>
  <c r="G57" i="51"/>
  <c r="G49" i="51"/>
  <c r="H57" i="51"/>
  <c r="H49" i="51"/>
  <c r="F82" i="51"/>
  <c r="G97" i="51"/>
  <c r="I97" i="51"/>
  <c r="N19" i="34"/>
  <c r="E56" i="51"/>
  <c r="E48" i="51"/>
  <c r="F56" i="51"/>
  <c r="F48" i="51"/>
  <c r="G56" i="51"/>
  <c r="G48" i="51"/>
  <c r="H56" i="51"/>
  <c r="H48" i="51"/>
  <c r="F97" i="51"/>
  <c r="K97" i="51" s="1"/>
  <c r="G92" i="51"/>
  <c r="I92" i="51"/>
  <c r="E82" i="51"/>
  <c r="F93" i="51"/>
  <c r="G89" i="51"/>
  <c r="I84" i="51"/>
  <c r="E46" i="51"/>
  <c r="E54" i="51"/>
  <c r="F46" i="51"/>
  <c r="F54" i="51"/>
  <c r="G46" i="51"/>
  <c r="G54" i="51"/>
  <c r="H46" i="51"/>
  <c r="H54" i="51"/>
  <c r="E61" i="51"/>
  <c r="E53" i="51"/>
  <c r="F61" i="51"/>
  <c r="F53" i="51"/>
  <c r="G61" i="51"/>
  <c r="G53" i="51"/>
  <c r="H61" i="51"/>
  <c r="H53" i="51"/>
  <c r="E87" i="51"/>
  <c r="F89" i="51"/>
  <c r="K89" i="51" s="1"/>
  <c r="H97" i="51"/>
  <c r="I89" i="51"/>
  <c r="F96" i="51"/>
  <c r="K96" i="51" s="1"/>
  <c r="F88" i="51"/>
  <c r="G96" i="51"/>
  <c r="G88" i="51"/>
  <c r="H96" i="51"/>
  <c r="H88" i="51"/>
  <c r="I96" i="51"/>
  <c r="E85" i="51"/>
  <c r="E93" i="51"/>
  <c r="F95" i="51"/>
  <c r="F87" i="51"/>
  <c r="G95" i="51"/>
  <c r="G87" i="51"/>
  <c r="H95" i="51"/>
  <c r="H87" i="51"/>
  <c r="E86" i="51"/>
  <c r="E94" i="51"/>
  <c r="F94" i="51"/>
  <c r="F86" i="51"/>
  <c r="G94" i="51"/>
  <c r="G86" i="51"/>
  <c r="H94" i="51"/>
  <c r="H86" i="51"/>
  <c r="G93" i="51"/>
  <c r="G85" i="51"/>
  <c r="H93" i="51"/>
  <c r="H85" i="51"/>
  <c r="N23" i="34"/>
  <c r="F91" i="51"/>
  <c r="F83" i="51"/>
  <c r="G91" i="51"/>
  <c r="G83" i="51"/>
  <c r="H91" i="51"/>
  <c r="H83" i="51"/>
  <c r="E90" i="51"/>
  <c r="F90" i="51"/>
  <c r="G90" i="51"/>
  <c r="H82" i="51"/>
  <c r="H90" i="51"/>
  <c r="J33" i="38"/>
  <c r="K83" i="51" l="1"/>
  <c r="K85" i="51"/>
  <c r="K90" i="51"/>
  <c r="K93" i="51"/>
  <c r="K95" i="51"/>
  <c r="K91" i="51"/>
  <c r="K82" i="51"/>
  <c r="K87" i="51"/>
  <c r="K94" i="51"/>
  <c r="K88" i="51"/>
  <c r="K86" i="51"/>
  <c r="L150" i="53" l="1"/>
  <c r="K150" i="53"/>
  <c r="I150" i="53"/>
  <c r="K149" i="53"/>
  <c r="L149" i="53" s="1"/>
  <c r="I149" i="53"/>
  <c r="K148" i="53"/>
  <c r="I148" i="53"/>
  <c r="L148" i="53" s="1"/>
  <c r="K147" i="53"/>
  <c r="I147" i="53"/>
  <c r="L147" i="53" s="1"/>
  <c r="L146" i="53"/>
  <c r="K146" i="53"/>
  <c r="I146" i="53"/>
  <c r="L145" i="53"/>
  <c r="K145" i="53"/>
  <c r="I145" i="53"/>
  <c r="K144" i="53"/>
  <c r="I144" i="53"/>
  <c r="L144" i="53" s="1"/>
  <c r="F144" i="53"/>
  <c r="G144" i="53" s="1"/>
  <c r="K143" i="53"/>
  <c r="I143" i="53"/>
  <c r="F143" i="53"/>
  <c r="G143" i="53" s="1"/>
  <c r="K142" i="53"/>
  <c r="I142" i="53"/>
  <c r="F142" i="53"/>
  <c r="G142" i="53" s="1"/>
  <c r="F141" i="53"/>
  <c r="G141" i="53" s="1"/>
  <c r="F140" i="53"/>
  <c r="G140" i="53" s="1"/>
  <c r="P129" i="53"/>
  <c r="K127" i="53"/>
  <c r="I127" i="53"/>
  <c r="L127" i="53" s="1"/>
  <c r="K126" i="53"/>
  <c r="I126" i="53"/>
  <c r="L126" i="53" s="1"/>
  <c r="K125" i="53"/>
  <c r="I125" i="53"/>
  <c r="L125" i="53" s="1"/>
  <c r="K124" i="53"/>
  <c r="I124" i="53"/>
  <c r="K123" i="53"/>
  <c r="I123" i="53"/>
  <c r="G121" i="53"/>
  <c r="G119" i="53"/>
  <c r="G118" i="53"/>
  <c r="G117" i="53"/>
  <c r="K103" i="53"/>
  <c r="I103" i="53"/>
  <c r="L103" i="53" s="1"/>
  <c r="K102" i="53"/>
  <c r="I102" i="53"/>
  <c r="K101" i="53"/>
  <c r="I101" i="53"/>
  <c r="L101" i="53" s="1"/>
  <c r="K100" i="53"/>
  <c r="I100" i="53"/>
  <c r="K99" i="53"/>
  <c r="I99" i="53"/>
  <c r="G95" i="53"/>
  <c r="G94" i="53"/>
  <c r="G93" i="53"/>
  <c r="E68" i="53"/>
  <c r="E67" i="53"/>
  <c r="E66" i="53"/>
  <c r="E65" i="53"/>
  <c r="E64" i="53"/>
  <c r="E63" i="53"/>
  <c r="E62" i="53"/>
  <c r="E61" i="53"/>
  <c r="E60" i="53"/>
  <c r="E59" i="53"/>
  <c r="E58" i="53"/>
  <c r="E57" i="53"/>
  <c r="H52" i="53"/>
  <c r="J52" i="53" s="1"/>
  <c r="H51" i="53"/>
  <c r="J51" i="53" s="1"/>
  <c r="K51" i="53" s="1"/>
  <c r="H50" i="53"/>
  <c r="J50" i="53" s="1"/>
  <c r="K50" i="53" s="1"/>
  <c r="H49" i="53"/>
  <c r="J49" i="53" s="1"/>
  <c r="K49" i="53" s="1"/>
  <c r="H48" i="53"/>
  <c r="J48" i="53" s="1"/>
  <c r="K48" i="53" s="1"/>
  <c r="H47" i="53"/>
  <c r="H46" i="53"/>
  <c r="F46" i="53"/>
  <c r="H44" i="53"/>
  <c r="F44" i="53"/>
  <c r="H43" i="53"/>
  <c r="F43" i="53"/>
  <c r="F42" i="53"/>
  <c r="F41" i="53"/>
  <c r="F40" i="53"/>
  <c r="F39" i="53"/>
  <c r="F38" i="53"/>
  <c r="F37" i="53"/>
  <c r="F36" i="53"/>
  <c r="F35" i="53"/>
  <c r="F34" i="53"/>
  <c r="V29" i="53"/>
  <c r="T29" i="53"/>
  <c r="J29" i="53"/>
  <c r="K29" i="53" s="1"/>
  <c r="V28" i="53"/>
  <c r="T28" i="53"/>
  <c r="J28" i="53"/>
  <c r="K28" i="53" s="1"/>
  <c r="V27" i="53"/>
  <c r="T27" i="53"/>
  <c r="J27" i="53"/>
  <c r="V26" i="53"/>
  <c r="T26" i="53"/>
  <c r="J26" i="53"/>
  <c r="V25" i="53"/>
  <c r="T25" i="53"/>
  <c r="V24" i="53"/>
  <c r="T24" i="53"/>
  <c r="V23" i="53"/>
  <c r="T23" i="53"/>
  <c r="F23" i="53"/>
  <c r="V22" i="53"/>
  <c r="T22" i="53"/>
  <c r="F22" i="53"/>
  <c r="F68" i="53" s="1"/>
  <c r="G68" i="53" s="1"/>
  <c r="H68" i="53" s="1"/>
  <c r="V21" i="53"/>
  <c r="T21" i="53"/>
  <c r="F21" i="53"/>
  <c r="V20" i="53"/>
  <c r="T20" i="53"/>
  <c r="F20" i="53"/>
  <c r="F66" i="53" s="1"/>
  <c r="V19" i="53"/>
  <c r="T19" i="53"/>
  <c r="F19" i="53"/>
  <c r="V18" i="53"/>
  <c r="T18" i="53"/>
  <c r="I18" i="53"/>
  <c r="F18" i="53"/>
  <c r="V17" i="53"/>
  <c r="T17" i="53"/>
  <c r="F17" i="53"/>
  <c r="F16" i="53"/>
  <c r="F15" i="53"/>
  <c r="F61" i="53" s="1"/>
  <c r="F14" i="53"/>
  <c r="F60" i="53" s="1"/>
  <c r="F13" i="53"/>
  <c r="F12" i="53"/>
  <c r="F58" i="53" s="1"/>
  <c r="F11" i="53"/>
  <c r="F57" i="53" s="1"/>
  <c r="C6" i="53"/>
  <c r="C5" i="53"/>
  <c r="D54" i="52"/>
  <c r="D53" i="52"/>
  <c r="D52" i="52"/>
  <c r="I51" i="52"/>
  <c r="D51" i="52"/>
  <c r="I50" i="52"/>
  <c r="D50" i="52"/>
  <c r="I49" i="52"/>
  <c r="D49" i="52"/>
  <c r="I48" i="52"/>
  <c r="D48" i="52"/>
  <c r="I47" i="52"/>
  <c r="D47" i="52"/>
  <c r="I46" i="52"/>
  <c r="D46" i="52"/>
  <c r="I45" i="52"/>
  <c r="D45" i="52"/>
  <c r="I44" i="52"/>
  <c r="D44" i="52"/>
  <c r="I43" i="52"/>
  <c r="D43" i="52"/>
  <c r="E31" i="52"/>
  <c r="D31" i="52"/>
  <c r="E30" i="52"/>
  <c r="D30" i="52"/>
  <c r="T25" i="52"/>
  <c r="O25" i="52"/>
  <c r="L25" i="52"/>
  <c r="I25" i="52"/>
  <c r="D25" i="52"/>
  <c r="A25" i="52"/>
  <c r="T24" i="52"/>
  <c r="O24" i="52"/>
  <c r="L24" i="52"/>
  <c r="I24" i="52"/>
  <c r="D24" i="52"/>
  <c r="A24" i="52"/>
  <c r="T23" i="52"/>
  <c r="O23" i="52"/>
  <c r="L23" i="52"/>
  <c r="I23" i="52"/>
  <c r="D23" i="52"/>
  <c r="A23" i="52"/>
  <c r="T22" i="52"/>
  <c r="O22" i="52"/>
  <c r="L22" i="52"/>
  <c r="I22" i="52"/>
  <c r="D22" i="52"/>
  <c r="A22" i="52"/>
  <c r="T21" i="52"/>
  <c r="O21" i="52"/>
  <c r="L21" i="52"/>
  <c r="I21" i="52"/>
  <c r="D21" i="52"/>
  <c r="A21" i="52"/>
  <c r="T20" i="52"/>
  <c r="O20" i="52"/>
  <c r="L20" i="52"/>
  <c r="A20" i="52"/>
  <c r="T19" i="52"/>
  <c r="O19" i="52"/>
  <c r="L19" i="52"/>
  <c r="J19" i="52"/>
  <c r="E19" i="52"/>
  <c r="D32" i="52" s="1"/>
  <c r="A19" i="52"/>
  <c r="T18" i="52"/>
  <c r="O18" i="52"/>
  <c r="L18" i="52"/>
  <c r="J18" i="52"/>
  <c r="E18" i="52"/>
  <c r="A18" i="52"/>
  <c r="T17" i="52"/>
  <c r="O17" i="52"/>
  <c r="L17" i="52"/>
  <c r="J17" i="52"/>
  <c r="E17" i="52"/>
  <c r="A17" i="52"/>
  <c r="T12" i="52"/>
  <c r="O12" i="52"/>
  <c r="L12" i="52"/>
  <c r="I12" i="52"/>
  <c r="F12" i="52"/>
  <c r="D12" i="52"/>
  <c r="A12" i="52"/>
  <c r="T11" i="52"/>
  <c r="O11" i="52"/>
  <c r="L11" i="52"/>
  <c r="I11" i="52"/>
  <c r="F11" i="52"/>
  <c r="D11" i="52"/>
  <c r="A11" i="52"/>
  <c r="T10" i="52"/>
  <c r="O10" i="52"/>
  <c r="L10" i="52"/>
  <c r="I10" i="52"/>
  <c r="F10" i="52"/>
  <c r="D10" i="52"/>
  <c r="A10" i="52"/>
  <c r="T9" i="52"/>
  <c r="O9" i="52"/>
  <c r="L9" i="52"/>
  <c r="I9" i="52"/>
  <c r="F9" i="52"/>
  <c r="D9" i="52"/>
  <c r="A9" i="52"/>
  <c r="T8" i="52"/>
  <c r="O8" i="52"/>
  <c r="L8" i="52"/>
  <c r="I8" i="52"/>
  <c r="F8" i="52"/>
  <c r="D8" i="52"/>
  <c r="A8" i="52"/>
  <c r="T7" i="52"/>
  <c r="O7" i="52"/>
  <c r="L7" i="52"/>
  <c r="J7" i="52"/>
  <c r="F7" i="52"/>
  <c r="A7" i="52"/>
  <c r="T6" i="52"/>
  <c r="O6" i="52"/>
  <c r="L6" i="52"/>
  <c r="J6" i="52"/>
  <c r="F6" i="52"/>
  <c r="A6" i="52"/>
  <c r="T5" i="52"/>
  <c r="O5" i="52"/>
  <c r="L5" i="52"/>
  <c r="J5" i="52"/>
  <c r="F5" i="52"/>
  <c r="A5" i="52"/>
  <c r="T4" i="52"/>
  <c r="O4" i="52"/>
  <c r="L4" i="52"/>
  <c r="J4" i="52"/>
  <c r="A4" i="52"/>
  <c r="G117" i="51"/>
  <c r="J115" i="51"/>
  <c r="J91" i="51"/>
  <c r="J90" i="51"/>
  <c r="J89" i="51"/>
  <c r="J87" i="51"/>
  <c r="L87" i="51" s="1"/>
  <c r="B14" i="53" s="1"/>
  <c r="J86" i="51"/>
  <c r="J85" i="51"/>
  <c r="L85" i="51" s="1"/>
  <c r="B12" i="53" s="1"/>
  <c r="J83" i="51"/>
  <c r="L83" i="51" s="1"/>
  <c r="R61" i="51"/>
  <c r="Q61" i="51"/>
  <c r="P61" i="51"/>
  <c r="S61" i="51" s="1"/>
  <c r="O61" i="51"/>
  <c r="J60" i="51"/>
  <c r="O60" i="51"/>
  <c r="R59" i="51"/>
  <c r="Q59" i="51"/>
  <c r="P59" i="51"/>
  <c r="S59" i="51" s="1"/>
  <c r="O59" i="51"/>
  <c r="N59" i="51"/>
  <c r="J59" i="51"/>
  <c r="J57" i="51"/>
  <c r="J54" i="51"/>
  <c r="J52" i="51"/>
  <c r="J51" i="51"/>
  <c r="J49" i="51"/>
  <c r="J48" i="51"/>
  <c r="J47" i="51"/>
  <c r="C40" i="51"/>
  <c r="O40" i="51" s="1"/>
  <c r="B40" i="51"/>
  <c r="F40" i="51" s="1"/>
  <c r="C39" i="51"/>
  <c r="Q39" i="51" s="1"/>
  <c r="B39" i="51"/>
  <c r="H39" i="51" s="1"/>
  <c r="I38" i="51"/>
  <c r="C38" i="51"/>
  <c r="R38" i="51" s="1"/>
  <c r="B38" i="51"/>
  <c r="H38" i="51" s="1"/>
  <c r="R37" i="51"/>
  <c r="Q37" i="51"/>
  <c r="P37" i="51"/>
  <c r="S37" i="51" s="1"/>
  <c r="O37" i="51"/>
  <c r="N37" i="51"/>
  <c r="T37" i="51" s="1"/>
  <c r="I37" i="51"/>
  <c r="C37" i="51"/>
  <c r="B37" i="51"/>
  <c r="H37" i="51" s="1"/>
  <c r="C36" i="51"/>
  <c r="O36" i="51" s="1"/>
  <c r="B36" i="51"/>
  <c r="F36" i="51" s="1"/>
  <c r="C35" i="51"/>
  <c r="Q35" i="51" s="1"/>
  <c r="B35" i="51"/>
  <c r="H35" i="51" s="1"/>
  <c r="I34" i="51"/>
  <c r="C34" i="51"/>
  <c r="R34" i="51" s="1"/>
  <c r="B34" i="51"/>
  <c r="H34" i="51" s="1"/>
  <c r="R33" i="51"/>
  <c r="Q33" i="51"/>
  <c r="P33" i="51"/>
  <c r="S33" i="51" s="1"/>
  <c r="O33" i="51"/>
  <c r="N33" i="51"/>
  <c r="V33" i="51" s="1"/>
  <c r="I33" i="51"/>
  <c r="C33" i="51"/>
  <c r="B33" i="51"/>
  <c r="H33" i="51" s="1"/>
  <c r="C32" i="51"/>
  <c r="O32" i="51" s="1"/>
  <c r="B32" i="51"/>
  <c r="F32" i="51" s="1"/>
  <c r="C31" i="51"/>
  <c r="Q31" i="51" s="1"/>
  <c r="B31" i="51"/>
  <c r="I31" i="51" s="1"/>
  <c r="I30" i="51"/>
  <c r="H30" i="51"/>
  <c r="G30" i="51"/>
  <c r="J30" i="51" s="1"/>
  <c r="F30" i="51"/>
  <c r="E30" i="51"/>
  <c r="C30" i="51"/>
  <c r="O30" i="51" s="1"/>
  <c r="B30" i="51"/>
  <c r="R29" i="51"/>
  <c r="Q29" i="51"/>
  <c r="P29" i="51"/>
  <c r="S29" i="51" s="1"/>
  <c r="O29" i="51"/>
  <c r="I29" i="51"/>
  <c r="H29" i="51"/>
  <c r="G29" i="51"/>
  <c r="J29" i="51" s="1"/>
  <c r="F29" i="51"/>
  <c r="C29" i="51"/>
  <c r="N29" i="51" s="1"/>
  <c r="B29" i="51"/>
  <c r="E29" i="51" s="1"/>
  <c r="R28" i="51"/>
  <c r="Q28" i="51"/>
  <c r="O28" i="51"/>
  <c r="I28" i="51"/>
  <c r="H28" i="51"/>
  <c r="C28" i="51"/>
  <c r="P28" i="51" s="1"/>
  <c r="S28" i="51" s="1"/>
  <c r="B28" i="51"/>
  <c r="G28" i="51" s="1"/>
  <c r="J28" i="51" s="1"/>
  <c r="C27" i="51"/>
  <c r="R27" i="51" s="1"/>
  <c r="B27" i="51"/>
  <c r="I27" i="51" s="1"/>
  <c r="I26" i="51"/>
  <c r="H26" i="51"/>
  <c r="G26" i="51"/>
  <c r="J26" i="51" s="1"/>
  <c r="F26" i="51"/>
  <c r="E26" i="51"/>
  <c r="C26" i="51"/>
  <c r="O26" i="51" s="1"/>
  <c r="B26" i="51"/>
  <c r="R25" i="51"/>
  <c r="Q25" i="51"/>
  <c r="P25" i="51"/>
  <c r="S25" i="51" s="1"/>
  <c r="O25" i="51"/>
  <c r="I25" i="51"/>
  <c r="H25" i="51"/>
  <c r="G25" i="51"/>
  <c r="J25" i="51" s="1"/>
  <c r="F25" i="51"/>
  <c r="C25" i="51"/>
  <c r="N25" i="51" s="1"/>
  <c r="B25" i="51"/>
  <c r="E25" i="51" s="1"/>
  <c r="R24" i="51"/>
  <c r="Q24" i="51"/>
  <c r="O24" i="51"/>
  <c r="I24" i="51"/>
  <c r="H24" i="51"/>
  <c r="C24" i="51"/>
  <c r="P24" i="51" s="1"/>
  <c r="S24" i="51" s="1"/>
  <c r="B24" i="51"/>
  <c r="G24" i="51" s="1"/>
  <c r="J24" i="51" s="1"/>
  <c r="R23" i="51"/>
  <c r="Q23" i="51"/>
  <c r="P23" i="51"/>
  <c r="S23" i="51" s="1"/>
  <c r="O23" i="51"/>
  <c r="N23" i="51"/>
  <c r="I23" i="51"/>
  <c r="D23" i="51"/>
  <c r="B23" i="51"/>
  <c r="H23" i="51" s="1"/>
  <c r="D22" i="51"/>
  <c r="B22" i="51"/>
  <c r="I22" i="51" s="1"/>
  <c r="H21" i="51"/>
  <c r="K21" i="51" s="1"/>
  <c r="G21" i="51"/>
  <c r="J21" i="51" s="1"/>
  <c r="F21" i="51"/>
  <c r="E21" i="51"/>
  <c r="D21" i="51"/>
  <c r="B21" i="51"/>
  <c r="I21" i="51" s="1"/>
  <c r="I20" i="51"/>
  <c r="H20" i="51"/>
  <c r="K20" i="51" s="1"/>
  <c r="G20" i="51"/>
  <c r="J20" i="51" s="1"/>
  <c r="E20" i="51"/>
  <c r="D20" i="51"/>
  <c r="B20" i="51"/>
  <c r="F20" i="51" s="1"/>
  <c r="I19" i="51"/>
  <c r="D19" i="51"/>
  <c r="B19" i="51"/>
  <c r="H19" i="51" s="1"/>
  <c r="K19" i="51" s="1"/>
  <c r="D18" i="51"/>
  <c r="B18" i="51"/>
  <c r="D17" i="51"/>
  <c r="B17" i="51"/>
  <c r="D16" i="51"/>
  <c r="B16" i="51"/>
  <c r="D15" i="51"/>
  <c r="B15" i="51"/>
  <c r="D14" i="51"/>
  <c r="B14" i="51"/>
  <c r="D13" i="51"/>
  <c r="B13" i="51"/>
  <c r="D12" i="51"/>
  <c r="B12" i="51"/>
  <c r="D11" i="51"/>
  <c r="B11" i="51"/>
  <c r="D10" i="51"/>
  <c r="B10" i="51"/>
  <c r="C26" i="34"/>
  <c r="H26" i="34"/>
  <c r="C27" i="34"/>
  <c r="H27" i="34"/>
  <c r="C28" i="34"/>
  <c r="H28" i="34"/>
  <c r="C29" i="34"/>
  <c r="H29" i="34"/>
  <c r="C30" i="34"/>
  <c r="H30" i="34"/>
  <c r="C31" i="34"/>
  <c r="H31" i="34"/>
  <c r="C32" i="34"/>
  <c r="H32" i="34"/>
  <c r="C33" i="34"/>
  <c r="H33" i="34"/>
  <c r="C34" i="34"/>
  <c r="H34" i="34"/>
  <c r="C35" i="34"/>
  <c r="H35" i="34"/>
  <c r="C36" i="34"/>
  <c r="H36" i="34"/>
  <c r="C37" i="34"/>
  <c r="H37" i="34"/>
  <c r="C38" i="34"/>
  <c r="H38" i="34"/>
  <c r="C39" i="34"/>
  <c r="H39" i="34"/>
  <c r="C40" i="34"/>
  <c r="H40" i="34"/>
  <c r="C41" i="34"/>
  <c r="D41" i="34"/>
  <c r="E41" i="34"/>
  <c r="F41" i="34"/>
  <c r="G41" i="34"/>
  <c r="H41" i="34"/>
  <c r="C42" i="34"/>
  <c r="D42" i="34"/>
  <c r="E42" i="34"/>
  <c r="F42" i="34"/>
  <c r="G42" i="34"/>
  <c r="H42" i="34"/>
  <c r="C43" i="34"/>
  <c r="D43" i="34"/>
  <c r="E43" i="34"/>
  <c r="F43" i="34"/>
  <c r="G43" i="34"/>
  <c r="H43" i="34"/>
  <c r="C44" i="34"/>
  <c r="D44" i="34"/>
  <c r="E44" i="34"/>
  <c r="F44" i="34"/>
  <c r="G44" i="34"/>
  <c r="H44" i="34"/>
  <c r="C45" i="34"/>
  <c r="D45" i="34"/>
  <c r="E45" i="34"/>
  <c r="F45" i="34"/>
  <c r="G45" i="34"/>
  <c r="H45" i="34"/>
  <c r="L99" i="53" l="1"/>
  <c r="L123" i="53"/>
  <c r="I52" i="53"/>
  <c r="G75" i="53" s="1"/>
  <c r="H69" i="53"/>
  <c r="I26" i="53"/>
  <c r="L100" i="53"/>
  <c r="L102" i="53"/>
  <c r="L142" i="53"/>
  <c r="O142" i="53" s="1"/>
  <c r="K25" i="53"/>
  <c r="H71" i="53" s="1"/>
  <c r="K52" i="53"/>
  <c r="H75" i="53" s="1"/>
  <c r="L124" i="53"/>
  <c r="L143" i="53"/>
  <c r="L91" i="51"/>
  <c r="B18" i="53" s="1"/>
  <c r="K30" i="51"/>
  <c r="T23" i="51"/>
  <c r="M30" i="51"/>
  <c r="K26" i="51"/>
  <c r="K49" i="51"/>
  <c r="L49" i="51" s="1"/>
  <c r="B35" i="53" s="1"/>
  <c r="M48" i="51"/>
  <c r="M54" i="51"/>
  <c r="K57" i="51"/>
  <c r="L57" i="51" s="1"/>
  <c r="B43" i="53" s="1"/>
  <c r="B94" i="53" s="1"/>
  <c r="C94" i="53" s="1"/>
  <c r="R94" i="53" s="1"/>
  <c r="K60" i="51"/>
  <c r="L60" i="51" s="1"/>
  <c r="B46" i="53" s="1"/>
  <c r="B97" i="53" s="1"/>
  <c r="C97" i="53" s="1"/>
  <c r="R97" i="53" s="1"/>
  <c r="M21" i="51"/>
  <c r="M26" i="51"/>
  <c r="T59" i="51"/>
  <c r="T33" i="51"/>
  <c r="V37" i="51"/>
  <c r="M60" i="51"/>
  <c r="N44" i="34"/>
  <c r="N43" i="34"/>
  <c r="N42" i="34"/>
  <c r="N45" i="34"/>
  <c r="N41" i="34"/>
  <c r="M85" i="51"/>
  <c r="M89" i="51"/>
  <c r="J82" i="51"/>
  <c r="L82" i="51" s="1"/>
  <c r="J92" i="51"/>
  <c r="L92" i="51" s="1"/>
  <c r="B19" i="53" s="1"/>
  <c r="L89" i="51"/>
  <c r="B16" i="53" s="1"/>
  <c r="M87" i="51"/>
  <c r="J95" i="51"/>
  <c r="L95" i="51" s="1"/>
  <c r="B22" i="53" s="1"/>
  <c r="B120" i="53" s="1"/>
  <c r="C120" i="53" s="1"/>
  <c r="R120" i="53" s="1"/>
  <c r="M83" i="51"/>
  <c r="L86" i="51"/>
  <c r="B13" i="53" s="1"/>
  <c r="J93" i="51"/>
  <c r="L93" i="51" s="1"/>
  <c r="B20" i="53" s="1"/>
  <c r="I29" i="53"/>
  <c r="F62" i="53"/>
  <c r="F64" i="53"/>
  <c r="K26" i="53"/>
  <c r="H74" i="53"/>
  <c r="I27" i="53"/>
  <c r="H70" i="53"/>
  <c r="I48" i="53"/>
  <c r="L48" i="53" s="1"/>
  <c r="I49" i="53"/>
  <c r="L49" i="53" s="1"/>
  <c r="I50" i="53"/>
  <c r="L50" i="53" s="1"/>
  <c r="I51" i="53"/>
  <c r="L51" i="53" s="1"/>
  <c r="D5" i="53"/>
  <c r="I25" i="53"/>
  <c r="K27" i="53"/>
  <c r="H73" i="53" s="1"/>
  <c r="F59" i="53"/>
  <c r="F63" i="53"/>
  <c r="F65" i="53"/>
  <c r="F67" i="53"/>
  <c r="I28" i="53"/>
  <c r="H72" i="53"/>
  <c r="L52" i="53"/>
  <c r="C31" i="52"/>
  <c r="B31" i="52"/>
  <c r="C30" i="52"/>
  <c r="B30" i="52"/>
  <c r="V25" i="51"/>
  <c r="T25" i="51"/>
  <c r="V29" i="51"/>
  <c r="T29" i="51"/>
  <c r="M20" i="51"/>
  <c r="M29" i="51"/>
  <c r="K29" i="51"/>
  <c r="M25" i="51"/>
  <c r="K25" i="51"/>
  <c r="F22" i="51"/>
  <c r="P26" i="51"/>
  <c r="S26" i="51" s="1"/>
  <c r="E27" i="51"/>
  <c r="N27" i="51"/>
  <c r="P30" i="51"/>
  <c r="S30" i="51" s="1"/>
  <c r="E31" i="51"/>
  <c r="N31" i="51"/>
  <c r="N32" i="51"/>
  <c r="N34" i="51"/>
  <c r="N35" i="51"/>
  <c r="N36" i="51"/>
  <c r="N38" i="51"/>
  <c r="N39" i="51"/>
  <c r="N40" i="51"/>
  <c r="K52" i="51"/>
  <c r="L52" i="51" s="1"/>
  <c r="B38" i="53" s="1"/>
  <c r="B89" i="53" s="1"/>
  <c r="C89" i="53" s="1"/>
  <c r="J94" i="51"/>
  <c r="L94" i="51" s="1"/>
  <c r="B21" i="53" s="1"/>
  <c r="J84" i="51"/>
  <c r="R60" i="51"/>
  <c r="Q60" i="51"/>
  <c r="P60" i="51"/>
  <c r="S60" i="51" s="1"/>
  <c r="N60" i="51"/>
  <c r="E19" i="51"/>
  <c r="G22" i="51"/>
  <c r="J22" i="51" s="1"/>
  <c r="E23" i="51"/>
  <c r="Q26" i="51"/>
  <c r="F27" i="51"/>
  <c r="O27" i="51"/>
  <c r="Q30" i="51"/>
  <c r="F31" i="51"/>
  <c r="O31" i="51"/>
  <c r="E32" i="51"/>
  <c r="P32" i="51"/>
  <c r="S32" i="51" s="1"/>
  <c r="E33" i="51"/>
  <c r="E34" i="51"/>
  <c r="O34" i="51"/>
  <c r="E35" i="51"/>
  <c r="O35" i="51"/>
  <c r="E36" i="51"/>
  <c r="P36" i="51"/>
  <c r="S36" i="51" s="1"/>
  <c r="E37" i="51"/>
  <c r="E38" i="51"/>
  <c r="O38" i="51"/>
  <c r="E39" i="51"/>
  <c r="O39" i="51"/>
  <c r="E40" i="51"/>
  <c r="P40" i="51"/>
  <c r="S40" i="51" s="1"/>
  <c r="M57" i="51"/>
  <c r="N26" i="51"/>
  <c r="F19" i="51"/>
  <c r="H22" i="51"/>
  <c r="K22" i="51" s="1"/>
  <c r="F23" i="51"/>
  <c r="E24" i="51"/>
  <c r="N24" i="51"/>
  <c r="R26" i="51"/>
  <c r="G27" i="51"/>
  <c r="J27" i="51" s="1"/>
  <c r="P27" i="51"/>
  <c r="S27" i="51" s="1"/>
  <c r="E28" i="51"/>
  <c r="N28" i="51"/>
  <c r="R30" i="51"/>
  <c r="G31" i="51"/>
  <c r="J31" i="51" s="1"/>
  <c r="P31" i="51"/>
  <c r="S31" i="51" s="1"/>
  <c r="G32" i="51"/>
  <c r="J32" i="51" s="1"/>
  <c r="Q32" i="51"/>
  <c r="F33" i="51"/>
  <c r="F34" i="51"/>
  <c r="P34" i="51"/>
  <c r="S34" i="51" s="1"/>
  <c r="F35" i="51"/>
  <c r="P35" i="51"/>
  <c r="S35" i="51" s="1"/>
  <c r="G36" i="51"/>
  <c r="J36" i="51" s="1"/>
  <c r="Q36" i="51"/>
  <c r="F37" i="51"/>
  <c r="F38" i="51"/>
  <c r="P38" i="51"/>
  <c r="S38" i="51" s="1"/>
  <c r="F39" i="51"/>
  <c r="P39" i="51"/>
  <c r="S39" i="51" s="1"/>
  <c r="G40" i="51"/>
  <c r="J40" i="51" s="1"/>
  <c r="Q40" i="51"/>
  <c r="K48" i="51"/>
  <c r="L48" i="51" s="1"/>
  <c r="B34" i="53" s="1"/>
  <c r="B85" i="53" s="1"/>
  <c r="C85" i="53" s="1"/>
  <c r="J55" i="51"/>
  <c r="J58" i="51"/>
  <c r="M59" i="51"/>
  <c r="K59" i="51"/>
  <c r="L59" i="51" s="1"/>
  <c r="B45" i="53" s="1"/>
  <c r="N30" i="51"/>
  <c r="E22" i="51"/>
  <c r="G19" i="51"/>
  <c r="J19" i="51" s="1"/>
  <c r="G23" i="51"/>
  <c r="J23" i="51" s="1"/>
  <c r="F24" i="51"/>
  <c r="H27" i="51"/>
  <c r="Q27" i="51"/>
  <c r="F28" i="51"/>
  <c r="H31" i="51"/>
  <c r="R31" i="51"/>
  <c r="H32" i="51"/>
  <c r="R32" i="51"/>
  <c r="G33" i="51"/>
  <c r="J33" i="51" s="1"/>
  <c r="G34" i="51"/>
  <c r="J34" i="51" s="1"/>
  <c r="Q34" i="51"/>
  <c r="G35" i="51"/>
  <c r="J35" i="51" s="1"/>
  <c r="R35" i="51"/>
  <c r="H36" i="51"/>
  <c r="R36" i="51"/>
  <c r="G37" i="51"/>
  <c r="J37" i="51" s="1"/>
  <c r="G38" i="51"/>
  <c r="J38" i="51" s="1"/>
  <c r="Q38" i="51"/>
  <c r="G39" i="51"/>
  <c r="J39" i="51" s="1"/>
  <c r="R39" i="51"/>
  <c r="H40" i="51"/>
  <c r="R40" i="51"/>
  <c r="J46" i="51"/>
  <c r="M49" i="51"/>
  <c r="J53" i="51"/>
  <c r="J88" i="51"/>
  <c r="M91" i="51"/>
  <c r="I32" i="51"/>
  <c r="I35" i="51"/>
  <c r="I36" i="51"/>
  <c r="I39" i="51"/>
  <c r="I40" i="51"/>
  <c r="K47" i="51"/>
  <c r="L47" i="51" s="1"/>
  <c r="J50" i="51"/>
  <c r="M51" i="51"/>
  <c r="K51" i="51"/>
  <c r="L51" i="51" s="1"/>
  <c r="B37" i="53" s="1"/>
  <c r="K54" i="51"/>
  <c r="L54" i="51" s="1"/>
  <c r="B40" i="53" s="1"/>
  <c r="B91" i="53" s="1"/>
  <c r="C91" i="53" s="1"/>
  <c r="J56" i="51"/>
  <c r="J61" i="51"/>
  <c r="M82" i="51"/>
  <c r="L90" i="51"/>
  <c r="B17" i="53" s="1"/>
  <c r="AL32" i="39"/>
  <c r="G38" i="53" l="1"/>
  <c r="G21" i="53"/>
  <c r="B119" i="53"/>
  <c r="C119" i="53" s="1"/>
  <c r="R119" i="53" s="1"/>
  <c r="B86" i="53"/>
  <c r="C86" i="53" s="1"/>
  <c r="G35" i="53"/>
  <c r="G37" i="53"/>
  <c r="B88" i="53"/>
  <c r="C88" i="53" s="1"/>
  <c r="G43" i="53"/>
  <c r="G46" i="53"/>
  <c r="B96" i="53"/>
  <c r="C96" i="53" s="1"/>
  <c r="R96" i="53" s="1"/>
  <c r="G45" i="53"/>
  <c r="G40" i="53"/>
  <c r="G34" i="53"/>
  <c r="L84" i="51"/>
  <c r="B11" i="53" s="1"/>
  <c r="M95" i="51"/>
  <c r="M93" i="51"/>
  <c r="M52" i="51"/>
  <c r="M50" i="51"/>
  <c r="K50" i="51"/>
  <c r="L50" i="51" s="1"/>
  <c r="B36" i="53" s="1"/>
  <c r="L88" i="51"/>
  <c r="B15" i="53" s="1"/>
  <c r="M86" i="51"/>
  <c r="G71" i="53"/>
  <c r="G70" i="53"/>
  <c r="G69" i="53"/>
  <c r="L25" i="53"/>
  <c r="L28" i="53"/>
  <c r="L26" i="53"/>
  <c r="L27" i="53"/>
  <c r="G74" i="53"/>
  <c r="L29" i="53"/>
  <c r="G73" i="53"/>
  <c r="G67" i="53"/>
  <c r="G72" i="53"/>
  <c r="M33" i="51"/>
  <c r="K33" i="51"/>
  <c r="T30" i="51"/>
  <c r="V30" i="51"/>
  <c r="M28" i="51"/>
  <c r="K28" i="51"/>
  <c r="M37" i="51"/>
  <c r="K37" i="51"/>
  <c r="M92" i="51"/>
  <c r="M61" i="51"/>
  <c r="K61" i="51"/>
  <c r="L61" i="51" s="1"/>
  <c r="B47" i="53" s="1"/>
  <c r="K46" i="51"/>
  <c r="L46" i="51" s="1"/>
  <c r="M46" i="51"/>
  <c r="K32" i="51"/>
  <c r="M32" i="51"/>
  <c r="M84" i="51"/>
  <c r="T40" i="51"/>
  <c r="V40" i="51"/>
  <c r="K31" i="51"/>
  <c r="M31" i="51"/>
  <c r="M56" i="51"/>
  <c r="K56" i="51"/>
  <c r="L56" i="51" s="1"/>
  <c r="B42" i="53" s="1"/>
  <c r="M24" i="51"/>
  <c r="K24" i="51"/>
  <c r="M55" i="51"/>
  <c r="K55" i="51"/>
  <c r="L55" i="51" s="1"/>
  <c r="B41" i="53" s="1"/>
  <c r="M94" i="51"/>
  <c r="M22" i="51"/>
  <c r="K38" i="51"/>
  <c r="M38" i="51"/>
  <c r="V32" i="51"/>
  <c r="T32" i="51"/>
  <c r="V61" i="51"/>
  <c r="T61" i="51"/>
  <c r="U61" i="51" s="1"/>
  <c r="M36" i="51"/>
  <c r="K36" i="51"/>
  <c r="M19" i="51"/>
  <c r="T39" i="51"/>
  <c r="V39" i="51"/>
  <c r="T35" i="51"/>
  <c r="V35" i="51"/>
  <c r="V34" i="51"/>
  <c r="T34" i="51"/>
  <c r="M47" i="51"/>
  <c r="V28" i="51"/>
  <c r="T28" i="51"/>
  <c r="T26" i="51"/>
  <c r="V26" i="51"/>
  <c r="M90" i="51"/>
  <c r="V31" i="51"/>
  <c r="T31" i="51"/>
  <c r="M88" i="51"/>
  <c r="M53" i="51"/>
  <c r="K53" i="51"/>
  <c r="L53" i="51" s="1"/>
  <c r="B39" i="53" s="1"/>
  <c r="M40" i="51"/>
  <c r="K40" i="51"/>
  <c r="T38" i="51"/>
  <c r="V38" i="51"/>
  <c r="V27" i="51"/>
  <c r="T27" i="51"/>
  <c r="M39" i="51"/>
  <c r="K39" i="51"/>
  <c r="K34" i="51"/>
  <c r="M34" i="51"/>
  <c r="K23" i="51"/>
  <c r="M23" i="51"/>
  <c r="K58" i="51"/>
  <c r="L58" i="51" s="1"/>
  <c r="B44" i="53" s="1"/>
  <c r="B67" i="53" s="1"/>
  <c r="I67" i="53" s="1"/>
  <c r="M58" i="51"/>
  <c r="V24" i="51"/>
  <c r="T24" i="51"/>
  <c r="K35" i="51"/>
  <c r="M35" i="51"/>
  <c r="V60" i="51"/>
  <c r="T60" i="51"/>
  <c r="U60" i="51" s="1"/>
  <c r="V36" i="51"/>
  <c r="T36" i="51"/>
  <c r="M27" i="51"/>
  <c r="K27" i="51"/>
  <c r="AL33" i="39"/>
  <c r="AW34" i="38"/>
  <c r="AW33" i="38"/>
  <c r="B98" i="53" l="1"/>
  <c r="C98" i="53" s="1"/>
  <c r="G47" i="53"/>
  <c r="B90" i="53"/>
  <c r="C90" i="53" s="1"/>
  <c r="G39" i="53"/>
  <c r="B92" i="53"/>
  <c r="C92" i="53" s="1"/>
  <c r="G41" i="53"/>
  <c r="B93" i="53"/>
  <c r="C93" i="53" s="1"/>
  <c r="R93" i="53" s="1"/>
  <c r="G42" i="53"/>
  <c r="B95" i="53"/>
  <c r="G44" i="53"/>
  <c r="B87" i="53"/>
  <c r="C87" i="53" s="1"/>
  <c r="G36" i="53"/>
  <c r="I23" i="42"/>
  <c r="B142" i="53" l="1"/>
  <c r="C95" i="53"/>
  <c r="R95" i="53" s="1"/>
  <c r="R98" i="53"/>
  <c r="M98" i="53"/>
  <c r="AO26" i="38"/>
  <c r="AO25" i="38"/>
  <c r="D25" i="42"/>
  <c r="G25" i="42" s="1"/>
  <c r="D24" i="42"/>
  <c r="G24" i="42" s="1"/>
  <c r="E22" i="42"/>
  <c r="R24" i="43" l="1"/>
  <c r="R25" i="43"/>
  <c r="Q24" i="43"/>
  <c r="Q25" i="43"/>
  <c r="K24" i="43"/>
  <c r="I24" i="41" s="1"/>
  <c r="K25" i="43"/>
  <c r="I25" i="41" s="1"/>
  <c r="J24" i="43"/>
  <c r="J25" i="43"/>
  <c r="E25" i="42" l="1"/>
  <c r="AO28" i="38"/>
  <c r="E24" i="42" l="1"/>
  <c r="AO27" i="38"/>
  <c r="E23" i="42" l="1"/>
  <c r="D25" i="41"/>
  <c r="G25" i="41" s="1"/>
  <c r="C25" i="31"/>
  <c r="O367" i="35"/>
  <c r="K31" i="38"/>
  <c r="J31" i="38"/>
  <c r="C25" i="42"/>
  <c r="J25" i="42" s="1"/>
  <c r="S25" i="42" s="1"/>
  <c r="D24" i="41"/>
  <c r="N24" i="41" s="1"/>
  <c r="AG28" i="38"/>
  <c r="L24" i="42"/>
  <c r="R25" i="42" l="1"/>
  <c r="G24" i="41"/>
  <c r="N25" i="41"/>
  <c r="P25" i="42"/>
  <c r="T25" i="42" s="1"/>
  <c r="L25" i="42"/>
  <c r="D16" i="35"/>
  <c r="AL26" i="38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J30" i="39"/>
  <c r="J10" i="39"/>
  <c r="L30" i="39" l="1"/>
  <c r="K30" i="39"/>
  <c r="M30" i="39" s="1"/>
  <c r="AZ34" i="38"/>
  <c r="AH28" i="38"/>
  <c r="AL28" i="38"/>
  <c r="AN33" i="39" l="1"/>
  <c r="Z30" i="39"/>
  <c r="AM28" i="38"/>
  <c r="AI28" i="38"/>
  <c r="AK28" i="38" s="1"/>
  <c r="Y30" i="39"/>
  <c r="X30" i="39"/>
  <c r="F25" i="41" s="1"/>
  <c r="AA30" i="39"/>
  <c r="AJ28" i="38"/>
  <c r="K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11" i="38"/>
  <c r="J25" i="41" l="1"/>
  <c r="Q25" i="41"/>
  <c r="D23" i="42"/>
  <c r="G23" i="42" s="1"/>
  <c r="K25" i="41" l="1"/>
  <c r="AL27" i="38"/>
  <c r="AH27" i="38"/>
  <c r="AG27" i="38"/>
  <c r="O366" i="35"/>
  <c r="D22" i="41"/>
  <c r="AI27" i="38" l="1"/>
  <c r="AK27" i="38" s="1"/>
  <c r="AJ27" i="38"/>
  <c r="AM27" i="38"/>
  <c r="D19" i="31"/>
  <c r="K29" i="39"/>
  <c r="K28" i="39"/>
  <c r="AH13" i="38"/>
  <c r="M29" i="39" l="1"/>
  <c r="Z29" i="39"/>
  <c r="X29" i="39"/>
  <c r="F24" i="41" s="1"/>
  <c r="L29" i="39"/>
  <c r="AA29" i="39"/>
  <c r="Y29" i="39"/>
  <c r="J24" i="41" l="1"/>
  <c r="Q24" i="41"/>
  <c r="K30" i="38"/>
  <c r="K29" i="38"/>
  <c r="AW32" i="38" s="1"/>
  <c r="AZ33" i="38" l="1"/>
  <c r="C24" i="42"/>
  <c r="J24" i="42" s="1"/>
  <c r="J9" i="23"/>
  <c r="AG11" i="38"/>
  <c r="R24" i="42" l="1"/>
  <c r="P24" i="42"/>
  <c r="E5" i="34"/>
  <c r="E4" i="34"/>
  <c r="AO27" i="48"/>
  <c r="AO26" i="48"/>
  <c r="AO25" i="48"/>
  <c r="AO24" i="48"/>
  <c r="E63" i="50" l="1"/>
  <c r="E62" i="50"/>
  <c r="E61" i="50"/>
  <c r="AF22" i="48"/>
  <c r="AF13" i="48"/>
  <c r="AF42" i="48"/>
  <c r="AM24" i="48"/>
  <c r="AL41" i="48"/>
  <c r="AF33" i="48"/>
  <c r="G34" i="50"/>
  <c r="AB4" i="50"/>
  <c r="AC4" i="50" s="1"/>
  <c r="AB5" i="50"/>
  <c r="AC5" i="50" s="1"/>
  <c r="AB6" i="50"/>
  <c r="AD6" i="50" s="1"/>
  <c r="AB7" i="50"/>
  <c r="AD7" i="50" s="1"/>
  <c r="AB8" i="50"/>
  <c r="AC8" i="50" s="1"/>
  <c r="AB9" i="50"/>
  <c r="AC9" i="50" s="1"/>
  <c r="AB10" i="50"/>
  <c r="AC10" i="50" s="1"/>
  <c r="AB11" i="50"/>
  <c r="AD11" i="50" s="1"/>
  <c r="AB12" i="50"/>
  <c r="AC12" i="50" s="1"/>
  <c r="AB3" i="50"/>
  <c r="AC3" i="50" s="1"/>
  <c r="J42" i="50"/>
  <c r="J47" i="50" s="1"/>
  <c r="J48" i="50" s="1"/>
  <c r="H42" i="50"/>
  <c r="H47" i="50" s="1"/>
  <c r="H48" i="50" s="1"/>
  <c r="AD10" i="50" l="1"/>
  <c r="AD9" i="50"/>
  <c r="AD8" i="50"/>
  <c r="AD3" i="50"/>
  <c r="AD12" i="50"/>
  <c r="AD5" i="50"/>
  <c r="AD4" i="50"/>
  <c r="AC6" i="50"/>
  <c r="AC7" i="50"/>
  <c r="AC11" i="50"/>
  <c r="E41" i="48"/>
  <c r="D41" i="48"/>
  <c r="E37" i="48"/>
  <c r="D37" i="48"/>
  <c r="E33" i="48"/>
  <c r="D33" i="48"/>
  <c r="AS31" i="48" l="1"/>
  <c r="AS40" i="48" l="1"/>
  <c r="AL40" i="48"/>
  <c r="AS41" i="48"/>
  <c r="AM26" i="48"/>
  <c r="AN24" i="48"/>
  <c r="AN25" i="48"/>
  <c r="AN26" i="48"/>
  <c r="AN27" i="48"/>
  <c r="AN28" i="48"/>
  <c r="AO28" i="48"/>
  <c r="AM28" i="48"/>
  <c r="AM27" i="48"/>
  <c r="AM25" i="48"/>
  <c r="AM12" i="48"/>
  <c r="AN11" i="48"/>
  <c r="AO11" i="48"/>
  <c r="AP11" i="48"/>
  <c r="AQ11" i="48"/>
  <c r="AN12" i="48"/>
  <c r="AO12" i="48"/>
  <c r="AP12" i="48"/>
  <c r="AQ12" i="48"/>
  <c r="AP26" i="48" l="1"/>
  <c r="AP25" i="48"/>
  <c r="AP24" i="48"/>
  <c r="AP28" i="48"/>
  <c r="AP27" i="48"/>
  <c r="AM11" i="48"/>
  <c r="AP29" i="48" l="1"/>
  <c r="AG5" i="48"/>
  <c r="AG4" i="48"/>
  <c r="AG3" i="48"/>
  <c r="AG2" i="48"/>
  <c r="BK38" i="39" l="1"/>
  <c r="BK12" i="39"/>
  <c r="BK13" i="39"/>
  <c r="BK14" i="39"/>
  <c r="BK15" i="39"/>
  <c r="BK16" i="39"/>
  <c r="BK17" i="39"/>
  <c r="BK18" i="39"/>
  <c r="BK19" i="39"/>
  <c r="BK20" i="39"/>
  <c r="BK21" i="39"/>
  <c r="BK22" i="39"/>
  <c r="BK23" i="39"/>
  <c r="BK24" i="39"/>
  <c r="BK25" i="39"/>
  <c r="BK26" i="39"/>
  <c r="BK27" i="39"/>
  <c r="BK28" i="39"/>
  <c r="BK29" i="39"/>
  <c r="BK30" i="39"/>
  <c r="BK31" i="39"/>
  <c r="BK32" i="39"/>
  <c r="BK33" i="39"/>
  <c r="BK34" i="39"/>
  <c r="BK35" i="39"/>
  <c r="BK36" i="39"/>
  <c r="BK37" i="39"/>
  <c r="BW12" i="38"/>
  <c r="BW13" i="38"/>
  <c r="BW14" i="38"/>
  <c r="BW15" i="38"/>
  <c r="BW16" i="38"/>
  <c r="BW17" i="38"/>
  <c r="BW18" i="38"/>
  <c r="BW19" i="38"/>
  <c r="BW20" i="38"/>
  <c r="BW21" i="38"/>
  <c r="BW22" i="38"/>
  <c r="BW23" i="38"/>
  <c r="BW24" i="38"/>
  <c r="BW25" i="38"/>
  <c r="BW26" i="38"/>
  <c r="BW27" i="38"/>
  <c r="BW28" i="38"/>
  <c r="BW29" i="38"/>
  <c r="BW30" i="38"/>
  <c r="BW31" i="38"/>
  <c r="BW32" i="38"/>
  <c r="BW33" i="38"/>
  <c r="BW34" i="38"/>
  <c r="BW35" i="38"/>
  <c r="BW36" i="38"/>
  <c r="BW37" i="38"/>
  <c r="BW38" i="38"/>
  <c r="BA38" i="23"/>
  <c r="BA12" i="23"/>
  <c r="BA13" i="23"/>
  <c r="BA14" i="23"/>
  <c r="BA15" i="23"/>
  <c r="BA16" i="23"/>
  <c r="BA17" i="23"/>
  <c r="BA18" i="23"/>
  <c r="BA19" i="23"/>
  <c r="BA20" i="23"/>
  <c r="BA21" i="23"/>
  <c r="BA22" i="23"/>
  <c r="BA23" i="23"/>
  <c r="BA24" i="23"/>
  <c r="BA25" i="23"/>
  <c r="BA26" i="23"/>
  <c r="BA27" i="23"/>
  <c r="BA28" i="23"/>
  <c r="BA29" i="23"/>
  <c r="BA30" i="23"/>
  <c r="BA31" i="23"/>
  <c r="BA32" i="23"/>
  <c r="BA33" i="23"/>
  <c r="BA34" i="23"/>
  <c r="BA35" i="23"/>
  <c r="BA36" i="23"/>
  <c r="BA37" i="23"/>
  <c r="U6" i="48"/>
  <c r="E38" i="48" s="1"/>
  <c r="V6" i="48"/>
  <c r="E34" i="48" s="1"/>
  <c r="U7" i="48"/>
  <c r="V7" i="48"/>
  <c r="U8" i="48"/>
  <c r="U9" i="48"/>
  <c r="V9" i="48"/>
  <c r="U10" i="48"/>
  <c r="V10" i="48"/>
  <c r="T6" i="48"/>
  <c r="T7" i="48"/>
  <c r="T8" i="48"/>
  <c r="T9" i="48"/>
  <c r="T10" i="48"/>
  <c r="K6" i="48"/>
  <c r="K7" i="48"/>
  <c r="K9" i="48"/>
  <c r="K10" i="48"/>
  <c r="J6" i="48"/>
  <c r="D38" i="48" s="1"/>
  <c r="J7" i="48"/>
  <c r="J8" i="48"/>
  <c r="J9" i="48"/>
  <c r="J10" i="48"/>
  <c r="I7" i="48"/>
  <c r="I8" i="48"/>
  <c r="I9" i="48"/>
  <c r="I10" i="48"/>
  <c r="I6" i="48"/>
  <c r="D42" i="48" s="1"/>
  <c r="N18" i="48"/>
  <c r="N17" i="48"/>
  <c r="N16" i="48"/>
  <c r="N15" i="48"/>
  <c r="N14" i="48"/>
  <c r="AB10" i="23"/>
  <c r="AB11" i="23"/>
  <c r="AB12" i="23"/>
  <c r="AB13" i="23"/>
  <c r="AB14" i="23"/>
  <c r="AB15" i="23"/>
  <c r="AB16" i="23"/>
  <c r="J21" i="23"/>
  <c r="AB9" i="23"/>
  <c r="Z30" i="23"/>
  <c r="E42" i="48" l="1"/>
  <c r="D34" i="48"/>
  <c r="E39" i="48"/>
  <c r="E40" i="48"/>
  <c r="E32" i="48"/>
  <c r="E36" i="48"/>
  <c r="E43" i="48"/>
  <c r="D43" i="48"/>
  <c r="D36" i="48"/>
  <c r="D39" i="48"/>
  <c r="D32" i="48"/>
  <c r="D40" i="48"/>
  <c r="AL11" i="39"/>
  <c r="AL12" i="39"/>
  <c r="AL10" i="39"/>
  <c r="AW11" i="38"/>
  <c r="AW12" i="38"/>
  <c r="AW13" i="38"/>
  <c r="P66" i="35" l="1"/>
  <c r="BG12" i="23"/>
  <c r="K39" i="23"/>
  <c r="K38" i="23"/>
  <c r="K37" i="23"/>
  <c r="K36" i="23"/>
  <c r="K35" i="23"/>
  <c r="K28" i="23"/>
  <c r="K29" i="23"/>
  <c r="K30" i="23"/>
  <c r="K31" i="23"/>
  <c r="K27" i="23"/>
  <c r="F45" i="23" l="1"/>
  <c r="G46" i="23"/>
  <c r="G47" i="23"/>
  <c r="J45" i="23"/>
  <c r="G48" i="23"/>
  <c r="H45" i="23"/>
  <c r="H48" i="23"/>
  <c r="F49" i="23"/>
  <c r="I48" i="23"/>
  <c r="F48" i="23"/>
  <c r="J47" i="23"/>
  <c r="F46" i="23"/>
  <c r="I45" i="23"/>
  <c r="G45" i="23"/>
  <c r="H49" i="23"/>
  <c r="F47" i="23"/>
  <c r="I49" i="23"/>
  <c r="G49" i="23"/>
  <c r="J46" i="23"/>
  <c r="J49" i="23"/>
  <c r="I46" i="23"/>
  <c r="I47" i="23"/>
  <c r="J48" i="23"/>
  <c r="H46" i="23"/>
  <c r="H47" i="23"/>
  <c r="G43" i="23" l="1"/>
  <c r="AU11" i="23" s="1"/>
  <c r="I43" i="23"/>
  <c r="F43" i="23"/>
  <c r="H43" i="23"/>
  <c r="J43" i="23"/>
  <c r="BC11" i="23" l="1"/>
  <c r="BC12" i="23" s="1"/>
  <c r="AX11" i="23"/>
  <c r="AX12" i="23" s="1"/>
  <c r="BF11" i="23"/>
  <c r="AV11" i="23"/>
  <c r="AV12" i="23" s="1"/>
  <c r="BD11" i="23"/>
  <c r="AT11" i="23"/>
  <c r="AT38" i="23" s="1"/>
  <c r="BB11" i="23"/>
  <c r="AW11" i="23"/>
  <c r="AW12" i="23" s="1"/>
  <c r="BE11" i="23"/>
  <c r="AY38" i="23"/>
  <c r="AY37" i="23"/>
  <c r="AY36" i="23"/>
  <c r="AY12" i="23"/>
  <c r="I9" i="23"/>
  <c r="AB17" i="23" s="1"/>
  <c r="B6" i="48"/>
  <c r="C6" i="48"/>
  <c r="C14" i="48" s="1"/>
  <c r="B7" i="48"/>
  <c r="C7" i="48"/>
  <c r="C15" i="48" s="1"/>
  <c r="B8" i="48"/>
  <c r="C8" i="48"/>
  <c r="C16" i="48" s="1"/>
  <c r="B9" i="48"/>
  <c r="C9" i="48"/>
  <c r="C17" i="48" s="1"/>
  <c r="B10" i="48"/>
  <c r="C10" i="48"/>
  <c r="C18" i="48" s="1"/>
  <c r="AX36" i="23" l="1"/>
  <c r="AV36" i="23"/>
  <c r="AX37" i="23"/>
  <c r="AW36" i="23"/>
  <c r="AV37" i="23"/>
  <c r="AX38" i="23"/>
  <c r="AT37" i="23"/>
  <c r="AT36" i="23"/>
  <c r="AW38" i="23"/>
  <c r="AV38" i="23"/>
  <c r="BD12" i="23"/>
  <c r="AT12" i="23"/>
  <c r="AW37" i="23"/>
  <c r="BF12" i="23"/>
  <c r="BE12" i="23"/>
  <c r="BB12" i="23"/>
  <c r="AZ51" i="23"/>
  <c r="AZ52" i="23"/>
  <c r="AZ53" i="23"/>
  <c r="AZ54" i="23"/>
  <c r="AZ55" i="23"/>
  <c r="AZ56" i="23"/>
  <c r="AZ57" i="23"/>
  <c r="AZ49" i="23"/>
  <c r="K23" i="23"/>
  <c r="AU38" i="23" l="1"/>
  <c r="AU36" i="23"/>
  <c r="AU37" i="23"/>
  <c r="AU12" i="23"/>
  <c r="J23" i="23"/>
  <c r="I23" i="23"/>
  <c r="BP11" i="38" l="1"/>
  <c r="BQ11" i="38"/>
  <c r="BS11" i="38"/>
  <c r="BT11" i="38"/>
  <c r="BR11" i="38"/>
  <c r="C45" i="41"/>
  <c r="C44" i="41"/>
  <c r="C43" i="41"/>
  <c r="C42" i="41"/>
  <c r="C41" i="41"/>
  <c r="C40" i="41"/>
  <c r="C39" i="41"/>
  <c r="C38" i="41"/>
  <c r="C45" i="42"/>
  <c r="C44" i="42"/>
  <c r="C43" i="42"/>
  <c r="C42" i="42"/>
  <c r="C41" i="42"/>
  <c r="C40" i="42"/>
  <c r="C39" i="42"/>
  <c r="C38" i="42"/>
  <c r="C38" i="31"/>
  <c r="C39" i="31"/>
  <c r="C40" i="31"/>
  <c r="C41" i="31"/>
  <c r="C42" i="31"/>
  <c r="C43" i="31"/>
  <c r="C44" i="31"/>
  <c r="C45" i="31"/>
  <c r="BU11" i="38" l="1"/>
  <c r="BU37" i="38" s="1"/>
  <c r="BR37" i="38"/>
  <c r="BR38" i="38"/>
  <c r="BR36" i="38"/>
  <c r="BZ11" i="38"/>
  <c r="BT37" i="38"/>
  <c r="CB11" i="38"/>
  <c r="BT36" i="38"/>
  <c r="BT38" i="38"/>
  <c r="CA11" i="38"/>
  <c r="BS37" i="38"/>
  <c r="BS36" i="38"/>
  <c r="BS38" i="38"/>
  <c r="BP38" i="38"/>
  <c r="BX11" i="38"/>
  <c r="BP37" i="38"/>
  <c r="BP36" i="38"/>
  <c r="BU8" i="38"/>
  <c r="BQ36" i="38"/>
  <c r="BY11" i="38"/>
  <c r="BQ37" i="38"/>
  <c r="BQ38" i="38"/>
  <c r="BU36" i="38" l="1"/>
  <c r="BU38" i="38"/>
  <c r="CC11" i="38"/>
  <c r="CC38" i="38" s="1"/>
  <c r="CA37" i="38"/>
  <c r="CA38" i="38"/>
  <c r="CA36" i="38"/>
  <c r="BZ38" i="38"/>
  <c r="BZ36" i="38"/>
  <c r="BZ37" i="38"/>
  <c r="BY37" i="38"/>
  <c r="BY38" i="38"/>
  <c r="BY36" i="38"/>
  <c r="CB37" i="38"/>
  <c r="CB38" i="38"/>
  <c r="CB36" i="38"/>
  <c r="BX36" i="38"/>
  <c r="BX37" i="38"/>
  <c r="BX38" i="38"/>
  <c r="CC36" i="38" l="1"/>
  <c r="CC37" i="38"/>
  <c r="G232" i="35"/>
  <c r="H232" i="35" s="1"/>
  <c r="G231" i="35"/>
  <c r="H231" i="35" s="1"/>
  <c r="G230" i="35"/>
  <c r="H230" i="35" s="1"/>
  <c r="G229" i="35"/>
  <c r="H229" i="35" s="1"/>
  <c r="G228" i="35"/>
  <c r="H228" i="35" s="1"/>
  <c r="G227" i="35"/>
  <c r="H227" i="35" s="1"/>
  <c r="T51" i="38" s="1"/>
  <c r="G226" i="35"/>
  <c r="H226" i="35" s="1"/>
  <c r="T50" i="38" s="1"/>
  <c r="G225" i="35"/>
  <c r="H225" i="35" s="1"/>
  <c r="T49" i="38" s="1"/>
  <c r="G224" i="35"/>
  <c r="H224" i="35" s="1"/>
  <c r="T48" i="38" s="1"/>
  <c r="G223" i="35"/>
  <c r="H223" i="35" s="1"/>
  <c r="T47" i="38" s="1"/>
  <c r="G222" i="35"/>
  <c r="H222" i="35" s="1"/>
  <c r="T46" i="38" s="1"/>
  <c r="G221" i="35"/>
  <c r="H221" i="35" s="1"/>
  <c r="T45" i="38" s="1"/>
  <c r="G220" i="35"/>
  <c r="H220" i="35" s="1"/>
  <c r="T44" i="38" s="1"/>
  <c r="G219" i="35"/>
  <c r="H219" i="35" s="1"/>
  <c r="T43" i="38" s="1"/>
  <c r="G218" i="35"/>
  <c r="H218" i="35" s="1"/>
  <c r="T42" i="38" s="1"/>
  <c r="G217" i="35"/>
  <c r="H217" i="35" s="1"/>
  <c r="T41" i="38" s="1"/>
  <c r="G216" i="35"/>
  <c r="H216" i="35" s="1"/>
  <c r="T40" i="38" s="1"/>
  <c r="G215" i="35"/>
  <c r="H215" i="35" s="1"/>
  <c r="T39" i="38" s="1"/>
  <c r="G214" i="35"/>
  <c r="H214" i="35" s="1"/>
  <c r="T38" i="38" s="1"/>
  <c r="G213" i="35"/>
  <c r="H213" i="35" s="1"/>
  <c r="T37" i="38" s="1"/>
  <c r="G212" i="35"/>
  <c r="H212" i="35" s="1"/>
  <c r="G211" i="35"/>
  <c r="H211" i="35" s="1"/>
  <c r="G210" i="35"/>
  <c r="H210" i="35" s="1"/>
  <c r="G209" i="35"/>
  <c r="H209" i="35" s="1"/>
  <c r="G208" i="35"/>
  <c r="H208" i="35" s="1"/>
  <c r="G207" i="35"/>
  <c r="H207" i="35" s="1"/>
  <c r="G206" i="35"/>
  <c r="H206" i="35" s="1"/>
  <c r="T30" i="38" l="1"/>
  <c r="M30" i="38" s="1"/>
  <c r="AN9" i="35"/>
  <c r="AN10" i="35" s="1"/>
  <c r="AN11" i="35" s="1"/>
  <c r="AN12" i="35" s="1"/>
  <c r="AN13" i="35" s="1"/>
  <c r="AN14" i="35" s="1"/>
  <c r="AN15" i="35" s="1"/>
  <c r="AN16" i="35" s="1"/>
  <c r="AN17" i="35" s="1"/>
  <c r="AN18" i="35" s="1"/>
  <c r="AN19" i="35" s="1"/>
  <c r="AN20" i="35" s="1"/>
  <c r="AN21" i="35" s="1"/>
  <c r="AN22" i="35" s="1"/>
  <c r="AN23" i="35" s="1"/>
  <c r="AN24" i="35" s="1"/>
  <c r="AN25" i="35" s="1"/>
  <c r="AN26" i="35" s="1"/>
  <c r="AN27" i="35" s="1"/>
  <c r="AN28" i="35" s="1"/>
  <c r="AN29" i="35" s="1"/>
  <c r="AN30" i="35" s="1"/>
  <c r="AN31" i="35" s="1"/>
  <c r="AN32" i="35" s="1"/>
  <c r="AN33" i="35" s="1"/>
  <c r="AN34" i="35" s="1"/>
  <c r="AN35" i="35" s="1"/>
  <c r="AN36" i="35" s="1"/>
  <c r="AN37" i="35" s="1"/>
  <c r="AN38" i="35" s="1"/>
  <c r="AN39" i="35" s="1"/>
  <c r="AN40" i="35" s="1"/>
  <c r="AN41" i="35" s="1"/>
  <c r="AN42" i="35" s="1"/>
  <c r="AN43" i="35" s="1"/>
  <c r="AN44" i="35" s="1"/>
  <c r="AN45" i="35" s="1"/>
  <c r="AN46" i="35" s="1"/>
  <c r="AN47" i="35" s="1"/>
  <c r="AN48" i="35" s="1"/>
  <c r="AN49" i="35" s="1"/>
  <c r="AN50" i="35" s="1"/>
  <c r="AN51" i="35" s="1"/>
  <c r="AN52" i="35" s="1"/>
  <c r="AN53" i="35" s="1"/>
  <c r="AN54" i="35" s="1"/>
  <c r="AM11" i="35"/>
  <c r="AM12" i="35"/>
  <c r="AM13" i="35"/>
  <c r="AM14" i="35"/>
  <c r="AM15" i="35"/>
  <c r="AM16" i="35"/>
  <c r="AM17" i="35"/>
  <c r="AM18" i="35"/>
  <c r="AM19" i="35"/>
  <c r="AM20" i="35"/>
  <c r="AM21" i="35"/>
  <c r="AM22" i="35"/>
  <c r="AM23" i="35"/>
  <c r="AM24" i="35"/>
  <c r="AM25" i="35"/>
  <c r="AM26" i="35"/>
  <c r="AM27" i="35"/>
  <c r="AM28" i="35"/>
  <c r="AM29" i="35"/>
  <c r="AM30" i="35"/>
  <c r="AM31" i="35"/>
  <c r="AM32" i="35"/>
  <c r="AM33" i="35"/>
  <c r="AM34" i="35"/>
  <c r="AL35" i="35" s="1"/>
  <c r="AM35" i="35" s="1"/>
  <c r="AM10" i="35"/>
  <c r="AN27" i="38" l="1"/>
  <c r="F24" i="42"/>
  <c r="AL36" i="35"/>
  <c r="AM36" i="35" l="1"/>
  <c r="AL37" i="35" s="1"/>
  <c r="AM37" i="35" l="1"/>
  <c r="AL38" i="35" s="1"/>
  <c r="AM38" i="35" l="1"/>
  <c r="AL39" i="35" s="1"/>
  <c r="AM39" i="35" l="1"/>
  <c r="AL40" i="35" s="1"/>
  <c r="AM40" i="35" l="1"/>
  <c r="AL41" i="35" s="1"/>
  <c r="AM41" i="35" l="1"/>
  <c r="AL42" i="35" s="1"/>
  <c r="AM42" i="35" l="1"/>
  <c r="AL43" i="35" s="1"/>
  <c r="AM43" i="35" l="1"/>
  <c r="AL44" i="35" s="1"/>
  <c r="AM44" i="35" l="1"/>
  <c r="AL45" i="35" s="1"/>
  <c r="AM45" i="35" l="1"/>
  <c r="AL46" i="35" s="1"/>
  <c r="AM46" i="35" l="1"/>
  <c r="AL47" i="35" s="1"/>
  <c r="AM47" i="35" l="1"/>
  <c r="AL48" i="35" s="1"/>
  <c r="AM48" i="35" l="1"/>
  <c r="AL49" i="35" s="1"/>
  <c r="AM49" i="35" l="1"/>
  <c r="AL50" i="35" s="1"/>
  <c r="AM50" i="35" l="1"/>
  <c r="AL51" i="35" s="1"/>
  <c r="AM51" i="35" l="1"/>
  <c r="AL52" i="35" s="1"/>
  <c r="AM52" i="35" l="1"/>
  <c r="AL53" i="35" s="1"/>
  <c r="AM53" i="35" l="1"/>
  <c r="AL54" i="35" s="1"/>
  <c r="AM54" i="35" s="1"/>
  <c r="M20" i="35" l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P64" i="35"/>
  <c r="P65" i="35" s="1"/>
  <c r="P67" i="35" s="1"/>
  <c r="P68" i="35" s="1"/>
  <c r="P69" i="35" s="1"/>
  <c r="P70" i="35" s="1"/>
  <c r="P71" i="35" s="1"/>
  <c r="P72" i="35" s="1"/>
  <c r="P73" i="35" s="1"/>
  <c r="N64" i="35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AF54" i="35"/>
  <c r="AE54" i="35"/>
  <c r="AF53" i="35"/>
  <c r="AE53" i="35"/>
  <c r="AF52" i="35"/>
  <c r="AE52" i="35"/>
  <c r="AF51" i="35"/>
  <c r="AE51" i="35"/>
  <c r="AF50" i="35"/>
  <c r="AE50" i="35"/>
  <c r="AF49" i="35"/>
  <c r="AE49" i="35"/>
  <c r="AF48" i="35"/>
  <c r="AE48" i="35"/>
  <c r="AF47" i="35"/>
  <c r="AE47" i="35"/>
  <c r="AE35" i="35"/>
  <c r="AF35" i="35"/>
  <c r="AE36" i="35"/>
  <c r="AF36" i="35"/>
  <c r="AE37" i="35"/>
  <c r="AF37" i="35"/>
  <c r="AE38" i="35"/>
  <c r="AF38" i="35"/>
  <c r="AE39" i="35"/>
  <c r="AF39" i="35"/>
  <c r="AE40" i="35"/>
  <c r="AF40" i="35"/>
  <c r="AE41" i="35"/>
  <c r="AF41" i="35"/>
  <c r="AE42" i="35"/>
  <c r="AF42" i="35"/>
  <c r="AE43" i="35"/>
  <c r="AF43" i="35"/>
  <c r="AE44" i="35"/>
  <c r="AF44" i="35"/>
  <c r="AE45" i="35"/>
  <c r="AF45" i="35"/>
  <c r="AE46" i="35"/>
  <c r="AF46" i="35"/>
  <c r="P74" i="35" l="1"/>
  <c r="P75" i="35" l="1"/>
  <c r="P76" i="35" l="1"/>
  <c r="P77" i="35" l="1"/>
  <c r="P78" i="35" l="1"/>
  <c r="P79" i="35" l="1"/>
  <c r="P80" i="35" l="1"/>
  <c r="P81" i="35" l="1"/>
  <c r="P82" i="35" l="1"/>
  <c r="P83" i="35" l="1"/>
  <c r="P84" i="35" l="1"/>
  <c r="P85" i="35" l="1"/>
  <c r="C32" i="41" l="1"/>
  <c r="D22" i="42"/>
  <c r="G22" i="42" s="1"/>
  <c r="D21" i="42"/>
  <c r="D20" i="42"/>
  <c r="D19" i="42"/>
  <c r="D18" i="42"/>
  <c r="D17" i="42"/>
  <c r="D16" i="42"/>
  <c r="D15" i="42"/>
  <c r="D14" i="42"/>
  <c r="D13" i="42"/>
  <c r="D12" i="42"/>
  <c r="D11" i="42"/>
  <c r="D10" i="42"/>
  <c r="C4" i="34" l="1"/>
  <c r="AF59" i="35"/>
  <c r="AF60" i="35"/>
  <c r="P13" i="35" l="1"/>
  <c r="E3" i="43"/>
  <c r="E2" i="43"/>
  <c r="E3" i="31" l="1"/>
  <c r="L49" i="34"/>
  <c r="L16" i="34"/>
  <c r="K16" i="34"/>
  <c r="P14" i="35"/>
  <c r="P10" i="35"/>
  <c r="O10" i="35"/>
  <c r="A41" i="47"/>
  <c r="A40" i="47"/>
  <c r="R21" i="43"/>
  <c r="P21" i="41" s="1"/>
  <c r="I3" i="41"/>
  <c r="K21" i="43"/>
  <c r="I21" i="41" s="1"/>
  <c r="C37" i="41"/>
  <c r="C36" i="41"/>
  <c r="C35" i="41"/>
  <c r="C34" i="41"/>
  <c r="C33" i="41"/>
  <c r="C31" i="41"/>
  <c r="C30" i="41"/>
  <c r="C29" i="41"/>
  <c r="C28" i="41"/>
  <c r="C27" i="41"/>
  <c r="C26" i="41"/>
  <c r="C25" i="41"/>
  <c r="L25" i="41" s="1"/>
  <c r="C24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H22" i="41" s="1"/>
  <c r="E23" i="41"/>
  <c r="H23" i="41" s="1"/>
  <c r="E10" i="41"/>
  <c r="G2" i="42"/>
  <c r="E22" i="43"/>
  <c r="D23" i="41"/>
  <c r="G23" i="41" s="1"/>
  <c r="N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H12" i="46"/>
  <c r="T3" i="46"/>
  <c r="S3" i="46"/>
  <c r="A41" i="46" s="1"/>
  <c r="R3" i="46"/>
  <c r="A40" i="46" s="1"/>
  <c r="Q3" i="46"/>
  <c r="N30" i="42"/>
  <c r="E11" i="42"/>
  <c r="E12" i="42"/>
  <c r="E13" i="42"/>
  <c r="E14" i="42"/>
  <c r="E15" i="42"/>
  <c r="E16" i="42"/>
  <c r="E17" i="42"/>
  <c r="E18" i="42"/>
  <c r="E19" i="42"/>
  <c r="E20" i="42"/>
  <c r="E21" i="42"/>
  <c r="E10" i="42"/>
  <c r="L24" i="41" l="1"/>
  <c r="S24" i="41"/>
  <c r="S25" i="41"/>
  <c r="U25" i="41"/>
  <c r="U24" i="41"/>
  <c r="O22" i="41"/>
  <c r="O23" i="41"/>
  <c r="N23" i="41"/>
  <c r="N26" i="41" s="1"/>
  <c r="N27" i="41" s="1"/>
  <c r="N28" i="41" s="1"/>
  <c r="N29" i="41" s="1"/>
  <c r="N30" i="41" s="1"/>
  <c r="N31" i="41" s="1"/>
  <c r="N32" i="41" s="1"/>
  <c r="N33" i="41" s="1"/>
  <c r="N34" i="41" s="1"/>
  <c r="N35" i="41" s="1"/>
  <c r="N36" i="41" s="1"/>
  <c r="N37" i="41" s="1"/>
  <c r="N38" i="41" s="1"/>
  <c r="N39" i="41" s="1"/>
  <c r="N40" i="41" s="1"/>
  <c r="N41" i="41" s="1"/>
  <c r="N42" i="41" s="1"/>
  <c r="N43" i="41" s="1"/>
  <c r="N44" i="41" s="1"/>
  <c r="N45" i="41" s="1"/>
  <c r="G22" i="41"/>
  <c r="C37" i="42" l="1"/>
  <c r="C36" i="42"/>
  <c r="C35" i="42"/>
  <c r="C34" i="42"/>
  <c r="C33" i="42"/>
  <c r="C32" i="42"/>
  <c r="C31" i="42"/>
  <c r="C30" i="42"/>
  <c r="C29" i="42"/>
  <c r="C28" i="42"/>
  <c r="C27" i="42"/>
  <c r="C26" i="42"/>
  <c r="AN12" i="39"/>
  <c r="AN11" i="39"/>
  <c r="AN10" i="39"/>
  <c r="AZ12" i="38"/>
  <c r="AZ13" i="38"/>
  <c r="AZ11" i="38"/>
  <c r="AD10" i="23"/>
  <c r="AD11" i="23"/>
  <c r="AD12" i="23"/>
  <c r="AD13" i="23"/>
  <c r="AD14" i="23"/>
  <c r="AD15" i="23"/>
  <c r="AD16" i="23"/>
  <c r="AD9" i="23"/>
  <c r="D23" i="31"/>
  <c r="F23" i="31" s="1"/>
  <c r="D22" i="31"/>
  <c r="D21" i="31"/>
  <c r="D20" i="31"/>
  <c r="D18" i="31"/>
  <c r="D17" i="31"/>
  <c r="D16" i="31"/>
  <c r="D15" i="31"/>
  <c r="D14" i="31"/>
  <c r="D13" i="31"/>
  <c r="D12" i="31"/>
  <c r="D11" i="31"/>
  <c r="D10" i="31"/>
  <c r="I20" i="23"/>
  <c r="AB28" i="23" s="1"/>
  <c r="I19" i="23"/>
  <c r="AB27" i="23" s="1"/>
  <c r="I18" i="23"/>
  <c r="AB26" i="23" s="1"/>
  <c r="I17" i="23"/>
  <c r="AB25" i="23" s="1"/>
  <c r="I16" i="23"/>
  <c r="AB24" i="23" s="1"/>
  <c r="I15" i="23"/>
  <c r="AB23" i="23" s="1"/>
  <c r="I14" i="23"/>
  <c r="AB22" i="23" s="1"/>
  <c r="I13" i="23"/>
  <c r="AB21" i="23" s="1"/>
  <c r="I12" i="23"/>
  <c r="AB20" i="23" s="1"/>
  <c r="I11" i="23"/>
  <c r="AB19" i="23" s="1"/>
  <c r="I10" i="23"/>
  <c r="AB18" i="23" s="1"/>
  <c r="C37" i="31"/>
  <c r="C36" i="31"/>
  <c r="C35" i="31"/>
  <c r="C34" i="31"/>
  <c r="C33" i="31"/>
  <c r="C32" i="31"/>
  <c r="C31" i="31"/>
  <c r="C30" i="31"/>
  <c r="C29" i="31"/>
  <c r="C28" i="31"/>
  <c r="C27" i="31"/>
  <c r="C26" i="31"/>
  <c r="C24" i="31"/>
  <c r="E9" i="31"/>
  <c r="N19" i="35"/>
  <c r="N18" i="35"/>
  <c r="N17" i="35"/>
  <c r="N16" i="35"/>
  <c r="N15" i="35"/>
  <c r="AF34" i="35"/>
  <c r="AF33" i="35"/>
  <c r="AF32" i="35"/>
  <c r="AF31" i="35"/>
  <c r="AF30" i="35"/>
  <c r="AF29" i="35"/>
  <c r="AF28" i="35"/>
  <c r="AF27" i="35"/>
  <c r="AF26" i="35"/>
  <c r="AF25" i="35"/>
  <c r="AF24" i="35"/>
  <c r="AF23" i="35"/>
  <c r="AF22" i="35"/>
  <c r="AF21" i="35"/>
  <c r="AF20" i="35"/>
  <c r="AF19" i="35"/>
  <c r="AF18" i="35"/>
  <c r="AF17" i="35"/>
  <c r="AF16" i="35"/>
  <c r="AF15" i="35"/>
  <c r="AF14" i="35"/>
  <c r="AF13" i="35"/>
  <c r="AF12" i="35"/>
  <c r="AF11" i="35"/>
  <c r="AF10" i="35"/>
  <c r="AF9" i="35"/>
  <c r="AE10" i="35"/>
  <c r="AE11" i="35"/>
  <c r="AE12" i="35"/>
  <c r="AE13" i="35"/>
  <c r="AE14" i="35"/>
  <c r="AE15" i="35"/>
  <c r="AE16" i="35"/>
  <c r="AE17" i="35"/>
  <c r="AE18" i="35"/>
  <c r="AE19" i="35"/>
  <c r="AE20" i="35"/>
  <c r="AE21" i="35"/>
  <c r="AE22" i="35"/>
  <c r="AE23" i="35"/>
  <c r="AE24" i="35"/>
  <c r="AE25" i="35"/>
  <c r="AE26" i="35"/>
  <c r="AE27" i="35"/>
  <c r="AE28" i="35"/>
  <c r="AE29" i="35"/>
  <c r="AE30" i="35"/>
  <c r="AE31" i="35"/>
  <c r="AE32" i="35"/>
  <c r="AE33" i="35"/>
  <c r="AE34" i="35"/>
  <c r="AE9" i="35"/>
  <c r="E30" i="31" l="1"/>
  <c r="E38" i="31"/>
  <c r="E40" i="31"/>
  <c r="E39" i="31"/>
  <c r="E44" i="31"/>
  <c r="E45" i="31"/>
  <c r="E42" i="31"/>
  <c r="E41" i="31"/>
  <c r="E43" i="31"/>
  <c r="AG62" i="35"/>
  <c r="AG63" i="35"/>
  <c r="AG61" i="35"/>
  <c r="AG60" i="35"/>
  <c r="AG59" i="35"/>
  <c r="AG65" i="35"/>
  <c r="AH65" i="35"/>
  <c r="E31" i="31"/>
  <c r="E32" i="31"/>
  <c r="E33" i="31"/>
  <c r="E34" i="31"/>
  <c r="AH59" i="35"/>
  <c r="AH61" i="35"/>
  <c r="AH63" i="35"/>
  <c r="AH64" i="35"/>
  <c r="E35" i="31"/>
  <c r="AH60" i="35"/>
  <c r="AH62" i="35"/>
  <c r="AG64" i="35"/>
  <c r="E24" i="31"/>
  <c r="E36" i="31"/>
  <c r="E25" i="31"/>
  <c r="E26" i="31"/>
  <c r="E28" i="31"/>
  <c r="E29" i="31"/>
  <c r="E37" i="31"/>
  <c r="E27" i="31"/>
  <c r="R23" i="43"/>
  <c r="R22" i="43"/>
  <c r="Q23" i="43"/>
  <c r="Q22" i="43"/>
  <c r="Q21" i="43"/>
  <c r="J23" i="43"/>
  <c r="J22" i="43"/>
  <c r="J21" i="43"/>
  <c r="K23" i="43"/>
  <c r="K22" i="43"/>
  <c r="R3" i="43" a="1"/>
  <c r="R3" i="43" s="1"/>
  <c r="R4" i="43" a="1"/>
  <c r="R4" i="43" s="1"/>
  <c r="R2" i="43" a="1"/>
  <c r="R2" i="43" s="1"/>
  <c r="I3" i="43" a="1"/>
  <c r="I3" i="43" s="1"/>
  <c r="I4" i="43" a="1"/>
  <c r="I4" i="43" s="1"/>
  <c r="I2" i="43" a="1"/>
  <c r="I2" i="43" s="1"/>
  <c r="E23" i="43"/>
  <c r="I22" i="43"/>
  <c r="E21" i="43"/>
  <c r="I21" i="43" s="1"/>
  <c r="E20" i="43"/>
  <c r="E19" i="43"/>
  <c r="E18" i="43"/>
  <c r="E17" i="43"/>
  <c r="E16" i="43"/>
  <c r="E15" i="43"/>
  <c r="E14" i="43"/>
  <c r="E13" i="43"/>
  <c r="E12" i="43"/>
  <c r="E11" i="43"/>
  <c r="E10" i="43"/>
  <c r="P23" i="41" l="1"/>
  <c r="I22" i="41"/>
  <c r="I23" i="41"/>
  <c r="P22" i="41"/>
  <c r="M15" i="43"/>
  <c r="N15" i="43" s="1"/>
  <c r="M50" i="43"/>
  <c r="N50" i="43" s="1"/>
  <c r="O50" i="43" s="1"/>
  <c r="M40" i="43"/>
  <c r="N40" i="43" s="1"/>
  <c r="M39" i="43"/>
  <c r="N39" i="43" s="1"/>
  <c r="M38" i="43"/>
  <c r="N38" i="43" s="1"/>
  <c r="M28" i="43"/>
  <c r="N28" i="43" s="1"/>
  <c r="M27" i="43"/>
  <c r="N27" i="43" s="1"/>
  <c r="M17" i="43"/>
  <c r="N17" i="43" s="1"/>
  <c r="M10" i="43"/>
  <c r="N10" i="43" s="1"/>
  <c r="M26" i="43"/>
  <c r="N26" i="43" s="1"/>
  <c r="M16" i="43"/>
  <c r="N16" i="43" s="1"/>
  <c r="M14" i="43"/>
  <c r="N14" i="43" s="1"/>
  <c r="P23" i="43"/>
  <c r="I23" i="43"/>
  <c r="M49" i="43"/>
  <c r="N49" i="43" s="1"/>
  <c r="M25" i="43"/>
  <c r="N25" i="43" s="1"/>
  <c r="M36" i="43"/>
  <c r="N36" i="43" s="1"/>
  <c r="M12" i="43"/>
  <c r="N12" i="43" s="1"/>
  <c r="M47" i="43"/>
  <c r="N47" i="43" s="1"/>
  <c r="M35" i="43"/>
  <c r="N35" i="43" s="1"/>
  <c r="M11" i="43"/>
  <c r="N11" i="43" s="1"/>
  <c r="M46" i="43"/>
  <c r="N46" i="43" s="1"/>
  <c r="M22" i="43"/>
  <c r="N22" i="43" s="1"/>
  <c r="M33" i="43"/>
  <c r="N33" i="43" s="1"/>
  <c r="M44" i="43"/>
  <c r="N44" i="43" s="1"/>
  <c r="M32" i="43"/>
  <c r="N32" i="43" s="1"/>
  <c r="M20" i="43"/>
  <c r="N20" i="43" s="1"/>
  <c r="M34" i="43"/>
  <c r="N34" i="43" s="1"/>
  <c r="M21" i="43"/>
  <c r="N21" i="43" s="1"/>
  <c r="M43" i="43"/>
  <c r="N43" i="43" s="1"/>
  <c r="M31" i="43"/>
  <c r="N31" i="43" s="1"/>
  <c r="M19" i="43"/>
  <c r="N19" i="43" s="1"/>
  <c r="M37" i="43"/>
  <c r="N37" i="43" s="1"/>
  <c r="M13" i="43"/>
  <c r="N13" i="43" s="1"/>
  <c r="M48" i="43"/>
  <c r="N48" i="43" s="1"/>
  <c r="M24" i="43"/>
  <c r="N24" i="43" s="1"/>
  <c r="M23" i="43"/>
  <c r="N23" i="43" s="1"/>
  <c r="M45" i="43"/>
  <c r="N45" i="43" s="1"/>
  <c r="M42" i="43"/>
  <c r="N42" i="43" s="1"/>
  <c r="M30" i="43"/>
  <c r="N30" i="43" s="1"/>
  <c r="M18" i="43"/>
  <c r="N18" i="43" s="1"/>
  <c r="M41" i="43"/>
  <c r="N41" i="43" s="1"/>
  <c r="M29" i="43"/>
  <c r="N29" i="43" s="1"/>
  <c r="F45" i="43"/>
  <c r="G45" i="43" s="1"/>
  <c r="F39" i="43"/>
  <c r="G39" i="43" s="1"/>
  <c r="F48" i="43"/>
  <c r="G48" i="43" s="1"/>
  <c r="F47" i="43"/>
  <c r="G47" i="43" s="1"/>
  <c r="F44" i="43"/>
  <c r="G44" i="43" s="1"/>
  <c r="F38" i="43"/>
  <c r="G38" i="43" s="1"/>
  <c r="F50" i="43"/>
  <c r="G50" i="43" s="1"/>
  <c r="F49" i="43"/>
  <c r="G49" i="43" s="1"/>
  <c r="F43" i="43"/>
  <c r="G43" i="43" s="1"/>
  <c r="F42" i="43"/>
  <c r="G42" i="43" s="1"/>
  <c r="F41" i="43"/>
  <c r="G41" i="43" s="1"/>
  <c r="P21" i="43"/>
  <c r="P22" i="43"/>
  <c r="F46" i="43"/>
  <c r="G46" i="43" s="1"/>
  <c r="F40" i="43"/>
  <c r="G40" i="43" s="1"/>
  <c r="F20" i="43"/>
  <c r="G20" i="43" s="1"/>
  <c r="F29" i="43"/>
  <c r="G29" i="43" s="1"/>
  <c r="F30" i="43"/>
  <c r="G30" i="43" s="1"/>
  <c r="F31" i="43"/>
  <c r="G31" i="43" s="1"/>
  <c r="F17" i="43"/>
  <c r="G17" i="43" s="1"/>
  <c r="F18" i="43"/>
  <c r="G18" i="43" s="1"/>
  <c r="F19" i="43"/>
  <c r="G19" i="43" s="1"/>
  <c r="F21" i="43"/>
  <c r="G21" i="43" s="1"/>
  <c r="F34" i="43"/>
  <c r="G34" i="43" s="1"/>
  <c r="F33" i="43"/>
  <c r="G33" i="43" s="1"/>
  <c r="F15" i="43"/>
  <c r="G15" i="43" s="1"/>
  <c r="F22" i="43"/>
  <c r="G22" i="43" s="1"/>
  <c r="F11" i="43"/>
  <c r="G11" i="43" s="1"/>
  <c r="F32" i="43"/>
  <c r="G32" i="43" s="1"/>
  <c r="F28" i="43"/>
  <c r="G28" i="43" s="1"/>
  <c r="F16" i="43"/>
  <c r="G16" i="43" s="1"/>
  <c r="F27" i="43"/>
  <c r="G27" i="43" s="1"/>
  <c r="F36" i="43"/>
  <c r="G36" i="43" s="1"/>
  <c r="F24" i="43"/>
  <c r="G24" i="43" s="1"/>
  <c r="F12" i="43"/>
  <c r="G12" i="43" s="1"/>
  <c r="F10" i="43"/>
  <c r="G10" i="43" s="1"/>
  <c r="F26" i="43"/>
  <c r="G26" i="43" s="1"/>
  <c r="F14" i="43"/>
  <c r="G14" i="43" s="1"/>
  <c r="F37" i="43"/>
  <c r="G37" i="43" s="1"/>
  <c r="F25" i="43"/>
  <c r="G25" i="43" s="1"/>
  <c r="F13" i="43"/>
  <c r="G13" i="43" s="1"/>
  <c r="F35" i="43"/>
  <c r="G35" i="43" s="1"/>
  <c r="F23" i="43"/>
  <c r="G23" i="43" s="1"/>
  <c r="S23" i="43"/>
  <c r="O44" i="43" l="1"/>
  <c r="O38" i="43"/>
  <c r="O42" i="43"/>
  <c r="O20" i="43"/>
  <c r="O49" i="43"/>
  <c r="O39" i="43"/>
  <c r="O32" i="43"/>
  <c r="O40" i="43"/>
  <c r="O33" i="43"/>
  <c r="O24" i="43"/>
  <c r="O23" i="43"/>
  <c r="O15" i="43"/>
  <c r="O43" i="43"/>
  <c r="O12" i="43"/>
  <c r="O17" i="43"/>
  <c r="O18" i="43"/>
  <c r="O21" i="43"/>
  <c r="O36" i="43"/>
  <c r="O27" i="43"/>
  <c r="O30" i="43"/>
  <c r="O34" i="43"/>
  <c r="O25" i="43"/>
  <c r="O28" i="43"/>
  <c r="O16" i="43"/>
  <c r="O26" i="43"/>
  <c r="O41" i="43"/>
  <c r="O31" i="43"/>
  <c r="O47" i="43"/>
  <c r="O10" i="43"/>
  <c r="O48" i="43"/>
  <c r="O22" i="43"/>
  <c r="O13" i="43"/>
  <c r="O46" i="43"/>
  <c r="O37" i="43"/>
  <c r="O11" i="43"/>
  <c r="O29" i="43"/>
  <c r="O19" i="43"/>
  <c r="O35" i="43"/>
  <c r="O14" i="43"/>
  <c r="O45" i="43"/>
  <c r="H13" i="43"/>
  <c r="H36" i="43"/>
  <c r="H23" i="43"/>
  <c r="H24" i="43"/>
  <c r="H35" i="43"/>
  <c r="H22" i="43"/>
  <c r="H12" i="43"/>
  <c r="H10" i="43"/>
  <c r="H34" i="43"/>
  <c r="H47" i="43"/>
  <c r="H46" i="43"/>
  <c r="H11" i="43"/>
  <c r="H48" i="43"/>
  <c r="H45" i="43"/>
  <c r="H32" i="43"/>
  <c r="H20" i="43"/>
  <c r="H19" i="43"/>
  <c r="H30" i="43"/>
  <c r="H29" i="43"/>
  <c r="H17" i="43"/>
  <c r="H40" i="43"/>
  <c r="H28" i="43"/>
  <c r="H39" i="43"/>
  <c r="H27" i="43"/>
  <c r="H44" i="43"/>
  <c r="H43" i="43"/>
  <c r="H31" i="43"/>
  <c r="H42" i="43"/>
  <c r="H18" i="43"/>
  <c r="H41" i="43"/>
  <c r="H16" i="43"/>
  <c r="H15" i="43"/>
  <c r="H33" i="43"/>
  <c r="H38" i="43"/>
  <c r="H49" i="43"/>
  <c r="H21" i="43"/>
  <c r="H26" i="43"/>
  <c r="H37" i="43"/>
  <c r="H14" i="43"/>
  <c r="H25" i="43"/>
  <c r="H50" i="43"/>
  <c r="L23" i="43"/>
  <c r="B3" i="44" l="1"/>
  <c r="C3" i="44"/>
  <c r="B4" i="44"/>
  <c r="C4" i="44"/>
  <c r="B5" i="44"/>
  <c r="C5" i="44"/>
  <c r="B6" i="44"/>
  <c r="C6" i="44"/>
  <c r="B7" i="44"/>
  <c r="C7" i="44"/>
  <c r="B8" i="44"/>
  <c r="C8" i="44"/>
  <c r="B9" i="44"/>
  <c r="C9" i="44"/>
  <c r="B10" i="44"/>
  <c r="C10" i="44"/>
  <c r="B11" i="44"/>
  <c r="C11" i="44"/>
  <c r="B12" i="44"/>
  <c r="C12" i="44"/>
  <c r="B13" i="44"/>
  <c r="C13" i="44"/>
  <c r="B14" i="44"/>
  <c r="C14" i="44"/>
  <c r="B15" i="44"/>
  <c r="C15" i="44"/>
  <c r="B16" i="44"/>
  <c r="C16" i="44"/>
  <c r="B17" i="44"/>
  <c r="C17" i="44"/>
  <c r="B18" i="44"/>
  <c r="C18" i="44"/>
  <c r="B19" i="44"/>
  <c r="C19" i="44"/>
  <c r="B20" i="44"/>
  <c r="C20" i="44"/>
  <c r="B21" i="44"/>
  <c r="C21" i="44"/>
  <c r="B22" i="44"/>
  <c r="C22" i="44"/>
  <c r="C2" i="44"/>
  <c r="B2" i="44"/>
  <c r="A22" i="44"/>
  <c r="A2" i="44"/>
  <c r="A3" i="44"/>
  <c r="A4" i="44"/>
  <c r="A5" i="44"/>
  <c r="A6" i="44"/>
  <c r="A7" i="44"/>
  <c r="A8" i="44"/>
  <c r="A9" i="44"/>
  <c r="A10" i="44"/>
  <c r="A11" i="44"/>
  <c r="A12" i="44"/>
  <c r="A13" i="44"/>
  <c r="A14" i="44"/>
  <c r="A15" i="44"/>
  <c r="A16" i="44"/>
  <c r="A17" i="44"/>
  <c r="A18" i="44"/>
  <c r="A19" i="44"/>
  <c r="A20" i="44"/>
  <c r="A21" i="44"/>
  <c r="B1" i="44"/>
  <c r="C1" i="44"/>
  <c r="D1" i="44"/>
  <c r="A1" i="44"/>
  <c r="L23" i="42"/>
  <c r="L22" i="42"/>
  <c r="D2" i="44" l="1"/>
  <c r="L26" i="42" l="1"/>
  <c r="N12" i="39"/>
  <c r="N11" i="39"/>
  <c r="N10" i="39"/>
  <c r="O365" i="35"/>
  <c r="O364" i="35"/>
  <c r="O363" i="35"/>
  <c r="N26" i="39" s="1"/>
  <c r="O362" i="35"/>
  <c r="N25" i="39" s="1"/>
  <c r="O361" i="35"/>
  <c r="O360" i="35"/>
  <c r="O359" i="35"/>
  <c r="O358" i="35"/>
  <c r="N21" i="39" s="1"/>
  <c r="O357" i="35"/>
  <c r="N20" i="39" s="1"/>
  <c r="O356" i="35"/>
  <c r="O355" i="35"/>
  <c r="N18" i="39" s="1"/>
  <c r="O354" i="35"/>
  <c r="N17" i="39" s="1"/>
  <c r="O353" i="35"/>
  <c r="O352" i="35"/>
  <c r="O351" i="35"/>
  <c r="N14" i="39" s="1"/>
  <c r="O350" i="35"/>
  <c r="N13" i="39" s="1"/>
  <c r="AA28" i="39"/>
  <c r="AA27" i="39"/>
  <c r="AA26" i="39"/>
  <c r="AA25" i="39"/>
  <c r="AA24" i="39"/>
  <c r="AA23" i="39"/>
  <c r="AA22" i="39"/>
  <c r="AA21" i="39"/>
  <c r="AA20" i="39"/>
  <c r="AA19" i="39"/>
  <c r="AA18" i="39"/>
  <c r="Y17" i="39"/>
  <c r="AA16" i="39"/>
  <c r="AA15" i="39"/>
  <c r="AA14" i="39"/>
  <c r="AA13" i="39"/>
  <c r="AA12" i="39"/>
  <c r="AA11" i="39"/>
  <c r="AA10" i="39"/>
  <c r="N19" i="39" l="1"/>
  <c r="N27" i="39"/>
  <c r="N29" i="39"/>
  <c r="N28" i="39"/>
  <c r="N30" i="39"/>
  <c r="N22" i="39"/>
  <c r="N15" i="39"/>
  <c r="N23" i="39"/>
  <c r="N16" i="39"/>
  <c r="N24" i="39"/>
  <c r="L27" i="42"/>
  <c r="L12" i="39"/>
  <c r="L13" i="39"/>
  <c r="L14" i="39"/>
  <c r="L15" i="39"/>
  <c r="L28" i="39"/>
  <c r="L25" i="39"/>
  <c r="L26" i="39"/>
  <c r="L27" i="39"/>
  <c r="AA17" i="39"/>
  <c r="L16" i="39"/>
  <c r="L17" i="39"/>
  <c r="L24" i="39"/>
  <c r="Y18" i="39"/>
  <c r="Y20" i="39"/>
  <c r="L18" i="39"/>
  <c r="L20" i="39"/>
  <c r="L21" i="39"/>
  <c r="L10" i="39"/>
  <c r="L22" i="39"/>
  <c r="Y19" i="39"/>
  <c r="L19" i="39"/>
  <c r="L11" i="39"/>
  <c r="L23" i="39"/>
  <c r="Y23" i="39"/>
  <c r="Y11" i="39"/>
  <c r="Y26" i="39"/>
  <c r="Y14" i="39"/>
  <c r="Y27" i="39"/>
  <c r="Y15" i="39"/>
  <c r="Y12" i="39"/>
  <c r="Y21" i="39"/>
  <c r="Y24" i="39"/>
  <c r="Y10" i="39"/>
  <c r="Y13" i="39"/>
  <c r="Y16" i="39"/>
  <c r="Y22" i="39"/>
  <c r="Y25" i="39"/>
  <c r="Y28" i="39"/>
  <c r="L28" i="42" l="1"/>
  <c r="AL31" i="39"/>
  <c r="K27" i="39"/>
  <c r="AL30" i="39" s="1"/>
  <c r="K26" i="39"/>
  <c r="AL29" i="39" s="1"/>
  <c r="K25" i="39"/>
  <c r="AL28" i="39" s="1"/>
  <c r="K24" i="39"/>
  <c r="AL27" i="39" s="1"/>
  <c r="K23" i="39"/>
  <c r="AL26" i="39" s="1"/>
  <c r="K22" i="39"/>
  <c r="AL25" i="39" s="1"/>
  <c r="K21" i="39"/>
  <c r="AL24" i="39" s="1"/>
  <c r="K20" i="39"/>
  <c r="AL23" i="39" s="1"/>
  <c r="K19" i="39"/>
  <c r="AL22" i="39" s="1"/>
  <c r="K18" i="39"/>
  <c r="AL21" i="39" s="1"/>
  <c r="K17" i="39"/>
  <c r="AL20" i="39" s="1"/>
  <c r="K16" i="39"/>
  <c r="AL19" i="39" s="1"/>
  <c r="K15" i="39"/>
  <c r="AL18" i="39" s="1"/>
  <c r="K14" i="39"/>
  <c r="K13" i="39"/>
  <c r="K12" i="39"/>
  <c r="K11" i="39"/>
  <c r="K10" i="39"/>
  <c r="AN13" i="39" l="1"/>
  <c r="AL13" i="39"/>
  <c r="AN15" i="39"/>
  <c r="AL15" i="39"/>
  <c r="AN16" i="39"/>
  <c r="AL16" i="39"/>
  <c r="AN17" i="39"/>
  <c r="AL17" i="39"/>
  <c r="AN14" i="39"/>
  <c r="AL14" i="39"/>
  <c r="C18" i="41"/>
  <c r="U18" i="41" s="1"/>
  <c r="AN26" i="39"/>
  <c r="C20" i="41"/>
  <c r="U20" i="41" s="1"/>
  <c r="AN28" i="39"/>
  <c r="C10" i="41"/>
  <c r="U10" i="41" s="1"/>
  <c r="AN18" i="39"/>
  <c r="C11" i="41"/>
  <c r="U11" i="41" s="1"/>
  <c r="AN19" i="39"/>
  <c r="C13" i="41"/>
  <c r="U13" i="41" s="1"/>
  <c r="AN21" i="39"/>
  <c r="C16" i="41"/>
  <c r="U16" i="41" s="1"/>
  <c r="AN24" i="39"/>
  <c r="C19" i="41"/>
  <c r="U19" i="41" s="1"/>
  <c r="AN27" i="39"/>
  <c r="C21" i="41"/>
  <c r="U21" i="41" s="1"/>
  <c r="AN29" i="39"/>
  <c r="C22" i="41"/>
  <c r="AN30" i="39"/>
  <c r="C12" i="41"/>
  <c r="U12" i="41" s="1"/>
  <c r="AN20" i="39"/>
  <c r="C14" i="41"/>
  <c r="U14" i="41" s="1"/>
  <c r="AN22" i="39"/>
  <c r="C17" i="41"/>
  <c r="U17" i="41" s="1"/>
  <c r="AN25" i="39"/>
  <c r="C23" i="41"/>
  <c r="AN31" i="39"/>
  <c r="C15" i="41"/>
  <c r="U15" i="41" s="1"/>
  <c r="AN23" i="39"/>
  <c r="L29" i="42"/>
  <c r="M20" i="39"/>
  <c r="M10" i="39"/>
  <c r="M11" i="39"/>
  <c r="M12" i="39"/>
  <c r="M13" i="39"/>
  <c r="M26" i="39"/>
  <c r="M16" i="39"/>
  <c r="M28" i="39"/>
  <c r="M18" i="39"/>
  <c r="M19" i="39"/>
  <c r="M21" i="39"/>
  <c r="M22" i="39"/>
  <c r="M23" i="39"/>
  <c r="M24" i="39"/>
  <c r="M25" i="39"/>
  <c r="M14" i="39"/>
  <c r="M15" i="39"/>
  <c r="M27" i="39"/>
  <c r="M17" i="39"/>
  <c r="Z20" i="39"/>
  <c r="X20" i="39"/>
  <c r="F15" i="41" s="1"/>
  <c r="Z16" i="39"/>
  <c r="X16" i="39"/>
  <c r="F11" i="41" s="1"/>
  <c r="Z18" i="39"/>
  <c r="X18" i="39"/>
  <c r="F13" i="41" s="1"/>
  <c r="Z10" i="39"/>
  <c r="X10" i="39"/>
  <c r="Z14" i="39"/>
  <c r="X14" i="39"/>
  <c r="Z23" i="39"/>
  <c r="X23" i="39"/>
  <c r="F18" i="41" s="1"/>
  <c r="Z21" i="39"/>
  <c r="X21" i="39"/>
  <c r="F16" i="41" s="1"/>
  <c r="Z19" i="39"/>
  <c r="X19" i="39"/>
  <c r="F14" i="41" s="1"/>
  <c r="Z17" i="39"/>
  <c r="X17" i="39"/>
  <c r="F12" i="41" s="1"/>
  <c r="Z25" i="39"/>
  <c r="X25" i="39"/>
  <c r="F20" i="41" s="1"/>
  <c r="Z12" i="39"/>
  <c r="X12" i="39"/>
  <c r="Z15" i="39"/>
  <c r="X15" i="39"/>
  <c r="F10" i="41" s="1"/>
  <c r="Z27" i="39"/>
  <c r="X27" i="39"/>
  <c r="F22" i="41" s="1"/>
  <c r="J22" i="41" s="1"/>
  <c r="Z11" i="39"/>
  <c r="X11" i="39"/>
  <c r="Z22" i="39"/>
  <c r="X22" i="39"/>
  <c r="F17" i="41" s="1"/>
  <c r="Z24" i="39"/>
  <c r="X24" i="39"/>
  <c r="F19" i="41" s="1"/>
  <c r="Z28" i="39"/>
  <c r="X28" i="39"/>
  <c r="F23" i="41" s="1"/>
  <c r="Z26" i="39"/>
  <c r="X26" i="39"/>
  <c r="F21" i="41" s="1"/>
  <c r="Z13" i="39"/>
  <c r="X13" i="39"/>
  <c r="AO24" i="38"/>
  <c r="AO23" i="38"/>
  <c r="AO22" i="38"/>
  <c r="AO21" i="38"/>
  <c r="AO20" i="38"/>
  <c r="AO19" i="38"/>
  <c r="AO18" i="38"/>
  <c r="AO17" i="38"/>
  <c r="AO16" i="38"/>
  <c r="AO15" i="38"/>
  <c r="AO14" i="38"/>
  <c r="AO13" i="38"/>
  <c r="AO12" i="38"/>
  <c r="AO11" i="38"/>
  <c r="S9" i="38"/>
  <c r="AL25" i="38"/>
  <c r="AL24" i="38"/>
  <c r="AL23" i="38"/>
  <c r="AL22" i="38"/>
  <c r="AL21" i="38"/>
  <c r="AL20" i="38"/>
  <c r="AL19" i="38"/>
  <c r="AL18" i="38"/>
  <c r="AL17" i="38"/>
  <c r="AL16" i="38"/>
  <c r="AL15" i="38"/>
  <c r="AL14" i="38"/>
  <c r="AL13" i="38"/>
  <c r="AL12" i="38"/>
  <c r="AL11" i="38"/>
  <c r="AH26" i="38"/>
  <c r="AH25" i="38"/>
  <c r="AH24" i="38"/>
  <c r="AH23" i="38"/>
  <c r="AH22" i="38"/>
  <c r="AH21" i="38"/>
  <c r="AH20" i="38"/>
  <c r="AH19" i="38"/>
  <c r="AH18" i="38"/>
  <c r="AH17" i="38"/>
  <c r="AH16" i="38"/>
  <c r="AH15" i="38"/>
  <c r="AH14" i="38"/>
  <c r="AH12" i="38"/>
  <c r="AH11" i="38"/>
  <c r="AG26" i="38"/>
  <c r="AG25" i="38"/>
  <c r="AG24" i="38"/>
  <c r="AG23" i="38"/>
  <c r="AG22" i="38"/>
  <c r="AG21" i="38"/>
  <c r="AG20" i="38"/>
  <c r="AG19" i="38"/>
  <c r="AG18" i="38"/>
  <c r="AG17" i="38"/>
  <c r="AG16" i="38"/>
  <c r="AG15" i="38"/>
  <c r="AG14" i="38"/>
  <c r="AG13" i="38"/>
  <c r="AG12" i="38"/>
  <c r="G21" i="31"/>
  <c r="S6" i="38"/>
  <c r="T11" i="38"/>
  <c r="T12" i="38"/>
  <c r="T13" i="38"/>
  <c r="K12" i="38"/>
  <c r="K13" i="38"/>
  <c r="K14" i="38"/>
  <c r="K15" i="38"/>
  <c r="K16" i="38"/>
  <c r="AW19" i="38" s="1"/>
  <c r="K17" i="38"/>
  <c r="AW20" i="38" s="1"/>
  <c r="K18" i="38"/>
  <c r="AW21" i="38" s="1"/>
  <c r="K19" i="38"/>
  <c r="AW22" i="38" s="1"/>
  <c r="K20" i="38"/>
  <c r="AW23" i="38" s="1"/>
  <c r="K21" i="38"/>
  <c r="AW24" i="38" s="1"/>
  <c r="K22" i="38"/>
  <c r="AW25" i="38" s="1"/>
  <c r="K23" i="38"/>
  <c r="AW26" i="38" s="1"/>
  <c r="K24" i="38"/>
  <c r="AW27" i="38" s="1"/>
  <c r="K25" i="38"/>
  <c r="AW28" i="38" s="1"/>
  <c r="K26" i="38"/>
  <c r="AW29" i="38" s="1"/>
  <c r="K27" i="38"/>
  <c r="AW30" i="38" s="1"/>
  <c r="K28" i="38"/>
  <c r="AW31" i="38" s="1"/>
  <c r="T36" i="38"/>
  <c r="T35" i="38"/>
  <c r="T34" i="38"/>
  <c r="T33" i="38"/>
  <c r="T32" i="38"/>
  <c r="T31" i="38"/>
  <c r="M31" i="38" s="1"/>
  <c r="G205" i="35"/>
  <c r="H205" i="35" s="1"/>
  <c r="G204" i="35"/>
  <c r="H204" i="35" s="1"/>
  <c r="T28" i="38" s="1"/>
  <c r="G203" i="35"/>
  <c r="H203" i="35" s="1"/>
  <c r="T27" i="38" s="1"/>
  <c r="G202" i="35"/>
  <c r="H202" i="35" s="1"/>
  <c r="T26" i="38" s="1"/>
  <c r="G201" i="35"/>
  <c r="H201" i="35" s="1"/>
  <c r="T25" i="38" s="1"/>
  <c r="G200" i="35"/>
  <c r="H200" i="35" s="1"/>
  <c r="T24" i="38" s="1"/>
  <c r="G199" i="35"/>
  <c r="H199" i="35" s="1"/>
  <c r="T23" i="38" s="1"/>
  <c r="G198" i="35"/>
  <c r="H198" i="35" s="1"/>
  <c r="T22" i="38" s="1"/>
  <c r="G197" i="35"/>
  <c r="G196" i="35"/>
  <c r="G195" i="35"/>
  <c r="G194" i="35"/>
  <c r="G193" i="35"/>
  <c r="G192" i="35"/>
  <c r="G191" i="35"/>
  <c r="G190" i="35"/>
  <c r="D172" i="35"/>
  <c r="I178" i="35"/>
  <c r="U23" i="41" l="1"/>
  <c r="AN28" i="38"/>
  <c r="F25" i="42"/>
  <c r="L23" i="41"/>
  <c r="S23" i="41"/>
  <c r="T29" i="38"/>
  <c r="S23" i="38"/>
  <c r="V23" i="38" s="1"/>
  <c r="X23" i="38" s="1"/>
  <c r="Z23" i="38" s="1"/>
  <c r="S46" i="38"/>
  <c r="S50" i="38"/>
  <c r="S39" i="38"/>
  <c r="U39" i="38" s="1"/>
  <c r="S43" i="38"/>
  <c r="S47" i="38"/>
  <c r="S51" i="38"/>
  <c r="S40" i="38"/>
  <c r="S44" i="38"/>
  <c r="S48" i="38"/>
  <c r="S37" i="38"/>
  <c r="S41" i="38"/>
  <c r="S45" i="38"/>
  <c r="S49" i="38"/>
  <c r="S38" i="38"/>
  <c r="S42" i="38"/>
  <c r="AZ17" i="38"/>
  <c r="AW17" i="38"/>
  <c r="AZ16" i="38"/>
  <c r="AW16" i="38"/>
  <c r="AZ15" i="38"/>
  <c r="AW15" i="38"/>
  <c r="AZ14" i="38"/>
  <c r="AW14" i="38"/>
  <c r="AZ18" i="38"/>
  <c r="AW18" i="38"/>
  <c r="H193" i="35"/>
  <c r="T17" i="38" s="1"/>
  <c r="M17" i="38" s="1"/>
  <c r="F11" i="42" s="1"/>
  <c r="K22" i="41"/>
  <c r="Q22" i="41"/>
  <c r="R22" i="41" s="1"/>
  <c r="Q23" i="41"/>
  <c r="J23" i="41"/>
  <c r="K23" i="41" s="1"/>
  <c r="S22" i="41"/>
  <c r="U22" i="41"/>
  <c r="L22" i="41"/>
  <c r="AZ28" i="38"/>
  <c r="C19" i="42"/>
  <c r="R19" i="42" s="1"/>
  <c r="AZ27" i="38"/>
  <c r="C18" i="42"/>
  <c r="R18" i="42" s="1"/>
  <c r="AZ26" i="38"/>
  <c r="C17" i="42"/>
  <c r="R17" i="42" s="1"/>
  <c r="C16" i="42"/>
  <c r="R16" i="42" s="1"/>
  <c r="AZ25" i="38"/>
  <c r="AZ24" i="38"/>
  <c r="C15" i="42"/>
  <c r="R15" i="42" s="1"/>
  <c r="C14" i="42"/>
  <c r="R14" i="42" s="1"/>
  <c r="AZ23" i="38"/>
  <c r="C13" i="42"/>
  <c r="R13" i="42" s="1"/>
  <c r="AZ22" i="38"/>
  <c r="C12" i="42"/>
  <c r="R12" i="42" s="1"/>
  <c r="AZ21" i="38"/>
  <c r="AZ29" i="38"/>
  <c r="C20" i="42"/>
  <c r="R20" i="42" s="1"/>
  <c r="C23" i="42"/>
  <c r="J23" i="42" s="1"/>
  <c r="AZ32" i="38"/>
  <c r="C11" i="42"/>
  <c r="R11" i="42" s="1"/>
  <c r="AZ20" i="38"/>
  <c r="C22" i="42"/>
  <c r="J22" i="42" s="1"/>
  <c r="AZ31" i="38"/>
  <c r="C10" i="42"/>
  <c r="R10" i="42" s="1"/>
  <c r="AZ19" i="38"/>
  <c r="AZ30" i="38"/>
  <c r="C21" i="42"/>
  <c r="R21" i="42" s="1"/>
  <c r="L30" i="42"/>
  <c r="M28" i="38"/>
  <c r="H191" i="35"/>
  <c r="T15" i="38" s="1"/>
  <c r="M15" i="38" s="1"/>
  <c r="H195" i="35"/>
  <c r="T19" i="38" s="1"/>
  <c r="M19" i="38" s="1"/>
  <c r="F13" i="42" s="1"/>
  <c r="S13" i="38"/>
  <c r="S20" i="38"/>
  <c r="S18" i="38"/>
  <c r="S17" i="38"/>
  <c r="S19" i="38"/>
  <c r="AI26" i="38"/>
  <c r="AK26" i="38" s="1"/>
  <c r="AI15" i="38"/>
  <c r="AK15" i="38" s="1"/>
  <c r="H196" i="35"/>
  <c r="T20" i="38" s="1"/>
  <c r="M20" i="38" s="1"/>
  <c r="F14" i="42" s="1"/>
  <c r="S33" i="38"/>
  <c r="V33" i="38" s="1"/>
  <c r="X33" i="38" s="1"/>
  <c r="Z33" i="38" s="1"/>
  <c r="AB33" i="38" s="1"/>
  <c r="I27" i="42" s="1"/>
  <c r="S12" i="38"/>
  <c r="L12" i="38" s="1"/>
  <c r="S34" i="38"/>
  <c r="V34" i="38" s="1"/>
  <c r="X34" i="38" s="1"/>
  <c r="Z34" i="38" s="1"/>
  <c r="AB34" i="38" s="1"/>
  <c r="I28" i="42" s="1"/>
  <c r="S35" i="38"/>
  <c r="V35" i="38" s="1"/>
  <c r="X35" i="38" s="1"/>
  <c r="Z35" i="38" s="1"/>
  <c r="AB35" i="38" s="1"/>
  <c r="I29" i="42" s="1"/>
  <c r="S11" i="38"/>
  <c r="S36" i="38"/>
  <c r="V36" i="38" s="1"/>
  <c r="X36" i="38" s="1"/>
  <c r="Z36" i="38" s="1"/>
  <c r="AB36" i="38" s="1"/>
  <c r="I30" i="42" s="1"/>
  <c r="S29" i="38"/>
  <c r="S22" i="38"/>
  <c r="S21" i="38"/>
  <c r="U21" i="38" s="1"/>
  <c r="W21" i="38" s="1"/>
  <c r="Y21" i="38" s="1"/>
  <c r="H197" i="35"/>
  <c r="T21" i="38" s="1"/>
  <c r="M21" i="38" s="1"/>
  <c r="F15" i="42" s="1"/>
  <c r="AM17" i="38"/>
  <c r="AJ22" i="38"/>
  <c r="AM18" i="38"/>
  <c r="AJ11" i="38"/>
  <c r="AJ23" i="38"/>
  <c r="AI17" i="38"/>
  <c r="AK17" i="38" s="1"/>
  <c r="AM13" i="38"/>
  <c r="AM25" i="38"/>
  <c r="AM26" i="38"/>
  <c r="AM16" i="38"/>
  <c r="AM15" i="38"/>
  <c r="AI16" i="38"/>
  <c r="AK16" i="38" s="1"/>
  <c r="M27" i="38"/>
  <c r="AJ14" i="38"/>
  <c r="M11" i="38"/>
  <c r="AI20" i="38"/>
  <c r="AK20" i="38" s="1"/>
  <c r="AI18" i="38"/>
  <c r="AK18" i="38" s="1"/>
  <c r="AI12" i="38"/>
  <c r="AK12" i="38" s="1"/>
  <c r="AI24" i="38"/>
  <c r="AK24" i="38" s="1"/>
  <c r="AJ20" i="38"/>
  <c r="AI13" i="38"/>
  <c r="AK13" i="38" s="1"/>
  <c r="AI25" i="38"/>
  <c r="AK25" i="38" s="1"/>
  <c r="AI21" i="38"/>
  <c r="AK21" i="38" s="1"/>
  <c r="AJ12" i="38"/>
  <c r="AJ24" i="38"/>
  <c r="AM24" i="38"/>
  <c r="AJ13" i="38"/>
  <c r="AM22" i="38"/>
  <c r="AJ26" i="38"/>
  <c r="AJ16" i="38"/>
  <c r="AJ17" i="38"/>
  <c r="AI22" i="38"/>
  <c r="AK22" i="38" s="1"/>
  <c r="AJ21" i="38"/>
  <c r="M23" i="38"/>
  <c r="F17" i="42" s="1"/>
  <c r="AI11" i="38"/>
  <c r="AK11" i="38" s="1"/>
  <c r="AI23" i="38"/>
  <c r="AK23" i="38" s="1"/>
  <c r="AI19" i="38"/>
  <c r="AK19" i="38" s="1"/>
  <c r="AJ15" i="38"/>
  <c r="AM23" i="38"/>
  <c r="AJ19" i="38"/>
  <c r="AI14" i="38"/>
  <c r="AK14" i="38" s="1"/>
  <c r="AM14" i="38"/>
  <c r="AM19" i="38"/>
  <c r="AJ18" i="38"/>
  <c r="AM20" i="38"/>
  <c r="AM21" i="38"/>
  <c r="M24" i="38"/>
  <c r="F18" i="42" s="1"/>
  <c r="M12" i="38"/>
  <c r="M22" i="38"/>
  <c r="F16" i="42" s="1"/>
  <c r="AJ25" i="38"/>
  <c r="M26" i="38"/>
  <c r="F20" i="42" s="1"/>
  <c r="H20" i="42" s="1"/>
  <c r="M13" i="38"/>
  <c r="M25" i="38"/>
  <c r="F19" i="42" s="1"/>
  <c r="H194" i="35"/>
  <c r="T18" i="38" s="1"/>
  <c r="M18" i="38" s="1"/>
  <c r="F12" i="42" s="1"/>
  <c r="S15" i="38"/>
  <c r="S26" i="38"/>
  <c r="U26" i="38" s="1"/>
  <c r="S25" i="38"/>
  <c r="S31" i="38"/>
  <c r="S24" i="38"/>
  <c r="S28" i="38"/>
  <c r="U28" i="38" s="1"/>
  <c r="S16" i="38"/>
  <c r="S27" i="38"/>
  <c r="U27" i="38" s="1"/>
  <c r="S14" i="38"/>
  <c r="S30" i="38"/>
  <c r="S32" i="38"/>
  <c r="H192" i="35"/>
  <c r="T16" i="38" s="1"/>
  <c r="M16" i="38" s="1"/>
  <c r="F10" i="42" s="1"/>
  <c r="H190" i="35"/>
  <c r="T14" i="38" s="1"/>
  <c r="M14" i="38" s="1"/>
  <c r="U29" i="38" l="1"/>
  <c r="V29" i="38"/>
  <c r="W29" i="38"/>
  <c r="X29" i="38"/>
  <c r="Y29" i="38"/>
  <c r="Z29" i="38"/>
  <c r="V32" i="38"/>
  <c r="X32" i="38" s="1"/>
  <c r="Z32" i="38" s="1"/>
  <c r="AB32" i="38" s="1"/>
  <c r="I26" i="42" s="1"/>
  <c r="U32" i="38"/>
  <c r="W32" i="38" s="1"/>
  <c r="Y32" i="38" s="1"/>
  <c r="O25" i="42"/>
  <c r="I25" i="42"/>
  <c r="I24" i="42"/>
  <c r="O24" i="42"/>
  <c r="AN25" i="38"/>
  <c r="I2" i="42" s="1"/>
  <c r="F22" i="42"/>
  <c r="L31" i="38"/>
  <c r="AP28" i="38" s="1"/>
  <c r="P23" i="42"/>
  <c r="R23" i="42"/>
  <c r="O23" i="42"/>
  <c r="M29" i="38"/>
  <c r="L30" i="38"/>
  <c r="AP27" i="38" s="1"/>
  <c r="L23" i="38"/>
  <c r="U23" i="38"/>
  <c r="W23" i="38" s="1"/>
  <c r="Y23" i="38" s="1"/>
  <c r="U40" i="38"/>
  <c r="W40" i="38" s="1"/>
  <c r="Y40" i="38" s="1"/>
  <c r="AA40" i="38" s="1"/>
  <c r="O34" i="42" s="1"/>
  <c r="V40" i="38"/>
  <c r="X40" i="38" s="1"/>
  <c r="Z40" i="38" s="1"/>
  <c r="AB40" i="38" s="1"/>
  <c r="I34" i="42" s="1"/>
  <c r="V38" i="38"/>
  <c r="X38" i="38" s="1"/>
  <c r="Z38" i="38" s="1"/>
  <c r="AB38" i="38" s="1"/>
  <c r="I32" i="42" s="1"/>
  <c r="U38" i="38"/>
  <c r="W38" i="38" s="1"/>
  <c r="Y38" i="38" s="1"/>
  <c r="AA38" i="38" s="1"/>
  <c r="O32" i="42" s="1"/>
  <c r="U51" i="38"/>
  <c r="W51" i="38" s="1"/>
  <c r="Y51" i="38" s="1"/>
  <c r="AA51" i="38" s="1"/>
  <c r="O45" i="42" s="1"/>
  <c r="V51" i="38"/>
  <c r="X51" i="38" s="1"/>
  <c r="Z51" i="38" s="1"/>
  <c r="AB51" i="38" s="1"/>
  <c r="I45" i="42" s="1"/>
  <c r="V49" i="38"/>
  <c r="X49" i="38" s="1"/>
  <c r="Z49" i="38" s="1"/>
  <c r="AB49" i="38" s="1"/>
  <c r="I43" i="42" s="1"/>
  <c r="U49" i="38"/>
  <c r="W49" i="38" s="1"/>
  <c r="Y49" i="38" s="1"/>
  <c r="AA49" i="38" s="1"/>
  <c r="O43" i="42" s="1"/>
  <c r="V47" i="38"/>
  <c r="X47" i="38" s="1"/>
  <c r="Z47" i="38" s="1"/>
  <c r="AB47" i="38" s="1"/>
  <c r="I41" i="42" s="1"/>
  <c r="U47" i="38"/>
  <c r="W47" i="38" s="1"/>
  <c r="Y47" i="38" s="1"/>
  <c r="AA47" i="38" s="1"/>
  <c r="O41" i="42" s="1"/>
  <c r="V45" i="38"/>
  <c r="X45" i="38" s="1"/>
  <c r="Z45" i="38" s="1"/>
  <c r="AB45" i="38" s="1"/>
  <c r="I39" i="42" s="1"/>
  <c r="U45" i="38"/>
  <c r="W45" i="38" s="1"/>
  <c r="Y45" i="38" s="1"/>
  <c r="AA45" i="38" s="1"/>
  <c r="O39" i="42" s="1"/>
  <c r="U43" i="38"/>
  <c r="W43" i="38" s="1"/>
  <c r="Y43" i="38" s="1"/>
  <c r="AA43" i="38" s="1"/>
  <c r="O37" i="42" s="1"/>
  <c r="V43" i="38"/>
  <c r="X43" i="38" s="1"/>
  <c r="Z43" i="38" s="1"/>
  <c r="AB43" i="38" s="1"/>
  <c r="I37" i="42" s="1"/>
  <c r="V41" i="38"/>
  <c r="X41" i="38" s="1"/>
  <c r="Z41" i="38" s="1"/>
  <c r="AB41" i="38" s="1"/>
  <c r="I35" i="42" s="1"/>
  <c r="U41" i="38"/>
  <c r="W41" i="38" s="1"/>
  <c r="Y41" i="38" s="1"/>
  <c r="AA41" i="38" s="1"/>
  <c r="O35" i="42" s="1"/>
  <c r="W39" i="38"/>
  <c r="Y39" i="38" s="1"/>
  <c r="AA39" i="38" s="1"/>
  <c r="O33" i="42" s="1"/>
  <c r="V39" i="38"/>
  <c r="X39" i="38" s="1"/>
  <c r="Z39" i="38" s="1"/>
  <c r="AB39" i="38" s="1"/>
  <c r="I33" i="42" s="1"/>
  <c r="V37" i="38"/>
  <c r="X37" i="38" s="1"/>
  <c r="Z37" i="38" s="1"/>
  <c r="AB37" i="38" s="1"/>
  <c r="I31" i="42" s="1"/>
  <c r="U37" i="38"/>
  <c r="W37" i="38" s="1"/>
  <c r="Y37" i="38" s="1"/>
  <c r="AA37" i="38" s="1"/>
  <c r="O31" i="42" s="1"/>
  <c r="U50" i="38"/>
  <c r="W50" i="38" s="1"/>
  <c r="Y50" i="38" s="1"/>
  <c r="AA50" i="38" s="1"/>
  <c r="O44" i="42" s="1"/>
  <c r="V50" i="38"/>
  <c r="X50" i="38" s="1"/>
  <c r="Z50" i="38" s="1"/>
  <c r="AB50" i="38" s="1"/>
  <c r="I44" i="42" s="1"/>
  <c r="V48" i="38"/>
  <c r="X48" i="38" s="1"/>
  <c r="Z48" i="38" s="1"/>
  <c r="AB48" i="38" s="1"/>
  <c r="I42" i="42" s="1"/>
  <c r="U48" i="38"/>
  <c r="W48" i="38" s="1"/>
  <c r="Y48" i="38" s="1"/>
  <c r="AA48" i="38" s="1"/>
  <c r="O42" i="42" s="1"/>
  <c r="U46" i="38"/>
  <c r="W46" i="38" s="1"/>
  <c r="Y46" i="38" s="1"/>
  <c r="AA46" i="38" s="1"/>
  <c r="O40" i="42" s="1"/>
  <c r="V46" i="38"/>
  <c r="X46" i="38" s="1"/>
  <c r="Z46" i="38" s="1"/>
  <c r="AB46" i="38" s="1"/>
  <c r="I40" i="42" s="1"/>
  <c r="V42" i="38"/>
  <c r="X42" i="38" s="1"/>
  <c r="Z42" i="38" s="1"/>
  <c r="AB42" i="38" s="1"/>
  <c r="I36" i="42" s="1"/>
  <c r="U42" i="38"/>
  <c r="W42" i="38" s="1"/>
  <c r="Y42" i="38" s="1"/>
  <c r="AA42" i="38" s="1"/>
  <c r="O36" i="42" s="1"/>
  <c r="V44" i="38"/>
  <c r="X44" i="38" s="1"/>
  <c r="Z44" i="38" s="1"/>
  <c r="AB44" i="38" s="1"/>
  <c r="I38" i="42" s="1"/>
  <c r="U44" i="38"/>
  <c r="W44" i="38" s="1"/>
  <c r="Y44" i="38" s="1"/>
  <c r="AA44" i="38" s="1"/>
  <c r="O38" i="42" s="1"/>
  <c r="X22" i="41"/>
  <c r="M23" i="41"/>
  <c r="Q26" i="41" a="1"/>
  <c r="Q26" i="41" s="1"/>
  <c r="Q27" i="41" s="1" a="1"/>
  <c r="Q27" i="41" s="1"/>
  <c r="Q28" i="41" s="1" a="1"/>
  <c r="Q28" i="41" s="1"/>
  <c r="Q29" i="41" s="1" a="1"/>
  <c r="Q29" i="41" s="1"/>
  <c r="Q30" i="41" s="1" a="1"/>
  <c r="Q30" i="41" s="1"/>
  <c r="Q31" i="41" s="1" a="1"/>
  <c r="Q31" i="41" s="1"/>
  <c r="Q32" i="41" s="1" a="1"/>
  <c r="Q32" i="41" s="1"/>
  <c r="Q33" i="41" s="1" a="1"/>
  <c r="Q33" i="41" s="1"/>
  <c r="Q34" i="41" s="1" a="1"/>
  <c r="Q34" i="41" s="1"/>
  <c r="Q35" i="41" s="1" a="1"/>
  <c r="Q35" i="41" s="1"/>
  <c r="Q36" i="41" s="1" a="1"/>
  <c r="Q36" i="41" s="1"/>
  <c r="Q37" i="41" s="1" a="1"/>
  <c r="Q37" i="41" s="1"/>
  <c r="Q38" i="41" s="1" a="1"/>
  <c r="Q38" i="41" s="1"/>
  <c r="R23" i="41"/>
  <c r="V14" i="38"/>
  <c r="X14" i="38" s="1"/>
  <c r="Z14" i="38" s="1"/>
  <c r="L14" i="38"/>
  <c r="AP11" i="38" s="1"/>
  <c r="V11" i="38"/>
  <c r="X11" i="38" s="1"/>
  <c r="Z11" i="38" s="1"/>
  <c r="L11" i="38"/>
  <c r="V13" i="38"/>
  <c r="X13" i="38" s="1"/>
  <c r="Z13" i="38" s="1"/>
  <c r="L13" i="38"/>
  <c r="V27" i="38"/>
  <c r="X27" i="38" s="1"/>
  <c r="Z27" i="38" s="1"/>
  <c r="L27" i="38"/>
  <c r="AP24" i="38" s="1"/>
  <c r="W28" i="38"/>
  <c r="Y28" i="38" s="1"/>
  <c r="L28" i="38"/>
  <c r="AP25" i="38" s="1"/>
  <c r="V24" i="38"/>
  <c r="X24" i="38" s="1"/>
  <c r="Z24" i="38" s="1"/>
  <c r="L24" i="38"/>
  <c r="AP21" i="38" s="1"/>
  <c r="V25" i="38"/>
  <c r="X25" i="38" s="1"/>
  <c r="Z25" i="38" s="1"/>
  <c r="L25" i="38"/>
  <c r="AP22" i="38" s="1"/>
  <c r="V21" i="38"/>
  <c r="X21" i="38" s="1"/>
  <c r="Z21" i="38" s="1"/>
  <c r="L21" i="38"/>
  <c r="AP18" i="38" s="1"/>
  <c r="V16" i="38"/>
  <c r="X16" i="38" s="1"/>
  <c r="Z16" i="38" s="1"/>
  <c r="L16" i="38"/>
  <c r="AP13" i="38" s="1"/>
  <c r="V26" i="38"/>
  <c r="X26" i="38" s="1"/>
  <c r="Z26" i="38" s="1"/>
  <c r="L26" i="38"/>
  <c r="AP23" i="38" s="1"/>
  <c r="V17" i="38"/>
  <c r="X17" i="38" s="1"/>
  <c r="Z17" i="38" s="1"/>
  <c r="L17" i="38"/>
  <c r="AP14" i="38" s="1"/>
  <c r="L29" i="38"/>
  <c r="AP26" i="38" s="1"/>
  <c r="V18" i="38"/>
  <c r="X18" i="38" s="1"/>
  <c r="Z18" i="38" s="1"/>
  <c r="L18" i="38"/>
  <c r="AP15" i="38" s="1"/>
  <c r="V15" i="38"/>
  <c r="X15" i="38" s="1"/>
  <c r="Z15" i="38" s="1"/>
  <c r="L15" i="38"/>
  <c r="AP12" i="38" s="1"/>
  <c r="U19" i="38"/>
  <c r="W19" i="38" s="1"/>
  <c r="Y19" i="38" s="1"/>
  <c r="L19" i="38"/>
  <c r="AP16" i="38" s="1"/>
  <c r="V22" i="38"/>
  <c r="X22" i="38" s="1"/>
  <c r="Z22" i="38" s="1"/>
  <c r="L22" i="38"/>
  <c r="AP19" i="38" s="1"/>
  <c r="V20" i="38"/>
  <c r="X20" i="38" s="1"/>
  <c r="Z20" i="38" s="1"/>
  <c r="L20" i="38"/>
  <c r="AP17" i="38" s="1"/>
  <c r="P22" i="42"/>
  <c r="R22" i="42"/>
  <c r="M20" i="42"/>
  <c r="F21" i="42"/>
  <c r="L31" i="42"/>
  <c r="U13" i="38"/>
  <c r="W13" i="38" s="1"/>
  <c r="Y13" i="38" s="1"/>
  <c r="V19" i="38"/>
  <c r="X19" i="38" s="1"/>
  <c r="Z19" i="38" s="1"/>
  <c r="U17" i="38"/>
  <c r="W17" i="38" s="1"/>
  <c r="Y17" i="38" s="1"/>
  <c r="U20" i="38"/>
  <c r="W20" i="38" s="1"/>
  <c r="Y20" i="38" s="1"/>
  <c r="U36" i="38"/>
  <c r="W36" i="38" s="1"/>
  <c r="U18" i="38"/>
  <c r="W18" i="38" s="1"/>
  <c r="Y18" i="38" s="1"/>
  <c r="U35" i="38"/>
  <c r="W35" i="38" s="1"/>
  <c r="Y35" i="38" s="1"/>
  <c r="AA35" i="38" s="1"/>
  <c r="O29" i="42" s="1"/>
  <c r="U34" i="38"/>
  <c r="W34" i="38" s="1"/>
  <c r="Y34" i="38" s="1"/>
  <c r="AA34" i="38" s="1"/>
  <c r="O28" i="42" s="1"/>
  <c r="U33" i="38"/>
  <c r="W33" i="38" s="1"/>
  <c r="U11" i="38"/>
  <c r="W11" i="38" s="1"/>
  <c r="Y11" i="38" s="1"/>
  <c r="U22" i="38"/>
  <c r="W22" i="38" s="1"/>
  <c r="Y22" i="38" s="1"/>
  <c r="U12" i="38"/>
  <c r="W12" i="38" s="1"/>
  <c r="Y12" i="38" s="1"/>
  <c r="V12" i="38"/>
  <c r="X12" i="38" s="1"/>
  <c r="Z12" i="38" s="1"/>
  <c r="AN24" i="38"/>
  <c r="U25" i="38"/>
  <c r="W25" i="38" s="1"/>
  <c r="Y25" i="38" s="1"/>
  <c r="AN13" i="38"/>
  <c r="AN15" i="38"/>
  <c r="AN19" i="38"/>
  <c r="AN21" i="38"/>
  <c r="AN20" i="38"/>
  <c r="AP20" i="38"/>
  <c r="AN18" i="38"/>
  <c r="AN17" i="38"/>
  <c r="AN22" i="38"/>
  <c r="AN12" i="38"/>
  <c r="AN16" i="38"/>
  <c r="AN23" i="38"/>
  <c r="AN11" i="38"/>
  <c r="AN14" i="38"/>
  <c r="W26" i="38"/>
  <c r="Y26" i="38" s="1"/>
  <c r="U15" i="38"/>
  <c r="W15" i="38" s="1"/>
  <c r="Y15" i="38" s="1"/>
  <c r="V28" i="38"/>
  <c r="X28" i="38" s="1"/>
  <c r="Z28" i="38" s="1"/>
  <c r="U16" i="38"/>
  <c r="W16" i="38" s="1"/>
  <c r="Y16" i="38" s="1"/>
  <c r="W27" i="38"/>
  <c r="Y27" i="38" s="1"/>
  <c r="U14" i="38"/>
  <c r="W14" i="38" s="1"/>
  <c r="Y14" i="38" s="1"/>
  <c r="U24" i="38"/>
  <c r="W24" i="38" s="1"/>
  <c r="Y24" i="38" s="1"/>
  <c r="U22" i="42" l="1"/>
  <c r="AN26" i="38"/>
  <c r="F23" i="42"/>
  <c r="M23" i="42" s="1"/>
  <c r="M25" i="42"/>
  <c r="H25" i="42"/>
  <c r="CA12" i="38"/>
  <c r="BX12" i="38"/>
  <c r="CC12" i="38"/>
  <c r="CB12" i="38"/>
  <c r="BZ12" i="38"/>
  <c r="BY12" i="38"/>
  <c r="BR12" i="38"/>
  <c r="BU12" i="38"/>
  <c r="BQ12" i="38"/>
  <c r="BS12" i="38"/>
  <c r="BT12" i="38"/>
  <c r="BP12" i="38"/>
  <c r="Q39" i="41" a="1"/>
  <c r="Q39" i="41" s="1"/>
  <c r="T23" i="41"/>
  <c r="H21" i="42"/>
  <c r="M21" i="42"/>
  <c r="L32" i="42"/>
  <c r="Y33" i="38"/>
  <c r="AA33" i="38" s="1"/>
  <c r="O27" i="42" s="1"/>
  <c r="Y36" i="38"/>
  <c r="AA36" i="38" s="1"/>
  <c r="O30" i="42" s="1"/>
  <c r="AA32" i="38"/>
  <c r="O26" i="42" s="1"/>
  <c r="U17" i="52" l="1"/>
  <c r="P30" i="52" s="1"/>
  <c r="P17" i="52"/>
  <c r="O30" i="52" s="1"/>
  <c r="H23" i="42"/>
  <c r="K25" i="42" s="1"/>
  <c r="H24" i="42"/>
  <c r="M24" i="42"/>
  <c r="X23" i="41"/>
  <c r="Q40" i="41" a="1"/>
  <c r="Q40" i="41" s="1"/>
  <c r="M22" i="42"/>
  <c r="H22" i="42"/>
  <c r="L33" i="42"/>
  <c r="Q41" i="41" l="1" a="1"/>
  <c r="Q41" i="41" s="1"/>
  <c r="K23" i="42"/>
  <c r="L34" i="42"/>
  <c r="I21" i="23"/>
  <c r="AB29" i="23" s="1"/>
  <c r="BU13" i="38" l="1"/>
  <c r="BT13" i="38"/>
  <c r="BS13" i="38"/>
  <c r="BR13" i="38"/>
  <c r="BQ13" i="38"/>
  <c r="BP13" i="38"/>
  <c r="Q42" i="41" a="1"/>
  <c r="Q42" i="41" s="1"/>
  <c r="K24" i="42"/>
  <c r="H26" i="42" a="1"/>
  <c r="H26" i="42" s="1"/>
  <c r="M26" i="42" a="1"/>
  <c r="M26" i="42" s="1"/>
  <c r="L35" i="42"/>
  <c r="G6" i="34"/>
  <c r="J49" i="34"/>
  <c r="I49" i="34"/>
  <c r="I16" i="34"/>
  <c r="J16" i="34"/>
  <c r="H6" i="34"/>
  <c r="F6" i="34"/>
  <c r="E6" i="34"/>
  <c r="D6" i="34"/>
  <c r="C6" i="34"/>
  <c r="G5" i="34"/>
  <c r="D5" i="34"/>
  <c r="C5" i="34"/>
  <c r="H4" i="34"/>
  <c r="G4" i="34"/>
  <c r="F4" i="34"/>
  <c r="D4" i="34"/>
  <c r="H16" i="34"/>
  <c r="G16" i="34"/>
  <c r="F49" i="34"/>
  <c r="E16" i="34"/>
  <c r="E13" i="34" s="1"/>
  <c r="D16" i="34"/>
  <c r="D49" i="34" s="1"/>
  <c r="C16" i="34"/>
  <c r="Q98" i="35"/>
  <c r="O98" i="35"/>
  <c r="N98" i="35"/>
  <c r="M98" i="35"/>
  <c r="H5" i="34"/>
  <c r="P96" i="35"/>
  <c r="P18" i="52" l="1"/>
  <c r="O31" i="52" s="1"/>
  <c r="E56" i="34"/>
  <c r="E55" i="34"/>
  <c r="E54" i="34"/>
  <c r="E52" i="34"/>
  <c r="E51" i="34"/>
  <c r="E50" i="34"/>
  <c r="N49" i="34"/>
  <c r="E53" i="34"/>
  <c r="D78" i="34"/>
  <c r="D76" i="34"/>
  <c r="D51" i="34"/>
  <c r="D77" i="34"/>
  <c r="D69" i="34"/>
  <c r="D61" i="34"/>
  <c r="D75" i="34"/>
  <c r="D74" i="34"/>
  <c r="D66" i="34"/>
  <c r="D58" i="34"/>
  <c r="D50" i="34"/>
  <c r="D70" i="34"/>
  <c r="D53" i="34"/>
  <c r="D68" i="34"/>
  <c r="D60" i="34"/>
  <c r="D52" i="34"/>
  <c r="D59" i="34"/>
  <c r="D73" i="34"/>
  <c r="D65" i="34"/>
  <c r="D57" i="34"/>
  <c r="N48" i="34"/>
  <c r="D56" i="34"/>
  <c r="D55" i="34"/>
  <c r="D72" i="34"/>
  <c r="D64" i="34"/>
  <c r="D54" i="34"/>
  <c r="D71" i="34"/>
  <c r="D63" i="34"/>
  <c r="D62" i="34"/>
  <c r="D67" i="34"/>
  <c r="G72" i="34"/>
  <c r="G64" i="34"/>
  <c r="G56" i="34"/>
  <c r="G71" i="34"/>
  <c r="G63" i="34"/>
  <c r="G55" i="34"/>
  <c r="G53" i="34"/>
  <c r="G78" i="34"/>
  <c r="G70" i="34"/>
  <c r="G62" i="34"/>
  <c r="G54" i="34"/>
  <c r="G76" i="34"/>
  <c r="G68" i="34"/>
  <c r="G60" i="34"/>
  <c r="G52" i="34"/>
  <c r="G77" i="34"/>
  <c r="G61" i="34"/>
  <c r="G75" i="34"/>
  <c r="G67" i="34"/>
  <c r="G59" i="34"/>
  <c r="N51" i="34"/>
  <c r="G74" i="34"/>
  <c r="G66" i="34"/>
  <c r="G58" i="34"/>
  <c r="G51" i="34"/>
  <c r="G73" i="34"/>
  <c r="G65" i="34"/>
  <c r="G57" i="34"/>
  <c r="G50" i="34"/>
  <c r="G69" i="34"/>
  <c r="F5" i="34"/>
  <c r="AY42" i="38"/>
  <c r="AY35" i="38"/>
  <c r="AY43" i="38"/>
  <c r="AY36" i="38"/>
  <c r="AY44" i="38"/>
  <c r="AY37" i="38"/>
  <c r="AY45" i="38"/>
  <c r="AY38" i="38"/>
  <c r="AY46" i="38"/>
  <c r="AY39" i="38"/>
  <c r="AY47" i="38"/>
  <c r="AY40" i="38"/>
  <c r="AY48" i="38"/>
  <c r="AY41" i="38"/>
  <c r="AY49" i="38"/>
  <c r="K8" i="48"/>
  <c r="D35" i="48" s="1"/>
  <c r="V8" i="48"/>
  <c r="E35" i="48" s="1"/>
  <c r="E49" i="34"/>
  <c r="E17" i="34"/>
  <c r="N17" i="34" s="1"/>
  <c r="C49" i="34"/>
  <c r="BP14" i="38"/>
  <c r="BS14" i="38"/>
  <c r="BQ14" i="38"/>
  <c r="BR14" i="38"/>
  <c r="BT14" i="38"/>
  <c r="BU14" i="38"/>
  <c r="Q43" i="41" a="1"/>
  <c r="Q43" i="41" s="1"/>
  <c r="M27" i="42" a="1"/>
  <c r="M27" i="42" s="1"/>
  <c r="H27" i="42" a="1"/>
  <c r="H27" i="42" s="1"/>
  <c r="L36" i="42"/>
  <c r="P98" i="35"/>
  <c r="F7" i="34" s="1"/>
  <c r="F10" i="34" s="1"/>
  <c r="R98" i="35"/>
  <c r="G49" i="34"/>
  <c r="H49" i="34"/>
  <c r="C7" i="34"/>
  <c r="C10" i="34" s="1"/>
  <c r="D7" i="34"/>
  <c r="D10" i="34" s="1"/>
  <c r="E7" i="34"/>
  <c r="E10" i="34" s="1"/>
  <c r="G7" i="34"/>
  <c r="G10" i="34" s="1"/>
  <c r="P19" i="52" l="1"/>
  <c r="O32" i="52" s="1"/>
  <c r="F50" i="34"/>
  <c r="M50" i="34" s="1"/>
  <c r="R53" i="34"/>
  <c r="F59" i="34"/>
  <c r="R59" i="34"/>
  <c r="F61" i="34"/>
  <c r="R57" i="34"/>
  <c r="F65" i="34"/>
  <c r="F67" i="34"/>
  <c r="R51" i="34"/>
  <c r="F69" i="34"/>
  <c r="R49" i="34"/>
  <c r="F75" i="34"/>
  <c r="F77" i="34"/>
  <c r="F54" i="34"/>
  <c r="M54" i="34" s="1"/>
  <c r="F70" i="34"/>
  <c r="F78" i="34"/>
  <c r="F64" i="34"/>
  <c r="R54" i="34"/>
  <c r="AB38" i="39"/>
  <c r="R48" i="34"/>
  <c r="R58" i="34"/>
  <c r="F56" i="34"/>
  <c r="M56" i="34" s="1"/>
  <c r="F73" i="34"/>
  <c r="H74" i="34"/>
  <c r="H72" i="34"/>
  <c r="H62" i="34"/>
  <c r="H60" i="34"/>
  <c r="H66" i="34"/>
  <c r="H64" i="34"/>
  <c r="H54" i="34"/>
  <c r="N52" i="34"/>
  <c r="H58" i="34"/>
  <c r="H56" i="34"/>
  <c r="H77" i="34"/>
  <c r="H75" i="34"/>
  <c r="H51" i="34"/>
  <c r="H71" i="34"/>
  <c r="H69" i="34"/>
  <c r="H67" i="34"/>
  <c r="H73" i="34"/>
  <c r="H63" i="34"/>
  <c r="H61" i="34"/>
  <c r="H59" i="34"/>
  <c r="H65" i="34"/>
  <c r="H55" i="34"/>
  <c r="H53" i="34"/>
  <c r="H52" i="34"/>
  <c r="H57" i="34"/>
  <c r="H78" i="34"/>
  <c r="H76" i="34"/>
  <c r="H50" i="34"/>
  <c r="H70" i="34"/>
  <c r="H68" i="34"/>
  <c r="F55" i="34"/>
  <c r="M55" i="34" s="1"/>
  <c r="F72" i="34"/>
  <c r="N50" i="34"/>
  <c r="R52" i="34"/>
  <c r="F52" i="34"/>
  <c r="M52" i="34" s="1"/>
  <c r="R50" i="34"/>
  <c r="F63" i="34"/>
  <c r="R55" i="34"/>
  <c r="F66" i="34"/>
  <c r="F68" i="34"/>
  <c r="F71" i="34"/>
  <c r="F57" i="34"/>
  <c r="F74" i="34"/>
  <c r="F76" i="34"/>
  <c r="R56" i="34"/>
  <c r="F58" i="34"/>
  <c r="F51" i="34"/>
  <c r="M51" i="34" s="1"/>
  <c r="F60" i="34"/>
  <c r="F53" i="34"/>
  <c r="M53" i="34" s="1"/>
  <c r="F62" i="34"/>
  <c r="F11" i="34"/>
  <c r="C11" i="34"/>
  <c r="E11" i="34"/>
  <c r="D11" i="34"/>
  <c r="G11" i="34"/>
  <c r="E57" i="34"/>
  <c r="E74" i="34"/>
  <c r="E61" i="34"/>
  <c r="E72" i="34"/>
  <c r="E71" i="34"/>
  <c r="E59" i="34"/>
  <c r="E64" i="34"/>
  <c r="E58" i="34"/>
  <c r="E62" i="34"/>
  <c r="E67" i="34"/>
  <c r="E66" i="34"/>
  <c r="E77" i="34"/>
  <c r="E70" i="34"/>
  <c r="E75" i="34"/>
  <c r="E68" i="34"/>
  <c r="E73" i="34"/>
  <c r="E78" i="34"/>
  <c r="E60" i="34"/>
  <c r="E65" i="34"/>
  <c r="E76" i="34"/>
  <c r="E69" i="34"/>
  <c r="E63" i="34"/>
  <c r="C68" i="34"/>
  <c r="C56" i="34"/>
  <c r="C75" i="34"/>
  <c r="C60" i="34"/>
  <c r="C71" i="34"/>
  <c r="C67" i="34"/>
  <c r="C55" i="34"/>
  <c r="C62" i="34"/>
  <c r="C61" i="34"/>
  <c r="C70" i="34"/>
  <c r="C57" i="34"/>
  <c r="C78" i="34"/>
  <c r="C66" i="34"/>
  <c r="C54" i="34"/>
  <c r="C51" i="34"/>
  <c r="C73" i="34"/>
  <c r="C58" i="34"/>
  <c r="C69" i="34"/>
  <c r="C77" i="34"/>
  <c r="C65" i="34"/>
  <c r="C53" i="34"/>
  <c r="C76" i="34"/>
  <c r="C64" i="34"/>
  <c r="C52" i="34"/>
  <c r="C63" i="34"/>
  <c r="C74" i="34"/>
  <c r="C50" i="34"/>
  <c r="C72" i="34"/>
  <c r="C59" i="34"/>
  <c r="AC48" i="48"/>
  <c r="AO37" i="48" s="1"/>
  <c r="AC46" i="48"/>
  <c r="AO35" i="48" s="1"/>
  <c r="AC45" i="48"/>
  <c r="AO34" i="48" s="1"/>
  <c r="AC47" i="48"/>
  <c r="AO36" i="48" s="1"/>
  <c r="AC44" i="48"/>
  <c r="AO33" i="48" s="1"/>
  <c r="H7" i="34"/>
  <c r="H10" i="34" s="1"/>
  <c r="I20" i="34"/>
  <c r="K21" i="34"/>
  <c r="L21" i="34" s="1"/>
  <c r="K19" i="34"/>
  <c r="L19" i="34" s="1"/>
  <c r="BU15" i="38"/>
  <c r="BT15" i="38"/>
  <c r="BS15" i="38"/>
  <c r="BR15" i="38"/>
  <c r="BQ15" i="38"/>
  <c r="BP15" i="38"/>
  <c r="Q44" i="41" a="1"/>
  <c r="Q44" i="41" s="1"/>
  <c r="H28" i="42" a="1"/>
  <c r="H28" i="42" s="1"/>
  <c r="M28" i="42" a="1"/>
  <c r="M28" i="42" s="1"/>
  <c r="L37" i="42"/>
  <c r="L38" i="42" s="1"/>
  <c r="X60" i="31"/>
  <c r="X61" i="31"/>
  <c r="X62" i="31"/>
  <c r="X63" i="31"/>
  <c r="X64" i="31"/>
  <c r="X65" i="31"/>
  <c r="X66" i="31"/>
  <c r="X67" i="31"/>
  <c r="X68" i="31"/>
  <c r="X69" i="31"/>
  <c r="X70" i="31"/>
  <c r="X71" i="31"/>
  <c r="X72" i="31"/>
  <c r="X73" i="31"/>
  <c r="X74" i="31"/>
  <c r="X75" i="31"/>
  <c r="X76" i="31"/>
  <c r="X77" i="31"/>
  <c r="X78" i="31"/>
  <c r="X59" i="31"/>
  <c r="W78" i="31"/>
  <c r="W77" i="31"/>
  <c r="W76" i="31"/>
  <c r="W75" i="31"/>
  <c r="W74" i="31"/>
  <c r="W73" i="31"/>
  <c r="W72" i="31"/>
  <c r="W64" i="31"/>
  <c r="W63" i="31"/>
  <c r="W62" i="31"/>
  <c r="W61" i="31"/>
  <c r="W60" i="31"/>
  <c r="W59" i="31"/>
  <c r="V64" i="31"/>
  <c r="V63" i="31"/>
  <c r="V62" i="31"/>
  <c r="V61" i="31"/>
  <c r="V60" i="31"/>
  <c r="V59" i="31"/>
  <c r="E4" i="31"/>
  <c r="E2" i="31"/>
  <c r="J20" i="23"/>
  <c r="J19" i="23"/>
  <c r="J18" i="23"/>
  <c r="J17" i="23"/>
  <c r="J16" i="23"/>
  <c r="J15" i="23"/>
  <c r="J14" i="23"/>
  <c r="J13" i="23"/>
  <c r="J12" i="23"/>
  <c r="J11" i="23"/>
  <c r="J10" i="23"/>
  <c r="M76" i="34" l="1"/>
  <c r="M74" i="34"/>
  <c r="M62" i="34"/>
  <c r="M57" i="34"/>
  <c r="M60" i="34"/>
  <c r="M68" i="34"/>
  <c r="M72" i="34"/>
  <c r="M73" i="34"/>
  <c r="M70" i="34"/>
  <c r="M65" i="34"/>
  <c r="M66" i="34"/>
  <c r="M58" i="34"/>
  <c r="M77" i="34"/>
  <c r="M61" i="34"/>
  <c r="M63" i="34"/>
  <c r="M75" i="34"/>
  <c r="M59" i="34"/>
  <c r="M69" i="34"/>
  <c r="M64" i="34"/>
  <c r="M71" i="34"/>
  <c r="M78" i="34"/>
  <c r="M67" i="34"/>
  <c r="B20" i="52"/>
  <c r="E20" i="52" s="1"/>
  <c r="D33" i="52" s="1"/>
  <c r="P20" i="52"/>
  <c r="O33" i="52" s="1"/>
  <c r="K17" i="34"/>
  <c r="L17" i="34" s="1"/>
  <c r="K18" i="34"/>
  <c r="L18" i="34" s="1"/>
  <c r="K22" i="34"/>
  <c r="L22" i="34" s="1"/>
  <c r="K45" i="34"/>
  <c r="L45" i="34" s="1"/>
  <c r="K23" i="34"/>
  <c r="L23" i="34" s="1"/>
  <c r="I76" i="34"/>
  <c r="J76" i="34" s="1"/>
  <c r="I66" i="34"/>
  <c r="J66" i="34" s="1"/>
  <c r="K72" i="34"/>
  <c r="L72" i="34" s="1"/>
  <c r="K63" i="34"/>
  <c r="L63" i="34" s="1"/>
  <c r="K60" i="34"/>
  <c r="L60" i="34" s="1"/>
  <c r="I71" i="34"/>
  <c r="J71" i="34" s="1"/>
  <c r="I75" i="34"/>
  <c r="J75" i="34" s="1"/>
  <c r="H11" i="34"/>
  <c r="K43" i="34"/>
  <c r="L43" i="34" s="1"/>
  <c r="I63" i="34"/>
  <c r="Y28" i="34" s="1"/>
  <c r="I70" i="34"/>
  <c r="J70" i="34" s="1"/>
  <c r="I64" i="34"/>
  <c r="J64" i="34" s="1"/>
  <c r="I42" i="34"/>
  <c r="J42" i="34" s="1"/>
  <c r="I41" i="34"/>
  <c r="J41" i="34" s="1"/>
  <c r="I44" i="34"/>
  <c r="J44" i="34" s="1"/>
  <c r="I61" i="34"/>
  <c r="J61" i="34" s="1"/>
  <c r="I69" i="34"/>
  <c r="J69" i="34" s="1"/>
  <c r="I65" i="34"/>
  <c r="Y30" i="34" s="1"/>
  <c r="K59" i="34"/>
  <c r="L59" i="34" s="1"/>
  <c r="I73" i="34"/>
  <c r="J73" i="34" s="1"/>
  <c r="I74" i="34"/>
  <c r="J74" i="34" s="1"/>
  <c r="K77" i="34"/>
  <c r="L77" i="34" s="1"/>
  <c r="K62" i="34"/>
  <c r="L62" i="34" s="1"/>
  <c r="K68" i="34"/>
  <c r="L68" i="34" s="1"/>
  <c r="I24" i="34"/>
  <c r="Z22" i="34" s="1"/>
  <c r="K78" i="34"/>
  <c r="L78" i="34" s="1"/>
  <c r="K67" i="34"/>
  <c r="L67" i="34" s="1"/>
  <c r="K71" i="34"/>
  <c r="L71" i="34" s="1"/>
  <c r="I72" i="34"/>
  <c r="J72" i="34" s="1"/>
  <c r="I68" i="34"/>
  <c r="J68" i="34" s="1"/>
  <c r="K70" i="34"/>
  <c r="L70" i="34" s="1"/>
  <c r="K41" i="34"/>
  <c r="L41" i="34" s="1"/>
  <c r="J20" i="34"/>
  <c r="Z18" i="34"/>
  <c r="I60" i="34"/>
  <c r="I17" i="34"/>
  <c r="I78" i="34"/>
  <c r="J78" i="34" s="1"/>
  <c r="K61" i="34"/>
  <c r="L61" i="34" s="1"/>
  <c r="K76" i="34"/>
  <c r="L76" i="34" s="1"/>
  <c r="I62" i="34"/>
  <c r="K64" i="34"/>
  <c r="L64" i="34" s="1"/>
  <c r="I22" i="34"/>
  <c r="K73" i="34"/>
  <c r="L73" i="34" s="1"/>
  <c r="K69" i="34"/>
  <c r="L69" i="34" s="1"/>
  <c r="I18" i="34"/>
  <c r="I59" i="34"/>
  <c r="I19" i="34"/>
  <c r="I67" i="34"/>
  <c r="K24" i="34"/>
  <c r="L24" i="34" s="1"/>
  <c r="I45" i="34"/>
  <c r="J45" i="34" s="1"/>
  <c r="K65" i="34"/>
  <c r="L65" i="34" s="1"/>
  <c r="K20" i="34"/>
  <c r="L20" i="34" s="1"/>
  <c r="K74" i="34"/>
  <c r="L74" i="34" s="1"/>
  <c r="I21" i="34"/>
  <c r="I23" i="34"/>
  <c r="I43" i="34"/>
  <c r="J43" i="34" s="1"/>
  <c r="K42" i="34"/>
  <c r="L42" i="34" s="1"/>
  <c r="I77" i="34"/>
  <c r="J77" i="34" s="1"/>
  <c r="K75" i="34"/>
  <c r="L75" i="34" s="1"/>
  <c r="K66" i="34"/>
  <c r="L66" i="34" s="1"/>
  <c r="K44" i="34"/>
  <c r="L44" i="34" s="1"/>
  <c r="Q45" i="41" a="1"/>
  <c r="Q45" i="41" s="1"/>
  <c r="L39" i="42"/>
  <c r="K58" i="34"/>
  <c r="L58" i="34" s="1"/>
  <c r="C12" i="31"/>
  <c r="AD19" i="23"/>
  <c r="AD20" i="23"/>
  <c r="C13" i="31"/>
  <c r="AD23" i="23"/>
  <c r="C16" i="31"/>
  <c r="AD17" i="23"/>
  <c r="C10" i="31"/>
  <c r="AD24" i="23"/>
  <c r="C17" i="31"/>
  <c r="AD26" i="23"/>
  <c r="C19" i="31"/>
  <c r="AD27" i="23"/>
  <c r="C20" i="31"/>
  <c r="AD28" i="23"/>
  <c r="C21" i="31"/>
  <c r="AD29" i="23"/>
  <c r="C22" i="31"/>
  <c r="AD18" i="23"/>
  <c r="C11" i="31"/>
  <c r="AD21" i="23"/>
  <c r="C14" i="31"/>
  <c r="AD22" i="23"/>
  <c r="C15" i="31"/>
  <c r="AD25" i="23"/>
  <c r="C18" i="31"/>
  <c r="K53" i="34"/>
  <c r="L53" i="34" s="1"/>
  <c r="K56" i="34"/>
  <c r="L56" i="34" s="1"/>
  <c r="K55" i="34"/>
  <c r="L55" i="34" s="1"/>
  <c r="K54" i="34"/>
  <c r="L54" i="34" s="1"/>
  <c r="K57" i="34"/>
  <c r="L57" i="34" s="1"/>
  <c r="K51" i="34"/>
  <c r="L51" i="34" s="1"/>
  <c r="K50" i="34"/>
  <c r="L50" i="34" s="1"/>
  <c r="K52" i="34"/>
  <c r="L52" i="34" s="1"/>
  <c r="I58" i="34"/>
  <c r="I54" i="34"/>
  <c r="M29" i="42" a="1"/>
  <c r="M29" i="42" s="1"/>
  <c r="H29" i="42" a="1"/>
  <c r="H29" i="42" s="1"/>
  <c r="I50" i="34"/>
  <c r="I52" i="34"/>
  <c r="I53" i="34"/>
  <c r="I51" i="34"/>
  <c r="I55" i="34"/>
  <c r="I57" i="34"/>
  <c r="I56" i="34"/>
  <c r="M54" i="23"/>
  <c r="M53" i="23"/>
  <c r="M52" i="23"/>
  <c r="Y31" i="34" l="1"/>
  <c r="J63" i="34"/>
  <c r="J24" i="34"/>
  <c r="Y26" i="34"/>
  <c r="Y29" i="34"/>
  <c r="J65" i="34"/>
  <c r="Y33" i="34"/>
  <c r="J53" i="34"/>
  <c r="Y18" i="34"/>
  <c r="J52" i="34"/>
  <c r="Y17" i="34"/>
  <c r="J19" i="34"/>
  <c r="Z17" i="34"/>
  <c r="J59" i="34"/>
  <c r="Y24" i="34"/>
  <c r="J23" i="34"/>
  <c r="Z21" i="34"/>
  <c r="J18" i="34"/>
  <c r="Z16" i="34"/>
  <c r="J51" i="34"/>
  <c r="Y16" i="34"/>
  <c r="J67" i="34"/>
  <c r="Y32" i="34"/>
  <c r="J62" i="34"/>
  <c r="Y27" i="34"/>
  <c r="J50" i="34"/>
  <c r="Y15" i="34"/>
  <c r="J21" i="34"/>
  <c r="Z19" i="34"/>
  <c r="J17" i="34"/>
  <c r="Z15" i="34"/>
  <c r="J54" i="34"/>
  <c r="Y19" i="34"/>
  <c r="J56" i="34"/>
  <c r="Y21" i="34"/>
  <c r="J60" i="34"/>
  <c r="Y25" i="34"/>
  <c r="J57" i="34"/>
  <c r="Y22" i="34"/>
  <c r="J55" i="34"/>
  <c r="Y20" i="34"/>
  <c r="J58" i="34"/>
  <c r="Y23" i="34"/>
  <c r="J22" i="34"/>
  <c r="Z20" i="34"/>
  <c r="L40" i="42"/>
  <c r="H30" i="42" a="1"/>
  <c r="H30" i="42" s="1"/>
  <c r="M30" i="42" a="1"/>
  <c r="M30" i="42" s="1"/>
  <c r="N29" i="42" s="1"/>
  <c r="N28" i="42" s="1"/>
  <c r="O14" i="35"/>
  <c r="P15" i="35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O13" i="35"/>
  <c r="P12" i="35"/>
  <c r="O12" i="35"/>
  <c r="P11" i="35"/>
  <c r="O11" i="35"/>
  <c r="K21" i="31"/>
  <c r="Q22" i="31"/>
  <c r="E60" i="35"/>
  <c r="E61" i="35"/>
  <c r="E57" i="35"/>
  <c r="G22" i="31" s="1"/>
  <c r="J22" i="31"/>
  <c r="J23" i="31"/>
  <c r="AC27" i="35"/>
  <c r="AH28" i="35" s="1"/>
  <c r="AB27" i="35"/>
  <c r="AC26" i="35"/>
  <c r="AB26" i="35"/>
  <c r="AC25" i="35"/>
  <c r="AB25" i="35"/>
  <c r="AC24" i="35"/>
  <c r="AB24" i="35"/>
  <c r="AC23" i="35"/>
  <c r="AB23" i="35"/>
  <c r="AC22" i="35"/>
  <c r="AB22" i="35"/>
  <c r="AC21" i="35"/>
  <c r="AB21" i="35"/>
  <c r="AC20" i="35"/>
  <c r="AB20" i="35"/>
  <c r="AC19" i="35"/>
  <c r="AB19" i="35"/>
  <c r="AC18" i="35"/>
  <c r="AB18" i="35"/>
  <c r="AC17" i="35"/>
  <c r="AB17" i="35"/>
  <c r="AC16" i="35"/>
  <c r="AB16" i="35"/>
  <c r="AC15" i="35"/>
  <c r="AB15" i="35"/>
  <c r="AC14" i="35"/>
  <c r="AB14" i="35"/>
  <c r="AC13" i="35"/>
  <c r="AB13" i="35"/>
  <c r="AC12" i="35"/>
  <c r="AB12" i="35"/>
  <c r="AC11" i="35"/>
  <c r="AB11" i="35"/>
  <c r="AC10" i="35"/>
  <c r="AB10" i="35"/>
  <c r="AC9" i="35"/>
  <c r="AB9" i="35"/>
  <c r="AH27" i="35"/>
  <c r="AG27" i="35"/>
  <c r="AH26" i="35"/>
  <c r="AG26" i="35"/>
  <c r="AH25" i="35"/>
  <c r="AG25" i="35"/>
  <c r="AH24" i="35"/>
  <c r="AG24" i="35"/>
  <c r="AH23" i="35"/>
  <c r="AG23" i="35"/>
  <c r="AH22" i="35"/>
  <c r="AG22" i="35"/>
  <c r="AH21" i="35"/>
  <c r="AG21" i="35"/>
  <c r="AH20" i="35"/>
  <c r="AG20" i="35"/>
  <c r="AH19" i="35"/>
  <c r="AG19" i="35"/>
  <c r="AH18" i="35"/>
  <c r="AG18" i="35"/>
  <c r="AH17" i="35"/>
  <c r="AG17" i="35"/>
  <c r="I4" i="41" s="1"/>
  <c r="AH16" i="35"/>
  <c r="AG16" i="35"/>
  <c r="AH15" i="35"/>
  <c r="AG15" i="35"/>
  <c r="AH14" i="35"/>
  <c r="AG14" i="35"/>
  <c r="AH13" i="35"/>
  <c r="AG13" i="35"/>
  <c r="AH12" i="35"/>
  <c r="AG12" i="35"/>
  <c r="AH11" i="35"/>
  <c r="AG11" i="35"/>
  <c r="AH10" i="35"/>
  <c r="AG10" i="35"/>
  <c r="AH9" i="35"/>
  <c r="AG9" i="35"/>
  <c r="I57" i="35"/>
  <c r="I58" i="35"/>
  <c r="I59" i="35"/>
  <c r="I60" i="35"/>
  <c r="I61" i="35"/>
  <c r="I56" i="35"/>
  <c r="E65" i="35"/>
  <c r="E64" i="35"/>
  <c r="E63" i="35"/>
  <c r="E59" i="35"/>
  <c r="E58" i="35"/>
  <c r="E56" i="35"/>
  <c r="Q59" i="35"/>
  <c r="Q60" i="35" s="1"/>
  <c r="Q61" i="35" s="1"/>
  <c r="O59" i="35"/>
  <c r="O60" i="35" s="1"/>
  <c r="O61" i="35" s="1"/>
  <c r="G23" i="31" l="1"/>
  <c r="G24" i="31" s="1"/>
  <c r="L41" i="42"/>
  <c r="K22" i="31"/>
  <c r="K23" i="31" s="1"/>
  <c r="M31" i="42" a="1"/>
  <c r="M31" i="42" s="1"/>
  <c r="P30" i="42"/>
  <c r="T30" i="42" s="1"/>
  <c r="AX39" i="38" s="1"/>
  <c r="C66" i="51" s="1"/>
  <c r="N27" i="42"/>
  <c r="P28" i="42"/>
  <c r="T28" i="42" s="1"/>
  <c r="AX37" i="38" s="1"/>
  <c r="C64" i="51" s="1"/>
  <c r="P29" i="42"/>
  <c r="H31" i="42" a="1"/>
  <c r="H31" i="42" s="1"/>
  <c r="O15" i="35"/>
  <c r="D58" i="35"/>
  <c r="AG28" i="35"/>
  <c r="AD28" i="35" s="1"/>
  <c r="E24" i="41" s="1"/>
  <c r="F22" i="31"/>
  <c r="D56" i="35"/>
  <c r="H56" i="35"/>
  <c r="D57" i="35"/>
  <c r="H57" i="35"/>
  <c r="H58" i="35"/>
  <c r="H59" i="35"/>
  <c r="AH29" i="35"/>
  <c r="O24" i="41" l="1"/>
  <c r="H24" i="41"/>
  <c r="G25" i="31"/>
  <c r="G26" i="31" s="1"/>
  <c r="D24" i="31"/>
  <c r="E24" i="43"/>
  <c r="CC18" i="38"/>
  <c r="BY18" i="38"/>
  <c r="O64" i="51" s="1"/>
  <c r="BZ18" i="38"/>
  <c r="P64" i="51" s="1"/>
  <c r="S64" i="51" s="1"/>
  <c r="CA18" i="38"/>
  <c r="Q64" i="51" s="1"/>
  <c r="BX18" i="38"/>
  <c r="CB18" i="38"/>
  <c r="R64" i="51" s="1"/>
  <c r="BY20" i="38"/>
  <c r="O66" i="51" s="1"/>
  <c r="BZ20" i="38"/>
  <c r="P66" i="51" s="1"/>
  <c r="S66" i="51" s="1"/>
  <c r="BX20" i="38"/>
  <c r="R25" i="52" s="1"/>
  <c r="CA20" i="38"/>
  <c r="Q66" i="51" s="1"/>
  <c r="CB20" i="38"/>
  <c r="R66" i="51" s="1"/>
  <c r="CC20" i="38"/>
  <c r="L42" i="42"/>
  <c r="Q29" i="42"/>
  <c r="T29" i="42"/>
  <c r="AX38" i="38" s="1"/>
  <c r="C65" i="51" s="1"/>
  <c r="H32" i="42" a="1"/>
  <c r="H32" i="42" s="1"/>
  <c r="N26" i="42"/>
  <c r="N25" i="42" s="1"/>
  <c r="P27" i="42"/>
  <c r="T27" i="42" s="1"/>
  <c r="AX36" i="38" s="1"/>
  <c r="C63" i="51" s="1"/>
  <c r="Q30" i="42"/>
  <c r="M32" i="42" a="1"/>
  <c r="M32" i="42" s="1"/>
  <c r="O16" i="35"/>
  <c r="J24" i="31"/>
  <c r="D59" i="35"/>
  <c r="W65" i="31"/>
  <c r="AG29" i="35"/>
  <c r="AD29" i="35" s="1"/>
  <c r="E25" i="41" s="1"/>
  <c r="AC30" i="35"/>
  <c r="AH30" i="35" s="1"/>
  <c r="H60" i="35"/>
  <c r="K6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R23" i="52" l="1"/>
  <c r="U23" i="52" s="1"/>
  <c r="P36" i="52" s="1"/>
  <c r="C50" i="53" s="1"/>
  <c r="N64" i="51"/>
  <c r="N66" i="51"/>
  <c r="G25" i="52"/>
  <c r="J25" i="52" s="1"/>
  <c r="E38" i="52" s="1"/>
  <c r="CG20" i="38"/>
  <c r="U25" i="52"/>
  <c r="P38" i="52" s="1"/>
  <c r="C52" i="53" s="1"/>
  <c r="CG18" i="38"/>
  <c r="G23" i="52"/>
  <c r="J23" i="52" s="1"/>
  <c r="E36" i="52" s="1"/>
  <c r="O25" i="41"/>
  <c r="H25" i="41"/>
  <c r="P24" i="43"/>
  <c r="I24" i="43"/>
  <c r="D25" i="31"/>
  <c r="E25" i="43"/>
  <c r="BY19" i="38"/>
  <c r="O65" i="51" s="1"/>
  <c r="CA19" i="38"/>
  <c r="Q65" i="51" s="1"/>
  <c r="CB19" i="38"/>
  <c r="R65" i="51" s="1"/>
  <c r="CC19" i="38"/>
  <c r="BX19" i="38"/>
  <c r="BZ19" i="38"/>
  <c r="P65" i="51" s="1"/>
  <c r="S65" i="51" s="1"/>
  <c r="BY17" i="38"/>
  <c r="O63" i="51" s="1"/>
  <c r="BZ17" i="38"/>
  <c r="P63" i="51" s="1"/>
  <c r="S63" i="51" s="1"/>
  <c r="CA17" i="38"/>
  <c r="Q63" i="51" s="1"/>
  <c r="CB17" i="38"/>
  <c r="R63" i="51" s="1"/>
  <c r="CC17" i="38"/>
  <c r="BX17" i="38"/>
  <c r="L43" i="42"/>
  <c r="P24" i="41"/>
  <c r="R24" i="41" s="1"/>
  <c r="P25" i="41"/>
  <c r="N24" i="42"/>
  <c r="Q25" i="42" s="1"/>
  <c r="P26" i="42"/>
  <c r="T26" i="42" s="1"/>
  <c r="AX35" i="38" s="1"/>
  <c r="C62" i="51" s="1"/>
  <c r="Q28" i="42"/>
  <c r="M33" i="42" a="1"/>
  <c r="M33" i="42" s="1"/>
  <c r="H33" i="42" a="1"/>
  <c r="H33" i="42" s="1"/>
  <c r="O17" i="35"/>
  <c r="J25" i="31"/>
  <c r="F24" i="31"/>
  <c r="W66" i="31"/>
  <c r="D60" i="35"/>
  <c r="AC31" i="35"/>
  <c r="H61" i="35"/>
  <c r="B16" i="17"/>
  <c r="F16" i="17"/>
  <c r="H16" i="17"/>
  <c r="G16" i="17"/>
  <c r="E16" i="17"/>
  <c r="D16" i="17"/>
  <c r="C16" i="17"/>
  <c r="H15" i="17"/>
  <c r="G15" i="17"/>
  <c r="F15" i="17"/>
  <c r="E15" i="17"/>
  <c r="D15" i="17"/>
  <c r="C15" i="17"/>
  <c r="B15" i="17"/>
  <c r="L6" i="23"/>
  <c r="B17" i="17"/>
  <c r="E17" i="15"/>
  <c r="H17" i="17"/>
  <c r="G17" i="15"/>
  <c r="C17" i="17"/>
  <c r="D17" i="15"/>
  <c r="F17" i="15"/>
  <c r="B17" i="15"/>
  <c r="E17" i="17"/>
  <c r="H17" i="15"/>
  <c r="G17" i="17"/>
  <c r="C17" i="15"/>
  <c r="D17" i="17"/>
  <c r="F17" i="17"/>
  <c r="K19" i="23"/>
  <c r="K17" i="23"/>
  <c r="K9" i="23"/>
  <c r="K16" i="23"/>
  <c r="K21" i="23"/>
  <c r="K18" i="23"/>
  <c r="K20" i="23"/>
  <c r="K22" i="23"/>
  <c r="R24" i="52" l="1"/>
  <c r="U24" i="52" s="1"/>
  <c r="P37" i="52" s="1"/>
  <c r="C51" i="53" s="1"/>
  <c r="M52" i="53"/>
  <c r="V64" i="51"/>
  <c r="T64" i="51"/>
  <c r="U64" i="51" s="1"/>
  <c r="D102" i="53"/>
  <c r="M50" i="53"/>
  <c r="R22" i="52"/>
  <c r="U22" i="52" s="1"/>
  <c r="P35" i="52" s="1"/>
  <c r="C49" i="53" s="1"/>
  <c r="V66" i="51"/>
  <c r="T66" i="51"/>
  <c r="U66" i="51" s="1"/>
  <c r="N63" i="51"/>
  <c r="N65" i="51"/>
  <c r="CG17" i="38"/>
  <c r="G22" i="52"/>
  <c r="J22" i="52" s="1"/>
  <c r="E35" i="52" s="1"/>
  <c r="G24" i="52"/>
  <c r="J24" i="52" s="1"/>
  <c r="E37" i="52" s="1"/>
  <c r="CG19" i="38"/>
  <c r="I25" i="43"/>
  <c r="P25" i="43"/>
  <c r="CB16" i="38"/>
  <c r="R62" i="51" s="1"/>
  <c r="CA16" i="38"/>
  <c r="Q62" i="51" s="1"/>
  <c r="BX16" i="38"/>
  <c r="N62" i="51" s="1"/>
  <c r="BY16" i="38"/>
  <c r="O62" i="51" s="1"/>
  <c r="BZ16" i="38"/>
  <c r="P62" i="51" s="1"/>
  <c r="S62" i="51" s="1"/>
  <c r="CC16" i="38"/>
  <c r="L44" i="42"/>
  <c r="E17" i="31"/>
  <c r="T24" i="41"/>
  <c r="P26" i="43"/>
  <c r="Q26" i="43" s="1"/>
  <c r="R26" i="43" s="1"/>
  <c r="P26" i="41" s="1"/>
  <c r="O26" i="41"/>
  <c r="K24" i="41"/>
  <c r="R25" i="41"/>
  <c r="M34" i="42" a="1"/>
  <c r="M34" i="42" s="1"/>
  <c r="H34" i="42" a="1"/>
  <c r="H34" i="42" s="1"/>
  <c r="Q27" i="42"/>
  <c r="D3" i="44"/>
  <c r="E10" i="31"/>
  <c r="AH31" i="35"/>
  <c r="H62" i="35" s="1"/>
  <c r="O18" i="35"/>
  <c r="S24" i="43"/>
  <c r="J26" i="31"/>
  <c r="F25" i="31"/>
  <c r="W67" i="31"/>
  <c r="AC32" i="35"/>
  <c r="D17" i="21"/>
  <c r="H17" i="21"/>
  <c r="D17" i="16"/>
  <c r="B17" i="16"/>
  <c r="F17" i="16"/>
  <c r="G17" i="21"/>
  <c r="B17" i="21"/>
  <c r="F17" i="21"/>
  <c r="E17" i="21"/>
  <c r="C17" i="16"/>
  <c r="H17" i="16"/>
  <c r="C17" i="21"/>
  <c r="G17" i="16"/>
  <c r="E17" i="16"/>
  <c r="K15" i="23"/>
  <c r="K13" i="23"/>
  <c r="K14" i="23"/>
  <c r="K12" i="23"/>
  <c r="K11" i="23"/>
  <c r="K10" i="23"/>
  <c r="D101" i="53" l="1"/>
  <c r="M49" i="53"/>
  <c r="V63" i="51"/>
  <c r="T63" i="51"/>
  <c r="U63" i="51" s="1"/>
  <c r="T62" i="51"/>
  <c r="D99" i="53" s="1"/>
  <c r="V62" i="51"/>
  <c r="R21" i="52"/>
  <c r="U21" i="52" s="1"/>
  <c r="P34" i="52" s="1"/>
  <c r="C48" i="53" s="1"/>
  <c r="D103" i="53"/>
  <c r="M51" i="53"/>
  <c r="M102" i="53"/>
  <c r="T65" i="51"/>
  <c r="U65" i="51" s="1"/>
  <c r="V65" i="51"/>
  <c r="CG16" i="38"/>
  <c r="G21" i="52"/>
  <c r="J21" i="52" s="1"/>
  <c r="E34" i="52" s="1"/>
  <c r="L45" i="42"/>
  <c r="P27" i="43"/>
  <c r="Q27" i="43" s="1"/>
  <c r="R27" i="43" s="1"/>
  <c r="P27" i="41" s="1"/>
  <c r="M24" i="41"/>
  <c r="O27" i="41"/>
  <c r="W25" i="41"/>
  <c r="T25" i="41"/>
  <c r="R26" i="41"/>
  <c r="S26" i="41" s="1"/>
  <c r="Q26" i="42"/>
  <c r="N23" i="42"/>
  <c r="U24" i="42"/>
  <c r="H35" i="42" a="1"/>
  <c r="H35" i="42" s="1"/>
  <c r="M35" i="42" a="1"/>
  <c r="M35" i="42" s="1"/>
  <c r="D4" i="44"/>
  <c r="E14" i="31"/>
  <c r="E12" i="31"/>
  <c r="E13" i="31"/>
  <c r="E19" i="31"/>
  <c r="G19" i="31" s="1"/>
  <c r="E21" i="31"/>
  <c r="E20" i="31"/>
  <c r="E23" i="31"/>
  <c r="E11" i="31"/>
  <c r="E22" i="31"/>
  <c r="E16" i="31"/>
  <c r="E15" i="31"/>
  <c r="E18" i="31"/>
  <c r="G18" i="31" s="1"/>
  <c r="AH32" i="35"/>
  <c r="H63" i="35" s="1"/>
  <c r="O19" i="35"/>
  <c r="O20" i="35" s="1"/>
  <c r="O21" i="35" s="1"/>
  <c r="O22" i="35" s="1"/>
  <c r="O23" i="35" s="1"/>
  <c r="O24" i="35" s="1"/>
  <c r="O25" i="35" s="1"/>
  <c r="O26" i="35" s="1"/>
  <c r="O27" i="35" s="1"/>
  <c r="O28" i="35" s="1"/>
  <c r="O29" i="35" s="1"/>
  <c r="O30" i="35" s="1"/>
  <c r="O31" i="35" s="1"/>
  <c r="O32" i="35" s="1"/>
  <c r="O33" i="35" s="1"/>
  <c r="O34" i="35" s="1"/>
  <c r="O35" i="35" s="1"/>
  <c r="O36" i="35" s="1"/>
  <c r="O37" i="35" s="1"/>
  <c r="O38" i="35" s="1"/>
  <c r="O39" i="35" s="1"/>
  <c r="L24" i="43"/>
  <c r="S25" i="43"/>
  <c r="W68" i="31"/>
  <c r="J27" i="31"/>
  <c r="AC33" i="35"/>
  <c r="AH33" i="35" s="1"/>
  <c r="N21" i="31"/>
  <c r="N20" i="31"/>
  <c r="N19" i="31"/>
  <c r="N18" i="31"/>
  <c r="N17" i="31"/>
  <c r="N16" i="31"/>
  <c r="N15" i="31"/>
  <c r="N14" i="31"/>
  <c r="N13" i="31"/>
  <c r="N12" i="31"/>
  <c r="N11" i="31"/>
  <c r="N10" i="31"/>
  <c r="M101" i="53" l="1"/>
  <c r="U62" i="51"/>
  <c r="M99" i="53"/>
  <c r="M103" i="53"/>
  <c r="D100" i="53"/>
  <c r="M48" i="53"/>
  <c r="BZ14" i="38"/>
  <c r="CA14" i="38"/>
  <c r="CB14" i="38"/>
  <c r="CC14" i="38"/>
  <c r="BX14" i="38"/>
  <c r="BY14" i="38"/>
  <c r="U25" i="42"/>
  <c r="BY15" i="38"/>
  <c r="BZ15" i="38"/>
  <c r="CA15" i="38"/>
  <c r="BX15" i="38"/>
  <c r="CB15" i="38"/>
  <c r="CC15" i="38"/>
  <c r="X24" i="41"/>
  <c r="V25" i="41"/>
  <c r="M25" i="41"/>
  <c r="O28" i="41"/>
  <c r="W26" i="41"/>
  <c r="AM34" i="39" s="1"/>
  <c r="T26" i="41"/>
  <c r="R27" i="41"/>
  <c r="S27" i="41" s="1"/>
  <c r="M36" i="42" a="1"/>
  <c r="M36" i="42" s="1"/>
  <c r="P36" i="42" s="1"/>
  <c r="H36" i="42" a="1"/>
  <c r="H36" i="42" s="1"/>
  <c r="N22" i="42"/>
  <c r="N21" i="42" s="1"/>
  <c r="U23" i="42"/>
  <c r="D10" i="44"/>
  <c r="P28" i="43"/>
  <c r="Q28" i="43" s="1"/>
  <c r="R28" i="43" s="1"/>
  <c r="P28" i="41" s="1"/>
  <c r="I64" i="35"/>
  <c r="R64" i="35" s="1"/>
  <c r="I63" i="35"/>
  <c r="R63" i="35" s="1"/>
  <c r="H64" i="35"/>
  <c r="I65" i="35" s="1"/>
  <c r="R65" i="35" s="1"/>
  <c r="L25" i="43"/>
  <c r="S26" i="43"/>
  <c r="W69" i="31"/>
  <c r="N22" i="31"/>
  <c r="L22" i="31"/>
  <c r="H22" i="31"/>
  <c r="J28" i="31"/>
  <c r="K20" i="31"/>
  <c r="G20" i="31"/>
  <c r="AC34" i="35"/>
  <c r="I22" i="23"/>
  <c r="AB30" i="23" s="1"/>
  <c r="M100" i="53" l="1"/>
  <c r="BE15" i="39"/>
  <c r="BF15" i="39"/>
  <c r="BG15" i="39"/>
  <c r="BH15" i="39"/>
  <c r="U20" i="52"/>
  <c r="U19" i="52"/>
  <c r="G20" i="52"/>
  <c r="J20" i="52" s="1"/>
  <c r="CG15" i="38"/>
  <c r="AI46" i="48"/>
  <c r="AI45" i="48"/>
  <c r="AI44" i="48"/>
  <c r="AI48" i="48"/>
  <c r="AI47" i="48"/>
  <c r="AN32" i="39"/>
  <c r="BX13" i="38"/>
  <c r="BY13" i="38"/>
  <c r="BZ13" i="38"/>
  <c r="CA13" i="38"/>
  <c r="CB13" i="38"/>
  <c r="CC13" i="38"/>
  <c r="X25" i="41"/>
  <c r="AH34" i="35"/>
  <c r="H65" i="35" s="1"/>
  <c r="AC35" i="35"/>
  <c r="O29" i="41"/>
  <c r="W27" i="41"/>
  <c r="AM35" i="39" s="1"/>
  <c r="T27" i="41"/>
  <c r="R28" i="41"/>
  <c r="S28" i="41" s="1"/>
  <c r="M37" i="42" a="1"/>
  <c r="M37" i="42" s="1"/>
  <c r="P37" i="42" s="1"/>
  <c r="Q23" i="42"/>
  <c r="H37" i="42" a="1"/>
  <c r="H37" i="42" s="1"/>
  <c r="Q24" i="42"/>
  <c r="D11" i="44"/>
  <c r="J22" i="23"/>
  <c r="P29" i="43"/>
  <c r="W70" i="31"/>
  <c r="J29" i="31"/>
  <c r="K24" i="31"/>
  <c r="Z65" i="31" s="1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6" i="15"/>
  <c r="G16" i="15"/>
  <c r="F16" i="15"/>
  <c r="E16" i="15"/>
  <c r="D16" i="15"/>
  <c r="C16" i="15"/>
  <c r="B16" i="15"/>
  <c r="H15" i="15"/>
  <c r="G15" i="15"/>
  <c r="F15" i="15"/>
  <c r="E15" i="15"/>
  <c r="D15" i="15"/>
  <c r="C15" i="15"/>
  <c r="B15" i="15"/>
  <c r="U18" i="52" l="1"/>
  <c r="P31" i="52" s="1"/>
  <c r="E7" i="52"/>
  <c r="B33" i="52" s="1"/>
  <c r="M38" i="42" a="1"/>
  <c r="M38" i="42" s="1"/>
  <c r="P38" i="42" s="1"/>
  <c r="H38" i="42" a="1"/>
  <c r="H38" i="42" s="1"/>
  <c r="H73" i="35"/>
  <c r="I74" i="35" s="1"/>
  <c r="H79" i="35"/>
  <c r="I80" i="35" s="1"/>
  <c r="H75" i="35"/>
  <c r="I76" i="35" s="1"/>
  <c r="H80" i="35"/>
  <c r="I81" i="35" s="1"/>
  <c r="H81" i="35"/>
  <c r="I82" i="35" s="1"/>
  <c r="H74" i="35"/>
  <c r="I75" i="35" s="1"/>
  <c r="H77" i="35"/>
  <c r="I78" i="35" s="1"/>
  <c r="H84" i="35"/>
  <c r="I85" i="35" s="1"/>
  <c r="H85" i="35"/>
  <c r="H82" i="35"/>
  <c r="I83" i="35" s="1"/>
  <c r="H76" i="35"/>
  <c r="I77" i="35" s="1"/>
  <c r="H83" i="35"/>
  <c r="I84" i="35" s="1"/>
  <c r="H78" i="35"/>
  <c r="I79" i="35" s="1"/>
  <c r="AH35" i="35"/>
  <c r="AC36" i="35"/>
  <c r="C23" i="31"/>
  <c r="AD30" i="23"/>
  <c r="O30" i="41"/>
  <c r="T28" i="41"/>
  <c r="W28" i="41"/>
  <c r="AM36" i="39" s="1"/>
  <c r="D12" i="44"/>
  <c r="I66" i="35"/>
  <c r="R66" i="35" s="1"/>
  <c r="H67" i="35"/>
  <c r="I68" i="35" s="1"/>
  <c r="R68" i="35" s="1"/>
  <c r="H68" i="35"/>
  <c r="I69" i="35" s="1"/>
  <c r="R69" i="35" s="1"/>
  <c r="H69" i="35"/>
  <c r="I70" i="35" s="1"/>
  <c r="R70" i="35" s="1"/>
  <c r="H70" i="35"/>
  <c r="I71" i="35" s="1"/>
  <c r="R71" i="35" s="1"/>
  <c r="H71" i="35"/>
  <c r="I72" i="35" s="1"/>
  <c r="R72" i="35" s="1"/>
  <c r="R73" i="35" s="1"/>
  <c r="R74" i="35" s="1"/>
  <c r="R75" i="35" s="1"/>
  <c r="R76" i="35" s="1"/>
  <c r="R77" i="35" s="1"/>
  <c r="H72" i="35"/>
  <c r="I73" i="35" s="1"/>
  <c r="H66" i="35"/>
  <c r="I67" i="35" s="1"/>
  <c r="R67" i="35" s="1"/>
  <c r="Q29" i="43"/>
  <c r="R29" i="43" s="1"/>
  <c r="P29" i="41" s="1"/>
  <c r="P30" i="43"/>
  <c r="Q30" i="43" s="1"/>
  <c r="W71" i="31"/>
  <c r="Y65" i="31"/>
  <c r="Y66" i="31"/>
  <c r="H24" i="31"/>
  <c r="O24" i="31" s="1"/>
  <c r="AB31" i="23" s="1"/>
  <c r="J30" i="31"/>
  <c r="K25" i="31"/>
  <c r="Z66" i="31" s="1"/>
  <c r="L24" i="31"/>
  <c r="H16" i="21"/>
  <c r="G16" i="21"/>
  <c r="F16" i="21"/>
  <c r="E16" i="21"/>
  <c r="D16" i="21"/>
  <c r="C16" i="21"/>
  <c r="B16" i="21"/>
  <c r="G15" i="21"/>
  <c r="F15" i="21"/>
  <c r="E15" i="21"/>
  <c r="D15" i="21"/>
  <c r="C15" i="21"/>
  <c r="B15" i="21"/>
  <c r="H15" i="21"/>
  <c r="F30" i="21"/>
  <c r="F30" i="15"/>
  <c r="F30" i="17"/>
  <c r="F30" i="16"/>
  <c r="D32" i="21"/>
  <c r="C34" i="16"/>
  <c r="C35" i="15"/>
  <c r="D33" i="21"/>
  <c r="F36" i="16"/>
  <c r="F36" i="17"/>
  <c r="C35" i="16"/>
  <c r="F36" i="15"/>
  <c r="E33" i="15"/>
  <c r="C35" i="17"/>
  <c r="C36" i="15"/>
  <c r="E35" i="16"/>
  <c r="D34" i="17"/>
  <c r="E34" i="21"/>
  <c r="F31" i="17"/>
  <c r="E32" i="21"/>
  <c r="D35" i="17"/>
  <c r="C33" i="16"/>
  <c r="C34" i="17"/>
  <c r="F32" i="21"/>
  <c r="C33" i="21"/>
  <c r="C31" i="21"/>
  <c r="D34" i="21"/>
  <c r="D36" i="17"/>
  <c r="E32" i="16"/>
  <c r="D32" i="15"/>
  <c r="D31" i="17"/>
  <c r="E36" i="16"/>
  <c r="C32" i="16"/>
  <c r="F31" i="16"/>
  <c r="C36" i="16"/>
  <c r="F34" i="16"/>
  <c r="D33" i="15"/>
  <c r="D36" i="21"/>
  <c r="D31" i="21"/>
  <c r="F32" i="16"/>
  <c r="D35" i="16"/>
  <c r="D33" i="17"/>
  <c r="C33" i="17"/>
  <c r="E35" i="15"/>
  <c r="D34" i="15"/>
  <c r="D32" i="17"/>
  <c r="E34" i="15"/>
  <c r="E34" i="16"/>
  <c r="C32" i="21"/>
  <c r="C36" i="21"/>
  <c r="D36" i="15"/>
  <c r="D33" i="16"/>
  <c r="E32" i="17"/>
  <c r="E34" i="17"/>
  <c r="C32" i="17"/>
  <c r="C35" i="21"/>
  <c r="C31" i="16"/>
  <c r="E33" i="16"/>
  <c r="C33" i="15"/>
  <c r="D31" i="15"/>
  <c r="C36" i="17"/>
  <c r="E36" i="21"/>
  <c r="E36" i="15"/>
  <c r="D32" i="16"/>
  <c r="E35" i="21"/>
  <c r="C32" i="15"/>
  <c r="F35" i="17"/>
  <c r="E31" i="17"/>
  <c r="E35" i="17"/>
  <c r="D35" i="21"/>
  <c r="D34" i="16"/>
  <c r="D35" i="15"/>
  <c r="D31" i="16"/>
  <c r="E36" i="17"/>
  <c r="E31" i="16"/>
  <c r="E33" i="17"/>
  <c r="E31" i="21"/>
  <c r="C31" i="15"/>
  <c r="D36" i="16"/>
  <c r="C31" i="17"/>
  <c r="E32" i="15"/>
  <c r="C34" i="21"/>
  <c r="C34" i="15"/>
  <c r="E33" i="21"/>
  <c r="E31" i="15"/>
  <c r="AN34" i="39" l="1"/>
  <c r="BG14" i="23"/>
  <c r="AY14" i="23"/>
  <c r="AX14" i="23"/>
  <c r="AW14" i="23"/>
  <c r="AV14" i="23"/>
  <c r="AT14" i="23"/>
  <c r="AU14" i="23"/>
  <c r="H39" i="42" a="1"/>
  <c r="H39" i="42" s="1"/>
  <c r="M39" i="42" a="1"/>
  <c r="M39" i="42" s="1"/>
  <c r="P39" i="42" s="1"/>
  <c r="R78" i="35"/>
  <c r="R79" i="35" s="1"/>
  <c r="R80" i="35" s="1"/>
  <c r="R81" i="35" s="1"/>
  <c r="R82" i="35" s="1"/>
  <c r="R83" i="35" s="1"/>
  <c r="R84" i="35" s="1"/>
  <c r="R85" i="35" s="1"/>
  <c r="AH36" i="35"/>
  <c r="AC37" i="35"/>
  <c r="N23" i="31"/>
  <c r="H23" i="31"/>
  <c r="O23" i="31" s="1"/>
  <c r="L23" i="31"/>
  <c r="O31" i="41"/>
  <c r="R29" i="41"/>
  <c r="S29" i="41" s="1"/>
  <c r="D13" i="44"/>
  <c r="J31" i="31"/>
  <c r="J32" i="31" s="1"/>
  <c r="J33" i="31" s="1"/>
  <c r="J34" i="31" s="1"/>
  <c r="J35" i="31" s="1"/>
  <c r="J36" i="31" s="1"/>
  <c r="J37" i="31" s="1"/>
  <c r="J38" i="31" s="1"/>
  <c r="R30" i="43"/>
  <c r="P30" i="41" s="1"/>
  <c r="P31" i="43"/>
  <c r="Q31" i="43" s="1"/>
  <c r="Y67" i="31"/>
  <c r="H25" i="31"/>
  <c r="O25" i="31" s="1"/>
  <c r="AB32" i="23" s="1"/>
  <c r="P24" i="31"/>
  <c r="AC31" i="23" s="1"/>
  <c r="K26" i="31"/>
  <c r="Z67" i="31" s="1"/>
  <c r="L25" i="3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2" i="5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F36" i="21"/>
  <c r="F34" i="17"/>
  <c r="F33" i="17"/>
  <c r="F33" i="15"/>
  <c r="F32" i="17"/>
  <c r="F31" i="15"/>
  <c r="F33" i="21"/>
  <c r="F35" i="16"/>
  <c r="F34" i="15"/>
  <c r="F34" i="21"/>
  <c r="F31" i="21"/>
  <c r="F35" i="15"/>
  <c r="F32" i="15"/>
  <c r="F35" i="21"/>
  <c r="F33" i="16"/>
  <c r="AA44" i="48" l="1"/>
  <c r="AM33" i="48" s="1"/>
  <c r="AA47" i="48"/>
  <c r="AA48" i="48"/>
  <c r="BG13" i="23"/>
  <c r="AA46" i="48"/>
  <c r="AA45" i="48"/>
  <c r="Q24" i="31"/>
  <c r="BC14" i="23"/>
  <c r="BB14" i="23"/>
  <c r="BF14" i="23"/>
  <c r="BD14" i="23"/>
  <c r="BE14" i="23"/>
  <c r="AZ14" i="23"/>
  <c r="BG15" i="23"/>
  <c r="AV15" i="23"/>
  <c r="AT15" i="23"/>
  <c r="AY15" i="23"/>
  <c r="AX15" i="23"/>
  <c r="AW15" i="23"/>
  <c r="AU15" i="23"/>
  <c r="AY13" i="23"/>
  <c r="AU13" i="23"/>
  <c r="AX13" i="23"/>
  <c r="AW13" i="23"/>
  <c r="AV13" i="23"/>
  <c r="AT13" i="23"/>
  <c r="M40" i="42" a="1"/>
  <c r="M40" i="42" s="1"/>
  <c r="P40" i="42" s="1"/>
  <c r="H40" i="42" a="1"/>
  <c r="H40" i="42" s="1"/>
  <c r="J39" i="31"/>
  <c r="AH37" i="35"/>
  <c r="AC38" i="35"/>
  <c r="P23" i="31"/>
  <c r="M23" i="31"/>
  <c r="I23" i="31"/>
  <c r="M24" i="31"/>
  <c r="I24" i="31"/>
  <c r="O32" i="41"/>
  <c r="T29" i="41"/>
  <c r="W29" i="41"/>
  <c r="AM37" i="39" s="1"/>
  <c r="R30" i="41"/>
  <c r="S30" i="41" s="1"/>
  <c r="D14" i="44"/>
  <c r="R31" i="43"/>
  <c r="P31" i="41" s="1"/>
  <c r="P32" i="43"/>
  <c r="Q32" i="43" s="1"/>
  <c r="I25" i="31"/>
  <c r="M25" i="31"/>
  <c r="P25" i="31"/>
  <c r="AC32" i="23" s="1"/>
  <c r="L26" i="31"/>
  <c r="AZ13" i="23" l="1"/>
  <c r="AM34" i="48"/>
  <c r="AM35" i="48"/>
  <c r="AG47" i="48"/>
  <c r="AG46" i="48"/>
  <c r="AM37" i="48"/>
  <c r="AG44" i="48"/>
  <c r="AG48" i="48"/>
  <c r="AM36" i="48"/>
  <c r="AG45" i="48"/>
  <c r="AN35" i="39"/>
  <c r="Q25" i="31"/>
  <c r="BC15" i="23"/>
  <c r="BB15" i="23"/>
  <c r="BD15" i="23"/>
  <c r="BE15" i="23"/>
  <c r="BF15" i="23"/>
  <c r="Q23" i="31"/>
  <c r="BB13" i="23"/>
  <c r="BC13" i="23"/>
  <c r="BD13" i="23"/>
  <c r="BE13" i="23"/>
  <c r="BF13" i="23"/>
  <c r="AZ15" i="23"/>
  <c r="H41" i="42" a="1"/>
  <c r="H41" i="42" s="1"/>
  <c r="M41" i="42" a="1"/>
  <c r="M41" i="42" s="1"/>
  <c r="P41" i="42" s="1"/>
  <c r="J40" i="31"/>
  <c r="AC39" i="35"/>
  <c r="AH38" i="35"/>
  <c r="O33" i="41"/>
  <c r="W30" i="41"/>
  <c r="AM38" i="39" s="1"/>
  <c r="T30" i="41"/>
  <c r="R31" i="41"/>
  <c r="S31" i="41" s="1"/>
  <c r="D15" i="44"/>
  <c r="R32" i="43"/>
  <c r="P32" i="41" s="1"/>
  <c r="P33" i="43"/>
  <c r="Q33" i="43" s="1"/>
  <c r="M26" i="31"/>
  <c r="P26" i="31"/>
  <c r="AC33" i="23" s="1"/>
  <c r="AN36" i="39" l="1"/>
  <c r="BC16" i="23"/>
  <c r="BD16" i="23"/>
  <c r="BE16" i="23"/>
  <c r="BF16" i="23"/>
  <c r="BB16" i="23"/>
  <c r="M42" i="42" a="1"/>
  <c r="M42" i="42" s="1"/>
  <c r="P42" i="42" s="1"/>
  <c r="H42" i="42" a="1"/>
  <c r="H42" i="42" s="1"/>
  <c r="J41" i="31"/>
  <c r="AH39" i="35"/>
  <c r="AC40" i="35"/>
  <c r="O34" i="41"/>
  <c r="T31" i="41"/>
  <c r="W31" i="41"/>
  <c r="AM39" i="39" s="1"/>
  <c r="R32" i="41"/>
  <c r="S32" i="41" s="1"/>
  <c r="D16" i="44"/>
  <c r="R33" i="43"/>
  <c r="P33" i="41" s="1"/>
  <c r="P34" i="43"/>
  <c r="Q34" i="43" s="1"/>
  <c r="AN38" i="39" l="1"/>
  <c r="AN37" i="39"/>
  <c r="H43" i="42" a="1"/>
  <c r="H43" i="42" s="1"/>
  <c r="M43" i="42" a="1"/>
  <c r="M43" i="42" s="1"/>
  <c r="P43" i="42" s="1"/>
  <c r="J42" i="31"/>
  <c r="AH40" i="35"/>
  <c r="AC41" i="35"/>
  <c r="O35" i="41"/>
  <c r="T32" i="41"/>
  <c r="W32" i="41"/>
  <c r="AM40" i="39" s="1"/>
  <c r="R33" i="41"/>
  <c r="S33" i="41" s="1"/>
  <c r="D17" i="44"/>
  <c r="R34" i="43"/>
  <c r="P34" i="41" s="1"/>
  <c r="P35" i="43"/>
  <c r="Q35" i="43" s="1"/>
  <c r="M44" i="42" l="1" a="1"/>
  <c r="M44" i="42" s="1"/>
  <c r="P44" i="42" s="1"/>
  <c r="H44" i="42" a="1"/>
  <c r="H44" i="42" s="1"/>
  <c r="J43" i="31"/>
  <c r="AH41" i="35"/>
  <c r="AC42" i="35"/>
  <c r="O36" i="41"/>
  <c r="W33" i="41"/>
  <c r="AM41" i="39" s="1"/>
  <c r="T33" i="41"/>
  <c r="R34" i="41"/>
  <c r="S34" i="41" s="1"/>
  <c r="D18" i="44"/>
  <c r="R35" i="43"/>
  <c r="P35" i="41" s="1"/>
  <c r="P36" i="43"/>
  <c r="Q36" i="43" s="1"/>
  <c r="AN39" i="39" l="1"/>
  <c r="H45" i="42" a="1"/>
  <c r="H45" i="42" s="1"/>
  <c r="M45" i="42" a="1"/>
  <c r="M45" i="42" s="1"/>
  <c r="P45" i="42" s="1"/>
  <c r="J44" i="31"/>
  <c r="AH42" i="35"/>
  <c r="AC43" i="35"/>
  <c r="O37" i="41"/>
  <c r="O38" i="41" s="1"/>
  <c r="O39" i="41" s="1"/>
  <c r="O40" i="41" s="1"/>
  <c r="O41" i="41" s="1"/>
  <c r="O42" i="41" s="1"/>
  <c r="O43" i="41" s="1"/>
  <c r="O44" i="41" s="1"/>
  <c r="O45" i="41" s="1"/>
  <c r="T34" i="41"/>
  <c r="W34" i="41"/>
  <c r="AM42" i="39" s="1"/>
  <c r="R35" i="41"/>
  <c r="S35" i="41" s="1"/>
  <c r="D19" i="44"/>
  <c r="R36" i="43"/>
  <c r="P36" i="41" s="1"/>
  <c r="P37" i="43"/>
  <c r="AN41" i="39" l="1"/>
  <c r="AN40" i="39"/>
  <c r="J45" i="31"/>
  <c r="AH43" i="35"/>
  <c r="AC44" i="35"/>
  <c r="W35" i="41"/>
  <c r="AM43" i="39" s="1"/>
  <c r="T35" i="41"/>
  <c r="R36" i="41"/>
  <c r="S36" i="41" s="1"/>
  <c r="D20" i="44"/>
  <c r="P38" i="43"/>
  <c r="Q38" i="43" s="1"/>
  <c r="Q37" i="43"/>
  <c r="R37" i="43" s="1"/>
  <c r="P37" i="41" s="1"/>
  <c r="AN42" i="39" l="1"/>
  <c r="AC45" i="35"/>
  <c r="AH44" i="35"/>
  <c r="T36" i="41"/>
  <c r="W36" i="41"/>
  <c r="AM44" i="39" s="1"/>
  <c r="R37" i="41"/>
  <c r="S37" i="41" s="1"/>
  <c r="D21" i="44"/>
  <c r="R38" i="43"/>
  <c r="P38" i="41" s="1"/>
  <c r="R38" i="41" s="1"/>
  <c r="S38" i="41" s="1"/>
  <c r="W38" i="41" s="1"/>
  <c r="AM46" i="39" s="1"/>
  <c r="P39" i="43"/>
  <c r="Q39" i="43" s="1"/>
  <c r="AN43" i="39" l="1"/>
  <c r="T38" i="41"/>
  <c r="AH45" i="35"/>
  <c r="AC46" i="35"/>
  <c r="T37" i="41"/>
  <c r="W37" i="41"/>
  <c r="AM45" i="39" s="1"/>
  <c r="D22" i="44"/>
  <c r="R39" i="43"/>
  <c r="P39" i="41" s="1"/>
  <c r="R39" i="41" s="1"/>
  <c r="S39" i="41" s="1"/>
  <c r="P40" i="43"/>
  <c r="Q40" i="43" s="1"/>
  <c r="AN44" i="39" l="1"/>
  <c r="W39" i="41"/>
  <c r="AM47" i="39" s="1"/>
  <c r="T39" i="41"/>
  <c r="AH46" i="35"/>
  <c r="AC47" i="35"/>
  <c r="R40" i="43"/>
  <c r="P40" i="41" s="1"/>
  <c r="R40" i="41" s="1"/>
  <c r="S40" i="41" s="1"/>
  <c r="P41" i="43"/>
  <c r="Q41" i="43" s="1"/>
  <c r="W40" i="41" l="1"/>
  <c r="AM48" i="39" s="1"/>
  <c r="T40" i="41"/>
  <c r="AH47" i="35"/>
  <c r="AC48" i="35"/>
  <c r="R41" i="43"/>
  <c r="P41" i="41" s="1"/>
  <c r="R41" i="41" s="1"/>
  <c r="S41" i="41" s="1"/>
  <c r="P42" i="43"/>
  <c r="Q42" i="43" s="1"/>
  <c r="AN45" i="39" l="1"/>
  <c r="AN46" i="39"/>
  <c r="W41" i="41"/>
  <c r="T41" i="41"/>
  <c r="AH48" i="35"/>
  <c r="AC49" i="35"/>
  <c r="R42" i="43"/>
  <c r="P42" i="41" s="1"/>
  <c r="R42" i="41" s="1"/>
  <c r="S42" i="41" s="1"/>
  <c r="P43" i="43"/>
  <c r="Q43" i="43" s="1"/>
  <c r="AN47" i="39" l="1"/>
  <c r="W42" i="41"/>
  <c r="T42" i="41"/>
  <c r="AC50" i="35"/>
  <c r="AH49" i="35"/>
  <c r="R43" i="43"/>
  <c r="P43" i="41" s="1"/>
  <c r="R43" i="41" s="1"/>
  <c r="S43" i="41" s="1"/>
  <c r="P44" i="43"/>
  <c r="Q44" i="43" s="1"/>
  <c r="I62" i="35"/>
  <c r="Q62" i="35"/>
  <c r="Q63" i="35" s="1"/>
  <c r="Q64" i="35" s="1"/>
  <c r="W63" i="35" s="1"/>
  <c r="T43" i="41" l="1"/>
  <c r="W43" i="41"/>
  <c r="AH50" i="35"/>
  <c r="AC51" i="35"/>
  <c r="R44" i="43"/>
  <c r="P44" i="41" s="1"/>
  <c r="R44" i="41" s="1"/>
  <c r="S44" i="41" s="1"/>
  <c r="P45" i="43"/>
  <c r="Q45" i="43" s="1"/>
  <c r="K27" i="31"/>
  <c r="K28" i="31" s="1"/>
  <c r="K29" i="31" s="1"/>
  <c r="Q65" i="35"/>
  <c r="W64" i="35" s="1"/>
  <c r="W62" i="35"/>
  <c r="AN48" i="39" l="1"/>
  <c r="W44" i="41"/>
  <c r="T44" i="41"/>
  <c r="AC52" i="35"/>
  <c r="AH51" i="35"/>
  <c r="R45" i="43"/>
  <c r="P45" i="41" s="1"/>
  <c r="R45" i="41" s="1"/>
  <c r="S45" i="41" s="1"/>
  <c r="P46" i="43"/>
  <c r="Q46" i="43" s="1"/>
  <c r="Z68" i="31"/>
  <c r="L28" i="31"/>
  <c r="Z69" i="31"/>
  <c r="L27" i="31"/>
  <c r="M27" i="31" s="1"/>
  <c r="K30" i="31"/>
  <c r="L29" i="31"/>
  <c r="Z70" i="31"/>
  <c r="Q66" i="35"/>
  <c r="W65" i="35" s="1"/>
  <c r="W45" i="41" l="1"/>
  <c r="T45" i="41"/>
  <c r="AH52" i="35"/>
  <c r="AC53" i="35"/>
  <c r="R46" i="43"/>
  <c r="P47" i="43"/>
  <c r="Q47" i="43" s="1"/>
  <c r="M28" i="31"/>
  <c r="P28" i="31"/>
  <c r="AC35" i="23" s="1"/>
  <c r="P27" i="31"/>
  <c r="AC34" i="23" s="1"/>
  <c r="S27" i="43"/>
  <c r="M29" i="31"/>
  <c r="P29" i="31"/>
  <c r="AC36" i="23" s="1"/>
  <c r="Q67" i="35"/>
  <c r="W66" i="35" s="1"/>
  <c r="L30" i="31"/>
  <c r="K31" i="31"/>
  <c r="Z71" i="31"/>
  <c r="BC19" i="23" l="1"/>
  <c r="BB19" i="23"/>
  <c r="BE19" i="23"/>
  <c r="BF19" i="23"/>
  <c r="BD19" i="23"/>
  <c r="BC17" i="23"/>
  <c r="BB17" i="23"/>
  <c r="BF17" i="23"/>
  <c r="BD17" i="23"/>
  <c r="BE17" i="23"/>
  <c r="BC18" i="23"/>
  <c r="BB18" i="23"/>
  <c r="BE18" i="23"/>
  <c r="BD18" i="23"/>
  <c r="BF18" i="23"/>
  <c r="AC54" i="35"/>
  <c r="AH54" i="35" s="1"/>
  <c r="AH53" i="35"/>
  <c r="R47" i="43"/>
  <c r="P48" i="43"/>
  <c r="Q48" i="43" s="1"/>
  <c r="S28" i="43"/>
  <c r="K32" i="31"/>
  <c r="Z72" i="31"/>
  <c r="L31" i="31"/>
  <c r="P30" i="31"/>
  <c r="AC37" i="23" s="1"/>
  <c r="M30" i="31"/>
  <c r="Q68" i="35"/>
  <c r="W67" i="35" s="1"/>
  <c r="BC20" i="23" l="1"/>
  <c r="BD20" i="23"/>
  <c r="BE20" i="23"/>
  <c r="BB20" i="23"/>
  <c r="BF20" i="23"/>
  <c r="R48" i="43"/>
  <c r="P49" i="43"/>
  <c r="Q49" i="43" s="1"/>
  <c r="S29" i="43"/>
  <c r="Q69" i="35"/>
  <c r="W68" i="35" s="1"/>
  <c r="M31" i="31"/>
  <c r="P31" i="31"/>
  <c r="AC38" i="23" s="1"/>
  <c r="L32" i="31"/>
  <c r="K33" i="31"/>
  <c r="Z73" i="31"/>
  <c r="BC21" i="23" l="1"/>
  <c r="BE21" i="23"/>
  <c r="BD21" i="23"/>
  <c r="BF21" i="23"/>
  <c r="BB21" i="23"/>
  <c r="R49" i="43"/>
  <c r="P50" i="43"/>
  <c r="Q50" i="43" s="1"/>
  <c r="S30" i="43"/>
  <c r="L33" i="31"/>
  <c r="Z74" i="31"/>
  <c r="K34" i="31"/>
  <c r="P32" i="31"/>
  <c r="AC39" i="23" s="1"/>
  <c r="M32" i="31"/>
  <c r="Q70" i="35"/>
  <c r="W69" i="35" s="1"/>
  <c r="BC22" i="23" l="1"/>
  <c r="BE22" i="23"/>
  <c r="BB22" i="23"/>
  <c r="BF22" i="23"/>
  <c r="BD22" i="23"/>
  <c r="R50" i="43"/>
  <c r="S31" i="43"/>
  <c r="Q71" i="35"/>
  <c r="W70" i="35" s="1"/>
  <c r="K35" i="31"/>
  <c r="L34" i="31"/>
  <c r="Z75" i="31"/>
  <c r="M33" i="31"/>
  <c r="P33" i="31"/>
  <c r="AC40" i="23" s="1"/>
  <c r="BC23" i="23" l="1"/>
  <c r="BD23" i="23"/>
  <c r="BE23" i="23"/>
  <c r="BB23" i="23"/>
  <c r="BF23" i="23"/>
  <c r="S32" i="43"/>
  <c r="P34" i="31"/>
  <c r="AC41" i="23" s="1"/>
  <c r="M34" i="31"/>
  <c r="K36" i="31"/>
  <c r="Z76" i="31"/>
  <c r="L35" i="31"/>
  <c r="Q72" i="35"/>
  <c r="W71" i="35" s="1"/>
  <c r="BC24" i="23" l="1"/>
  <c r="BD24" i="23"/>
  <c r="BE24" i="23"/>
  <c r="BF24" i="23"/>
  <c r="BB24" i="23"/>
  <c r="Q73" i="35"/>
  <c r="S33" i="43"/>
  <c r="P35" i="31"/>
  <c r="AC42" i="23" s="1"/>
  <c r="M35" i="31"/>
  <c r="Z77" i="31"/>
  <c r="L36" i="31"/>
  <c r="K37" i="31"/>
  <c r="K38" i="31" s="1"/>
  <c r="BC25" i="23" l="1"/>
  <c r="BE25" i="23"/>
  <c r="BF25" i="23"/>
  <c r="BB25" i="23"/>
  <c r="BD25" i="23"/>
  <c r="K39" i="31"/>
  <c r="L38" i="31"/>
  <c r="Q74" i="35"/>
  <c r="W72" i="35"/>
  <c r="S34" i="43"/>
  <c r="L37" i="31"/>
  <c r="Z78" i="31"/>
  <c r="P36" i="31"/>
  <c r="AC43" i="23" s="1"/>
  <c r="M36" i="31"/>
  <c r="BC26" i="23" l="1"/>
  <c r="BB26" i="23"/>
  <c r="BE26" i="23"/>
  <c r="BF26" i="23"/>
  <c r="BD26" i="23"/>
  <c r="P38" i="31"/>
  <c r="AC45" i="23" s="1"/>
  <c r="M38" i="31"/>
  <c r="K40" i="31"/>
  <c r="L39" i="31"/>
  <c r="Q75" i="35"/>
  <c r="W73" i="35"/>
  <c r="S35" i="43"/>
  <c r="P37" i="31"/>
  <c r="AC44" i="23" s="1"/>
  <c r="M37" i="31"/>
  <c r="BC27" i="23" l="1"/>
  <c r="BD27" i="23"/>
  <c r="BE27" i="23"/>
  <c r="BF27" i="23"/>
  <c r="BB27" i="23"/>
  <c r="BC28" i="23"/>
  <c r="BE28" i="23"/>
  <c r="BB28" i="23"/>
  <c r="BF28" i="23"/>
  <c r="BD28" i="23"/>
  <c r="P39" i="31"/>
  <c r="AC46" i="23" s="1"/>
  <c r="M39" i="31"/>
  <c r="K41" i="31"/>
  <c r="L40" i="31"/>
  <c r="Q76" i="35"/>
  <c r="W74" i="35"/>
  <c r="S36" i="43"/>
  <c r="S38" i="43"/>
  <c r="M60" i="35"/>
  <c r="M61" i="35" s="1"/>
  <c r="M62" i="35" l="1"/>
  <c r="M63" i="35" s="1"/>
  <c r="BC29" i="23"/>
  <c r="BB29" i="23"/>
  <c r="BE29" i="23"/>
  <c r="BD29" i="23"/>
  <c r="BF29" i="23"/>
  <c r="M40" i="31"/>
  <c r="P40" i="31"/>
  <c r="AC47" i="23" s="1"/>
  <c r="K42" i="31"/>
  <c r="L41" i="31"/>
  <c r="W75" i="35"/>
  <c r="Q77" i="35"/>
  <c r="S39" i="43"/>
  <c r="S37" i="43"/>
  <c r="U62" i="35" l="1"/>
  <c r="M64" i="35"/>
  <c r="U63" i="35" s="1"/>
  <c r="O13" i="48"/>
  <c r="AG13" i="48"/>
  <c r="BC30" i="23"/>
  <c r="BB30" i="23"/>
  <c r="BD30" i="23"/>
  <c r="BE30" i="23"/>
  <c r="BF30" i="23"/>
  <c r="P41" i="31"/>
  <c r="M41" i="31"/>
  <c r="K43" i="31"/>
  <c r="L42" i="31"/>
  <c r="Q78" i="35"/>
  <c r="W76" i="35"/>
  <c r="S40" i="43"/>
  <c r="M65" i="35" l="1"/>
  <c r="U64" i="35" s="1"/>
  <c r="AG27" i="48"/>
  <c r="AG26" i="48"/>
  <c r="AG24" i="48"/>
  <c r="AG28" i="48"/>
  <c r="AG25" i="48"/>
  <c r="O10" i="48"/>
  <c r="O24" i="48" s="1"/>
  <c r="AG19" i="48"/>
  <c r="AG39" i="48"/>
  <c r="O8" i="48"/>
  <c r="AG37" i="48"/>
  <c r="AG17" i="48"/>
  <c r="O9" i="48"/>
  <c r="AG18" i="48"/>
  <c r="AG38" i="48"/>
  <c r="O6" i="48"/>
  <c r="O22" i="48" s="1"/>
  <c r="AG35" i="48"/>
  <c r="AG15" i="48"/>
  <c r="O7" i="48"/>
  <c r="O23" i="48" s="1"/>
  <c r="AG36" i="48"/>
  <c r="AG16" i="48"/>
  <c r="BC31" i="23"/>
  <c r="BF31" i="23"/>
  <c r="BD31" i="23"/>
  <c r="BE31" i="23"/>
  <c r="BB31" i="23"/>
  <c r="P42" i="31"/>
  <c r="M42" i="31"/>
  <c r="K44" i="31"/>
  <c r="L43" i="31"/>
  <c r="Q79" i="35"/>
  <c r="W77" i="35"/>
  <c r="S41" i="43"/>
  <c r="M66" i="35" l="1"/>
  <c r="U65" i="35" s="1"/>
  <c r="AT34" i="48"/>
  <c r="AT44" i="48" s="1"/>
  <c r="AT37" i="48"/>
  <c r="AT47" i="48" s="1"/>
  <c r="AT33" i="48"/>
  <c r="AT43" i="48" s="1"/>
  <c r="AT35" i="48"/>
  <c r="AT45" i="48" s="1"/>
  <c r="AT36" i="48"/>
  <c r="AT46" i="48" s="1"/>
  <c r="J43" i="48"/>
  <c r="G40" i="48"/>
  <c r="G41" i="48"/>
  <c r="O25" i="48"/>
  <c r="G42" i="48"/>
  <c r="O26" i="48"/>
  <c r="AG40" i="48"/>
  <c r="G43" i="48"/>
  <c r="BC32" i="23"/>
  <c r="BE32" i="23"/>
  <c r="BB32" i="23"/>
  <c r="BD32" i="23"/>
  <c r="BF32" i="23"/>
  <c r="M43" i="31"/>
  <c r="P43" i="31"/>
  <c r="K45" i="31"/>
  <c r="L45" i="31" s="1"/>
  <c r="L44" i="31"/>
  <c r="W78" i="35"/>
  <c r="Q80" i="35"/>
  <c r="S42" i="43"/>
  <c r="M67" i="35" l="1"/>
  <c r="U66" i="35" s="1"/>
  <c r="BC33" i="23"/>
  <c r="BB33" i="23"/>
  <c r="BF33" i="23"/>
  <c r="BD33" i="23"/>
  <c r="BE33" i="23"/>
  <c r="M44" i="31"/>
  <c r="P44" i="31"/>
  <c r="M45" i="31"/>
  <c r="P45" i="31"/>
  <c r="Q81" i="35"/>
  <c r="W79" i="35"/>
  <c r="S43" i="43"/>
  <c r="M68" i="35"/>
  <c r="U67" i="35" s="1"/>
  <c r="BC35" i="23" l="1"/>
  <c r="BB35" i="23"/>
  <c r="BD35" i="23"/>
  <c r="BF35" i="23"/>
  <c r="BE35" i="23"/>
  <c r="BC34" i="23"/>
  <c r="BF34" i="23"/>
  <c r="BD34" i="23"/>
  <c r="BE34" i="23"/>
  <c r="BB34" i="23"/>
  <c r="Q82" i="35"/>
  <c r="W80" i="35"/>
  <c r="S44" i="43"/>
  <c r="M69" i="35"/>
  <c r="U68" i="35" s="1"/>
  <c r="Q83" i="35" l="1"/>
  <c r="W81" i="35"/>
  <c r="S45" i="43"/>
  <c r="M70" i="35"/>
  <c r="U69" i="35" s="1"/>
  <c r="Q84" i="35" l="1"/>
  <c r="W82" i="35"/>
  <c r="S46" i="43"/>
  <c r="M71" i="35"/>
  <c r="U70" i="35" s="1"/>
  <c r="Q85" i="35" l="1"/>
  <c r="W84" i="35" s="1"/>
  <c r="W83" i="35"/>
  <c r="S47" i="43"/>
  <c r="M72" i="35"/>
  <c r="U71" i="35" s="1"/>
  <c r="M73" i="35" l="1"/>
  <c r="S48" i="43"/>
  <c r="M74" i="35" l="1"/>
  <c r="U72" i="35"/>
  <c r="S50" i="43"/>
  <c r="S49" i="43"/>
  <c r="M75" i="35" l="1"/>
  <c r="U73" i="35"/>
  <c r="M76" i="35" l="1"/>
  <c r="U74" i="35"/>
  <c r="M77" i="35" l="1"/>
  <c r="U75" i="35"/>
  <c r="M78" i="35" l="1"/>
  <c r="U76" i="35"/>
  <c r="M79" i="35" l="1"/>
  <c r="U77" i="35"/>
  <c r="M80" i="35" l="1"/>
  <c r="U78" i="35"/>
  <c r="M81" i="35" l="1"/>
  <c r="U79" i="35"/>
  <c r="M82" i="35" l="1"/>
  <c r="U80" i="35"/>
  <c r="M83" i="35" l="1"/>
  <c r="U81" i="35"/>
  <c r="M84" i="35" l="1"/>
  <c r="U82" i="35"/>
  <c r="M85" i="35" l="1"/>
  <c r="U84" i="35" s="1"/>
  <c r="U83" i="35"/>
  <c r="E62" i="35" l="1"/>
  <c r="G27" i="31" s="1"/>
  <c r="O62" i="35"/>
  <c r="O63" i="35" s="1"/>
  <c r="V62" i="35" l="1"/>
  <c r="O64" i="35"/>
  <c r="V63" i="35" s="1"/>
  <c r="Y68" i="31"/>
  <c r="G28" i="31"/>
  <c r="O65" i="35" l="1"/>
  <c r="V64" i="35" s="1"/>
  <c r="G29" i="31"/>
  <c r="Y69" i="31"/>
  <c r="O66" i="35" l="1"/>
  <c r="O67" i="35" s="1"/>
  <c r="Y70" i="31"/>
  <c r="G30" i="31"/>
  <c r="V65" i="35" l="1"/>
  <c r="V66" i="35"/>
  <c r="O68" i="35"/>
  <c r="G31" i="31"/>
  <c r="Y71" i="31"/>
  <c r="V67" i="35" l="1"/>
  <c r="O69" i="35"/>
  <c r="G32" i="31"/>
  <c r="Y72" i="31"/>
  <c r="O70" i="35" l="1"/>
  <c r="V68" i="35"/>
  <c r="Y73" i="31"/>
  <c r="G33" i="31"/>
  <c r="G34" i="31" l="1"/>
  <c r="Y74" i="31"/>
  <c r="V69" i="35"/>
  <c r="O71" i="35"/>
  <c r="Y75" i="31" l="1"/>
  <c r="G35" i="31"/>
  <c r="O72" i="35"/>
  <c r="V70" i="35"/>
  <c r="O73" i="35" l="1"/>
  <c r="V71" i="35"/>
  <c r="Y76" i="31"/>
  <c r="G36" i="31"/>
  <c r="G37" i="31" l="1"/>
  <c r="Y77" i="31"/>
  <c r="O74" i="35"/>
  <c r="V72" i="35"/>
  <c r="Y78" i="31" l="1"/>
  <c r="G38" i="31"/>
  <c r="V73" i="35"/>
  <c r="O75" i="35"/>
  <c r="G39" i="31" l="1"/>
  <c r="V74" i="35"/>
  <c r="O76" i="35"/>
  <c r="O77" i="35" l="1"/>
  <c r="V75" i="35"/>
  <c r="G40" i="31"/>
  <c r="G41" i="31" l="1"/>
  <c r="V76" i="35"/>
  <c r="O78" i="35"/>
  <c r="G42" i="31" l="1"/>
  <c r="V77" i="35"/>
  <c r="O79" i="35"/>
  <c r="V78" i="35" l="1"/>
  <c r="O80" i="35"/>
  <c r="G43" i="31"/>
  <c r="O15" i="48" l="1"/>
  <c r="R23" i="48" s="1"/>
  <c r="O17" i="48"/>
  <c r="G44" i="31"/>
  <c r="V79" i="35"/>
  <c r="O81" i="35"/>
  <c r="O14" i="48" l="1"/>
  <c r="R22" i="48" s="1"/>
  <c r="O16" i="48"/>
  <c r="R26" i="48" s="1"/>
  <c r="R25" i="48" s="1"/>
  <c r="O18" i="48"/>
  <c r="R24" i="48" s="1"/>
  <c r="G45" i="31"/>
  <c r="O82" i="35"/>
  <c r="V80" i="35"/>
  <c r="J40" i="48" l="1"/>
  <c r="J42" i="48"/>
  <c r="V81" i="35"/>
  <c r="O83" i="35"/>
  <c r="J41" i="48" l="1"/>
  <c r="O84" i="35"/>
  <c r="V82" i="35"/>
  <c r="O85" i="35" l="1"/>
  <c r="V84" i="35" s="1"/>
  <c r="V83" i="35"/>
  <c r="BF11" i="39"/>
  <c r="BE11" i="39"/>
  <c r="BH11" i="39"/>
  <c r="BD11" i="39"/>
  <c r="BD15" i="39" s="1"/>
  <c r="BG11" i="39"/>
  <c r="BE12" i="39" l="1"/>
  <c r="BL23" i="39"/>
  <c r="N105" i="51" s="1"/>
  <c r="BL20" i="39"/>
  <c r="N102" i="51" s="1"/>
  <c r="BD37" i="39"/>
  <c r="BL24" i="39"/>
  <c r="N106" i="51" s="1"/>
  <c r="BL27" i="39"/>
  <c r="N109" i="51" s="1"/>
  <c r="BL36" i="39"/>
  <c r="BL32" i="39"/>
  <c r="BL12" i="39"/>
  <c r="BL13" i="39"/>
  <c r="BL16" i="39"/>
  <c r="N98" i="51" s="1"/>
  <c r="BO38" i="39"/>
  <c r="BO26" i="39"/>
  <c r="Q108" i="51" s="1"/>
  <c r="BO20" i="39"/>
  <c r="Q102" i="51" s="1"/>
  <c r="BO25" i="39"/>
  <c r="Q107" i="51" s="1"/>
  <c r="BG13" i="39"/>
  <c r="BO34" i="39"/>
  <c r="BG12" i="39"/>
  <c r="BG36" i="39"/>
  <c r="BN33" i="39"/>
  <c r="BF37" i="39"/>
  <c r="BN31" i="39"/>
  <c r="BN19" i="39"/>
  <c r="P101" i="51" s="1"/>
  <c r="BF36" i="39"/>
  <c r="BN29" i="39"/>
  <c r="P111" i="51" s="1"/>
  <c r="BN26" i="39"/>
  <c r="P108" i="51" s="1"/>
  <c r="BN16" i="39"/>
  <c r="P98" i="51" s="1"/>
  <c r="BN28" i="39"/>
  <c r="P110" i="51" s="1"/>
  <c r="BN15" i="39"/>
  <c r="BN24" i="39"/>
  <c r="P106" i="51" s="1"/>
  <c r="BF13" i="39"/>
  <c r="BN12" i="39"/>
  <c r="BN22" i="39"/>
  <c r="P104" i="51" s="1"/>
  <c r="BN37" i="39"/>
  <c r="BL22" i="39"/>
  <c r="N104" i="51" s="1"/>
  <c r="BL37" i="39"/>
  <c r="BP17" i="39"/>
  <c r="R99" i="51" s="1"/>
  <c r="BP25" i="39"/>
  <c r="R107" i="51" s="1"/>
  <c r="BP35" i="39"/>
  <c r="BM13" i="39"/>
  <c r="BM25" i="39"/>
  <c r="O107" i="51" s="1"/>
  <c r="BP36" i="39"/>
  <c r="BO30" i="39"/>
  <c r="Q112" i="51" s="1"/>
  <c r="BO27" i="39"/>
  <c r="Q109" i="51" s="1"/>
  <c r="BO11" i="39"/>
  <c r="BO14" i="39"/>
  <c r="BG14" i="39"/>
  <c r="BO32" i="39"/>
  <c r="BO28" i="39"/>
  <c r="Q110" i="51" s="1"/>
  <c r="BO19" i="39"/>
  <c r="Q101" i="51" s="1"/>
  <c r="BO13" i="39"/>
  <c r="BG38" i="39"/>
  <c r="BO35" i="39"/>
  <c r="BO18" i="39"/>
  <c r="Q100" i="51" s="1"/>
  <c r="BO12" i="39"/>
  <c r="BP38" i="39"/>
  <c r="BP28" i="39"/>
  <c r="R110" i="51" s="1"/>
  <c r="BM11" i="39"/>
  <c r="BM18" i="39"/>
  <c r="O100" i="51" s="1"/>
  <c r="BH37" i="39"/>
  <c r="BP30" i="39"/>
  <c r="R112" i="51" s="1"/>
  <c r="BP27" i="39"/>
  <c r="R109" i="51" s="1"/>
  <c r="BP20" i="39"/>
  <c r="R102" i="51" s="1"/>
  <c r="BH38" i="39"/>
  <c r="BP32" i="39"/>
  <c r="BP26" i="39"/>
  <c r="R108" i="51" s="1"/>
  <c r="BP19" i="39"/>
  <c r="R101" i="51" s="1"/>
  <c r="BP13" i="39"/>
  <c r="BH36" i="39"/>
  <c r="BH14" i="39"/>
  <c r="BP22" i="39"/>
  <c r="R104" i="51" s="1"/>
  <c r="BP18" i="39"/>
  <c r="R100" i="51" s="1"/>
  <c r="BP12" i="39"/>
  <c r="BP14" i="39"/>
  <c r="BP34" i="39"/>
  <c r="BP29" i="39"/>
  <c r="R111" i="51" s="1"/>
  <c r="BP24" i="39"/>
  <c r="R106" i="51" s="1"/>
  <c r="BP11" i="39"/>
  <c r="BP37" i="39"/>
  <c r="BP16" i="39"/>
  <c r="R98" i="51" s="1"/>
  <c r="BO15" i="39"/>
  <c r="BO16" i="39"/>
  <c r="Q98" i="51" s="1"/>
  <c r="BO22" i="39"/>
  <c r="Q104" i="51" s="1"/>
  <c r="BD14" i="39"/>
  <c r="BL14" i="39"/>
  <c r="BL31" i="39"/>
  <c r="BL26" i="39"/>
  <c r="N108" i="51" s="1"/>
  <c r="BD13" i="39"/>
  <c r="BL35" i="39"/>
  <c r="BL29" i="39"/>
  <c r="N111" i="51" s="1"/>
  <c r="BL25" i="39"/>
  <c r="N107" i="51" s="1"/>
  <c r="BL21" i="39"/>
  <c r="N103" i="51" s="1"/>
  <c r="BD12" i="39"/>
  <c r="BL30" i="39"/>
  <c r="N112" i="51" s="1"/>
  <c r="BL34" i="39"/>
  <c r="BL11" i="39"/>
  <c r="BI11" i="39"/>
  <c r="BL33" i="39"/>
  <c r="BL28" i="39"/>
  <c r="N110" i="51" s="1"/>
  <c r="BL15" i="39"/>
  <c r="BD38" i="39"/>
  <c r="BH12" i="39"/>
  <c r="BP21" i="39"/>
  <c r="R103" i="51" s="1"/>
  <c r="BM36" i="39"/>
  <c r="BO36" i="39"/>
  <c r="BO31" i="39"/>
  <c r="BL38" i="39"/>
  <c r="BL18" i="39"/>
  <c r="N100" i="51" s="1"/>
  <c r="BH13" i="39"/>
  <c r="BP31" i="39"/>
  <c r="BM37" i="39"/>
  <c r="BO21" i="39"/>
  <c r="Q103" i="51" s="1"/>
  <c r="BM29" i="39"/>
  <c r="O111" i="51" s="1"/>
  <c r="BM21" i="39"/>
  <c r="O103" i="51" s="1"/>
  <c r="BM17" i="39"/>
  <c r="O99" i="51" s="1"/>
  <c r="BM12" i="39"/>
  <c r="BM30" i="39"/>
  <c r="O112" i="51" s="1"/>
  <c r="BM14" i="39"/>
  <c r="BE14" i="39"/>
  <c r="BM34" i="39"/>
  <c r="BM24" i="39"/>
  <c r="O106" i="51" s="1"/>
  <c r="BM20" i="39"/>
  <c r="O102" i="51" s="1"/>
  <c r="BE38" i="39"/>
  <c r="BM33" i="39"/>
  <c r="BM27" i="39"/>
  <c r="O109" i="51" s="1"/>
  <c r="BM16" i="39"/>
  <c r="O98" i="51" s="1"/>
  <c r="BM28" i="39"/>
  <c r="O110" i="51" s="1"/>
  <c r="BM23" i="39"/>
  <c r="O105" i="51" s="1"/>
  <c r="BM19" i="39"/>
  <c r="O101" i="51" s="1"/>
  <c r="BM15" i="39"/>
  <c r="BE37" i="39"/>
  <c r="BM31" i="39"/>
  <c r="BM26" i="39"/>
  <c r="O108" i="51" s="1"/>
  <c r="BM22" i="39"/>
  <c r="O104" i="51" s="1"/>
  <c r="BE13" i="39"/>
  <c r="BM38" i="39"/>
  <c r="BO37" i="39"/>
  <c r="BO17" i="39"/>
  <c r="Q99" i="51" s="1"/>
  <c r="BO23" i="39"/>
  <c r="Q105" i="51" s="1"/>
  <c r="BO29" i="39"/>
  <c r="Q111" i="51" s="1"/>
  <c r="BL17" i="39"/>
  <c r="N99" i="51" s="1"/>
  <c r="BM32" i="39"/>
  <c r="BG37" i="39"/>
  <c r="BO24" i="39"/>
  <c r="Q106" i="51" s="1"/>
  <c r="BO33" i="39"/>
  <c r="BD36" i="39"/>
  <c r="BL19" i="39"/>
  <c r="N101" i="51" s="1"/>
  <c r="BP15" i="39"/>
  <c r="BP23" i="39"/>
  <c r="R105" i="51" s="1"/>
  <c r="BP33" i="39"/>
  <c r="BE36" i="39"/>
  <c r="BM35" i="39"/>
  <c r="BN38" i="39"/>
  <c r="BN27" i="39"/>
  <c r="P109" i="51" s="1"/>
  <c r="BF14" i="39"/>
  <c r="BN14" i="39"/>
  <c r="BF38" i="39"/>
  <c r="BN11" i="39"/>
  <c r="BN20" i="39"/>
  <c r="P102" i="51" s="1"/>
  <c r="BN34" i="39"/>
  <c r="BN30" i="39"/>
  <c r="P112" i="51" s="1"/>
  <c r="BN17" i="39"/>
  <c r="P99" i="51" s="1"/>
  <c r="BN21" i="39"/>
  <c r="P103" i="51" s="1"/>
  <c r="BN25" i="39"/>
  <c r="P107" i="51" s="1"/>
  <c r="BF12" i="39"/>
  <c r="BN18" i="39"/>
  <c r="P100" i="51" s="1"/>
  <c r="BN35" i="39"/>
  <c r="BN36" i="39"/>
  <c r="BN13" i="39"/>
  <c r="BN23" i="39"/>
  <c r="P105" i="51" s="1"/>
  <c r="BN32" i="39"/>
  <c r="R10" i="52" l="1"/>
  <c r="E5" i="52"/>
  <c r="R9" i="52"/>
  <c r="R11" i="52"/>
  <c r="R8" i="52"/>
  <c r="R12" i="52"/>
  <c r="G9" i="52"/>
  <c r="J9" i="52" s="1"/>
  <c r="C35" i="52" s="1"/>
  <c r="G11" i="52"/>
  <c r="J11" i="52" s="1"/>
  <c r="C37" i="52" s="1"/>
  <c r="G10" i="52"/>
  <c r="J10" i="52" s="1"/>
  <c r="C36" i="52" s="1"/>
  <c r="G8" i="52"/>
  <c r="J8" i="52" s="1"/>
  <c r="C34" i="52" s="1"/>
  <c r="G12" i="52"/>
  <c r="J12" i="52" s="1"/>
  <c r="C38" i="52" s="1"/>
  <c r="E6" i="52"/>
  <c r="B32" i="52" s="1"/>
  <c r="BI15" i="39"/>
  <c r="E4" i="52"/>
  <c r="AH37" i="48"/>
  <c r="P8" i="48"/>
  <c r="AB46" i="48"/>
  <c r="AB45" i="48"/>
  <c r="AH45" i="48"/>
  <c r="AJ45" i="48" s="1"/>
  <c r="P7" i="48"/>
  <c r="AH36" i="48"/>
  <c r="P10" i="48"/>
  <c r="AH39" i="48"/>
  <c r="AB47" i="48"/>
  <c r="P9" i="48"/>
  <c r="AH38" i="48"/>
  <c r="AH44" i="48"/>
  <c r="AJ44" i="48" s="1"/>
  <c r="AH48" i="48"/>
  <c r="AJ48" i="48" s="1"/>
  <c r="AB44" i="48"/>
  <c r="AB48" i="48"/>
  <c r="AH47" i="48"/>
  <c r="AJ47" i="48" s="1"/>
  <c r="AH46" i="48"/>
  <c r="AJ46" i="48" s="1"/>
  <c r="BQ32" i="39"/>
  <c r="BQ26" i="39"/>
  <c r="BQ19" i="39"/>
  <c r="BQ15" i="39"/>
  <c r="BQ37" i="39"/>
  <c r="BQ35" i="39"/>
  <c r="BQ31" i="39"/>
  <c r="BQ23" i="39"/>
  <c r="BI14" i="39"/>
  <c r="BI37" i="39"/>
  <c r="BQ30" i="39"/>
  <c r="BQ28" i="39"/>
  <c r="BQ22" i="39"/>
  <c r="BQ14" i="39"/>
  <c r="BQ38" i="39"/>
  <c r="BQ25" i="39"/>
  <c r="BQ18" i="39"/>
  <c r="BQ36" i="39"/>
  <c r="BQ13" i="39"/>
  <c r="BQ34" i="39"/>
  <c r="BQ29" i="39"/>
  <c r="BQ21" i="39"/>
  <c r="BQ17" i="39"/>
  <c r="BI13" i="39"/>
  <c r="BI38" i="39"/>
  <c r="BQ33" i="39"/>
  <c r="BQ20" i="39"/>
  <c r="BI12" i="39"/>
  <c r="BQ12" i="39"/>
  <c r="BQ11" i="39"/>
  <c r="BQ27" i="39"/>
  <c r="BQ24" i="39"/>
  <c r="BQ16" i="39"/>
  <c r="BI36" i="39"/>
  <c r="P6" i="48"/>
  <c r="AH35" i="48"/>
  <c r="G37" i="48" l="1"/>
  <c r="P25" i="48"/>
  <c r="J37" i="48" s="1"/>
  <c r="P23" i="48"/>
  <c r="AN36" i="48"/>
  <c r="AD47" i="48"/>
  <c r="AH40" i="48"/>
  <c r="G39" i="48"/>
  <c r="P22" i="48"/>
  <c r="AN37" i="48"/>
  <c r="AD48" i="48"/>
  <c r="AD45" i="48"/>
  <c r="AN34" i="48"/>
  <c r="AD46" i="48"/>
  <c r="AN35" i="48"/>
  <c r="AD44" i="48"/>
  <c r="AN33" i="48"/>
  <c r="G36" i="48"/>
  <c r="P24" i="48"/>
  <c r="J36" i="48" s="1"/>
  <c r="P26" i="48"/>
  <c r="J38" i="48" s="1"/>
  <c r="G38" i="48"/>
  <c r="J39" i="48" l="1"/>
  <c r="AA8" i="48"/>
  <c r="AL15" i="48"/>
  <c r="AB30" i="35"/>
  <c r="G26" i="42"/>
  <c r="G26" i="41"/>
  <c r="G27" i="41" s="1"/>
  <c r="AF62" i="35"/>
  <c r="AF61" i="35"/>
  <c r="J26" i="42" l="1"/>
  <c r="AB31" i="35"/>
  <c r="AG31" i="35" s="1"/>
  <c r="G27" i="42"/>
  <c r="J27" i="42" s="1"/>
  <c r="D17" i="35"/>
  <c r="G28" i="41" s="1"/>
  <c r="AG30" i="35"/>
  <c r="K27" i="42" l="1"/>
  <c r="AB32" i="35"/>
  <c r="D62" i="35"/>
  <c r="AD31" i="35"/>
  <c r="D61" i="35"/>
  <c r="AD30" i="35"/>
  <c r="S27" i="42"/>
  <c r="S26" i="42"/>
  <c r="K26" i="42"/>
  <c r="AF63" i="35"/>
  <c r="D18" i="35"/>
  <c r="G29" i="41" s="1"/>
  <c r="G28" i="42"/>
  <c r="J28" i="42" s="1"/>
  <c r="AB33" i="35" l="1"/>
  <c r="AG33" i="35" s="1"/>
  <c r="AG32" i="35"/>
  <c r="AD32" i="35" s="1"/>
  <c r="AW36" i="38"/>
  <c r="B63" i="51" s="1"/>
  <c r="BR17" i="38"/>
  <c r="BS17" i="38"/>
  <c r="BT17" i="38"/>
  <c r="BU17" i="38"/>
  <c r="BP17" i="38"/>
  <c r="BQ17" i="38"/>
  <c r="U27" i="42"/>
  <c r="BP16" i="38"/>
  <c r="BQ16" i="38"/>
  <c r="U26" i="42"/>
  <c r="AW35" i="38"/>
  <c r="B62" i="51" s="1"/>
  <c r="BS16" i="38"/>
  <c r="BT16" i="38"/>
  <c r="BU16" i="38"/>
  <c r="BR16" i="38"/>
  <c r="E26" i="43"/>
  <c r="D26" i="31"/>
  <c r="G29" i="42"/>
  <c r="F26" i="31"/>
  <c r="H26" i="41"/>
  <c r="I26" i="43"/>
  <c r="AF64" i="35"/>
  <c r="D19" i="35"/>
  <c r="G30" i="41" s="1"/>
  <c r="E27" i="43"/>
  <c r="D27" i="31"/>
  <c r="E62" i="51" l="1"/>
  <c r="F62" i="51"/>
  <c r="G62" i="51"/>
  <c r="J62" i="51" s="1"/>
  <c r="E99" i="53" s="1"/>
  <c r="H62" i="51"/>
  <c r="I62" i="51"/>
  <c r="E63" i="51"/>
  <c r="F63" i="51"/>
  <c r="G63" i="51"/>
  <c r="J63" i="51" s="1"/>
  <c r="H63" i="51"/>
  <c r="I63" i="51"/>
  <c r="B22" i="52"/>
  <c r="E22" i="52" s="1"/>
  <c r="D35" i="52" s="1"/>
  <c r="M22" i="52"/>
  <c r="P22" i="52" s="1"/>
  <c r="O35" i="52" s="1"/>
  <c r="D49" i="53" s="1"/>
  <c r="M21" i="52"/>
  <c r="P21" i="52" s="1"/>
  <c r="O34" i="52" s="1"/>
  <c r="D48" i="53" s="1"/>
  <c r="B21" i="52"/>
  <c r="E21" i="52" s="1"/>
  <c r="D34" i="52" s="1"/>
  <c r="D63" i="35"/>
  <c r="AB34" i="35"/>
  <c r="AG34" i="35" s="1"/>
  <c r="J29" i="42"/>
  <c r="G30" i="42"/>
  <c r="I27" i="43"/>
  <c r="J26" i="43"/>
  <c r="K26" i="43" s="1"/>
  <c r="J26" i="41" a="1"/>
  <c r="J26" i="41" s="1"/>
  <c r="H27" i="41"/>
  <c r="F27" i="31"/>
  <c r="H26" i="31"/>
  <c r="D20" i="35"/>
  <c r="D21" i="35" s="1"/>
  <c r="D22" i="35" s="1"/>
  <c r="D23" i="35" s="1"/>
  <c r="D24" i="35" s="1"/>
  <c r="D25" i="35" s="1"/>
  <c r="D26" i="35" s="1"/>
  <c r="D27" i="35" s="1"/>
  <c r="D28" i="35" s="1"/>
  <c r="D29" i="35" s="1"/>
  <c r="D30" i="35" s="1"/>
  <c r="D31" i="35" s="1"/>
  <c r="D32" i="35" s="1"/>
  <c r="D33" i="35" s="1"/>
  <c r="D34" i="35" s="1"/>
  <c r="D35" i="35" s="1"/>
  <c r="D36" i="35" s="1"/>
  <c r="D37" i="35" s="1"/>
  <c r="D38" i="35" s="1"/>
  <c r="D39" i="35" s="1"/>
  <c r="AF65" i="35"/>
  <c r="D64" i="35"/>
  <c r="AD33" i="35"/>
  <c r="D28" i="31"/>
  <c r="E28" i="43"/>
  <c r="S28" i="42"/>
  <c r="K28" i="42"/>
  <c r="M63" i="51" l="1"/>
  <c r="K63" i="51"/>
  <c r="L63" i="51" s="1"/>
  <c r="E100" i="53"/>
  <c r="N48" i="53"/>
  <c r="O48" i="53"/>
  <c r="N49" i="53"/>
  <c r="O49" i="53"/>
  <c r="N99" i="53"/>
  <c r="O99" i="53"/>
  <c r="M62" i="51"/>
  <c r="K62" i="51"/>
  <c r="L62" i="51" s="1"/>
  <c r="J27" i="41" a="1"/>
  <c r="J27" i="41" s="1"/>
  <c r="G31" i="41"/>
  <c r="G32" i="41" s="1"/>
  <c r="G33" i="41" s="1"/>
  <c r="G34" i="41" s="1"/>
  <c r="G35" i="41" s="1"/>
  <c r="G36" i="41" s="1"/>
  <c r="G37" i="41" s="1"/>
  <c r="G38" i="41" s="1"/>
  <c r="G39" i="41" s="1"/>
  <c r="G40" i="41" s="1"/>
  <c r="G41" i="41" s="1"/>
  <c r="G42" i="41" s="1"/>
  <c r="G43" i="41" s="1"/>
  <c r="G44" i="41" s="1"/>
  <c r="G45" i="41" s="1"/>
  <c r="AB35" i="35"/>
  <c r="AB36" i="35" s="1"/>
  <c r="D65" i="35"/>
  <c r="AD34" i="35"/>
  <c r="H28" i="41"/>
  <c r="H27" i="31"/>
  <c r="F28" i="31"/>
  <c r="I28" i="43"/>
  <c r="J27" i="43"/>
  <c r="K27" i="43" s="1"/>
  <c r="O26" i="31"/>
  <c r="I26" i="31"/>
  <c r="E29" i="43"/>
  <c r="D29" i="31"/>
  <c r="L26" i="43"/>
  <c r="I26" i="41"/>
  <c r="BQ18" i="38"/>
  <c r="BS18" i="38"/>
  <c r="U28" i="42"/>
  <c r="AW37" i="38"/>
  <c r="B64" i="51" s="1"/>
  <c r="BT18" i="38"/>
  <c r="BP18" i="38"/>
  <c r="BR18" i="38"/>
  <c r="BU18" i="38"/>
  <c r="G31" i="42"/>
  <c r="J30" i="42"/>
  <c r="K29" i="42"/>
  <c r="S29" i="42"/>
  <c r="I64" i="51" l="1"/>
  <c r="E64" i="51"/>
  <c r="F64" i="51"/>
  <c r="G64" i="51"/>
  <c r="J64" i="51" s="1"/>
  <c r="H64" i="51"/>
  <c r="N100" i="53"/>
  <c r="O100" i="53"/>
  <c r="B23" i="52"/>
  <c r="E23" i="52" s="1"/>
  <c r="D36" i="52" s="1"/>
  <c r="M23" i="52"/>
  <c r="P23" i="52" s="1"/>
  <c r="O36" i="52" s="1"/>
  <c r="D50" i="53" s="1"/>
  <c r="K26" i="41"/>
  <c r="L26" i="41" s="1"/>
  <c r="AG35" i="35"/>
  <c r="AD35" i="35" s="1"/>
  <c r="D31" i="31" s="1"/>
  <c r="I27" i="41"/>
  <c r="K27" i="41" s="1"/>
  <c r="L27" i="41" s="1"/>
  <c r="L27" i="43"/>
  <c r="O27" i="31"/>
  <c r="I27" i="31"/>
  <c r="D66" i="35"/>
  <c r="D69" i="35"/>
  <c r="D83" i="35"/>
  <c r="D75" i="35"/>
  <c r="D73" i="35"/>
  <c r="D76" i="35"/>
  <c r="D68" i="35"/>
  <c r="D74" i="35"/>
  <c r="D85" i="35"/>
  <c r="D78" i="35"/>
  <c r="D81" i="35"/>
  <c r="D84" i="35"/>
  <c r="D77" i="35"/>
  <c r="D67" i="35"/>
  <c r="D72" i="35"/>
  <c r="D79" i="35"/>
  <c r="D71" i="35"/>
  <c r="D80" i="35"/>
  <c r="D70" i="35"/>
  <c r="D82" i="35"/>
  <c r="BG16" i="23"/>
  <c r="AV16" i="23"/>
  <c r="Q26" i="31"/>
  <c r="AW16" i="23"/>
  <c r="AX16" i="23"/>
  <c r="AY16" i="23"/>
  <c r="AB33" i="23"/>
  <c r="AU16" i="23"/>
  <c r="AT16" i="23"/>
  <c r="E30" i="43"/>
  <c r="D30" i="31"/>
  <c r="I29" i="43"/>
  <c r="J28" i="43"/>
  <c r="K28" i="43" s="1"/>
  <c r="H28" i="31"/>
  <c r="F29" i="31"/>
  <c r="U29" i="42"/>
  <c r="AW38" i="38"/>
  <c r="B65" i="51" s="1"/>
  <c r="BS19" i="38"/>
  <c r="BU19" i="38"/>
  <c r="BP19" i="38"/>
  <c r="BQ19" i="38"/>
  <c r="BR19" i="38"/>
  <c r="BT19" i="38"/>
  <c r="J28" i="41" a="1"/>
  <c r="J28" i="41" s="1"/>
  <c r="H29" i="41"/>
  <c r="S30" i="42"/>
  <c r="K30" i="42"/>
  <c r="G32" i="42"/>
  <c r="J31" i="42"/>
  <c r="AB37" i="35"/>
  <c r="AG36" i="35"/>
  <c r="AD36" i="35" s="1"/>
  <c r="H65" i="51" l="1"/>
  <c r="I65" i="51"/>
  <c r="E65" i="51"/>
  <c r="F65" i="51"/>
  <c r="G65" i="51"/>
  <c r="J65" i="51" s="1"/>
  <c r="E102" i="53" s="1"/>
  <c r="N50" i="53"/>
  <c r="O50" i="53"/>
  <c r="E101" i="53"/>
  <c r="K64" i="51"/>
  <c r="L64" i="51" s="1"/>
  <c r="M64" i="51"/>
  <c r="B24" i="52"/>
  <c r="E24" i="52" s="1"/>
  <c r="D37" i="52" s="1"/>
  <c r="M24" i="52"/>
  <c r="P24" i="52" s="1"/>
  <c r="O37" i="52" s="1"/>
  <c r="D51" i="53" s="1"/>
  <c r="E31" i="43"/>
  <c r="M26" i="41"/>
  <c r="V26" i="41"/>
  <c r="AZ16" i="23"/>
  <c r="I28" i="41"/>
  <c r="K28" i="41" s="1"/>
  <c r="L28" i="41" s="1"/>
  <c r="L28" i="43"/>
  <c r="V27" i="41"/>
  <c r="M27" i="41"/>
  <c r="J32" i="42"/>
  <c r="G33" i="42"/>
  <c r="F30" i="31"/>
  <c r="H29" i="31"/>
  <c r="J29" i="43"/>
  <c r="K29" i="43" s="1"/>
  <c r="I30" i="43"/>
  <c r="Q27" i="31"/>
  <c r="AY17" i="23"/>
  <c r="AW17" i="23"/>
  <c r="AT17" i="23"/>
  <c r="AU17" i="23"/>
  <c r="BG17" i="23"/>
  <c r="AV17" i="23"/>
  <c r="AX17" i="23"/>
  <c r="AB34" i="23"/>
  <c r="E32" i="43"/>
  <c r="D32" i="31"/>
  <c r="BR20" i="38"/>
  <c r="BU20" i="38"/>
  <c r="BS20" i="38"/>
  <c r="U30" i="42"/>
  <c r="AW39" i="38"/>
  <c r="B66" i="51" s="1"/>
  <c r="BQ20" i="38"/>
  <c r="BT20" i="38"/>
  <c r="BP20" i="38"/>
  <c r="AB38" i="35"/>
  <c r="AG37" i="35"/>
  <c r="AD37" i="35" s="1"/>
  <c r="H30" i="41"/>
  <c r="J29" i="41" a="1"/>
  <c r="J29" i="41" s="1"/>
  <c r="S31" i="42"/>
  <c r="K31" i="42"/>
  <c r="I28" i="31"/>
  <c r="O28" i="31"/>
  <c r="G66" i="51" l="1"/>
  <c r="J66" i="51" s="1"/>
  <c r="E103" i="53" s="1"/>
  <c r="H66" i="51"/>
  <c r="I66" i="51"/>
  <c r="E66" i="51"/>
  <c r="F66" i="51"/>
  <c r="K65" i="51"/>
  <c r="L65" i="51" s="1"/>
  <c r="M65" i="51"/>
  <c r="N51" i="53"/>
  <c r="O51" i="53"/>
  <c r="N102" i="53"/>
  <c r="O102" i="53"/>
  <c r="N101" i="53"/>
  <c r="O101" i="53"/>
  <c r="M25" i="52"/>
  <c r="P25" i="52" s="1"/>
  <c r="O38" i="52" s="1"/>
  <c r="D52" i="53" s="1"/>
  <c r="B25" i="52"/>
  <c r="E25" i="52" s="1"/>
  <c r="D38" i="52" s="1"/>
  <c r="AL34" i="39"/>
  <c r="B98" i="51" s="1"/>
  <c r="BE16" i="39"/>
  <c r="BF16" i="39"/>
  <c r="BG16" i="39"/>
  <c r="BH16" i="39"/>
  <c r="BD16" i="39"/>
  <c r="BI16" i="39"/>
  <c r="BG17" i="39"/>
  <c r="BH17" i="39"/>
  <c r="BE17" i="39"/>
  <c r="BF17" i="39"/>
  <c r="BD17" i="39"/>
  <c r="BI17" i="39"/>
  <c r="X26" i="41"/>
  <c r="L29" i="43"/>
  <c r="I29" i="41"/>
  <c r="K29" i="41" s="1"/>
  <c r="L29" i="41" s="1"/>
  <c r="V28" i="41"/>
  <c r="M28" i="41"/>
  <c r="J30" i="41" a="1"/>
  <c r="J30" i="41" s="1"/>
  <c r="H31" i="41"/>
  <c r="I29" i="31"/>
  <c r="O29" i="31"/>
  <c r="AX18" i="23"/>
  <c r="AY18" i="23"/>
  <c r="AV18" i="23"/>
  <c r="AT18" i="23"/>
  <c r="AU18" i="23"/>
  <c r="Q28" i="31"/>
  <c r="AB35" i="23"/>
  <c r="AW18" i="23"/>
  <c r="BG18" i="23"/>
  <c r="E33" i="43"/>
  <c r="D33" i="31"/>
  <c r="AB39" i="35"/>
  <c r="AG38" i="35"/>
  <c r="AD38" i="35" s="1"/>
  <c r="AZ17" i="23"/>
  <c r="G34" i="42"/>
  <c r="J33" i="42"/>
  <c r="S32" i="42"/>
  <c r="K32" i="42"/>
  <c r="J30" i="43"/>
  <c r="K30" i="43" s="1"/>
  <c r="I31" i="43"/>
  <c r="AL35" i="39"/>
  <c r="B99" i="51" s="1"/>
  <c r="X27" i="41"/>
  <c r="BS21" i="38"/>
  <c r="AW40" i="38"/>
  <c r="B67" i="51" s="1"/>
  <c r="BT21" i="38"/>
  <c r="BU21" i="38"/>
  <c r="BR21" i="38"/>
  <c r="BQ21" i="38"/>
  <c r="BP21" i="38"/>
  <c r="F31" i="31"/>
  <c r="H30" i="31"/>
  <c r="N103" i="53" l="1"/>
  <c r="O103" i="53"/>
  <c r="N52" i="53"/>
  <c r="O52" i="53"/>
  <c r="F67" i="51"/>
  <c r="G67" i="51"/>
  <c r="J67" i="51" s="1"/>
  <c r="H67" i="51"/>
  <c r="I67" i="51"/>
  <c r="E67" i="51"/>
  <c r="K66" i="51"/>
  <c r="L66" i="51" s="1"/>
  <c r="M66" i="51"/>
  <c r="E98" i="51"/>
  <c r="E99" i="51"/>
  <c r="H98" i="51"/>
  <c r="G98" i="51"/>
  <c r="F98" i="51"/>
  <c r="I98" i="51"/>
  <c r="F99" i="51"/>
  <c r="H99" i="51"/>
  <c r="G99" i="51"/>
  <c r="I99" i="51"/>
  <c r="M8" i="52"/>
  <c r="M9" i="52"/>
  <c r="B9" i="52"/>
  <c r="E9" i="52" s="1"/>
  <c r="B35" i="52" s="1"/>
  <c r="B8" i="52"/>
  <c r="E8" i="52" s="1"/>
  <c r="B34" i="52" s="1"/>
  <c r="BE18" i="39"/>
  <c r="BF18" i="39"/>
  <c r="BG18" i="39"/>
  <c r="BH18" i="39"/>
  <c r="BD18" i="39"/>
  <c r="BI18" i="39"/>
  <c r="L30" i="43"/>
  <c r="I30" i="41"/>
  <c r="K30" i="41" s="1"/>
  <c r="L30" i="41" s="1"/>
  <c r="M29" i="41"/>
  <c r="V29" i="41"/>
  <c r="K33" i="42"/>
  <c r="S33" i="42"/>
  <c r="J31" i="43"/>
  <c r="K31" i="43" s="1"/>
  <c r="I32" i="43"/>
  <c r="AG39" i="35"/>
  <c r="AD39" i="35" s="1"/>
  <c r="AB40" i="35"/>
  <c r="AZ18" i="23"/>
  <c r="H32" i="41"/>
  <c r="J31" i="41" a="1"/>
  <c r="J31" i="41" s="1"/>
  <c r="BP22" i="38"/>
  <c r="AW41" i="38"/>
  <c r="B68" i="51" s="1"/>
  <c r="BT22" i="38"/>
  <c r="BU22" i="38"/>
  <c r="BR22" i="38"/>
  <c r="BQ22" i="38"/>
  <c r="BS22" i="38"/>
  <c r="AW19" i="23"/>
  <c r="AB36" i="23"/>
  <c r="AV19" i="23"/>
  <c r="AU19" i="23"/>
  <c r="AY19" i="23"/>
  <c r="Q29" i="31"/>
  <c r="BG19" i="23"/>
  <c r="AT19" i="23"/>
  <c r="AX19" i="23"/>
  <c r="X28" i="41"/>
  <c r="AL36" i="39"/>
  <c r="B100" i="51" s="1"/>
  <c r="J34" i="42"/>
  <c r="G35" i="42"/>
  <c r="O30" i="31"/>
  <c r="I30" i="31"/>
  <c r="H31" i="31"/>
  <c r="F32" i="31"/>
  <c r="D34" i="31"/>
  <c r="E34" i="43"/>
  <c r="K67" i="51" l="1"/>
  <c r="L67" i="51" s="1"/>
  <c r="M67" i="51"/>
  <c r="E68" i="51"/>
  <c r="F68" i="51"/>
  <c r="G68" i="51"/>
  <c r="J68" i="51" s="1"/>
  <c r="H68" i="51"/>
  <c r="I68" i="51"/>
  <c r="E100" i="51"/>
  <c r="F100" i="51"/>
  <c r="I100" i="51"/>
  <c r="H100" i="51"/>
  <c r="G100" i="51"/>
  <c r="M10" i="52"/>
  <c r="B10" i="52"/>
  <c r="E10" i="52" s="1"/>
  <c r="B36" i="52" s="1"/>
  <c r="BE19" i="39"/>
  <c r="BF19" i="39"/>
  <c r="BG19" i="39"/>
  <c r="BH19" i="39"/>
  <c r="BD19" i="39"/>
  <c r="BI19" i="39"/>
  <c r="O36" i="34"/>
  <c r="Q36" i="34" s="1"/>
  <c r="V30" i="41"/>
  <c r="M30" i="41"/>
  <c r="I31" i="41"/>
  <c r="K31" i="41" s="1"/>
  <c r="L31" i="41" s="1"/>
  <c r="L31" i="43"/>
  <c r="AZ19" i="23"/>
  <c r="J32" i="41" a="1"/>
  <c r="J32" i="41" s="1"/>
  <c r="BP23" i="38"/>
  <c r="BU23" i="38"/>
  <c r="BQ23" i="38"/>
  <c r="BR23" i="38"/>
  <c r="AW42" i="38"/>
  <c r="B69" i="51" s="1"/>
  <c r="BS23" i="38"/>
  <c r="BT23" i="38"/>
  <c r="H32" i="31"/>
  <c r="F33" i="31"/>
  <c r="O31" i="31"/>
  <c r="I31" i="31"/>
  <c r="AY20" i="23"/>
  <c r="AB37" i="23"/>
  <c r="BG20" i="23"/>
  <c r="AU20" i="23"/>
  <c r="AT20" i="23"/>
  <c r="AV20" i="23"/>
  <c r="AW20" i="23"/>
  <c r="AX20" i="23"/>
  <c r="Q30" i="31"/>
  <c r="AB41" i="35"/>
  <c r="AG40" i="35"/>
  <c r="AD40" i="35" s="1"/>
  <c r="H33" i="41"/>
  <c r="AL37" i="39"/>
  <c r="B101" i="51" s="1"/>
  <c r="X29" i="41"/>
  <c r="G36" i="42"/>
  <c r="J35" i="42"/>
  <c r="S34" i="42"/>
  <c r="K34" i="42"/>
  <c r="E35" i="43"/>
  <c r="D35" i="31"/>
  <c r="I33" i="43"/>
  <c r="J32" i="43"/>
  <c r="K32" i="43" s="1"/>
  <c r="F26" i="34" l="1"/>
  <c r="G26" i="34"/>
  <c r="E26" i="34"/>
  <c r="E69" i="51"/>
  <c r="F69" i="51"/>
  <c r="G69" i="51"/>
  <c r="J69" i="51" s="1"/>
  <c r="H69" i="51"/>
  <c r="I69" i="51"/>
  <c r="M68" i="51"/>
  <c r="K68" i="51"/>
  <c r="L68" i="51" s="1"/>
  <c r="I101" i="51"/>
  <c r="F101" i="51"/>
  <c r="H101" i="51"/>
  <c r="G101" i="51"/>
  <c r="M11" i="52"/>
  <c r="E101" i="51"/>
  <c r="B11" i="52"/>
  <c r="E11" i="52" s="1"/>
  <c r="B37" i="52" s="1"/>
  <c r="BG20" i="39"/>
  <c r="BH20" i="39"/>
  <c r="BE20" i="39"/>
  <c r="BF20" i="39"/>
  <c r="BD20" i="39"/>
  <c r="BI20" i="39"/>
  <c r="D26" i="34"/>
  <c r="I25" i="34"/>
  <c r="K25" i="34"/>
  <c r="L25" i="34" s="1"/>
  <c r="I32" i="41"/>
  <c r="K32" i="41" s="1"/>
  <c r="L32" i="41" s="1"/>
  <c r="L32" i="43"/>
  <c r="V31" i="41"/>
  <c r="M31" i="41"/>
  <c r="E36" i="43"/>
  <c r="D36" i="31"/>
  <c r="J33" i="41" a="1"/>
  <c r="J33" i="41" s="1"/>
  <c r="J33" i="43"/>
  <c r="K33" i="43" s="1"/>
  <c r="I34" i="43"/>
  <c r="AG41" i="35"/>
  <c r="AD41" i="35" s="1"/>
  <c r="AB42" i="35"/>
  <c r="BT24" i="38"/>
  <c r="AW43" i="38"/>
  <c r="B70" i="51" s="1"/>
  <c r="BS24" i="38"/>
  <c r="BP24" i="38"/>
  <c r="BQ24" i="38"/>
  <c r="BR24" i="38"/>
  <c r="BU24" i="38"/>
  <c r="S35" i="42"/>
  <c r="K35" i="42"/>
  <c r="J36" i="42"/>
  <c r="G37" i="42"/>
  <c r="AY21" i="23"/>
  <c r="AV21" i="23"/>
  <c r="AU21" i="23"/>
  <c r="AT21" i="23"/>
  <c r="AX21" i="23"/>
  <c r="AW21" i="23"/>
  <c r="Q31" i="31"/>
  <c r="BG21" i="23"/>
  <c r="AB38" i="23"/>
  <c r="AZ20" i="23"/>
  <c r="F34" i="31"/>
  <c r="H33" i="31"/>
  <c r="H34" i="41"/>
  <c r="I32" i="31"/>
  <c r="O32" i="31"/>
  <c r="AL38" i="39"/>
  <c r="B102" i="51" s="1"/>
  <c r="X30" i="41"/>
  <c r="E70" i="51" l="1"/>
  <c r="F70" i="51"/>
  <c r="G70" i="51"/>
  <c r="J70" i="51" s="1"/>
  <c r="H70" i="51"/>
  <c r="I70" i="51"/>
  <c r="K69" i="51"/>
  <c r="L69" i="51" s="1"/>
  <c r="M69" i="51"/>
  <c r="I102" i="51"/>
  <c r="H102" i="51"/>
  <c r="E102" i="51"/>
  <c r="G102" i="51"/>
  <c r="F102" i="51"/>
  <c r="M12" i="52"/>
  <c r="N26" i="34"/>
  <c r="BE42" i="39"/>
  <c r="B12" i="52"/>
  <c r="E12" i="52" s="1"/>
  <c r="B38" i="52" s="1"/>
  <c r="BE21" i="39"/>
  <c r="BF21" i="39"/>
  <c r="BG21" i="39"/>
  <c r="BH21" i="39"/>
  <c r="BD21" i="39"/>
  <c r="BI21" i="39"/>
  <c r="K26" i="34"/>
  <c r="L26" i="34" s="1"/>
  <c r="I26" i="34"/>
  <c r="E27" i="34"/>
  <c r="G27" i="34"/>
  <c r="D27" i="34"/>
  <c r="F27" i="34"/>
  <c r="Z23" i="34"/>
  <c r="J25" i="34"/>
  <c r="I33" i="41"/>
  <c r="K33" i="41" s="1"/>
  <c r="L33" i="41" s="1"/>
  <c r="L33" i="43"/>
  <c r="M32" i="41"/>
  <c r="V32" i="41"/>
  <c r="H35" i="41"/>
  <c r="BR25" i="38"/>
  <c r="BS25" i="38"/>
  <c r="BT25" i="38"/>
  <c r="BU25" i="38"/>
  <c r="BP25" i="38"/>
  <c r="BQ25" i="38"/>
  <c r="AW44" i="38"/>
  <c r="B71" i="51" s="1"/>
  <c r="I33" i="31"/>
  <c r="O33" i="31"/>
  <c r="AB43" i="35"/>
  <c r="AG42" i="35"/>
  <c r="AD42" i="35" s="1"/>
  <c r="K36" i="42"/>
  <c r="S36" i="42"/>
  <c r="AZ21" i="23"/>
  <c r="H34" i="31"/>
  <c r="F35" i="31"/>
  <c r="D37" i="31"/>
  <c r="E37" i="43"/>
  <c r="X31" i="41"/>
  <c r="AL39" i="39"/>
  <c r="B103" i="51" s="1"/>
  <c r="J34" i="43"/>
  <c r="K34" i="43" s="1"/>
  <c r="I35" i="43"/>
  <c r="AT22" i="23"/>
  <c r="AU22" i="23"/>
  <c r="AV22" i="23"/>
  <c r="BG22" i="23"/>
  <c r="Q32" i="31"/>
  <c r="AY22" i="23"/>
  <c r="AB39" i="23"/>
  <c r="AX22" i="23"/>
  <c r="AW22" i="23"/>
  <c r="J37" i="42"/>
  <c r="G38" i="42"/>
  <c r="J34" i="41" a="1"/>
  <c r="J34" i="41" s="1"/>
  <c r="E71" i="51" l="1"/>
  <c r="F71" i="51"/>
  <c r="G71" i="51"/>
  <c r="J71" i="51" s="1"/>
  <c r="H71" i="51"/>
  <c r="I71" i="51"/>
  <c r="K70" i="51"/>
  <c r="L70" i="51" s="1"/>
  <c r="M70" i="51"/>
  <c r="E103" i="51"/>
  <c r="I103" i="51"/>
  <c r="H103" i="51"/>
  <c r="G103" i="51"/>
  <c r="F103" i="51"/>
  <c r="N27" i="34"/>
  <c r="BE22" i="39"/>
  <c r="BF22" i="39"/>
  <c r="BG22" i="39"/>
  <c r="BH22" i="39"/>
  <c r="BD22" i="39"/>
  <c r="BI22" i="39"/>
  <c r="I27" i="34"/>
  <c r="K27" i="34"/>
  <c r="L27" i="34" s="1"/>
  <c r="J26" i="34"/>
  <c r="Z24" i="34"/>
  <c r="D28" i="34"/>
  <c r="E28" i="34"/>
  <c r="F28" i="34"/>
  <c r="G28" i="34"/>
  <c r="L34" i="43"/>
  <c r="I34" i="41"/>
  <c r="K34" i="41" s="1"/>
  <c r="L34" i="41" s="1"/>
  <c r="H35" i="31"/>
  <c r="F36" i="31"/>
  <c r="O34" i="31"/>
  <c r="I34" i="31"/>
  <c r="K37" i="42"/>
  <c r="S37" i="42"/>
  <c r="H36" i="41"/>
  <c r="AZ22" i="23"/>
  <c r="AW45" i="38"/>
  <c r="B72" i="51" s="1"/>
  <c r="BQ26" i="38"/>
  <c r="BU26" i="38"/>
  <c r="BP26" i="38"/>
  <c r="BT26" i="38"/>
  <c r="BR26" i="38"/>
  <c r="BS26" i="38"/>
  <c r="AL40" i="39"/>
  <c r="B104" i="51" s="1"/>
  <c r="X32" i="41"/>
  <c r="V33" i="41"/>
  <c r="M33" i="41"/>
  <c r="I36" i="43"/>
  <c r="J35" i="43"/>
  <c r="K35" i="43" s="1"/>
  <c r="D38" i="31"/>
  <c r="E38" i="43"/>
  <c r="AG43" i="35"/>
  <c r="AD43" i="35" s="1"/>
  <c r="AB44" i="35"/>
  <c r="G39" i="42"/>
  <c r="J38" i="42"/>
  <c r="J35" i="41" a="1"/>
  <c r="J35" i="41" s="1"/>
  <c r="AV23" i="23"/>
  <c r="AT23" i="23"/>
  <c r="AW23" i="23"/>
  <c r="AU23" i="23"/>
  <c r="AY23" i="23"/>
  <c r="AX23" i="23"/>
  <c r="AB40" i="23"/>
  <c r="BG23" i="23"/>
  <c r="Q33" i="31"/>
  <c r="I72" i="51" l="1"/>
  <c r="E72" i="51"/>
  <c r="F72" i="51"/>
  <c r="G72" i="51"/>
  <c r="J72" i="51" s="1"/>
  <c r="H72" i="51"/>
  <c r="M71" i="51"/>
  <c r="K71" i="51"/>
  <c r="L71" i="51" s="1"/>
  <c r="G104" i="51"/>
  <c r="F104" i="51"/>
  <c r="E104" i="51"/>
  <c r="I104" i="51"/>
  <c r="H104" i="51"/>
  <c r="N28" i="34"/>
  <c r="BE23" i="39"/>
  <c r="BF23" i="39"/>
  <c r="BG23" i="39"/>
  <c r="BH23" i="39"/>
  <c r="BD23" i="39"/>
  <c r="BI23" i="39"/>
  <c r="K28" i="34"/>
  <c r="L28" i="34" s="1"/>
  <c r="I28" i="34"/>
  <c r="F29" i="34"/>
  <c r="G29" i="34"/>
  <c r="D29" i="34"/>
  <c r="E29" i="34"/>
  <c r="Z25" i="34"/>
  <c r="J27" i="34"/>
  <c r="I35" i="41"/>
  <c r="K35" i="41" s="1"/>
  <c r="L35" i="41" s="1"/>
  <c r="L35" i="43"/>
  <c r="V34" i="41"/>
  <c r="M34" i="41"/>
  <c r="J36" i="43"/>
  <c r="K36" i="43" s="1"/>
  <c r="I37" i="43"/>
  <c r="AX24" i="23"/>
  <c r="AT24" i="23"/>
  <c r="AW24" i="23"/>
  <c r="AV24" i="23"/>
  <c r="AY24" i="23"/>
  <c r="AU24" i="23"/>
  <c r="BG24" i="23"/>
  <c r="Q34" i="31"/>
  <c r="AB41" i="23"/>
  <c r="K38" i="42"/>
  <c r="S38" i="42"/>
  <c r="G40" i="42"/>
  <c r="J39" i="42"/>
  <c r="X33" i="41"/>
  <c r="AL41" i="39"/>
  <c r="B105" i="51" s="1"/>
  <c r="H36" i="31"/>
  <c r="F37" i="31"/>
  <c r="O35" i="31"/>
  <c r="I35" i="31"/>
  <c r="D39" i="31"/>
  <c r="E39" i="43"/>
  <c r="H37" i="41"/>
  <c r="AZ23" i="23"/>
  <c r="BR27" i="38"/>
  <c r="BT27" i="38"/>
  <c r="BU27" i="38"/>
  <c r="BP27" i="38"/>
  <c r="AW46" i="38"/>
  <c r="B73" i="51" s="1"/>
  <c r="BQ27" i="38"/>
  <c r="BS27" i="38"/>
  <c r="AB45" i="35"/>
  <c r="AG44" i="35"/>
  <c r="AD44" i="35" s="1"/>
  <c r="J36" i="41" a="1"/>
  <c r="J36" i="41" s="1"/>
  <c r="H73" i="51" l="1"/>
  <c r="I73" i="51"/>
  <c r="E73" i="51"/>
  <c r="F73" i="51"/>
  <c r="G73" i="51"/>
  <c r="J73" i="51" s="1"/>
  <c r="K72" i="51"/>
  <c r="L72" i="51" s="1"/>
  <c r="M72" i="51"/>
  <c r="F105" i="51"/>
  <c r="G105" i="51"/>
  <c r="E105" i="51"/>
  <c r="I105" i="51"/>
  <c r="H105" i="51"/>
  <c r="N29" i="34"/>
  <c r="BG24" i="39"/>
  <c r="BH24" i="39"/>
  <c r="BE24" i="39"/>
  <c r="BF24" i="39"/>
  <c r="BD24" i="39"/>
  <c r="BI24" i="39"/>
  <c r="K29" i="34"/>
  <c r="L29" i="34" s="1"/>
  <c r="I29" i="34"/>
  <c r="J28" i="34"/>
  <c r="Z26" i="34"/>
  <c r="E30" i="34"/>
  <c r="D30" i="34"/>
  <c r="G30" i="34"/>
  <c r="F30" i="34"/>
  <c r="V35" i="41"/>
  <c r="M35" i="41"/>
  <c r="L36" i="43"/>
  <c r="I36" i="41"/>
  <c r="K36" i="41" s="1"/>
  <c r="L36" i="41" s="1"/>
  <c r="AW25" i="23"/>
  <c r="Q35" i="31"/>
  <c r="AU25" i="23"/>
  <c r="AB42" i="23"/>
  <c r="AT25" i="23"/>
  <c r="BG25" i="23"/>
  <c r="AX25" i="23"/>
  <c r="AY25" i="23"/>
  <c r="AV25" i="23"/>
  <c r="J37" i="43"/>
  <c r="K37" i="43" s="1"/>
  <c r="I38" i="43"/>
  <c r="AB46" i="35"/>
  <c r="AG45" i="35"/>
  <c r="AD45" i="35" s="1"/>
  <c r="F38" i="31"/>
  <c r="H37" i="31"/>
  <c r="I36" i="31"/>
  <c r="O36" i="31"/>
  <c r="K39" i="42"/>
  <c r="S39" i="42"/>
  <c r="X34" i="41"/>
  <c r="AL42" i="39"/>
  <c r="B106" i="51" s="1"/>
  <c r="H38" i="41"/>
  <c r="J40" i="42"/>
  <c r="G41" i="42"/>
  <c r="D40" i="31"/>
  <c r="E40" i="43"/>
  <c r="BP28" i="38"/>
  <c r="BQ28" i="38"/>
  <c r="BS28" i="38"/>
  <c r="BU28" i="38"/>
  <c r="BR28" i="38"/>
  <c r="AW47" i="38"/>
  <c r="B74" i="51" s="1"/>
  <c r="BT28" i="38"/>
  <c r="J37" i="41" a="1"/>
  <c r="J37" i="41" s="1"/>
  <c r="AZ24" i="23"/>
  <c r="G74" i="51" l="1"/>
  <c r="J74" i="51" s="1"/>
  <c r="H74" i="51"/>
  <c r="I74" i="51"/>
  <c r="E74" i="51"/>
  <c r="F74" i="51"/>
  <c r="K73" i="51"/>
  <c r="L73" i="51" s="1"/>
  <c r="M73" i="51"/>
  <c r="I106" i="51"/>
  <c r="H106" i="51"/>
  <c r="E106" i="51"/>
  <c r="G106" i="51"/>
  <c r="F106" i="51"/>
  <c r="N30" i="34"/>
  <c r="BE25" i="39"/>
  <c r="BF25" i="39"/>
  <c r="BG25" i="39"/>
  <c r="BH25" i="39"/>
  <c r="BD25" i="39"/>
  <c r="BI25" i="39"/>
  <c r="K30" i="34"/>
  <c r="L30" i="34" s="1"/>
  <c r="I30" i="34"/>
  <c r="G31" i="34"/>
  <c r="D31" i="34"/>
  <c r="E31" i="34"/>
  <c r="F31" i="34"/>
  <c r="Z27" i="34"/>
  <c r="J29" i="34"/>
  <c r="I37" i="41"/>
  <c r="K37" i="41" s="1"/>
  <c r="L37" i="41" s="1"/>
  <c r="L37" i="43"/>
  <c r="V36" i="41"/>
  <c r="M36" i="41"/>
  <c r="AT26" i="23"/>
  <c r="Q36" i="31"/>
  <c r="AU26" i="23"/>
  <c r="AY26" i="23"/>
  <c r="AW26" i="23"/>
  <c r="BG26" i="23"/>
  <c r="AB43" i="23"/>
  <c r="AV26" i="23"/>
  <c r="AX26" i="23"/>
  <c r="I37" i="31"/>
  <c r="O37" i="31"/>
  <c r="G42" i="42"/>
  <c r="J41" i="42"/>
  <c r="S40" i="42"/>
  <c r="K40" i="42"/>
  <c r="H38" i="31"/>
  <c r="F39" i="31"/>
  <c r="H39" i="41"/>
  <c r="D41" i="31"/>
  <c r="E41" i="43"/>
  <c r="AZ25" i="23"/>
  <c r="X35" i="41"/>
  <c r="AL43" i="39"/>
  <c r="B107" i="51" s="1"/>
  <c r="AG46" i="35"/>
  <c r="AD46" i="35" s="1"/>
  <c r="AB47" i="35"/>
  <c r="J38" i="41" a="1"/>
  <c r="J38" i="41" s="1"/>
  <c r="BU29" i="38"/>
  <c r="BP29" i="38"/>
  <c r="BS29" i="38"/>
  <c r="BR29" i="38"/>
  <c r="BQ29" i="38"/>
  <c r="AW48" i="38"/>
  <c r="B75" i="51" s="1"/>
  <c r="BT29" i="38"/>
  <c r="J38" i="43"/>
  <c r="K38" i="43" s="1"/>
  <c r="I39" i="43"/>
  <c r="K74" i="51" l="1"/>
  <c r="L74" i="51" s="1"/>
  <c r="M74" i="51"/>
  <c r="F75" i="51"/>
  <c r="G75" i="51"/>
  <c r="J75" i="51" s="1"/>
  <c r="H75" i="51"/>
  <c r="I75" i="51"/>
  <c r="E75" i="51"/>
  <c r="F107" i="51"/>
  <c r="G107" i="51"/>
  <c r="E107" i="51"/>
  <c r="I107" i="51"/>
  <c r="H107" i="51"/>
  <c r="N31" i="34"/>
  <c r="BE26" i="39"/>
  <c r="BF26" i="39"/>
  <c r="BG26" i="39"/>
  <c r="BH26" i="39"/>
  <c r="BD26" i="39"/>
  <c r="BI26" i="39"/>
  <c r="K31" i="34"/>
  <c r="L31" i="34" s="1"/>
  <c r="I31" i="34"/>
  <c r="J30" i="34"/>
  <c r="Z28" i="34"/>
  <c r="D32" i="34"/>
  <c r="E32" i="34"/>
  <c r="F32" i="34"/>
  <c r="G32" i="34"/>
  <c r="L38" i="43"/>
  <c r="I38" i="41"/>
  <c r="K38" i="41" s="1"/>
  <c r="L38" i="41" s="1"/>
  <c r="H40" i="41"/>
  <c r="Q37" i="31"/>
  <c r="AX27" i="23"/>
  <c r="BG27" i="23"/>
  <c r="AW27" i="23"/>
  <c r="AU27" i="23"/>
  <c r="AB44" i="23"/>
  <c r="AV27" i="23"/>
  <c r="AT27" i="23"/>
  <c r="AY27" i="23"/>
  <c r="J39" i="41" a="1"/>
  <c r="J39" i="41" s="1"/>
  <c r="V37" i="41"/>
  <c r="M37" i="41"/>
  <c r="H39" i="31"/>
  <c r="F40" i="31"/>
  <c r="AZ26" i="23"/>
  <c r="AG47" i="35"/>
  <c r="AD47" i="35" s="1"/>
  <c r="AB48" i="35"/>
  <c r="I38" i="31"/>
  <c r="O38" i="31"/>
  <c r="X36" i="41"/>
  <c r="AL44" i="39"/>
  <c r="B108" i="51" s="1"/>
  <c r="BT30" i="38"/>
  <c r="BU30" i="38"/>
  <c r="AW49" i="38"/>
  <c r="B76" i="51" s="1"/>
  <c r="BR30" i="38"/>
  <c r="BP30" i="38"/>
  <c r="BS30" i="38"/>
  <c r="BQ30" i="38"/>
  <c r="D42" i="31"/>
  <c r="E42" i="43"/>
  <c r="S41" i="42"/>
  <c r="K41" i="42"/>
  <c r="I40" i="43"/>
  <c r="J39" i="43"/>
  <c r="K39" i="43" s="1"/>
  <c r="J42" i="42"/>
  <c r="G43" i="42"/>
  <c r="M75" i="51" l="1"/>
  <c r="K75" i="51"/>
  <c r="L75" i="51" s="1"/>
  <c r="E76" i="51"/>
  <c r="F76" i="51"/>
  <c r="G76" i="51"/>
  <c r="J76" i="51" s="1"/>
  <c r="H76" i="51"/>
  <c r="I76" i="51"/>
  <c r="G108" i="51"/>
  <c r="F108" i="51"/>
  <c r="E108" i="51"/>
  <c r="I108" i="51"/>
  <c r="H108" i="51"/>
  <c r="N32" i="34"/>
  <c r="BE27" i="39"/>
  <c r="BF27" i="39"/>
  <c r="BG27" i="39"/>
  <c r="BH27" i="39"/>
  <c r="BD27" i="39"/>
  <c r="BI27" i="39"/>
  <c r="K32" i="34"/>
  <c r="L32" i="34" s="1"/>
  <c r="I32" i="34"/>
  <c r="J31" i="34"/>
  <c r="Z29" i="34"/>
  <c r="F33" i="34"/>
  <c r="G33" i="34"/>
  <c r="D33" i="34"/>
  <c r="E33" i="34"/>
  <c r="I39" i="41"/>
  <c r="K39" i="41" s="1"/>
  <c r="L39" i="41" s="1"/>
  <c r="L39" i="43"/>
  <c r="M38" i="41"/>
  <c r="V38" i="41"/>
  <c r="K42" i="42"/>
  <c r="S42" i="42"/>
  <c r="AB49" i="35"/>
  <c r="AG48" i="35"/>
  <c r="AD48" i="35" s="1"/>
  <c r="J40" i="41" a="1"/>
  <c r="J40" i="41" s="1"/>
  <c r="J40" i="43"/>
  <c r="K40" i="43" s="1"/>
  <c r="I41" i="43"/>
  <c r="AC37" i="48"/>
  <c r="BG72" i="23"/>
  <c r="F8" i="48"/>
  <c r="E43" i="43"/>
  <c r="D43" i="31"/>
  <c r="AC13" i="48"/>
  <c r="AC19" i="48" s="1"/>
  <c r="AO47" i="48" s="1"/>
  <c r="F13" i="48"/>
  <c r="AC53" i="48"/>
  <c r="AC63" i="48" s="1"/>
  <c r="F9" i="48"/>
  <c r="AC38" i="48"/>
  <c r="BG73" i="23"/>
  <c r="H40" i="31"/>
  <c r="F41" i="31"/>
  <c r="AZ27" i="23"/>
  <c r="BG70" i="23"/>
  <c r="AC35" i="48"/>
  <c r="F6" i="48"/>
  <c r="BP31" i="38"/>
  <c r="BQ31" i="38"/>
  <c r="BR31" i="38"/>
  <c r="BS31" i="38"/>
  <c r="BT31" i="38"/>
  <c r="BU31" i="38"/>
  <c r="O39" i="31"/>
  <c r="I39" i="31"/>
  <c r="H41" i="41"/>
  <c r="F10" i="48"/>
  <c r="BG74" i="23"/>
  <c r="AC39" i="48"/>
  <c r="G44" i="42"/>
  <c r="J43" i="42"/>
  <c r="F7" i="48"/>
  <c r="AC36" i="48"/>
  <c r="BG71" i="23"/>
  <c r="AT28" i="23"/>
  <c r="Q38" i="31"/>
  <c r="AB45" i="23"/>
  <c r="BG28" i="23"/>
  <c r="AX28" i="23"/>
  <c r="AU28" i="23"/>
  <c r="AW28" i="23"/>
  <c r="AV28" i="23"/>
  <c r="AY28" i="23"/>
  <c r="X37" i="41"/>
  <c r="AL45" i="39"/>
  <c r="B109" i="51" s="1"/>
  <c r="N33" i="34" l="1"/>
  <c r="K76" i="51"/>
  <c r="L76" i="51" s="1"/>
  <c r="M76" i="51"/>
  <c r="G109" i="51"/>
  <c r="F109" i="51"/>
  <c r="E109" i="51"/>
  <c r="I109" i="51"/>
  <c r="H109" i="51"/>
  <c r="BG28" i="39"/>
  <c r="BH28" i="39"/>
  <c r="BE28" i="39"/>
  <c r="BF28" i="39"/>
  <c r="BD28" i="39"/>
  <c r="BI28" i="39"/>
  <c r="K33" i="34"/>
  <c r="L33" i="34" s="1"/>
  <c r="I33" i="34"/>
  <c r="Z30" i="34"/>
  <c r="J32" i="34"/>
  <c r="G34" i="34"/>
  <c r="D34" i="34"/>
  <c r="E34" i="34"/>
  <c r="F34" i="34"/>
  <c r="AC66" i="48"/>
  <c r="AC59" i="48"/>
  <c r="AC56" i="48"/>
  <c r="AC16" i="48"/>
  <c r="AO44" i="48" s="1"/>
  <c r="AC62" i="48"/>
  <c r="AC15" i="48"/>
  <c r="AO43" i="48" s="1"/>
  <c r="L40" i="43"/>
  <c r="I40" i="41"/>
  <c r="K40" i="41" s="1"/>
  <c r="L40" i="41" s="1"/>
  <c r="BG29" i="23"/>
  <c r="AB46" i="23"/>
  <c r="AY29" i="23"/>
  <c r="AT29" i="23"/>
  <c r="AU29" i="23"/>
  <c r="AW29" i="23"/>
  <c r="Q39" i="31"/>
  <c r="AV29" i="23"/>
  <c r="AX29" i="23"/>
  <c r="F42" i="31"/>
  <c r="H41" i="31"/>
  <c r="AC57" i="48"/>
  <c r="AB50" i="35"/>
  <c r="AG49" i="35"/>
  <c r="AD49" i="35" s="1"/>
  <c r="F14" i="48"/>
  <c r="I22" i="48" s="1"/>
  <c r="F35" i="48"/>
  <c r="F22" i="48"/>
  <c r="O40" i="31"/>
  <c r="I40" i="31"/>
  <c r="BR32" i="38"/>
  <c r="BS32" i="38"/>
  <c r="BP32" i="38"/>
  <c r="BT32" i="38"/>
  <c r="BU32" i="38"/>
  <c r="BQ32" i="38"/>
  <c r="AC65" i="48"/>
  <c r="AC26" i="48"/>
  <c r="AC25" i="48"/>
  <c r="AC27" i="48"/>
  <c r="AC24" i="48"/>
  <c r="AC28" i="48"/>
  <c r="AC17" i="48"/>
  <c r="AO45" i="48" s="1"/>
  <c r="F15" i="48"/>
  <c r="I23" i="48" s="1"/>
  <c r="F23" i="48"/>
  <c r="F18" i="48"/>
  <c r="I24" i="48" s="1"/>
  <c r="F24" i="48"/>
  <c r="I32" i="48" s="1"/>
  <c r="F32" i="48"/>
  <c r="AC55" i="48"/>
  <c r="J41" i="43"/>
  <c r="K41" i="43" s="1"/>
  <c r="I42" i="43"/>
  <c r="X38" i="41"/>
  <c r="AL46" i="39"/>
  <c r="B110" i="51" s="1"/>
  <c r="AC40" i="48"/>
  <c r="AC58" i="48"/>
  <c r="S43" i="42"/>
  <c r="K43" i="42"/>
  <c r="F16" i="48"/>
  <c r="I26" i="48" s="1"/>
  <c r="F34" i="48"/>
  <c r="F26" i="48"/>
  <c r="I34" i="48" s="1"/>
  <c r="J41" i="41" a="1"/>
  <c r="J41" i="41" s="1"/>
  <c r="AZ28" i="23"/>
  <c r="J44" i="42"/>
  <c r="G45" i="42"/>
  <c r="J45" i="42" s="1"/>
  <c r="H42" i="41"/>
  <c r="V39" i="41"/>
  <c r="M39" i="41"/>
  <c r="AC18" i="48"/>
  <c r="AO46" i="48" s="1"/>
  <c r="AC64" i="48"/>
  <c r="F25" i="48"/>
  <c r="I33" i="48" s="1"/>
  <c r="F33" i="48"/>
  <c r="F17" i="48"/>
  <c r="D44" i="31"/>
  <c r="E44" i="43"/>
  <c r="E110" i="51" l="1"/>
  <c r="F110" i="51"/>
  <c r="I110" i="51"/>
  <c r="H110" i="51"/>
  <c r="G110" i="51"/>
  <c r="N34" i="34"/>
  <c r="BE29" i="39"/>
  <c r="BF29" i="39"/>
  <c r="BG29" i="39"/>
  <c r="BH29" i="39"/>
  <c r="BD29" i="39"/>
  <c r="BI29" i="39"/>
  <c r="I34" i="34"/>
  <c r="K34" i="34"/>
  <c r="L34" i="34" s="1"/>
  <c r="G35" i="34"/>
  <c r="F35" i="34"/>
  <c r="D35" i="34"/>
  <c r="E35" i="34"/>
  <c r="Z31" i="34"/>
  <c r="J33" i="34"/>
  <c r="AC73" i="48"/>
  <c r="I25" i="48"/>
  <c r="AZ29" i="23"/>
  <c r="I41" i="41"/>
  <c r="K41" i="41" s="1"/>
  <c r="L41" i="41" s="1"/>
  <c r="L41" i="43"/>
  <c r="V40" i="41"/>
  <c r="M40" i="41"/>
  <c r="AC72" i="48"/>
  <c r="AG50" i="35"/>
  <c r="AD50" i="35" s="1"/>
  <c r="E46" i="43" s="1"/>
  <c r="AB51" i="35"/>
  <c r="AY30" i="23"/>
  <c r="AT30" i="23"/>
  <c r="AU30" i="23"/>
  <c r="Q40" i="31"/>
  <c r="AV30" i="23"/>
  <c r="AW30" i="23"/>
  <c r="AB47" i="23"/>
  <c r="AX30" i="23"/>
  <c r="BG30" i="23"/>
  <c r="O41" i="31"/>
  <c r="I41" i="31"/>
  <c r="I35" i="48"/>
  <c r="AC71" i="48"/>
  <c r="X39" i="41"/>
  <c r="AL47" i="39"/>
  <c r="B111" i="51" s="1"/>
  <c r="S45" i="42"/>
  <c r="K45" i="42"/>
  <c r="S44" i="42"/>
  <c r="K44" i="42"/>
  <c r="J42" i="41" a="1"/>
  <c r="J42" i="41" s="1"/>
  <c r="I43" i="43"/>
  <c r="J42" i="43"/>
  <c r="K42" i="43" s="1"/>
  <c r="H43" i="41"/>
  <c r="F43" i="31"/>
  <c r="H42" i="31"/>
  <c r="BS33" i="38"/>
  <c r="BR33" i="38"/>
  <c r="BT33" i="38"/>
  <c r="BU33" i="38"/>
  <c r="BQ33" i="38"/>
  <c r="BP33" i="38"/>
  <c r="D45" i="31"/>
  <c r="E45" i="43"/>
  <c r="N35" i="34" l="1"/>
  <c r="I111" i="51"/>
  <c r="H111" i="51"/>
  <c r="G111" i="51"/>
  <c r="F111" i="51"/>
  <c r="E111" i="51"/>
  <c r="BE30" i="39"/>
  <c r="BF30" i="39"/>
  <c r="BG30" i="39"/>
  <c r="BH30" i="39"/>
  <c r="BD30" i="39"/>
  <c r="BI30" i="39"/>
  <c r="I35" i="34"/>
  <c r="K35" i="34"/>
  <c r="L35" i="34" s="1"/>
  <c r="D36" i="34"/>
  <c r="E36" i="34"/>
  <c r="F36" i="34"/>
  <c r="G36" i="34"/>
  <c r="Z32" i="34"/>
  <c r="J34" i="34"/>
  <c r="I42" i="41"/>
  <c r="K42" i="41" s="1"/>
  <c r="L42" i="41" s="1"/>
  <c r="L42" i="43"/>
  <c r="M41" i="41"/>
  <c r="V41" i="41"/>
  <c r="F44" i="31"/>
  <c r="H43" i="31"/>
  <c r="BU34" i="38"/>
  <c r="BQ34" i="38"/>
  <c r="BR34" i="38"/>
  <c r="BT34" i="38"/>
  <c r="BS34" i="38"/>
  <c r="BP34" i="38"/>
  <c r="D10" i="48"/>
  <c r="BE74" i="23"/>
  <c r="AA39" i="48"/>
  <c r="AG51" i="35"/>
  <c r="AD51" i="35" s="1"/>
  <c r="E47" i="43" s="1"/>
  <c r="AB52" i="35"/>
  <c r="AA13" i="48"/>
  <c r="AA18" i="48" s="1"/>
  <c r="D13" i="48"/>
  <c r="AA53" i="48"/>
  <c r="AA66" i="48" s="1"/>
  <c r="H44" i="41"/>
  <c r="BR35" i="38"/>
  <c r="BU35" i="38"/>
  <c r="BQ35" i="38"/>
  <c r="BP35" i="38"/>
  <c r="BS35" i="38"/>
  <c r="BT35" i="38"/>
  <c r="AA38" i="48"/>
  <c r="D9" i="48"/>
  <c r="BE73" i="23"/>
  <c r="AA37" i="48"/>
  <c r="D8" i="48"/>
  <c r="BE72" i="23"/>
  <c r="I44" i="43"/>
  <c r="J43" i="43"/>
  <c r="K43" i="43" s="1"/>
  <c r="AL48" i="39"/>
  <c r="B112" i="51" s="1"/>
  <c r="X40" i="41"/>
  <c r="AB33" i="39"/>
  <c r="AB34" i="39"/>
  <c r="AA36" i="48"/>
  <c r="D7" i="48"/>
  <c r="BE71" i="23"/>
  <c r="AW31" i="23"/>
  <c r="Q41" i="31"/>
  <c r="AT31" i="23"/>
  <c r="AX31" i="23"/>
  <c r="AY31" i="23"/>
  <c r="AU31" i="23"/>
  <c r="BG31" i="23"/>
  <c r="AV31" i="23"/>
  <c r="BE70" i="23"/>
  <c r="AA35" i="48"/>
  <c r="D6" i="48"/>
  <c r="AZ30" i="23"/>
  <c r="J43" i="41" a="1"/>
  <c r="J43" i="41" s="1"/>
  <c r="I42" i="31"/>
  <c r="O42" i="31"/>
  <c r="G112" i="51" l="1"/>
  <c r="H112" i="51"/>
  <c r="F112" i="51"/>
  <c r="E112" i="51"/>
  <c r="I112" i="51"/>
  <c r="N36" i="34"/>
  <c r="BE31" i="39"/>
  <c r="BF31" i="39"/>
  <c r="BG31" i="39"/>
  <c r="BH31" i="39"/>
  <c r="BD31" i="39"/>
  <c r="BI31" i="39"/>
  <c r="I36" i="34"/>
  <c r="J36" i="34" s="1"/>
  <c r="K36" i="34"/>
  <c r="L36" i="34" s="1"/>
  <c r="E37" i="34"/>
  <c r="F37" i="34"/>
  <c r="G37" i="34"/>
  <c r="D37" i="34"/>
  <c r="Z33" i="34"/>
  <c r="J35" i="34"/>
  <c r="AA63" i="48"/>
  <c r="AA55" i="48"/>
  <c r="AA64" i="48"/>
  <c r="AA65" i="48"/>
  <c r="AA15" i="48"/>
  <c r="AM43" i="48" s="1"/>
  <c r="AA57" i="48"/>
  <c r="AA56" i="48"/>
  <c r="AA59" i="48"/>
  <c r="AA73" i="48" s="1"/>
  <c r="AA62" i="48"/>
  <c r="AA16" i="48"/>
  <c r="AM44" i="48" s="1"/>
  <c r="AA17" i="48"/>
  <c r="AM45" i="48" s="1"/>
  <c r="AA58" i="48"/>
  <c r="L43" i="43"/>
  <c r="I43" i="41"/>
  <c r="K43" i="41" s="1"/>
  <c r="L43" i="41" s="1"/>
  <c r="J44" i="41" a="1"/>
  <c r="J44" i="41" s="1"/>
  <c r="E8" i="48"/>
  <c r="AB37" i="48"/>
  <c r="AD37" i="48" s="1"/>
  <c r="BF72" i="23"/>
  <c r="I45" i="43"/>
  <c r="J44" i="43"/>
  <c r="K44" i="43" s="1"/>
  <c r="AA26" i="48"/>
  <c r="AA27" i="48"/>
  <c r="AA24" i="48"/>
  <c r="AA28" i="48"/>
  <c r="AA25" i="48"/>
  <c r="D18" i="48"/>
  <c r="G24" i="48" s="1"/>
  <c r="D24" i="48"/>
  <c r="I40" i="48" s="1"/>
  <c r="F40" i="48"/>
  <c r="I43" i="31"/>
  <c r="O43" i="31"/>
  <c r="AB36" i="48"/>
  <c r="AD36" i="48" s="1"/>
  <c r="BF71" i="23"/>
  <c r="E7" i="48"/>
  <c r="D25" i="48"/>
  <c r="I41" i="48" s="1"/>
  <c r="F41" i="48"/>
  <c r="D17" i="48"/>
  <c r="AB53" i="35"/>
  <c r="AG52" i="35"/>
  <c r="AD52" i="35" s="1"/>
  <c r="E48" i="43" s="1"/>
  <c r="H44" i="31"/>
  <c r="F45" i="31"/>
  <c r="H45" i="31" s="1"/>
  <c r="M42" i="41"/>
  <c r="V42" i="41"/>
  <c r="AM46" i="48"/>
  <c r="X41" i="41"/>
  <c r="D23" i="48"/>
  <c r="D15" i="48"/>
  <c r="G23" i="48" s="1"/>
  <c r="AA40" i="48"/>
  <c r="BF70" i="23"/>
  <c r="AB35" i="48"/>
  <c r="AD35" i="48" s="1"/>
  <c r="E6" i="48"/>
  <c r="D26" i="48"/>
  <c r="I42" i="48" s="1"/>
  <c r="D16" i="48"/>
  <c r="G26" i="48" s="1"/>
  <c r="F42" i="48"/>
  <c r="AW32" i="23"/>
  <c r="BG32" i="23"/>
  <c r="Q42" i="31"/>
  <c r="AU32" i="23"/>
  <c r="AT32" i="23"/>
  <c r="AY32" i="23"/>
  <c r="AV32" i="23"/>
  <c r="AX32" i="23"/>
  <c r="AZ31" i="23"/>
  <c r="E9" i="48"/>
  <c r="AB38" i="48"/>
  <c r="AD38" i="48" s="1"/>
  <c r="BF73" i="23"/>
  <c r="AA19" i="48"/>
  <c r="D22" i="48"/>
  <c r="D14" i="48"/>
  <c r="G22" i="48" s="1"/>
  <c r="F43" i="48"/>
  <c r="BF74" i="23"/>
  <c r="E10" i="48"/>
  <c r="AB39" i="48"/>
  <c r="AD39" i="48" s="1"/>
  <c r="H45" i="41"/>
  <c r="P13" i="48"/>
  <c r="AH13" i="48"/>
  <c r="AB13" i="48"/>
  <c r="AB17" i="48" s="1"/>
  <c r="E13" i="48"/>
  <c r="AB53" i="48"/>
  <c r="AB66" i="48" s="1"/>
  <c r="AD66" i="48" s="1"/>
  <c r="N37" i="34" l="1"/>
  <c r="BG32" i="39"/>
  <c r="BH32" i="39"/>
  <c r="BE32" i="39"/>
  <c r="BF32" i="39"/>
  <c r="BD32" i="39"/>
  <c r="BI32" i="39"/>
  <c r="G38" i="34"/>
  <c r="D38" i="34"/>
  <c r="E38" i="34"/>
  <c r="F38" i="34"/>
  <c r="K37" i="34"/>
  <c r="L37" i="34" s="1"/>
  <c r="I37" i="34"/>
  <c r="J37" i="34" s="1"/>
  <c r="AA72" i="48"/>
  <c r="G25" i="48"/>
  <c r="AA71" i="48"/>
  <c r="AB59" i="48"/>
  <c r="AD59" i="48" s="1"/>
  <c r="AD73" i="48" s="1"/>
  <c r="AF73" i="48" s="1"/>
  <c r="I43" i="48"/>
  <c r="AB18" i="48"/>
  <c r="AN46" i="48" s="1"/>
  <c r="AP46" i="48" s="1"/>
  <c r="AQ46" i="48" s="1"/>
  <c r="AB19" i="48"/>
  <c r="AN47" i="48" s="1"/>
  <c r="AB58" i="48"/>
  <c r="AD58" i="48" s="1"/>
  <c r="AN45" i="48"/>
  <c r="AP45" i="48" s="1"/>
  <c r="AQ45" i="48" s="1"/>
  <c r="AD17" i="48"/>
  <c r="I44" i="41"/>
  <c r="K44" i="41" s="1"/>
  <c r="L44" i="41" s="1"/>
  <c r="L44" i="43"/>
  <c r="AB16" i="48"/>
  <c r="J45" i="43"/>
  <c r="K45" i="43" s="1"/>
  <c r="I46" i="43"/>
  <c r="J45" i="41" a="1"/>
  <c r="J45" i="41" s="1"/>
  <c r="AZ33" i="23"/>
  <c r="AZ32" i="23"/>
  <c r="AB62" i="48"/>
  <c r="AD62" i="48" s="1"/>
  <c r="AB54" i="35"/>
  <c r="AG54" i="35" s="1"/>
  <c r="AD54" i="35" s="1"/>
  <c r="E50" i="43" s="1"/>
  <c r="AG53" i="35"/>
  <c r="AD53" i="35" s="1"/>
  <c r="E49" i="43" s="1"/>
  <c r="AB64" i="48"/>
  <c r="AD64" i="48" s="1"/>
  <c r="AD40" i="48"/>
  <c r="AB63" i="48"/>
  <c r="AD63" i="48" s="1"/>
  <c r="V43" i="41"/>
  <c r="M43" i="41"/>
  <c r="AB55" i="48"/>
  <c r="X42" i="41"/>
  <c r="AV33" i="23"/>
  <c r="AU33" i="23"/>
  <c r="AT33" i="23"/>
  <c r="BG33" i="23"/>
  <c r="Q43" i="31"/>
  <c r="AY33" i="23"/>
  <c r="AX33" i="23"/>
  <c r="AW33" i="23"/>
  <c r="AH25" i="48"/>
  <c r="AH18" i="48"/>
  <c r="AH26" i="48"/>
  <c r="AH24" i="48"/>
  <c r="AH15" i="48"/>
  <c r="AH17" i="48"/>
  <c r="AH28" i="48"/>
  <c r="AH27" i="48"/>
  <c r="AH19" i="48"/>
  <c r="AH16" i="48"/>
  <c r="E22" i="48"/>
  <c r="E14" i="48"/>
  <c r="H22" i="48" s="1"/>
  <c r="F39" i="48"/>
  <c r="AB57" i="48"/>
  <c r="AD57" i="48" s="1"/>
  <c r="E24" i="48"/>
  <c r="I36" i="48" s="1"/>
  <c r="E18" i="48"/>
  <c r="H24" i="48" s="1"/>
  <c r="F36" i="48"/>
  <c r="P18" i="48"/>
  <c r="S24" i="48" s="1"/>
  <c r="P15" i="48"/>
  <c r="S23" i="48" s="1"/>
  <c r="P14" i="48"/>
  <c r="P16" i="48"/>
  <c r="S26" i="48" s="1"/>
  <c r="P17" i="48"/>
  <c r="AB40" i="48"/>
  <c r="O45" i="31"/>
  <c r="I45" i="31"/>
  <c r="AB56" i="48"/>
  <c r="AD56" i="48" s="1"/>
  <c r="F38" i="48"/>
  <c r="E26" i="48"/>
  <c r="I38" i="48" s="1"/>
  <c r="E16" i="48"/>
  <c r="H26" i="48" s="1"/>
  <c r="E25" i="48"/>
  <c r="I37" i="48" s="1"/>
  <c r="F37" i="48"/>
  <c r="E17" i="48"/>
  <c r="AB25" i="48"/>
  <c r="AD25" i="48" s="1"/>
  <c r="AB26" i="48"/>
  <c r="AD26" i="48" s="1"/>
  <c r="AB24" i="48"/>
  <c r="AD24" i="48" s="1"/>
  <c r="AB27" i="48"/>
  <c r="AD27" i="48" s="1"/>
  <c r="AB28" i="48"/>
  <c r="AD28" i="48" s="1"/>
  <c r="AB65" i="48"/>
  <c r="AD65" i="48" s="1"/>
  <c r="AM47" i="48"/>
  <c r="AB15" i="48"/>
  <c r="I44" i="31"/>
  <c r="O44" i="31"/>
  <c r="E23" i="48"/>
  <c r="E15" i="48"/>
  <c r="H23" i="48" s="1"/>
  <c r="N38" i="34" l="1"/>
  <c r="BE33" i="39"/>
  <c r="BF33" i="39"/>
  <c r="BG33" i="39"/>
  <c r="BH33" i="39"/>
  <c r="BD33" i="39"/>
  <c r="BI33" i="39"/>
  <c r="K38" i="34"/>
  <c r="L38" i="34" s="1"/>
  <c r="I38" i="34"/>
  <c r="J38" i="34" s="1"/>
  <c r="G39" i="34"/>
  <c r="D39" i="34"/>
  <c r="E39" i="34"/>
  <c r="F39" i="34"/>
  <c r="AP47" i="48"/>
  <c r="AQ47" i="48" s="1"/>
  <c r="AD19" i="48"/>
  <c r="AB73" i="48"/>
  <c r="AD18" i="48"/>
  <c r="AD72" i="48"/>
  <c r="AF72" i="48" s="1"/>
  <c r="H25" i="48"/>
  <c r="S25" i="48"/>
  <c r="S22" i="48"/>
  <c r="AN44" i="48"/>
  <c r="AP44" i="48" s="1"/>
  <c r="AQ44" i="48" s="1"/>
  <c r="AD16" i="48"/>
  <c r="AU34" i="48"/>
  <c r="AU44" i="48" s="1"/>
  <c r="AW44" i="48" s="1"/>
  <c r="AU36" i="48"/>
  <c r="AU46" i="48" s="1"/>
  <c r="AW46" i="48" s="1"/>
  <c r="AB71" i="48"/>
  <c r="AD55" i="48"/>
  <c r="AD71" i="48" s="1"/>
  <c r="AF71" i="48" s="1"/>
  <c r="AB72" i="48"/>
  <c r="L45" i="43"/>
  <c r="I45" i="41"/>
  <c r="K45" i="41" s="1"/>
  <c r="L45" i="41" s="1"/>
  <c r="AN43" i="48"/>
  <c r="AP43" i="48" s="1"/>
  <c r="AQ43" i="48" s="1"/>
  <c r="AD15" i="48"/>
  <c r="AU37" i="48"/>
  <c r="AU47" i="48" s="1"/>
  <c r="AW47" i="48" s="1"/>
  <c r="M44" i="41"/>
  <c r="V44" i="41"/>
  <c r="AV35" i="23"/>
  <c r="AW35" i="23"/>
  <c r="BG35" i="23"/>
  <c r="Q45" i="31"/>
  <c r="AT35" i="23"/>
  <c r="AU35" i="23"/>
  <c r="AX35" i="23"/>
  <c r="AY35" i="23"/>
  <c r="AU33" i="48"/>
  <c r="AU43" i="48" s="1"/>
  <c r="AW43" i="48" s="1"/>
  <c r="X43" i="41"/>
  <c r="I47" i="43"/>
  <c r="J46" i="43"/>
  <c r="K46" i="43" s="1"/>
  <c r="AX34" i="23"/>
  <c r="AW34" i="23"/>
  <c r="AT34" i="23"/>
  <c r="BG34" i="23"/>
  <c r="AY34" i="23"/>
  <c r="AU34" i="23"/>
  <c r="AV34" i="23"/>
  <c r="Q44" i="31"/>
  <c r="I39" i="48"/>
  <c r="AU35" i="48"/>
  <c r="AU45" i="48" s="1"/>
  <c r="AW45" i="48" s="1"/>
  <c r="N39" i="34" l="1"/>
  <c r="BE34" i="39"/>
  <c r="BF34" i="39"/>
  <c r="BG34" i="39"/>
  <c r="BH34" i="39"/>
  <c r="BD34" i="39"/>
  <c r="BI34" i="39"/>
  <c r="D40" i="34"/>
  <c r="E40" i="34"/>
  <c r="F40" i="34"/>
  <c r="G40" i="34"/>
  <c r="I39" i="34"/>
  <c r="J39" i="34" s="1"/>
  <c r="K39" i="34"/>
  <c r="L39" i="34" s="1"/>
  <c r="AQ48" i="48"/>
  <c r="AQ49" i="48" s="1"/>
  <c r="L46" i="43"/>
  <c r="AD20" i="48"/>
  <c r="AL17" i="48"/>
  <c r="X44" i="41"/>
  <c r="AZ34" i="23"/>
  <c r="AZ35" i="23"/>
  <c r="M45" i="41"/>
  <c r="V45" i="41"/>
  <c r="I48" i="43"/>
  <c r="J47" i="43"/>
  <c r="K47" i="43" s="1"/>
  <c r="N40" i="34" l="1"/>
  <c r="BE35" i="39"/>
  <c r="BF35" i="39"/>
  <c r="BG35" i="39"/>
  <c r="BH35" i="39"/>
  <c r="BD35" i="39"/>
  <c r="BI35" i="39"/>
  <c r="K40" i="34"/>
  <c r="L40" i="34" s="1"/>
  <c r="I40" i="34"/>
  <c r="J40" i="34" s="1"/>
  <c r="L47" i="43"/>
  <c r="I49" i="43"/>
  <c r="J48" i="43"/>
  <c r="K48" i="43" s="1"/>
  <c r="X45" i="41"/>
  <c r="L48" i="43" l="1"/>
  <c r="J49" i="43"/>
  <c r="K49" i="43" s="1"/>
  <c r="I50" i="43"/>
  <c r="J50" i="43" s="1"/>
  <c r="L49" i="43" l="1"/>
  <c r="K50" i="43"/>
  <c r="L50" i="43" s="1"/>
  <c r="T45" i="42" l="1"/>
  <c r="BY35" i="38" s="1"/>
  <c r="T44" i="42"/>
  <c r="CC34" i="38" s="1"/>
  <c r="Q44" i="42"/>
  <c r="Q45" i="42"/>
  <c r="T43" i="42"/>
  <c r="CC33" i="38" s="1"/>
  <c r="Q43" i="42"/>
  <c r="T42" i="42"/>
  <c r="U42" i="42" s="1"/>
  <c r="Q42" i="42"/>
  <c r="T41" i="42"/>
  <c r="BZ31" i="38" s="1"/>
  <c r="Q41" i="42"/>
  <c r="T40" i="42"/>
  <c r="CA30" i="38" s="1"/>
  <c r="Q40" i="42"/>
  <c r="T39" i="42"/>
  <c r="U39" i="42" s="1"/>
  <c r="Q39" i="42"/>
  <c r="T38" i="42"/>
  <c r="CC28" i="38" s="1"/>
  <c r="Q38" i="42"/>
  <c r="T37" i="42"/>
  <c r="CA27" i="38" s="1"/>
  <c r="CB35" i="38" l="1"/>
  <c r="BX33" i="38"/>
  <c r="BY33" i="38"/>
  <c r="CA35" i="38"/>
  <c r="CB32" i="38"/>
  <c r="CB31" i="38"/>
  <c r="BX31" i="38"/>
  <c r="CA32" i="38"/>
  <c r="CA34" i="38"/>
  <c r="BX32" i="38"/>
  <c r="CC32" i="38"/>
  <c r="CA31" i="38"/>
  <c r="CC31" i="38"/>
  <c r="U41" i="42"/>
  <c r="BY31" i="38"/>
  <c r="AX46" i="38"/>
  <c r="C73" i="51" s="1"/>
  <c r="BX28" i="38"/>
  <c r="BX34" i="38"/>
  <c r="AX47" i="38"/>
  <c r="C74" i="51" s="1"/>
  <c r="CA33" i="38"/>
  <c r="U37" i="42"/>
  <c r="CC30" i="38"/>
  <c r="CC35" i="38"/>
  <c r="BX35" i="38"/>
  <c r="BZ33" i="38"/>
  <c r="BZ35" i="38"/>
  <c r="CB33" i="38"/>
  <c r="CB34" i="38"/>
  <c r="U45" i="42"/>
  <c r="CB29" i="38"/>
  <c r="CA29" i="38"/>
  <c r="CB28" i="38"/>
  <c r="CC29" i="38"/>
  <c r="AX49" i="38"/>
  <c r="U43" i="42"/>
  <c r="BZ34" i="38"/>
  <c r="U38" i="42"/>
  <c r="BX29" i="38"/>
  <c r="BX30" i="38"/>
  <c r="U44" i="42"/>
  <c r="V24" i="42" s="1"/>
  <c r="BY29" i="38"/>
  <c r="BZ29" i="38"/>
  <c r="BZ32" i="38"/>
  <c r="U40" i="42"/>
  <c r="AX48" i="38"/>
  <c r="C75" i="51" s="1"/>
  <c r="BY34" i="38"/>
  <c r="Q9" i="48"/>
  <c r="AI38" i="48"/>
  <c r="AJ38" i="48" s="1"/>
  <c r="BZ30" i="38"/>
  <c r="BY27" i="38"/>
  <c r="CB30" i="38"/>
  <c r="BY30" i="38"/>
  <c r="BY32" i="38"/>
  <c r="CA28" i="38"/>
  <c r="CC27" i="38"/>
  <c r="BY28" i="38"/>
  <c r="BX27" i="38"/>
  <c r="BZ27" i="38"/>
  <c r="BZ28" i="38"/>
  <c r="CB27" i="38"/>
  <c r="N73" i="51" l="1"/>
  <c r="P73" i="51"/>
  <c r="S73" i="51" s="1"/>
  <c r="O73" i="51"/>
  <c r="Q73" i="51"/>
  <c r="R73" i="51"/>
  <c r="N75" i="51"/>
  <c r="P75" i="51"/>
  <c r="S75" i="51" s="1"/>
  <c r="O75" i="51"/>
  <c r="Q75" i="51"/>
  <c r="R75" i="51"/>
  <c r="N74" i="51"/>
  <c r="P74" i="51"/>
  <c r="S74" i="51" s="1"/>
  <c r="O74" i="51"/>
  <c r="Q74" i="51"/>
  <c r="R74" i="51"/>
  <c r="AI13" i="48"/>
  <c r="AI28" i="48" s="1"/>
  <c r="AJ28" i="48" s="1"/>
  <c r="C76" i="51"/>
  <c r="CG35" i="38"/>
  <c r="CG31" i="38"/>
  <c r="AI35" i="48"/>
  <c r="AJ35" i="48" s="1"/>
  <c r="CG30" i="38"/>
  <c r="CG29" i="38"/>
  <c r="CG34" i="38"/>
  <c r="CG32" i="38"/>
  <c r="CG33" i="38"/>
  <c r="CG27" i="38"/>
  <c r="CG28" i="38"/>
  <c r="Q6" i="48"/>
  <c r="Q22" i="48" s="1"/>
  <c r="Q13" i="48"/>
  <c r="Q8" i="48"/>
  <c r="AI37" i="48"/>
  <c r="AJ37" i="48" s="1"/>
  <c r="Q25" i="48"/>
  <c r="J33" i="48" s="1"/>
  <c r="G33" i="48"/>
  <c r="AI36" i="48"/>
  <c r="Q7" i="48"/>
  <c r="Q10" i="48"/>
  <c r="AI39" i="48"/>
  <c r="AJ39" i="48" s="1"/>
  <c r="AI15" i="48" l="1"/>
  <c r="AJ15" i="48" s="1"/>
  <c r="AI16" i="48"/>
  <c r="AJ16" i="48" s="1"/>
  <c r="AI25" i="48"/>
  <c r="AV34" i="48" s="1"/>
  <c r="AV44" i="48" s="1"/>
  <c r="AV37" i="48"/>
  <c r="AV47" i="48" s="1"/>
  <c r="AI18" i="48"/>
  <c r="AJ18" i="48" s="1"/>
  <c r="AI26" i="48"/>
  <c r="AJ26" i="48" s="1"/>
  <c r="AI24" i="48"/>
  <c r="AV33" i="48" s="1"/>
  <c r="AV43" i="48" s="1"/>
  <c r="V75" i="51"/>
  <c r="T75" i="51"/>
  <c r="U75" i="51" s="1"/>
  <c r="AI17" i="48"/>
  <c r="AJ17" i="48" s="1"/>
  <c r="AI19" i="48"/>
  <c r="AJ19" i="48" s="1"/>
  <c r="AI27" i="48"/>
  <c r="AV36" i="48" s="1"/>
  <c r="AV46" i="48" s="1"/>
  <c r="V74" i="51"/>
  <c r="T74" i="51"/>
  <c r="U74" i="51" s="1"/>
  <c r="R76" i="51"/>
  <c r="N76" i="51"/>
  <c r="P76" i="51"/>
  <c r="S76" i="51" s="1"/>
  <c r="O76" i="51"/>
  <c r="Q76" i="51"/>
  <c r="V73" i="51"/>
  <c r="T73" i="51"/>
  <c r="U73" i="51" s="1"/>
  <c r="G35" i="48"/>
  <c r="Q14" i="48"/>
  <c r="Q17" i="48"/>
  <c r="Q24" i="48"/>
  <c r="J32" i="48" s="1"/>
  <c r="G32" i="48"/>
  <c r="Q18" i="48"/>
  <c r="T24" i="48" s="1"/>
  <c r="AJ36" i="48"/>
  <c r="AJ40" i="48" s="1"/>
  <c r="AI40" i="48"/>
  <c r="Q16" i="48"/>
  <c r="T26" i="48" s="1"/>
  <c r="Q26" i="48"/>
  <c r="J34" i="48" s="1"/>
  <c r="G34" i="48"/>
  <c r="Q15" i="48"/>
  <c r="Q23" i="48"/>
  <c r="J35" i="48" s="1"/>
  <c r="AJ25" i="48" l="1"/>
  <c r="AV35" i="48"/>
  <c r="AV45" i="48" s="1"/>
  <c r="AJ24" i="48"/>
  <c r="T76" i="51"/>
  <c r="U76" i="51" s="1"/>
  <c r="V76" i="51"/>
  <c r="AJ27" i="48"/>
  <c r="T22" i="48"/>
  <c r="T25" i="48"/>
  <c r="T23" i="48"/>
  <c r="T36" i="42"/>
  <c r="CB26" i="38" s="1"/>
  <c r="Q37" i="42"/>
  <c r="O2" i="42"/>
  <c r="CC26" i="38" l="1"/>
  <c r="BX26" i="38"/>
  <c r="BZ26" i="38"/>
  <c r="BY26" i="38"/>
  <c r="CA26" i="38"/>
  <c r="AX45" i="38"/>
  <c r="C72" i="51" s="1"/>
  <c r="O3" i="42"/>
  <c r="P34" i="42" s="1"/>
  <c r="U36" i="42"/>
  <c r="P72" i="51" l="1"/>
  <c r="S72" i="51" s="1"/>
  <c r="O72" i="51"/>
  <c r="Q72" i="51"/>
  <c r="R72" i="51"/>
  <c r="N72" i="51"/>
  <c r="CG26" i="38"/>
  <c r="P31" i="42"/>
  <c r="Q31" i="42" s="1"/>
  <c r="P32" i="42"/>
  <c r="T32" i="42" s="1"/>
  <c r="T34" i="42"/>
  <c r="BZ24" i="38" s="1"/>
  <c r="P35" i="42"/>
  <c r="P33" i="42"/>
  <c r="T33" i="42" s="1"/>
  <c r="T72" i="51" l="1"/>
  <c r="U72" i="51" s="1"/>
  <c r="V72" i="51"/>
  <c r="BY24" i="38"/>
  <c r="CA24" i="38"/>
  <c r="CB24" i="38"/>
  <c r="T31" i="42"/>
  <c r="U31" i="42" s="1"/>
  <c r="BX24" i="38"/>
  <c r="AX43" i="38"/>
  <c r="C70" i="51" s="1"/>
  <c r="CC24" i="38"/>
  <c r="Q32" i="42"/>
  <c r="CA23" i="38"/>
  <c r="CC23" i="38"/>
  <c r="AX42" i="38"/>
  <c r="C69" i="51" s="1"/>
  <c r="BY23" i="38"/>
  <c r="BX23" i="38"/>
  <c r="CB23" i="38"/>
  <c r="U33" i="42"/>
  <c r="BZ23" i="38"/>
  <c r="Q36" i="42"/>
  <c r="T35" i="42"/>
  <c r="Q35" i="42"/>
  <c r="U34" i="42"/>
  <c r="Q33" i="42"/>
  <c r="Q34" i="42"/>
  <c r="BX22" i="38"/>
  <c r="BZ22" i="38"/>
  <c r="BY22" i="38"/>
  <c r="AX41" i="38"/>
  <c r="C68" i="51" s="1"/>
  <c r="CC22" i="38"/>
  <c r="U32" i="42"/>
  <c r="CB22" i="38"/>
  <c r="CA22" i="38"/>
  <c r="CG24" i="38" l="1"/>
  <c r="Q70" i="51"/>
  <c r="R70" i="51"/>
  <c r="N70" i="51"/>
  <c r="P70" i="51"/>
  <c r="S70" i="51" s="1"/>
  <c r="O70" i="51"/>
  <c r="R68" i="51"/>
  <c r="N68" i="51"/>
  <c r="P68" i="51"/>
  <c r="S68" i="51" s="1"/>
  <c r="O68" i="51"/>
  <c r="Q68" i="51"/>
  <c r="R69" i="51"/>
  <c r="N69" i="51"/>
  <c r="P69" i="51"/>
  <c r="S69" i="51" s="1"/>
  <c r="O69" i="51"/>
  <c r="Q69" i="51"/>
  <c r="CG23" i="38"/>
  <c r="CG22" i="38"/>
  <c r="CB21" i="38"/>
  <c r="BZ21" i="38"/>
  <c r="CA21" i="38"/>
  <c r="BY21" i="38"/>
  <c r="CC21" i="38"/>
  <c r="BX21" i="38"/>
  <c r="AX40" i="38"/>
  <c r="C67" i="51" s="1"/>
  <c r="CC25" i="38"/>
  <c r="BZ25" i="38"/>
  <c r="CB25" i="38"/>
  <c r="BY25" i="38"/>
  <c r="U35" i="42"/>
  <c r="BX25" i="38"/>
  <c r="CA25" i="38"/>
  <c r="AX44" i="38"/>
  <c r="C71" i="51" s="1"/>
  <c r="T68" i="51" l="1"/>
  <c r="U68" i="51" s="1"/>
  <c r="V68" i="51"/>
  <c r="N67" i="51"/>
  <c r="P67" i="51"/>
  <c r="S67" i="51" s="1"/>
  <c r="O67" i="51"/>
  <c r="Q67" i="51"/>
  <c r="R67" i="51"/>
  <c r="O71" i="51"/>
  <c r="Q71" i="51"/>
  <c r="R71" i="51"/>
  <c r="N71" i="51"/>
  <c r="P71" i="51"/>
  <c r="S71" i="51" s="1"/>
  <c r="V69" i="51"/>
  <c r="T69" i="51"/>
  <c r="U69" i="51" s="1"/>
  <c r="V70" i="51"/>
  <c r="T70" i="51"/>
  <c r="U70" i="51" s="1"/>
  <c r="CG21" i="38"/>
  <c r="CG25" i="38"/>
  <c r="V67" i="51" l="1"/>
  <c r="T67" i="51"/>
  <c r="U67" i="51" s="1"/>
  <c r="V71" i="51"/>
  <c r="T71" i="51"/>
  <c r="U71" i="51" s="1"/>
  <c r="C142" i="53"/>
  <c r="B63" i="53" l="1"/>
  <c r="I63" i="53" s="1"/>
  <c r="B115" i="53"/>
  <c r="C115" i="53" s="1"/>
  <c r="G17" i="53"/>
  <c r="B59" i="53"/>
  <c r="I59" i="53" s="1"/>
  <c r="G13" i="53"/>
  <c r="B111" i="53"/>
  <c r="C111" i="53" s="1"/>
  <c r="B117" i="53"/>
  <c r="C117" i="53" s="1"/>
  <c r="R117" i="53" s="1"/>
  <c r="B65" i="53"/>
  <c r="I65" i="53" s="1"/>
  <c r="G19" i="53"/>
  <c r="B110" i="53"/>
  <c r="C110" i="53" s="1"/>
  <c r="G12" i="53"/>
  <c r="B58" i="53"/>
  <c r="I58" i="53" s="1"/>
  <c r="B60" i="53"/>
  <c r="I60" i="53" s="1"/>
  <c r="G14" i="53"/>
  <c r="B112" i="53"/>
  <c r="C112" i="53" s="1"/>
  <c r="B114" i="53"/>
  <c r="C114" i="53" s="1"/>
  <c r="G16" i="53"/>
  <c r="B62" i="53"/>
  <c r="I62" i="53" s="1"/>
  <c r="B66" i="53"/>
  <c r="I66" i="53" s="1"/>
  <c r="G20" i="53"/>
  <c r="B118" i="53"/>
  <c r="C118" i="53" s="1"/>
  <c r="R118" i="53" s="1"/>
  <c r="M142" i="53"/>
  <c r="N142" i="53"/>
  <c r="B113" i="53"/>
  <c r="C113" i="53" s="1"/>
  <c r="G15" i="53"/>
  <c r="B61" i="53"/>
  <c r="I61" i="53" s="1"/>
  <c r="B109" i="53"/>
  <c r="C109" i="53" s="1"/>
  <c r="G11" i="53"/>
  <c r="B57" i="53"/>
  <c r="I57" i="53" s="1"/>
  <c r="B64" i="53" l="1"/>
  <c r="I64" i="53" s="1"/>
  <c r="G18" i="53"/>
  <c r="B116" i="53"/>
  <c r="C116" i="53" s="1"/>
  <c r="C137" i="53"/>
  <c r="B137" i="53"/>
  <c r="B140" i="53"/>
  <c r="C132" i="53"/>
  <c r="B132" i="53"/>
  <c r="B141" i="53"/>
  <c r="C134" i="53"/>
  <c r="B134" i="53"/>
  <c r="C135" i="53"/>
  <c r="B135" i="53"/>
  <c r="C136" i="53"/>
  <c r="B136" i="53"/>
  <c r="C133" i="53"/>
  <c r="B133" i="53"/>
  <c r="C138" i="53"/>
  <c r="B138" i="53"/>
  <c r="C140" i="53" l="1"/>
  <c r="C139" i="53"/>
  <c r="B139" i="53"/>
  <c r="C141" i="53"/>
  <c r="N141" i="53" l="1"/>
  <c r="M141" i="53"/>
  <c r="M140" i="53"/>
  <c r="N140" i="53"/>
  <c r="P4" i="52" l="1"/>
  <c r="M30" i="52" s="1"/>
  <c r="U4" i="52"/>
  <c r="N30" i="52" s="1"/>
  <c r="P5" i="52"/>
  <c r="M31" i="52" s="1"/>
  <c r="R95" i="51" l="1"/>
  <c r="U5" i="52"/>
  <c r="N31" i="52" s="1"/>
  <c r="N95" i="51"/>
  <c r="O95" i="51"/>
  <c r="Q95" i="51"/>
  <c r="P95" i="51"/>
  <c r="S95" i="51" s="1"/>
  <c r="T95" i="51" l="1"/>
  <c r="D68" i="53"/>
  <c r="J68" i="53" s="1"/>
  <c r="B68" i="53" l="1"/>
  <c r="G22" i="53"/>
  <c r="C68" i="53"/>
  <c r="I68" i="53" s="1"/>
  <c r="B143" i="53" l="1"/>
  <c r="E143" i="53"/>
  <c r="C143" i="53" l="1"/>
  <c r="D143" i="53"/>
  <c r="O143" i="53" s="1"/>
  <c r="M143" i="53" l="1"/>
  <c r="N143" i="53"/>
  <c r="Q96" i="51" l="1"/>
  <c r="R96" i="51" l="1"/>
  <c r="O96" i="51"/>
  <c r="U6" i="52"/>
  <c r="N96" i="51"/>
  <c r="P96" i="51"/>
  <c r="S96" i="51" s="1"/>
  <c r="Q97" i="51"/>
  <c r="T96" i="51" l="1"/>
  <c r="U96" i="51" s="1"/>
  <c r="V96" i="51"/>
  <c r="O97" i="51"/>
  <c r="C98" i="51"/>
  <c r="U7" i="52"/>
  <c r="N97" i="51"/>
  <c r="R97" i="51"/>
  <c r="P6" i="52"/>
  <c r="M32" i="52" s="1"/>
  <c r="P97" i="51"/>
  <c r="S97" i="51" s="1"/>
  <c r="J97" i="51" l="1"/>
  <c r="P7" i="52"/>
  <c r="M33" i="52" s="1"/>
  <c r="C99" i="51"/>
  <c r="C69" i="53"/>
  <c r="I69" i="53" s="1"/>
  <c r="T97" i="51"/>
  <c r="U97" i="51" s="1"/>
  <c r="V97" i="51"/>
  <c r="U8" i="52"/>
  <c r="N34" i="52" s="1"/>
  <c r="C25" i="53" s="1"/>
  <c r="S98" i="51"/>
  <c r="J96" i="51"/>
  <c r="C100" i="51"/>
  <c r="D123" i="53" l="1"/>
  <c r="M123" i="53"/>
  <c r="L96" i="51"/>
  <c r="B23" i="53" s="1"/>
  <c r="M96" i="51"/>
  <c r="J98" i="51"/>
  <c r="L97" i="51"/>
  <c r="B24" i="53" s="1"/>
  <c r="U9" i="52"/>
  <c r="N35" i="52" s="1"/>
  <c r="C26" i="53" s="1"/>
  <c r="D144" i="53"/>
  <c r="S99" i="51"/>
  <c r="T98" i="51"/>
  <c r="U98" i="51" s="1"/>
  <c r="V98" i="51"/>
  <c r="P8" i="52"/>
  <c r="M34" i="52" s="1"/>
  <c r="D25" i="53" s="1"/>
  <c r="M97" i="51"/>
  <c r="S100" i="51"/>
  <c r="E123" i="53" l="1"/>
  <c r="N123" i="53" s="1"/>
  <c r="D124" i="53"/>
  <c r="M26" i="53"/>
  <c r="B121" i="53"/>
  <c r="C121" i="53" s="1"/>
  <c r="R121" i="53" s="1"/>
  <c r="G23" i="53"/>
  <c r="B122" i="53"/>
  <c r="C122" i="53" s="1"/>
  <c r="R122" i="53" s="1"/>
  <c r="G24" i="53"/>
  <c r="K98" i="51"/>
  <c r="L98" i="51" s="1"/>
  <c r="M98" i="51"/>
  <c r="U10" i="52"/>
  <c r="N36" i="52" s="1"/>
  <c r="C27" i="53" s="1"/>
  <c r="D125" i="53" s="1"/>
  <c r="M144" i="53"/>
  <c r="C70" i="53"/>
  <c r="I70" i="53" s="1"/>
  <c r="V99" i="51"/>
  <c r="T99" i="51"/>
  <c r="U99" i="51" s="1"/>
  <c r="O123" i="53" l="1"/>
  <c r="V100" i="51"/>
  <c r="T100" i="51"/>
  <c r="U100" i="51" s="1"/>
  <c r="P9" i="52"/>
  <c r="M35" i="52" s="1"/>
  <c r="D26" i="53" s="1"/>
  <c r="D145" i="53"/>
  <c r="C71" i="53"/>
  <c r="I71" i="53" s="1"/>
  <c r="M25" i="53"/>
  <c r="O25" i="53"/>
  <c r="D69" i="53"/>
  <c r="J69" i="53" s="1"/>
  <c r="C101" i="51"/>
  <c r="D70" i="53"/>
  <c r="J70" i="53" s="1"/>
  <c r="J99" i="51"/>
  <c r="C102" i="51"/>
  <c r="E124" i="53" l="1"/>
  <c r="C72" i="53"/>
  <c r="I72" i="53" s="1"/>
  <c r="O26" i="53"/>
  <c r="C73" i="53"/>
  <c r="I73" i="53" s="1"/>
  <c r="M27" i="53"/>
  <c r="O27" i="53"/>
  <c r="D146" i="53"/>
  <c r="M99" i="51"/>
  <c r="K99" i="51"/>
  <c r="L99" i="51" s="1"/>
  <c r="U11" i="52"/>
  <c r="N37" i="52" s="1"/>
  <c r="C28" i="53" s="1"/>
  <c r="S101" i="51"/>
  <c r="E145" i="53"/>
  <c r="N145" i="53" s="1"/>
  <c r="M145" i="53"/>
  <c r="P10" i="52"/>
  <c r="M36" i="52" s="1"/>
  <c r="D27" i="53" s="1"/>
  <c r="E144" i="53"/>
  <c r="D71" i="53"/>
  <c r="J71" i="53" s="1"/>
  <c r="N25" i="53"/>
  <c r="J100" i="51"/>
  <c r="S102" i="51"/>
  <c r="E125" i="53" l="1"/>
  <c r="D126" i="53"/>
  <c r="K100" i="51"/>
  <c r="L100" i="51" s="1"/>
  <c r="M100" i="51"/>
  <c r="M146" i="53"/>
  <c r="O145" i="53"/>
  <c r="J101" i="51"/>
  <c r="T101" i="51"/>
  <c r="U101" i="51" s="1"/>
  <c r="V101" i="51"/>
  <c r="D147" i="53"/>
  <c r="M124" i="53"/>
  <c r="C103" i="51"/>
  <c r="U12" i="52"/>
  <c r="N38" i="52" s="1"/>
  <c r="C29" i="53" s="1"/>
  <c r="D127" i="53" s="1"/>
  <c r="E146" i="53"/>
  <c r="N146" i="53" s="1"/>
  <c r="P11" i="52"/>
  <c r="M37" i="52" s="1"/>
  <c r="D28" i="53" s="1"/>
  <c r="N144" i="53"/>
  <c r="O144" i="53"/>
  <c r="D148" i="53"/>
  <c r="M148" i="53" s="1"/>
  <c r="M125" i="53"/>
  <c r="E126" i="53" l="1"/>
  <c r="V102" i="51"/>
  <c r="T102" i="51"/>
  <c r="U102" i="51" s="1"/>
  <c r="C104" i="51"/>
  <c r="P12" i="52"/>
  <c r="M38" i="52" s="1"/>
  <c r="D29" i="53" s="1"/>
  <c r="M147" i="53"/>
  <c r="O146" i="53"/>
  <c r="J102" i="51"/>
  <c r="K101" i="51"/>
  <c r="L101" i="51" s="1"/>
  <c r="M101" i="51"/>
  <c r="S103" i="51"/>
  <c r="C74" i="53"/>
  <c r="I74" i="53" s="1"/>
  <c r="M28" i="53"/>
  <c r="O28" i="53"/>
  <c r="T103" i="51"/>
  <c r="E127" i="53" l="1"/>
  <c r="U103" i="51"/>
  <c r="D73" i="53"/>
  <c r="J73" i="53" s="1"/>
  <c r="N27" i="53"/>
  <c r="C75" i="53"/>
  <c r="I75" i="53" s="1"/>
  <c r="M29" i="53"/>
  <c r="O29" i="53"/>
  <c r="K102" i="51"/>
  <c r="L102" i="51" s="1"/>
  <c r="M102" i="51"/>
  <c r="D149" i="53"/>
  <c r="M126" i="53"/>
  <c r="T104" i="51"/>
  <c r="V103" i="51"/>
  <c r="C105" i="51"/>
  <c r="S104" i="51"/>
  <c r="D72" i="53"/>
  <c r="J72" i="53" s="1"/>
  <c r="N26" i="53"/>
  <c r="D75" i="53"/>
  <c r="J75" i="53" s="1"/>
  <c r="N29" i="53"/>
  <c r="J103" i="51"/>
  <c r="C106" i="51" l="1"/>
  <c r="V104" i="51"/>
  <c r="S105" i="51"/>
  <c r="U104" i="51"/>
  <c r="M149" i="53"/>
  <c r="J105" i="51"/>
  <c r="N127" i="53"/>
  <c r="E150" i="53"/>
  <c r="N150" i="53" s="1"/>
  <c r="J104" i="51"/>
  <c r="D74" i="53"/>
  <c r="J74" i="53" s="1"/>
  <c r="N28" i="53"/>
  <c r="N125" i="53"/>
  <c r="E148" i="53"/>
  <c r="O125" i="53"/>
  <c r="D150" i="53"/>
  <c r="O127" i="53"/>
  <c r="M127" i="53"/>
  <c r="N124" i="53"/>
  <c r="E147" i="53"/>
  <c r="O124" i="53"/>
  <c r="M104" i="51" l="1"/>
  <c r="K104" i="51"/>
  <c r="L104" i="51" s="1"/>
  <c r="M105" i="51"/>
  <c r="K105" i="51"/>
  <c r="L105" i="51" s="1"/>
  <c r="V105" i="51"/>
  <c r="K106" i="51"/>
  <c r="O148" i="53"/>
  <c r="N148" i="53"/>
  <c r="T106" i="51"/>
  <c r="S106" i="51"/>
  <c r="V106" i="51"/>
  <c r="O126" i="53"/>
  <c r="E149" i="53"/>
  <c r="N126" i="53"/>
  <c r="N147" i="53"/>
  <c r="O147" i="53"/>
  <c r="O150" i="53"/>
  <c r="M150" i="53"/>
  <c r="T105" i="51"/>
  <c r="U105" i="51" s="1"/>
  <c r="C107" i="51"/>
  <c r="J106" i="51"/>
  <c r="K103" i="51"/>
  <c r="L103" i="51" s="1"/>
  <c r="M103" i="51"/>
  <c r="L106" i="51" l="1"/>
  <c r="M106" i="51"/>
  <c r="C110" i="51"/>
  <c r="S107" i="51"/>
  <c r="U106" i="51"/>
  <c r="C108" i="51"/>
  <c r="N149" i="53"/>
  <c r="O149" i="53"/>
  <c r="J107" i="51"/>
  <c r="V107" i="51" l="1"/>
  <c r="K108" i="51"/>
  <c r="S110" i="51"/>
  <c r="K107" i="51"/>
  <c r="L107" i="51" s="1"/>
  <c r="M107" i="51"/>
  <c r="C109" i="51"/>
  <c r="T108" i="51"/>
  <c r="S108" i="51"/>
  <c r="T107" i="51"/>
  <c r="U107" i="51" s="1"/>
  <c r="J108" i="51"/>
  <c r="U108" i="51" l="1"/>
  <c r="V108" i="51"/>
  <c r="M108" i="51"/>
  <c r="Y109" i="51"/>
  <c r="L108" i="51"/>
  <c r="C111" i="51"/>
  <c r="S109" i="51"/>
  <c r="V110" i="51"/>
  <c r="T110" i="51"/>
  <c r="U110" i="51" s="1"/>
  <c r="C112" i="51" l="1"/>
  <c r="K109" i="51"/>
  <c r="J110" i="51"/>
  <c r="T109" i="51"/>
  <c r="U109" i="51" s="1"/>
  <c r="V109" i="51"/>
  <c r="S111" i="51"/>
  <c r="J109" i="51"/>
  <c r="M109" i="51" l="1"/>
  <c r="L109" i="51"/>
  <c r="S112" i="51"/>
  <c r="M110" i="51"/>
  <c r="K110" i="51"/>
  <c r="L110" i="51" s="1"/>
  <c r="T111" i="51"/>
  <c r="U111" i="51" s="1"/>
  <c r="V111" i="51"/>
  <c r="J111" i="51"/>
  <c r="T112" i="51" l="1"/>
  <c r="V112" i="51"/>
  <c r="M111" i="51"/>
  <c r="K111" i="51"/>
  <c r="L111" i="51" s="1"/>
  <c r="J112" i="51"/>
  <c r="M112" i="51" l="1"/>
  <c r="K112" i="51"/>
  <c r="L112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Kihara</author>
    <author>Ismaeel</author>
    <author>Paayal</author>
    <author>Lauren Zeiss</author>
    <author>James William Brown</author>
    <author>IT ADMIN</author>
  </authors>
  <commentList>
    <comment ref="N14" authorId="0" shapeId="0" xr:uid="{0EB74E0F-253E-465B-B067-C74F127A42D9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Updated from the MTBPS October 2024 report, page 25
https://www.treasury.gov.za/documents/mtbps/2024/mtbps/FullMTBPS.pdf
</t>
        </r>
      </text>
    </comment>
    <comment ref="H19" authorId="0" shapeId="0" xr:uid="{AB40AF21-941E-4128-AA20-7D645C75A04B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Previous model assumptions
</t>
        </r>
      </text>
    </comment>
    <comment ref="Q54" authorId="0" shapeId="0" xr:uid="{669255AC-EC7A-4281-AB23-6B0BB200BBE5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As per IATA forecasts, current trends are at </t>
        </r>
        <r>
          <rPr>
            <b/>
            <sz val="9"/>
            <color indexed="81"/>
            <rFont val="Tahoma"/>
            <family val="2"/>
          </rPr>
          <t>42.2M</t>
        </r>
        <r>
          <rPr>
            <sz val="9"/>
            <color indexed="81"/>
            <rFont val="Tahoma"/>
            <family val="2"/>
          </rPr>
          <t xml:space="preserve"> upside being </t>
        </r>
        <r>
          <rPr>
            <b/>
            <sz val="9"/>
            <color indexed="81"/>
            <rFont val="Tahoma"/>
            <family val="2"/>
          </rPr>
          <t>44.7M</t>
        </r>
        <r>
          <rPr>
            <sz val="9"/>
            <color indexed="81"/>
            <rFont val="Tahoma"/>
            <family val="2"/>
          </rPr>
          <t xml:space="preserve"> and downside being </t>
        </r>
        <r>
          <rPr>
            <b/>
            <sz val="9"/>
            <color indexed="81"/>
            <rFont val="Tahoma"/>
            <family val="2"/>
          </rPr>
          <t>35.2M</t>
        </r>
        <r>
          <rPr>
            <sz val="9"/>
            <color indexed="81"/>
            <rFont val="Tahoma"/>
            <family val="2"/>
          </rPr>
          <t xml:space="preserve"> by 2037. 
- Growth assumption for low growth is adjusted downward from 4.9% (2027) to 0.5% </t>
        </r>
        <r>
          <rPr>
            <u/>
            <sz val="9"/>
            <color indexed="81"/>
            <rFont val="Tahoma"/>
            <family val="2"/>
          </rPr>
          <t>more than</t>
        </r>
        <r>
          <rPr>
            <sz val="9"/>
            <color indexed="81"/>
            <rFont val="Tahoma"/>
            <family val="2"/>
          </rPr>
          <t xml:space="preserve"> GDP per Capita low scenario</t>
        </r>
      </text>
    </comment>
    <comment ref="M55" authorId="0" shapeId="0" xr:uid="{52E90667-620A-4AAB-B64B-6E8F4FCBB595}">
      <text>
        <r>
          <rPr>
            <b/>
            <sz val="9"/>
            <color indexed="81"/>
            <rFont val="Tahoma"/>
            <family val="2"/>
          </rPr>
          <t xml:space="preserve">Joseph Kihara:
</t>
        </r>
        <r>
          <rPr>
            <sz val="9"/>
            <color indexed="81"/>
            <rFont val="Tahoma"/>
            <family val="2"/>
          </rPr>
          <t xml:space="preserve">As per ACSA stakeholder report, traffic projected to reach pre-pandemic levels by end of 2025/26 financial year, hence the </t>
        </r>
        <r>
          <rPr>
            <b/>
            <sz val="9"/>
            <color indexed="81"/>
            <rFont val="Tahoma"/>
            <family val="2"/>
          </rPr>
          <t xml:space="preserve">21M figure.
</t>
        </r>
        <r>
          <rPr>
            <sz val="9"/>
            <color indexed="81"/>
            <rFont val="Tahoma"/>
            <family val="2"/>
          </rPr>
          <t>2018 actual passenger departures was 21,118,264</t>
        </r>
      </text>
    </comment>
    <comment ref="I63" authorId="0" shapeId="0" xr:uid="{CDC4C1A5-3C08-41BC-AE82-362E42D1A21C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Assume on a low scenario, passenger growths to 4.9% and levels up at 0.5% plus low GDP scenarios. We take a more conservative approach to the IATA low scenario (so our low scenario comes to </t>
        </r>
        <r>
          <rPr>
            <b/>
            <sz val="9"/>
            <color indexed="81"/>
            <rFont val="Tahoma"/>
            <family val="2"/>
          </rPr>
          <t>25.5 M passengers per annum by 2037</t>
        </r>
      </text>
    </comment>
    <comment ref="G92" authorId="1" shapeId="0" xr:uid="{F6685E0D-9014-4770-B2FD-DCE0A91D3699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75% DMRE Presentation 2021</t>
        </r>
      </text>
    </comment>
    <comment ref="N94" authorId="0" shapeId="0" xr:uid="{D0D672A5-D7CC-41A1-A303-EC862793F904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- Potential to increase to </t>
        </r>
        <r>
          <rPr>
            <b/>
            <sz val="9"/>
            <color indexed="81"/>
            <rFont val="Tahoma"/>
            <family val="2"/>
          </rPr>
          <t>600 kbpd</t>
        </r>
      </text>
    </comment>
    <comment ref="R97" authorId="0" shapeId="0" xr:uid="{57A70697-B1AD-4651-9A3B-D4EED8168629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**Used 10% from https://www.sapia.org.za/wp-content/uploads/2022/04/SAPIA_Economic-Impact-Assessment.pdf
</t>
        </r>
        <r>
          <rPr>
            <b/>
            <i/>
            <sz val="9"/>
            <color indexed="81"/>
            <rFont val="Tahoma"/>
            <family val="2"/>
          </rPr>
          <t>Check left of the assumptions tables</t>
        </r>
      </text>
    </comment>
    <comment ref="N103" authorId="2" shapeId="0" xr:uid="{E2460D6B-3D37-453B-AD4E-F2AF5921431E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was previously 0.9
https://www.enerdata.net/publications/daily-energy-news/bp-and-shell-will-mothball-sapref-refinery-march-2022-south-africa.html</t>
        </r>
      </text>
    </comment>
    <comment ref="O103" authorId="3" shapeId="0" xr:uid="{02B4D9F3-0857-4C1E-B9B6-2F601D8C500A}">
      <text>
        <r>
          <rPr>
            <b/>
            <sz val="9"/>
            <color indexed="81"/>
            <rFont val="Tahoma"/>
            <family val="2"/>
          </rPr>
          <t>Lauren Zeiss:</t>
        </r>
        <r>
          <rPr>
            <sz val="9"/>
            <color indexed="81"/>
            <rFont val="Tahoma"/>
            <family val="2"/>
          </rPr>
          <t xml:space="preserve">
Natref will not shutdown
Continue to run at economically viable rates 
</t>
        </r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Natref will not shutdown
Continues to run but exports post-2028 (only for Gasoline and Diesel)
Not going to be able to meet the clean fuels specs</t>
        </r>
      </text>
    </comment>
    <comment ref="R103" authorId="2" shapeId="0" xr:uid="{38CA4169-F83D-48C9-8CA9-681EBF7AB852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The PetroSA facility at Mossel Bay remained shut down during
2022 but operations continued at Natref and Secunda. </t>
        </r>
      </text>
    </comment>
    <comment ref="P107" authorId="0" shapeId="0" xr:uid="{096F9B90-2194-4C70-8C28-E239E2B6EA9E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- In 2026 the the availiability goes up to 0.9 because of improved coal quality
- They have made commitments to reduced CO</t>
        </r>
        <r>
          <rPr>
            <vertAlign val="subscript"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 emissions, they need to cut back in 2030 (shut down 6 boilers)
- Doesn't shut-down boilers, they run out of natural gas post-2034
- Then later they will run out of gas
- In 2035 production value at Sasol continues at 0.9 as there is suffcient inland gas to extend the life of Secunda 
Notes: by April/ May 20525 we should have more clartity whether the gas cliff will be replaced by inland gas discoveries</t>
        </r>
      </text>
    </comment>
    <comment ref="R108" authorId="0" shapeId="0" xr:uid="{CA6C9760-D43C-490F-B299-18225BFB6D3B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- Diesel vs Gasoline split from PetroSA report
- 50% is condensate and othe 50% GTL facility (remain
- They are able to find enough condesate to get the refinery going
- They are not able to get the gas to run the othe half of the refinery
- Bring condesate and produce 46,000 barrels per day
- GTL 33,000, stay shutdown
- Condesate 12,000 per day
Total 45,000 per day
- Brings in more condesate, unbottles the GTL capacity to reach 45,000 per day
</t>
        </r>
      </text>
    </comment>
    <comment ref="P140" authorId="0" shapeId="0" xr:uid="{B0DE9753-CC6D-4A4B-98E6-81380D575D1B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- In 2026 the the availiability goes up to 0.9 because of improved coal quality
- They have made commitments to reduced CO</t>
        </r>
        <r>
          <rPr>
            <vertAlign val="subscript"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 emissions, they need to cut back in 2030 (shut down 6 boilers)
- Doesn't shut-down boilers, they run out of natural gas post-2034
- Then later they will run out of gas
- In 2035 production value at Sasol continues at 0.9 as there is suffcient inland gas to extend the life of Secunda 
Notes: by April/ May 20525 we should have more clartity whether the gas cliff will be replaced by inland gas discoveries</t>
        </r>
      </text>
    </comment>
    <comment ref="I174" authorId="2" shapeId="0" xr:uid="{D2BD19CC-1CDA-4CBC-A045-73B50C95760B}">
      <text>
        <r>
          <rPr>
            <b/>
            <sz val="9"/>
            <color indexed="81"/>
            <rFont val="Tahoma"/>
            <family val="2"/>
          </rPr>
          <t>Paayal:
U</t>
        </r>
        <r>
          <rPr>
            <sz val="9"/>
            <color indexed="81"/>
            <rFont val="Tahoma"/>
            <family val="2"/>
          </rPr>
          <t>pdated</t>
        </r>
      </text>
    </comment>
    <comment ref="I177" authorId="2" shapeId="0" xr:uid="{490A1CEA-98DD-4F3A-975A-F73AEE22F311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I178" authorId="2" shapeId="0" xr:uid="{C4212AB0-83F3-4279-A75C-7B7319D0CE52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MTSAO 2024-2028 Eskom report
https://www.eskom.co.za/wp-content/uploads/2023/11/Medium_Term_System_Adequacy_Outlook_2024-2028.pdf</t>
        </r>
      </text>
    </comment>
    <comment ref="D182" authorId="4" shapeId="0" xr:uid="{6856DA26-D2A6-4466-BD4F-DF263CABA95A}">
      <text>
        <r>
          <rPr>
            <sz val="9"/>
            <color indexed="81"/>
            <rFont val="Tahoma"/>
            <family val="2"/>
          </rPr>
          <t>Between 35% and 42%
https://iea-etsap.org/E-TechDS/HIGHLIGHTS%20PDF/E02-gas_fired_power-GS-AD-gct%201.pdf</t>
        </r>
      </text>
    </comment>
    <comment ref="D183" authorId="4" shapeId="0" xr:uid="{D2EBEF95-E748-4663-9866-A2055CFDFC88}">
      <text>
        <r>
          <rPr>
            <sz val="9"/>
            <color indexed="81"/>
            <rFont val="Tahoma"/>
            <family val="2"/>
          </rPr>
          <t>https://www.acea.auto/fact/differences-between-diesel-and-petrol/</t>
        </r>
      </text>
    </comment>
    <comment ref="M299" authorId="2" shapeId="0" xr:uid="{C7B2EEE2-9E7B-47B0-87F9-2846FB22468A}">
      <text>
        <r>
          <rPr>
            <sz val="9"/>
            <color indexed="81"/>
            <rFont val="Tahoma"/>
            <family val="2"/>
          </rPr>
          <t xml:space="preserve">
Payload = volume of goods transported</t>
        </r>
      </text>
    </comment>
    <comment ref="N367" authorId="5" shapeId="0" xr:uid="{BBF673AD-56DD-4364-B47A-6E0C5832A046}">
      <text>
        <r>
          <rPr>
            <b/>
            <sz val="9"/>
            <color indexed="81"/>
            <rFont val="Tahoma"/>
            <family val="2"/>
          </rPr>
          <t>IT ADMIN:</t>
        </r>
        <r>
          <rPr>
            <sz val="9"/>
            <color indexed="81"/>
            <rFont val="Tahoma"/>
            <family val="2"/>
          </rPr>
          <t xml:space="preserve">
STATSSA NOT OECD, OECD DATA ONLY GOES UP TO 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Paayal</author>
    <author>Joseph Kihara</author>
  </authors>
  <commentList>
    <comment ref="B3" authorId="0" shapeId="0" xr:uid="{8ECD0913-15B3-4FE2-9805-A1E931F08492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Not accouting for availability factor</t>
        </r>
      </text>
    </comment>
    <comment ref="E16" authorId="1" shapeId="0" xr:uid="{296CE7E4-F282-430E-A425-24747167A349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NATREF stops supplying Gasoline and Diesel post-2028, but continuties to supply Jet Fuel post-2028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Kihara</author>
  </authors>
  <commentList>
    <comment ref="AB31" authorId="0" shapeId="0" xr:uid="{6306204F-3847-4B8B-8FA8-1AB5F2DBE410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Percentage calculation for the fraction that will need to be met by imports i.e. Demand not met locally that will be met by imports (on  a high/low demand forecast and high/low local supply forecast)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Kihara</author>
  </authors>
  <commentList>
    <comment ref="AP26" authorId="0" shapeId="0" xr:uid="{F3C522BF-E29F-4AE1-AC0A-4E8A4F69CC8B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Diesel demand adjusted for increase in vehicles
</t>
        </r>
      </text>
    </comment>
    <comment ref="AW33" authorId="0" shapeId="0" xr:uid="{911962FA-85E9-401A-B008-4AB1929ABEAD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Percentage calculation for the fraction that will need to be met by imports i.e. Demand not met locally that will be met by imports (on  a high/low demand forecast and high/low local supply forecast)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Kihara</author>
  </authors>
  <commentList>
    <comment ref="AL32" authorId="0" shapeId="0" xr:uid="{FF81A271-741B-430D-8535-940D81304188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Percentage calculation for the fraction that will need to be met by imports i.e. Demand not met locally that will be met by imports (on  a high/low demand forecast and high/low local supply forecast)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William Brown</author>
  </authors>
  <commentList>
    <comment ref="I2" authorId="0" shapeId="0" xr:uid="{85CC80AB-BFB5-4084-8F27-3E7DBEBBDB20}">
      <text>
        <r>
          <rPr>
            <sz val="9"/>
            <color indexed="81"/>
            <rFont val="Tahoma"/>
            <family val="2"/>
          </rPr>
          <t>Due to reduced kilometres traveled (lower GDP/capita, older vehicle fleet, etc.)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</author>
    <author>Paayal</author>
    <author>James William Brown</author>
  </authors>
  <commentList>
    <comment ref="C5" authorId="0" shapeId="0" xr:uid="{75880905-5885-427B-83DA-AD86CCFF34BA}">
      <text>
        <r>
          <rPr>
            <b/>
            <sz val="9"/>
            <color indexed="81"/>
            <rFont val="Tahoma"/>
            <family val="2"/>
          </rPr>
          <t>IT ADMIN:</t>
        </r>
        <r>
          <rPr>
            <sz val="9"/>
            <color indexed="81"/>
            <rFont val="Tahoma"/>
            <family val="2"/>
          </rPr>
          <t xml:space="preserve">
2024 Jan-Apr = 245,000
2024 May-Jun = 255,000
wieghted average </t>
        </r>
      </text>
    </comment>
    <comment ref="E20" authorId="1" shapeId="0" xr:uid="{4C2979E7-A8D7-4FB8-94CE-7B8198A86FF1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Input confirmed</t>
        </r>
      </text>
    </comment>
    <comment ref="E21" authorId="1" shapeId="0" xr:uid="{D964167F-33B1-4497-AD8C-BF6A4E2D9B76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Input confirmed</t>
        </r>
      </text>
    </comment>
    <comment ref="H22" authorId="1" shapeId="0" xr:uid="{2DFE8A25-8B91-4C93-B1BF-13D92557329F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Updated - was 1.3</t>
        </r>
      </text>
    </comment>
    <comment ref="H23" authorId="1" shapeId="0" xr:uid="{A663C4D8-1E08-457B-9459-EC69FC56E754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Thembani: Keep  previous assumptions the same</t>
        </r>
      </text>
    </comment>
    <comment ref="E43" authorId="1" shapeId="0" xr:uid="{71F07905-3613-4D21-A851-95DE9A0C8045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Input confirmed</t>
        </r>
      </text>
    </comment>
    <comment ref="E44" authorId="1" shapeId="0" xr:uid="{0ED223E9-43BF-44DD-8DF5-3500390D0932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Input confirmed</t>
        </r>
      </text>
    </comment>
    <comment ref="E68" authorId="1" shapeId="0" xr:uid="{C6F215C7-E150-4216-AF70-8BBB9B370B50}">
      <text>
        <r>
          <rPr>
            <b/>
            <sz val="9"/>
            <color indexed="81"/>
            <rFont val="Tahoma"/>
            <family val="2"/>
          </rPr>
          <t>Paayal:</t>
        </r>
        <r>
          <rPr>
            <sz val="9"/>
            <color indexed="81"/>
            <rFont val="Tahoma"/>
            <family val="2"/>
          </rPr>
          <t xml:space="preserve">
Annualised</t>
        </r>
      </text>
    </comment>
    <comment ref="F118" authorId="2" shapeId="0" xr:uid="{EE7EBBA3-02C5-4082-A02E-B94A7925CE7B}">
      <text>
        <r>
          <rPr>
            <b/>
            <sz val="9"/>
            <color indexed="81"/>
            <rFont val="Tahoma"/>
            <family val="2"/>
          </rPr>
          <t>James William Brown:</t>
        </r>
        <r>
          <rPr>
            <sz val="9"/>
            <color indexed="81"/>
            <rFont val="Tahoma"/>
            <family val="2"/>
          </rPr>
          <t xml:space="preserve">
annualised</t>
        </r>
      </text>
    </comment>
    <comment ref="F141" authorId="2" shapeId="0" xr:uid="{44EC64BC-A14F-444A-82C3-0CBAA667FCA3}">
      <text>
        <r>
          <rPr>
            <b/>
            <sz val="9"/>
            <color indexed="81"/>
            <rFont val="Tahoma"/>
            <family val="2"/>
          </rPr>
          <t>James William Brown:</t>
        </r>
        <r>
          <rPr>
            <sz val="9"/>
            <color indexed="81"/>
            <rFont val="Tahoma"/>
            <family val="2"/>
          </rPr>
          <t xml:space="preserve">
annualised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</author>
  </authors>
  <commentList>
    <comment ref="C10" authorId="0" shapeId="0" xr:uid="{5679B5AC-98A2-4925-B96F-85C03859D66D}">
      <text>
        <r>
          <rPr>
            <b/>
            <sz val="9"/>
            <color indexed="81"/>
            <rFont val="Tahoma"/>
            <family val="2"/>
          </rPr>
          <t>IT ADMIN:</t>
        </r>
        <r>
          <rPr>
            <sz val="9"/>
            <color indexed="81"/>
            <rFont val="Tahoma"/>
            <family val="2"/>
          </rPr>
          <t xml:space="preserve">
Industry New Vehicle Sales - Naamsa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</author>
    <author>Joseph Kihara</author>
  </authors>
  <commentList>
    <comment ref="AA4" authorId="0" shapeId="0" xr:uid="{78AA85F9-1003-44A1-9977-34958E7AEEE5}">
      <text>
        <r>
          <rPr>
            <b/>
            <sz val="9"/>
            <color indexed="81"/>
            <rFont val="Tahoma"/>
            <family val="2"/>
          </rPr>
          <t xml:space="preserve">Tumelo: Buffer time 2-3 days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5" authorId="0" shapeId="0" xr:uid="{BA2E9D1B-C1D0-47E9-B115-8B594734E5C1}">
      <text>
        <r>
          <rPr>
            <b/>
            <sz val="9"/>
            <color indexed="81"/>
            <rFont val="Tahoma"/>
            <family val="2"/>
          </rPr>
          <t>Tumelo: IEA recommends 90 days</t>
        </r>
        <r>
          <rPr>
            <sz val="9"/>
            <color indexed="81"/>
            <rFont val="Tahoma"/>
            <family val="2"/>
          </rPr>
          <t xml:space="preserve">
- Storage is sometimes used for strategic reserves to guard against supply disruptions or price volatility, rather than matching demand exactly
</t>
        </r>
      </text>
    </comment>
    <comment ref="AD14" authorId="1" shapeId="0" xr:uid="{21C4B580-07B8-4F3A-8E88-A0E876939172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- Storage is unlikely to grow one to one with demand, but rather the need for storage to supplement deficits is covered by imports</t>
        </r>
      </text>
    </comment>
    <comment ref="AM32" authorId="1" shapeId="0" xr:uid="{000C93E0-ECD0-4009-8C2E-DB44C2A267CA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- Making the assumption that efficiencies in operations of facilitities will continue
- Also assuming that liquid fuels demand is being met and that will conitinue into 2040</t>
        </r>
      </text>
    </comment>
    <comment ref="AD54" authorId="1" shapeId="0" xr:uid="{E52B1AC9-80C2-4FC5-8302-ED2965817112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- Storage is unlikely to grow one to one with demand, but rather the need for storage to supplement deficits is covered by imports</t>
        </r>
      </text>
    </comment>
    <comment ref="AD61" authorId="1" shapeId="0" xr:uid="{08DFDE9A-068C-46B4-B432-E16CAD2EE0A9}">
      <text>
        <r>
          <rPr>
            <b/>
            <sz val="9"/>
            <color indexed="81"/>
            <rFont val="Tahoma"/>
            <family val="2"/>
          </rPr>
          <t>Joseph Kihara:</t>
        </r>
        <r>
          <rPr>
            <sz val="9"/>
            <color indexed="81"/>
            <rFont val="Tahoma"/>
            <family val="2"/>
          </rPr>
          <t xml:space="preserve">
- Storage is unlikely to grow one to one with demand, but rather the need for storage to supplement deficits is covered by imports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</author>
  </authors>
  <commentList>
    <comment ref="C61" authorId="0" shapeId="0" xr:uid="{68A2E28D-B2EE-4C02-AD66-94659AF0BEE7}">
      <text>
        <r>
          <rPr>
            <b/>
            <sz val="9"/>
            <color indexed="81"/>
            <rFont val="Tahoma"/>
            <family val="2"/>
          </rPr>
          <t>Tumelo:</t>
        </r>
        <r>
          <rPr>
            <sz val="9"/>
            <color indexed="81"/>
            <rFont val="Tahoma"/>
            <family val="2"/>
          </rPr>
          <t xml:space="preserve">
https://www.sahometraders.co.za/vacant-land-plots-for-sale-in-jameson-park-s2078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8B171D-49EF-4809-99F7-48329B3DD4CD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2" xr16:uid="{E1610349-79ED-461E-AF42-A3E6D28D74FF}" keepAlive="1" name="Query - Page001 (2)" description="Connection to the 'Page001 (2)' query in the workbook." type="5" refreshedVersion="8" background="1" saveData="1">
    <dbPr connection="Provider=Microsoft.Mashup.OleDb.1;Data Source=$Workbook$;Location=&quot;Page001 (2)&quot;;Extended Properties=&quot;&quot;" command="SELECT * FROM [Page001 (2)]"/>
  </connection>
  <connection id="3" xr16:uid="{5F18F6B4-E74E-4626-A8FE-5F1AAE4B2277}" keepAlive="1" name="Query - Page001 (3)" description="Connection to the 'Page001 (3)' query in the workbook." type="5" refreshedVersion="8" background="1" saveData="1">
    <dbPr connection="Provider=Microsoft.Mashup.OleDb.1;Data Source=$Workbook$;Location=&quot;Page001 (3)&quot;;Extended Properties=&quot;&quot;" command="SELECT * FROM [Page001 (3)]"/>
  </connection>
  <connection id="4" xr16:uid="{D6A39EE8-29B8-4360-9075-9E1031A9C2BB}" keepAlive="1" name="Query - Page001 (4)" description="Connection to the 'Page001 (4)' query in the workbook." type="5" refreshedVersion="8" background="1" saveData="1">
    <dbPr connection="Provider=Microsoft.Mashup.OleDb.1;Data Source=$Workbook$;Location=&quot;Page001 (4)&quot;;Extended Properties=&quot;&quot;" command="SELECT * FROM [Page001 (4)]"/>
  </connection>
  <connection id="5" xr16:uid="{3A8076B8-E2C9-4D20-948A-7284C4328804}" keepAlive="1" name="Query - Page001 (5)" description="Connection to the 'Page001 (5)' query in the workbook." type="5" refreshedVersion="8" background="1" saveData="1">
    <dbPr connection="Provider=Microsoft.Mashup.OleDb.1;Data Source=$Workbook$;Location=&quot;Page001 (5)&quot;;Extended Properties=&quot;&quot;" command="SELECT * FROM [Page001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<sst xmlns="http://schemas.openxmlformats.org/spreadsheetml/2006/main" count="2235" uniqueCount="615">
  <si>
    <t>Note:</t>
  </si>
  <si>
    <t>1. Jet Fuel Supply and Demand:</t>
  </si>
  <si>
    <t>- Data ranges from 1st April to 2nd March (full calendar year) the corresponding year for the passengers and airplanes</t>
  </si>
  <si>
    <t>- For 2023, data ranges from March to October 2023 for the airplanes and passengers</t>
  </si>
  <si>
    <t>- 2023* contains annualized figures</t>
  </si>
  <si>
    <t>- Imports and exports data from DMRE runs upto June 2023</t>
  </si>
  <si>
    <t>- As per SARS, Kerosene, Jet Fuel and Aviation Fuel are classified together, but we only considered Jet Fuel and Aviation fuel in our data</t>
  </si>
  <si>
    <r>
      <t xml:space="preserve">- Jet Fuel regression the independent variables that were found to best explain Jet Fuel demand are: </t>
    </r>
    <r>
      <rPr>
        <b/>
        <sz val="10"/>
        <color theme="1"/>
        <rFont val="Lato"/>
        <family val="2"/>
      </rPr>
      <t>GDP/Capita and Total Passenger Departures</t>
    </r>
  </si>
  <si>
    <r>
      <t xml:space="preserve">- This regression achieves a </t>
    </r>
    <r>
      <rPr>
        <b/>
        <sz val="10"/>
        <color theme="1"/>
        <rFont val="Lato"/>
        <family val="2"/>
      </rPr>
      <t>95% R</t>
    </r>
    <r>
      <rPr>
        <b/>
        <vertAlign val="superscript"/>
        <sz val="10"/>
        <color theme="1"/>
        <rFont val="Lato"/>
        <family val="2"/>
      </rPr>
      <t>2</t>
    </r>
    <r>
      <rPr>
        <b/>
        <sz val="10"/>
        <color theme="1"/>
        <rFont val="Lato"/>
        <family val="2"/>
      </rPr>
      <t>.</t>
    </r>
    <r>
      <rPr>
        <sz val="10"/>
        <color theme="1"/>
        <rFont val="Lato"/>
        <family val="2"/>
      </rPr>
      <t xml:space="preserve"> The coefficients for GDP per Capita and Passenger Departure Numbers are positive as expected</t>
    </r>
  </si>
  <si>
    <r>
      <t xml:space="preserve">- Regressing GDP and Passenger Depature numbers vs Jet Fuel demand gives a </t>
    </r>
    <r>
      <rPr>
        <b/>
        <sz val="10"/>
        <color theme="1"/>
        <rFont val="Lato"/>
        <family val="2"/>
      </rPr>
      <t>93%  R</t>
    </r>
    <r>
      <rPr>
        <b/>
        <vertAlign val="superscript"/>
        <sz val="10"/>
        <color theme="1"/>
        <rFont val="Lato"/>
        <family val="2"/>
      </rPr>
      <t>2</t>
    </r>
    <r>
      <rPr>
        <sz val="10"/>
        <color theme="1"/>
        <rFont val="Lato"/>
        <family val="2"/>
      </rPr>
      <t>, but GDP has a negative coefficient hence we opt to go for the prior model</t>
    </r>
  </si>
  <si>
    <t>- Prior regressions will be hidden worksheets, only chosen regresson sheets will remain active</t>
  </si>
  <si>
    <t>2. Gasoline Supply and Demand:</t>
  </si>
  <si>
    <t>3. Diesel Supply and Demand:</t>
  </si>
  <si>
    <t>Forecasts</t>
  </si>
  <si>
    <t>Raw Data</t>
  </si>
  <si>
    <t>Defecits</t>
  </si>
  <si>
    <t>Assumptions</t>
  </si>
  <si>
    <t>Input Data Cells</t>
  </si>
  <si>
    <t>Regressions</t>
  </si>
  <si>
    <t>Source: MTBPS Wednesday, 30 October 2024</t>
  </si>
  <si>
    <t>SCENARIOS AND ASSUMPTIONS</t>
  </si>
  <si>
    <t>MACRO ASSUMPTIONS</t>
  </si>
  <si>
    <t>Chapter 2 (treasury.gov.za)</t>
  </si>
  <si>
    <t>(Add sheets that use these assumptions)</t>
  </si>
  <si>
    <t>High demand scenario</t>
  </si>
  <si>
    <t>Low demand scenario</t>
  </si>
  <si>
    <t>Source:</t>
  </si>
  <si>
    <t xml:space="preserve">StatsSA – GDP P0441 </t>
  </si>
  <si>
    <t xml:space="preserve"> UNDP WPP 2023</t>
  </si>
  <si>
    <t xml:space="preserve"> UNDP WPP Forecasts</t>
  </si>
  <si>
    <t>Year</t>
  </si>
  <si>
    <t>Real GDP growth</t>
  </si>
  <si>
    <t>Efficiency Improvement Diesel</t>
  </si>
  <si>
    <t>Efficiency Improvement Gasoline</t>
  </si>
  <si>
    <t>IMF</t>
  </si>
  <si>
    <t>MTBPS 2024</t>
  </si>
  <si>
    <t>MTBPS high</t>
  </si>
  <si>
    <t>MTBPS low</t>
  </si>
  <si>
    <t>GDP</t>
  </si>
  <si>
    <t>GDP High</t>
  </si>
  <si>
    <t>GDP Low</t>
  </si>
  <si>
    <t>GDP/capita (constant 2015)</t>
  </si>
  <si>
    <t>Population high</t>
  </si>
  <si>
    <t>Population low</t>
  </si>
  <si>
    <t>GDP/capita high</t>
  </si>
  <si>
    <t>GDP/capita low</t>
  </si>
  <si>
    <t>Data Sheet Lists</t>
  </si>
  <si>
    <t>Arrivals_Ap</t>
  </si>
  <si>
    <t>Airplane arrivals</t>
  </si>
  <si>
    <t>Specified Market Demand</t>
  </si>
  <si>
    <t>RSA Demand Vol</t>
  </si>
  <si>
    <t>RSA incl. OSP Demand/#Vehicles</t>
  </si>
  <si>
    <t>Total</t>
  </si>
  <si>
    <t>Arrivals_Pass</t>
  </si>
  <si>
    <t>Passenger arrivals</t>
  </si>
  <si>
    <t>RSA Demand</t>
  </si>
  <si>
    <t>Specified Market Vol</t>
  </si>
  <si>
    <t>Specified Market incl. OSP Demand/#Vehicles</t>
  </si>
  <si>
    <t>Domestic</t>
  </si>
  <si>
    <t>Departures_AP</t>
  </si>
  <si>
    <t>Airplane departures</t>
  </si>
  <si>
    <t>RSA Demand (excluding Power Gen)</t>
  </si>
  <si>
    <t>Trucks (HGVs)</t>
  </si>
  <si>
    <t>RSA excl. OSP Demand/#Vehicles</t>
  </si>
  <si>
    <t>International</t>
  </si>
  <si>
    <t>Departures_Pass</t>
  </si>
  <si>
    <t>Passenger departures</t>
  </si>
  <si>
    <t>Specified Market Demand (excluding Power Gen)</t>
  </si>
  <si>
    <t>Specified Market excl. OSP Demand/#Vehicles</t>
  </si>
  <si>
    <t>Regional</t>
  </si>
  <si>
    <t>Unscheduled</t>
  </si>
  <si>
    <t>Base Scenario - ACSA Stakeholder Engagement Report April 2023</t>
  </si>
  <si>
    <t>High and Low Scenarios - the Importance of Air Transport to South Africa - IATA</t>
  </si>
  <si>
    <t>GDP_per_Capita Growth</t>
  </si>
  <si>
    <t>Passenger Growth</t>
  </si>
  <si>
    <t>ACSA Pax Base</t>
  </si>
  <si>
    <t>Growth Base</t>
  </si>
  <si>
    <t>IATA Pax High</t>
  </si>
  <si>
    <t>Growth High</t>
  </si>
  <si>
    <t>IATA Pax Low</t>
  </si>
  <si>
    <t>Growth Low</t>
  </si>
  <si>
    <t>GDP_per_Capita Growth High</t>
  </si>
  <si>
    <t>GDP_per_Capita Growth Low</t>
  </si>
  <si>
    <t>Pop High</t>
  </si>
  <si>
    <t>Pop Low</t>
  </si>
  <si>
    <t>Refineries:</t>
  </si>
  <si>
    <t>https://www.sapia.org.za/Overview/</t>
  </si>
  <si>
    <t>Crude Oil Litres per barrel -&gt;</t>
  </si>
  <si>
    <t>Ownership</t>
  </si>
  <si>
    <t>Engen Petroleum</t>
  </si>
  <si>
    <t>Shell/BP (50%/50%)</t>
  </si>
  <si>
    <t>Sasol/Total (64%/36%)</t>
  </si>
  <si>
    <t>Sasol (Secunda)</t>
  </si>
  <si>
    <t>Astron Energy</t>
  </si>
  <si>
    <t>PetroSA</t>
  </si>
  <si>
    <t>Refinery availability -&gt;</t>
  </si>
  <si>
    <t>Location</t>
  </si>
  <si>
    <t>KZN</t>
  </si>
  <si>
    <t>Free State</t>
  </si>
  <si>
    <t>MP</t>
  </si>
  <si>
    <t>WC</t>
  </si>
  <si>
    <t>Days Available</t>
  </si>
  <si>
    <t>News: Sapref to come back online</t>
  </si>
  <si>
    <t>Refinery</t>
  </si>
  <si>
    <t>Enref</t>
  </si>
  <si>
    <t>SAPREF</t>
  </si>
  <si>
    <t>Natref</t>
  </si>
  <si>
    <t>Sasol</t>
  </si>
  <si>
    <t>Astron</t>
  </si>
  <si>
    <t>Mantashe wants private investors for Sapref refinery rebuild (businesslive.co.za)</t>
  </si>
  <si>
    <t>Capacity (kbpd)</t>
  </si>
  <si>
    <t>Gasoline</t>
  </si>
  <si>
    <t>Diesel</t>
  </si>
  <si>
    <t>Jet Fuel</t>
  </si>
  <si>
    <t>Source: Used 10% from https://www.sapia.org.za/wp-content/uploads/2022/04/SAPIA_Economic-Impact-Assessment.pdf</t>
  </si>
  <si>
    <t>High production scenario (low imports)</t>
  </si>
  <si>
    <t>Production</t>
  </si>
  <si>
    <t>Product</t>
  </si>
  <si>
    <t>Biofuel Blend (%)</t>
  </si>
  <si>
    <t>(=B5)</t>
  </si>
  <si>
    <t>(E10)</t>
  </si>
  <si>
    <t>Low production scenario (high imports)</t>
  </si>
  <si>
    <t>Eskom annual reports - (Medium-Term System Adequacy Outlook - MTSAO Assumptions)</t>
  </si>
  <si>
    <t>OCGT production (GWh)</t>
  </si>
  <si>
    <t>MT, Eskom, Davies --&gt; how much diesel needed for peakers - loadshedding - pvt generators</t>
  </si>
  <si>
    <t>Power Generation:</t>
  </si>
  <si>
    <t>Power Station</t>
  </si>
  <si>
    <t>MW</t>
  </si>
  <si>
    <t>Province</t>
  </si>
  <si>
    <t>New capacity</t>
  </si>
  <si>
    <t>High EAF Load Factor</t>
  </si>
  <si>
    <t>High demand (Diesel %)</t>
  </si>
  <si>
    <t xml:space="preserve">Total </t>
  </si>
  <si>
    <t>Ankerlig</t>
  </si>
  <si>
    <t>Western cape</t>
  </si>
  <si>
    <t>Gourikwa</t>
  </si>
  <si>
    <t>Avon</t>
  </si>
  <si>
    <t>KwaZulu-Natal</t>
  </si>
  <si>
    <t>Dedisa</t>
  </si>
  <si>
    <t>Eastern Cape</t>
  </si>
  <si>
    <t>New 1</t>
  </si>
  <si>
    <t>GTP - IRP</t>
  </si>
  <si>
    <t>New 2</t>
  </si>
  <si>
    <t>Conversions:</t>
  </si>
  <si>
    <t>1 GWh -&gt; TJ</t>
  </si>
  <si>
    <t>Efficiency</t>
  </si>
  <si>
    <t>Diesel MJ / l</t>
  </si>
  <si>
    <t>Eskom annual reports</t>
  </si>
  <si>
    <t>Eskom Demand for Diesel for Power Generation</t>
  </si>
  <si>
    <t>Eskom</t>
  </si>
  <si>
    <t>IPP</t>
  </si>
  <si>
    <t>Total GWh</t>
  </si>
  <si>
    <t>Low EAF Load Factor</t>
  </si>
  <si>
    <t>Low demand (Diesel %)</t>
  </si>
  <si>
    <t>Power Gen</t>
  </si>
  <si>
    <t>Loadshedding</t>
  </si>
  <si>
    <t>OCGT Capacity Factor (%)</t>
  </si>
  <si>
    <t>Energy Gap Results, GWh</t>
  </si>
  <si>
    <t>NaTIS – Live Vehicle Population</t>
  </si>
  <si>
    <t>High EAF</t>
  </si>
  <si>
    <t>Vol of trucks diesel - all class</t>
  </si>
  <si>
    <t xml:space="preserve"> Specified Market Vol</t>
  </si>
  <si>
    <t>Low EAF</t>
  </si>
  <si>
    <t>Electric Vehicle Sales</t>
  </si>
  <si>
    <t>Assumption</t>
  </si>
  <si>
    <t>EV Low Penetration</t>
  </si>
  <si>
    <t>EV High Penetration</t>
  </si>
  <si>
    <t>Penetration -&gt;</t>
  </si>
  <si>
    <t>Half value -&gt;</t>
  </si>
  <si>
    <t>Slope -&gt;</t>
  </si>
  <si>
    <t>Stats SA Land Transport Survey</t>
  </si>
  <si>
    <t>Payload for freight transportation (tons)</t>
  </si>
  <si>
    <t>Payload for Road (tons)</t>
  </si>
  <si>
    <t>https://data.oecd.org/price/inflation-cpi.htm</t>
  </si>
  <si>
    <t>AA – Fuel Pricing</t>
  </si>
  <si>
    <t>Annual avg</t>
  </si>
  <si>
    <t>CPI index (2015 base)</t>
  </si>
  <si>
    <t>ULP (constant 2015)</t>
  </si>
  <si>
    <t>Nameplate capacity (litres)</t>
  </si>
  <si>
    <t>Check</t>
  </si>
  <si>
    <t>Don't delete this</t>
  </si>
  <si>
    <t>Choose product</t>
  </si>
  <si>
    <t>MOI</t>
  </si>
  <si>
    <t>DEMAND JET FUEL</t>
  </si>
  <si>
    <t>SUPPLY JET FUEL</t>
  </si>
  <si>
    <t>Jet Fuel PROJECTIONS</t>
  </si>
  <si>
    <t>Source: DMRE</t>
  </si>
  <si>
    <t>Source: DMRE Imports and Exports/SARS</t>
  </si>
  <si>
    <t>N.B: Looked at Jet Fuel without Paraffin</t>
  </si>
  <si>
    <t>Select PAX Size, Macro Measure</t>
  </si>
  <si>
    <t>Choose Market Size</t>
  </si>
  <si>
    <t>Paraffin</t>
  </si>
  <si>
    <t>Aviation Gasoline</t>
  </si>
  <si>
    <t>Macros</t>
  </si>
  <si>
    <t>Imports (Litres)</t>
  </si>
  <si>
    <t>Exports (Litres)</t>
  </si>
  <si>
    <t>High Scenario</t>
  </si>
  <si>
    <t>Low Scenario</t>
  </si>
  <si>
    <t>FS, LP, MP, NW</t>
  </si>
  <si>
    <t>GP</t>
  </si>
  <si>
    <t>EC</t>
  </si>
  <si>
    <t>NC, WC</t>
  </si>
  <si>
    <t>Unspecified</t>
  </si>
  <si>
    <t>2023*</t>
  </si>
  <si>
    <t>2024*</t>
  </si>
  <si>
    <t>Av Gas</t>
  </si>
  <si>
    <t>Average</t>
  </si>
  <si>
    <t>23q1</t>
  </si>
  <si>
    <t>23q2</t>
  </si>
  <si>
    <t>22q1</t>
  </si>
  <si>
    <t>22q2</t>
  </si>
  <si>
    <t>22q3</t>
  </si>
  <si>
    <t>22q4</t>
  </si>
  <si>
    <t>Western Cape</t>
  </si>
  <si>
    <t>ORT</t>
  </si>
  <si>
    <t>Mpumalanga</t>
  </si>
  <si>
    <t>CT</t>
  </si>
  <si>
    <t>Limpopo Province</t>
  </si>
  <si>
    <t>King</t>
  </si>
  <si>
    <t>NorthWest</t>
  </si>
  <si>
    <t>Gauteng</t>
  </si>
  <si>
    <t>Northern Cape</t>
  </si>
  <si>
    <t>KwaZulu Natal</t>
  </si>
  <si>
    <t>How The South African Aviation Market Could Double In 20 Years (simpleflying.com)</t>
  </si>
  <si>
    <t>iata_south-africa_report.pdf</t>
  </si>
  <si>
    <t>IATA estimates that South Africa's aviation market could grow 68.4%, to 35.2m passengers, by 2037</t>
  </si>
  <si>
    <t>IATA /ACI offer positive air transport forecasts, but concerns emerge about extended WHO powers | CAPA (centreforaviation.com)</t>
  </si>
  <si>
    <t>IATA - Air Passenger Numbers to Recover in 2024</t>
  </si>
  <si>
    <t>Air Transport - South Africa | Statista Market Forecast</t>
  </si>
  <si>
    <t>Deficit Data</t>
  </si>
  <si>
    <t>Jet fuel</t>
  </si>
  <si>
    <t>DEMAND DIESEL</t>
  </si>
  <si>
    <t>SUPPLY DIESEL</t>
  </si>
  <si>
    <t>DIESEL PROJECTIONS</t>
  </si>
  <si>
    <t>Source: DMRE - SA Fuel Sales Volume data</t>
  </si>
  <si>
    <t>Change in Payloads</t>
  </si>
  <si>
    <t>Select PowerGen</t>
  </si>
  <si>
    <t>Source:Stats SA Land Transport Survey</t>
  </si>
  <si>
    <t>Eskom Diesel</t>
  </si>
  <si>
    <t>Payload for freight transportation</t>
  </si>
  <si>
    <t>Payload for Road</t>
  </si>
  <si>
    <t>Payload for Rail</t>
  </si>
  <si>
    <t>Road %</t>
  </si>
  <si>
    <t>Rail %</t>
  </si>
  <si>
    <t># of Trucks (HGV)</t>
  </si>
  <si>
    <t>Payload per truck pa</t>
  </si>
  <si>
    <t>litres / ton</t>
  </si>
  <si>
    <t>RSA Diesel per Truck</t>
  </si>
  <si>
    <t>Under/Over Reporting</t>
  </si>
  <si>
    <t>Litres</t>
  </si>
  <si>
    <t>GWh</t>
  </si>
  <si>
    <t>TJ</t>
  </si>
  <si>
    <t>Diesel (litres)</t>
  </si>
  <si>
    <t>tons</t>
  </si>
  <si>
    <t>Num Check</t>
  </si>
  <si>
    <t>DEMAND GASOLINE</t>
  </si>
  <si>
    <t>SUPPLY GASOLINE</t>
  </si>
  <si>
    <t>PROJECTED  GASOLINE DEMAND</t>
  </si>
  <si>
    <t>RSA Other Self Propelled Demand</t>
  </si>
  <si>
    <t>Source: DMRE - NaTIS – Live Vehicle Population</t>
  </si>
  <si>
    <t>OSP - Other Self Propelled</t>
  </si>
  <si>
    <t>OSP - Jet skis, lawn mowers, golf carts, snowmobiles, tractors</t>
  </si>
  <si>
    <t>ULP (Constant 2015)</t>
  </si>
  <si>
    <t>RSA incl. OSP</t>
  </si>
  <si>
    <t>Specified Market incl. OSP</t>
  </si>
  <si>
    <t>RSA excl. OSP</t>
  </si>
  <si>
    <t>Specified Market excl. OSP</t>
  </si>
  <si>
    <t>demand</t>
  </si>
  <si>
    <t>supply</t>
  </si>
  <si>
    <t xml:space="preserve">RSA </t>
  </si>
  <si>
    <t>High Scenario (High Deficit/import )</t>
  </si>
  <si>
    <t>Low Scenario (Low Deficit/import)</t>
  </si>
  <si>
    <t xml:space="preserve">fGasoline RSA </t>
  </si>
  <si>
    <t>fSupply Gasoline RSA</t>
  </si>
  <si>
    <t xml:space="preserve">Exports </t>
  </si>
  <si>
    <t>Deficit</t>
  </si>
  <si>
    <t>fGasoline RSA</t>
  </si>
  <si>
    <t xml:space="preserve">fSupply Gasoline RSA </t>
  </si>
  <si>
    <t xml:space="preserve">fGasoline MOI </t>
  </si>
  <si>
    <t xml:space="preserve">fSupply Gasoline MOI </t>
  </si>
  <si>
    <t>fDiesel RSA</t>
  </si>
  <si>
    <t>fSupply Diesel RSA</t>
  </si>
  <si>
    <t>fDiesel MOI</t>
  </si>
  <si>
    <t>fSupply Diesel MOI</t>
  </si>
  <si>
    <t xml:space="preserve">fDiesel MOI </t>
  </si>
  <si>
    <t xml:space="preserve">fSupply Diesel MOI </t>
  </si>
  <si>
    <t>Gasoline HP LI</t>
  </si>
  <si>
    <t>Gasoiline LP HI</t>
  </si>
  <si>
    <t>Diesel HP LI</t>
  </si>
  <si>
    <t>Diesel LP HI</t>
  </si>
  <si>
    <t>Gasoline LP HI</t>
  </si>
  <si>
    <t>Gasoiline HP LI</t>
  </si>
  <si>
    <t>Historic  (Diesel)</t>
  </si>
  <si>
    <t>Historic  (Gasoline)</t>
  </si>
  <si>
    <t xml:space="preserve">Import </t>
  </si>
  <si>
    <t xml:space="preserve">Export </t>
  </si>
  <si>
    <t xml:space="preserve">Deficit </t>
  </si>
  <si>
    <t>SUPPLY JET FUEL REGIONS</t>
  </si>
  <si>
    <t>GDP_per_capita</t>
  </si>
  <si>
    <t>Passenger Departures</t>
  </si>
  <si>
    <t>Intercept</t>
  </si>
  <si>
    <t>Source: https://iea.blob.core.windows.net/assets/493a4f1b-c0a8-4bfc-be7b-b9c0761a3e5e/Oil2024.pdf</t>
  </si>
  <si>
    <t>A new regression needs to be run if you change from RSA to Specified Market</t>
  </si>
  <si>
    <t>Choose Marco</t>
  </si>
  <si>
    <t>Forecast GDP_per_capita</t>
  </si>
  <si>
    <t>Forecast Passenger Departures</t>
  </si>
  <si>
    <t>Forecast High Demand</t>
  </si>
  <si>
    <t>YoY Δ</t>
  </si>
  <si>
    <t>Forecast Low Demand</t>
  </si>
  <si>
    <t>Jet Fuel Demand upto 2023</t>
  </si>
  <si>
    <t>RSA High Forecast</t>
  </si>
  <si>
    <t>RSA Low Forecast</t>
  </si>
  <si>
    <t>Numbers Check</t>
  </si>
  <si>
    <t>Population</t>
  </si>
  <si>
    <t>Avg flights per person</t>
  </si>
  <si>
    <t>Population High</t>
  </si>
  <si>
    <t>Population Low</t>
  </si>
  <si>
    <t>Avg flights per person High</t>
  </si>
  <si>
    <t>Avg flights per person Low</t>
  </si>
  <si>
    <t>Latest Regression</t>
  </si>
  <si>
    <t>Payload reduction correction</t>
  </si>
  <si>
    <t>SUPPLY DIESEL FUEL REGIONS</t>
  </si>
  <si>
    <t>GDP (Rm)</t>
  </si>
  <si>
    <t>loosing in demand with each shift in pl</t>
  </si>
  <si>
    <t>m</t>
  </si>
  <si>
    <t>litres / vehicle</t>
  </si>
  <si>
    <t>Payload reduction by 2030 -&gt;</t>
  </si>
  <si>
    <t>Shifting from road to rail - statement/target set out</t>
  </si>
  <si>
    <t>c</t>
  </si>
  <si>
    <t>slow shift back - don’t get to 60m</t>
  </si>
  <si>
    <t xml:space="preserve">presidential report on logistics </t>
  </si>
  <si>
    <t>low</t>
  </si>
  <si>
    <t>high - currnelt level stays the say 85%</t>
  </si>
  <si>
    <t>Note: please check that for power generation it reads for the the RSA market and not just one power station</t>
  </si>
  <si>
    <t>Choose Truck Vol</t>
  </si>
  <si>
    <t>Forecast GDP</t>
  </si>
  <si>
    <t>Forecast Litres/Vehicle</t>
  </si>
  <si>
    <t>Power Generation</t>
  </si>
  <si>
    <t>Forecast Diesel</t>
  </si>
  <si>
    <t>Payload Reduction</t>
  </si>
  <si>
    <t>Diesel Demand up to 2025</t>
  </si>
  <si>
    <t>SUPPLY GASOLINE FUEL REGIONS</t>
  </si>
  <si>
    <t>Calculated residual -&gt;</t>
  </si>
  <si>
    <t>Residual annual increment -&gt;</t>
  </si>
  <si>
    <t>GDP/capita (2013)</t>
  </si>
  <si>
    <t>Point where GDP/cap peaked</t>
  </si>
  <si>
    <t>Choose Demand (OSP)</t>
  </si>
  <si>
    <t>Forecast GDP Per Capita</t>
  </si>
  <si>
    <t>EV Stock</t>
  </si>
  <si>
    <t>Litres/vehicle</t>
  </si>
  <si>
    <t>EV Displacement</t>
  </si>
  <si>
    <t>Gasoline Demand up to 2025</t>
  </si>
  <si>
    <t xml:space="preserve">Liquid fuel Imports Forecast </t>
  </si>
  <si>
    <t xml:space="preserve">Jet Fuel demand suplemented by import </t>
  </si>
  <si>
    <t xml:space="preserve">High Scenario </t>
  </si>
  <si>
    <t xml:space="preserve">Low  Scenario </t>
  </si>
  <si>
    <t>Deficit H</t>
  </si>
  <si>
    <t>Deficit L</t>
  </si>
  <si>
    <t>Historic Imports (RSA)</t>
  </si>
  <si>
    <t xml:space="preserve">Durban </t>
  </si>
  <si>
    <t xml:space="preserve">Lesedi </t>
  </si>
  <si>
    <t xml:space="preserve">Total Imports </t>
  </si>
  <si>
    <t>Diesel demand suplemented by import</t>
  </si>
  <si>
    <t xml:space="preserve">Gasoline  Ddemand suplemented by import </t>
  </si>
  <si>
    <t xml:space="preserve">2023 total Demand </t>
  </si>
  <si>
    <t xml:space="preserve">2023 Import DMRE </t>
  </si>
  <si>
    <t xml:space="preserve">Refinery </t>
  </si>
  <si>
    <t xml:space="preserve">2023 Demand </t>
  </si>
  <si>
    <t>MS as % of imports</t>
  </si>
  <si>
    <t xml:space="preserve"> </t>
  </si>
  <si>
    <t>Capacity (cbm)</t>
  </si>
  <si>
    <t xml:space="preserve">Faction of Exports </t>
  </si>
  <si>
    <t xml:space="preserve">Durban Gasoline </t>
  </si>
  <si>
    <t>MoI</t>
  </si>
  <si>
    <t>how many times storage tanks turns - 1 in 1 out = 1 turn</t>
  </si>
  <si>
    <t>How much of this is meeting deficit</t>
  </si>
  <si>
    <t>litres/imports</t>
  </si>
  <si>
    <t>Market share</t>
  </si>
  <si>
    <t>Summary</t>
  </si>
  <si>
    <t xml:space="preserve">Min deficit </t>
  </si>
  <si>
    <t>Max deficit</t>
  </si>
  <si>
    <t>Vopak throughput (cbm)</t>
  </si>
  <si>
    <t>Vopak throughput (litres)</t>
  </si>
  <si>
    <t>Market share (as % of imports)</t>
  </si>
  <si>
    <t>fTurns (low import</t>
  </si>
  <si>
    <t>fThroughput (litres) (low import)</t>
  </si>
  <si>
    <t>fTurns (high import</t>
  </si>
  <si>
    <t>fThroughput (litres) (high import)</t>
  </si>
  <si>
    <t>fThroughput (litres) (mid)</t>
  </si>
  <si>
    <t>Low imports</t>
  </si>
  <si>
    <t>High imports</t>
  </si>
  <si>
    <t>Imports mid point</t>
  </si>
  <si>
    <t>MOI MKT% (low import )</t>
  </si>
  <si>
    <t>MOI MKT%</t>
  </si>
  <si>
    <t>Rest of MKT</t>
  </si>
  <si>
    <t xml:space="preserve">Rest of Market </t>
  </si>
  <si>
    <t xml:space="preserve">midpoint </t>
  </si>
  <si>
    <t xml:space="preserve">Durban Diesel </t>
  </si>
  <si>
    <t>Imports</t>
  </si>
  <si>
    <t xml:space="preserve">Max deficit </t>
  </si>
  <si>
    <t>Durban combined (Gasoline + Diesel)</t>
  </si>
  <si>
    <t>Lesedi Diesel</t>
  </si>
  <si>
    <t>MOI Demand</t>
  </si>
  <si>
    <t xml:space="preserve">Inland Demand </t>
  </si>
  <si>
    <t>Min deficit</t>
  </si>
  <si>
    <t>Market  Share</t>
  </si>
  <si>
    <t xml:space="preserve">Lesedi Gasoline </t>
  </si>
  <si>
    <t xml:space="preserve">MOI Demand </t>
  </si>
  <si>
    <t>Min imports</t>
  </si>
  <si>
    <t>Max imports</t>
  </si>
  <si>
    <t>Lesedi Gasoline +Diesel</t>
  </si>
  <si>
    <t>GDP / capita</t>
  </si>
  <si>
    <t>https://www.bcg.com/publications/2021/why-evs-need-to-accelerate-their-market-penetration</t>
  </si>
  <si>
    <t>https://www.bcg.com/publications/2023/exploring-divergent-futures-of-ev-sales</t>
  </si>
  <si>
    <t>Source</t>
  </si>
  <si>
    <t>https://www.wri.org/insights/countries-adopting-electric-vehicles-fastest#:~:text=The%20top%205%20countries%20with,%25)%2C%20according%20to%20our%20analysis.</t>
  </si>
  <si>
    <t>Key points</t>
  </si>
  <si>
    <t>In every country, once EV sales reached 1%, they accelerated. This acceleration happened faster in some places than others, but all are following an S-curve pattern.</t>
  </si>
  <si>
    <t>Lower EV pen. = High gasoline demand</t>
  </si>
  <si>
    <t>Higher EV pen. = Low gasoline demand</t>
  </si>
  <si>
    <t>The countries where EV sales have reached 1% in the past five years have been growing faster than the global average.</t>
  </si>
  <si>
    <t>New Vehicles Demand</t>
  </si>
  <si>
    <t>EV Demand</t>
  </si>
  <si>
    <t>Boltzmann</t>
  </si>
  <si>
    <t>Low Pentration Rate</t>
  </si>
  <si>
    <t>Forecast New Vehicle Demand</t>
  </si>
  <si>
    <t>EV Stock High Demand</t>
  </si>
  <si>
    <t>High Pentration Rate</t>
  </si>
  <si>
    <t>EV Stock Low Demand</t>
  </si>
  <si>
    <t>Low penetration_2021</t>
  </si>
  <si>
    <t>High penetration_2021</t>
  </si>
  <si>
    <t>Current Storage</t>
  </si>
  <si>
    <t>Total Storage Volume</t>
  </si>
  <si>
    <t>Diesel/Petrol</t>
  </si>
  <si>
    <t>Import</t>
  </si>
  <si>
    <t>month</t>
  </si>
  <si>
    <t xml:space="preserve">Petrol </t>
  </si>
  <si>
    <t>High Production Scenario</t>
  </si>
  <si>
    <t>Pipeline Transport Lead Time</t>
  </si>
  <si>
    <t xml:space="preserve">blpa </t>
  </si>
  <si>
    <t>Demand</t>
  </si>
  <si>
    <t>Supply</t>
  </si>
  <si>
    <t>Buffer Days</t>
  </si>
  <si>
    <t>Days</t>
  </si>
  <si>
    <t>Grouped Locations</t>
  </si>
  <si>
    <t>Strategic Reserves</t>
  </si>
  <si>
    <t>Need to mention we do not consider strategic reserves</t>
  </si>
  <si>
    <t>Diesel / Petrol</t>
  </si>
  <si>
    <t>Procurement Lead Time</t>
  </si>
  <si>
    <t>NATREF</t>
  </si>
  <si>
    <t>Imports I need 40 days</t>
  </si>
  <si>
    <t>The storage inland needs to cover the potential disruptions of the NMP</t>
  </si>
  <si>
    <t>Inland I only need the 29 days</t>
  </si>
  <si>
    <t>Storage needed to cover imports</t>
  </si>
  <si>
    <t>North West</t>
  </si>
  <si>
    <t>Limpopo</t>
  </si>
  <si>
    <t>Demand Met by Imports 2024 Allocation - Select Storage Assessment Year</t>
  </si>
  <si>
    <t>Demand supplement by Imports</t>
  </si>
  <si>
    <t>Daily High Imports Demand Scenario Requiring Storage</t>
  </si>
  <si>
    <t>Daily Low Imports Demand Scenario Requiring Storage</t>
  </si>
  <si>
    <t>Import Fraction</t>
  </si>
  <si>
    <t>Zero risk scenraio (40 days storage capacity spolit between KZN and Inland - covers 7 days disruption)</t>
  </si>
  <si>
    <t>Without imports</t>
  </si>
  <si>
    <t>With Imports</t>
  </si>
  <si>
    <t>Jet-Fuel</t>
  </si>
  <si>
    <t>Current 2024 Storage</t>
  </si>
  <si>
    <t>Inland</t>
  </si>
  <si>
    <t>Fuel Type</t>
  </si>
  <si>
    <t>Regions</t>
  </si>
  <si>
    <t>Deficit in (billion litres)</t>
  </si>
  <si>
    <t>Demand Met by Imports by 2040 Without Propositionate Allocation- Select Storage Assessment</t>
  </si>
  <si>
    <t>Capacity of Storage Relative to Daily Imports - High Scenario</t>
  </si>
  <si>
    <t>Capacity of Storage Relative to Daily Imports - Low Scenario</t>
  </si>
  <si>
    <t>2040 High</t>
  </si>
  <si>
    <t>2040 Low</t>
  </si>
  <si>
    <t>WC/NC</t>
  </si>
  <si>
    <t>Daily High Demand Scenario Requiring Storage</t>
  </si>
  <si>
    <t>Daily Low Demand Scenario Requiring Storage</t>
  </si>
  <si>
    <t xml:space="preserve">EC </t>
  </si>
  <si>
    <t>i..e.  You have 2.15 days of Jet Fuel storage relative to daily imports</t>
  </si>
  <si>
    <t xml:space="preserve">KZN </t>
  </si>
  <si>
    <t>MP/GP/LP/FS/NW</t>
  </si>
  <si>
    <t>Petrol</t>
  </si>
  <si>
    <t>Additional Storage Required</t>
  </si>
  <si>
    <t>Additional</t>
  </si>
  <si>
    <t>Eastern Region Storage</t>
  </si>
  <si>
    <t>NW,WC</t>
  </si>
  <si>
    <t>KZN Case</t>
  </si>
  <si>
    <t>Gauteng Case</t>
  </si>
  <si>
    <t>PROVINCE</t>
  </si>
  <si>
    <t>Average price per hectare</t>
  </si>
  <si>
    <t>m2</t>
  </si>
  <si>
    <t>Kwazulu Natal</t>
  </si>
  <si>
    <t>Low Production Scenario</t>
  </si>
  <si>
    <t>NATIONAL PRICE PER HA</t>
  </si>
  <si>
    <t>High Storage Scenario 2040</t>
  </si>
  <si>
    <t>Low Storage Scenario 2040</t>
  </si>
  <si>
    <t>Additional Storage requirement</t>
  </si>
  <si>
    <t>Land Cost</t>
  </si>
  <si>
    <t xml:space="preserve">Labour </t>
  </si>
  <si>
    <t xml:space="preserve">Material </t>
  </si>
  <si>
    <t xml:space="preserve">Licencing </t>
  </si>
  <si>
    <t>x</t>
  </si>
  <si>
    <t>Capacity</t>
  </si>
  <si>
    <t>y</t>
  </si>
  <si>
    <t>Year to Construct</t>
  </si>
  <si>
    <t>To Rands</t>
  </si>
  <si>
    <t>COEFFICIENT</t>
  </si>
  <si>
    <t>MODEL 1</t>
  </si>
  <si>
    <t>MODEL 2</t>
  </si>
  <si>
    <t>MODEL 3</t>
  </si>
  <si>
    <t>MODEL 4</t>
  </si>
  <si>
    <t xml:space="preserve">Cost </t>
  </si>
  <si>
    <t>a</t>
  </si>
  <si>
    <t>b</t>
  </si>
  <si>
    <t>Cost</t>
  </si>
  <si>
    <t>d</t>
  </si>
  <si>
    <t>e</t>
  </si>
  <si>
    <t>f</t>
  </si>
  <si>
    <t>g</t>
  </si>
  <si>
    <t xml:space="preserve">Land cost </t>
  </si>
  <si>
    <t>Jamson park</t>
  </si>
  <si>
    <t>1007m2</t>
  </si>
  <si>
    <t>Langlagte</t>
  </si>
  <si>
    <t>38890m2</t>
  </si>
  <si>
    <t>Industrial park</t>
  </si>
  <si>
    <t>7200m2</t>
  </si>
  <si>
    <t>Durban</t>
  </si>
  <si>
    <t>GT</t>
  </si>
  <si>
    <t>Construction</t>
  </si>
  <si>
    <t>Earthworks Escalation</t>
  </si>
  <si>
    <t>Concrete work</t>
  </si>
  <si>
    <t>Concrete structure</t>
  </si>
  <si>
    <t>SUMMARY OUTPUT</t>
  </si>
  <si>
    <t>Regression Data</t>
  </si>
  <si>
    <t>GDP per Capita</t>
  </si>
  <si>
    <t/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</si>
  <si>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</si>
  <si>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</si>
  <si>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</si>
  <si>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</si>
  <si>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</si>
  <si>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</si>
  <si>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</si>
  <si>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</si>
  <si>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</si>
  <si>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</si>
  <si>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</si>
  <si>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</si>
  <si>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</si>
  <si>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</si>
  <si>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</si>
  <si>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</si>
  <si>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</si>
  <si>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</si>
  <si>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</si>
  <si>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</si>
  <si>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</si>
  <si>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</si>
  <si>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Coefficient Significant?</t>
  </si>
  <si>
    <t>Null:</t>
  </si>
  <si>
    <t>Coefficients are not significant i.e. zero</t>
  </si>
  <si>
    <t>X Variable 2</t>
  </si>
  <si>
    <t>Alternate:</t>
  </si>
  <si>
    <t>Coefficients are siginifianct i.e. not zero</t>
  </si>
  <si>
    <t>Tstat &gt; Tcom</t>
  </si>
  <si>
    <r>
      <t>Rejected H</t>
    </r>
    <r>
      <rPr>
        <vertAlign val="subscript"/>
        <sz val="11"/>
        <color theme="1"/>
        <rFont val="Calibri"/>
        <family val="2"/>
        <scheme val="minor"/>
      </rPr>
      <t>0</t>
    </r>
  </si>
  <si>
    <t>p value &lt; level of significance</t>
  </si>
  <si>
    <t>Diesel Forecast - Regression Analysis</t>
  </si>
  <si>
    <t>Price is not a factor</t>
  </si>
  <si>
    <t>P-value less than 5% reject null</t>
  </si>
  <si>
    <t>Coefficient Siginifant</t>
  </si>
  <si>
    <t>Coefficient not Siginifant</t>
  </si>
  <si>
    <t>Coefficient not Significant</t>
  </si>
  <si>
    <t>Coefficient Significant</t>
  </si>
  <si>
    <t>Row Labels</t>
  </si>
  <si>
    <t>Sum of 2017</t>
  </si>
  <si>
    <t>Sum of 2018</t>
  </si>
  <si>
    <t>Sum of 2019</t>
  </si>
  <si>
    <t>Sum of 2020</t>
  </si>
  <si>
    <t>Sum of 2021</t>
  </si>
  <si>
    <t>Sum of 2022</t>
  </si>
  <si>
    <t>Sum of 2023*</t>
  </si>
  <si>
    <t>Grand Total</t>
  </si>
  <si>
    <t>GDP_Capita</t>
  </si>
  <si>
    <t>Month</t>
  </si>
  <si>
    <t>(All)</t>
  </si>
  <si>
    <t>Destination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</si>
  <si>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</si>
  <si>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</si>
  <si>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</si>
  <si>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</si>
  <si>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</si>
  <si>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</si>
  <si>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</si>
  <si>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</si>
  <si>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</si>
  <si>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</si>
  <si>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</si>
  <si>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</si>
  <si>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</si>
  <si>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</si>
  <si>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</si>
  <si>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</si>
  <si>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</si>
  <si>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</si>
  <si>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</si>
  <si>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</si>
  <si>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</si>
  <si>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</si>
  <si>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</si>
  <si>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</si>
  <si>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Arrivals</t>
  </si>
  <si>
    <t>Departures</t>
  </si>
  <si>
    <t>Arrivals &amp; Departures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</si>
</sst>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_-;\-* #,##0_-;_-* &quot;-&quot;??_-;_-@_-"/>
    <numFmt numFmtId="165" formatCode="0.000%"/>
    <numFmt numFmtId="166" formatCode="0.0%"/>
    <numFmt numFmtId="167" formatCode="_-* #,##0.0000_-;\-* #,##0.0000_-;_-* &quot;-&quot;??_-;_-@_-"/>
    <numFmt numFmtId="168" formatCode="_-* #,##0.0_-;\-* #,##0.0_-;_-* &quot;-&quot;?_-;_-@_-"/>
    <numFmt numFmtId="169" formatCode="_-* #,##0_-;\-* #,##0_-;_-* &quot;-&quot;?_-;_-@_-"/>
    <numFmt numFmtId="170" formatCode="_-* #,##0.0000000_-;\-* #,##0.0000000_-;_-* &quot;-&quot;??_-;_-@_-"/>
    <numFmt numFmtId="171" formatCode="_-* #,##0.00000_-;\-* #,##0.00000_-;_-* &quot;-&quot;??_-;_-@_-"/>
    <numFmt numFmtId="172" formatCode="_-* #,##0.000000_-;\-* #,##0.000000_-;_-* &quot;-&quot;??_-;_-@_-"/>
    <numFmt numFmtId="173" formatCode="_-[$$-409]* #,##0.00_ ;_-[$$-409]* \-#,##0.00\ ;_-[$$-409]* &quot;-&quot;??_ ;_-@_ "/>
    <numFmt numFmtId="174" formatCode="_-[$R-432]* #,##0.00_-;\-[$R-432]* #,##0.00_-;_-[$R-432]* &quot;-&quot;??_-;_-@_-"/>
    <numFmt numFmtId="175" formatCode="_ * #,##0.00_ ;_ * \-#,##0.00_ ;_ * &quot;-&quot;??_ ;_ @_ "/>
    <numFmt numFmtId="176" formatCode="_-* #,##0.0_-;\-* #,##0.0_-;_-* &quot;-&quot;??_-;_-@_-"/>
    <numFmt numFmtId="177" formatCode="0.000"/>
    <numFmt numFmtId="178" formatCode="0.00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Lat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Lato"/>
      <family val="2"/>
    </font>
    <font>
      <sz val="10"/>
      <color theme="1"/>
      <name val="Lato"/>
      <family val="2"/>
    </font>
    <font>
      <sz val="10"/>
      <color rgb="FFFF0000"/>
      <name val="Lato"/>
      <family val="2"/>
    </font>
    <font>
      <b/>
      <sz val="10"/>
      <color rgb="FF00B050"/>
      <name val="Lato"/>
      <family val="2"/>
    </font>
    <font>
      <u/>
      <sz val="10"/>
      <color theme="10"/>
      <name val="Lato"/>
      <family val="2"/>
    </font>
    <font>
      <sz val="10"/>
      <color rgb="FF0000FF"/>
      <name val="Lato"/>
      <family val="2"/>
    </font>
    <font>
      <b/>
      <vertAlign val="superscript"/>
      <sz val="10"/>
      <color theme="1"/>
      <name val="Lato"/>
      <family val="2"/>
    </font>
    <font>
      <b/>
      <sz val="10"/>
      <color rgb="FF0000FF"/>
      <name val="Lato"/>
      <family val="2"/>
    </font>
    <font>
      <b/>
      <sz val="10"/>
      <color rgb="FFFF0000"/>
      <name val="Lato"/>
      <family val="2"/>
    </font>
    <font>
      <b/>
      <sz val="20"/>
      <color theme="1"/>
      <name val="Lato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9"/>
      <color indexed="81"/>
      <name val="Tahoma"/>
      <family val="2"/>
    </font>
    <font>
      <b/>
      <sz val="12"/>
      <color theme="1"/>
      <name val="Lato"/>
      <family val="2"/>
    </font>
    <font>
      <sz val="12"/>
      <color theme="1"/>
      <name val="Lato"/>
      <family val="2"/>
    </font>
    <font>
      <sz val="11"/>
      <color rgb="FF0000FF"/>
      <name val="Calibri"/>
      <family val="2"/>
      <scheme val="minor"/>
    </font>
    <font>
      <i/>
      <sz val="10"/>
      <color theme="1"/>
      <name val="Lato"/>
      <family val="2"/>
    </font>
    <font>
      <b/>
      <i/>
      <sz val="16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B050"/>
      <name val="Lato"/>
      <family val="2"/>
    </font>
    <font>
      <b/>
      <i/>
      <sz val="9"/>
      <color indexed="81"/>
      <name val="Tahoma"/>
      <family val="2"/>
    </font>
    <font>
      <sz val="9"/>
      <color theme="1"/>
      <name val="Lato"/>
      <family val="2"/>
    </font>
    <font>
      <sz val="10"/>
      <color theme="1"/>
      <name val="Lato"/>
      <family val="2"/>
    </font>
    <font>
      <b/>
      <sz val="10"/>
      <color rgb="FF000000"/>
      <name val="Arial"/>
      <family val="2"/>
    </font>
    <font>
      <vertAlign val="subscript"/>
      <sz val="9"/>
      <color indexed="81"/>
      <name val="Tahoma"/>
      <family val="2"/>
    </font>
    <font>
      <b/>
      <i/>
      <sz val="10"/>
      <color theme="1"/>
      <name val="Lato"/>
      <family val="2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F808E1"/>
      <name val="Lato"/>
      <family val="2"/>
    </font>
    <font>
      <sz val="11"/>
      <color theme="5" tint="0.39997558519241921"/>
      <name val="Calibri"/>
      <family val="2"/>
      <scheme val="minor"/>
    </font>
    <font>
      <sz val="11"/>
      <color rgb="FFF808E1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/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175" fontId="1" fillId="0" borderId="0" applyFont="0" applyFill="0" applyBorder="0" applyAlignment="0" applyProtection="0"/>
  </cellStyleXfs>
  <cellXfs count="627">
    <xf numFmtId="0" fontId="0" fillId="0" borderId="0" xfId="0"/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165" fontId="0" fillId="0" borderId="0" xfId="2" applyNumberFormat="1" applyFont="1"/>
    <xf numFmtId="164" fontId="0" fillId="2" borderId="0" xfId="1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0" xfId="0" applyFont="1" applyFill="1"/>
    <xf numFmtId="164" fontId="0" fillId="4" borderId="3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0" fillId="4" borderId="2" xfId="1" applyNumberFormat="1" applyFont="1" applyFill="1" applyBorder="1" applyAlignment="1">
      <alignment horizontal="center"/>
    </xf>
    <xf numFmtId="164" fontId="2" fillId="4" borderId="2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0" fillId="5" borderId="0" xfId="1" applyNumberFormat="1" applyFont="1" applyFill="1" applyBorder="1" applyAlignment="1">
      <alignment horizontal="center"/>
    </xf>
    <xf numFmtId="164" fontId="2" fillId="4" borderId="0" xfId="1" applyNumberFormat="1" applyFont="1" applyFill="1" applyBorder="1" applyAlignment="1">
      <alignment horizontal="center"/>
    </xf>
    <xf numFmtId="164" fontId="2" fillId="4" borderId="3" xfId="1" applyNumberFormat="1" applyFont="1" applyFill="1" applyBorder="1" applyAlignment="1">
      <alignment horizontal="center"/>
    </xf>
    <xf numFmtId="164" fontId="2" fillId="4" borderId="5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Border="1"/>
    <xf numFmtId="0" fontId="2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64" fontId="2" fillId="4" borderId="9" xfId="1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64" fontId="0" fillId="4" borderId="0" xfId="1" applyNumberFormat="1" applyFont="1" applyFill="1" applyBorder="1" applyAlignment="1">
      <alignment horizontal="center"/>
    </xf>
    <xf numFmtId="164" fontId="0" fillId="5" borderId="2" xfId="1" applyNumberFormat="1" applyFont="1" applyFill="1" applyBorder="1" applyAlignment="1">
      <alignment horizontal="center"/>
    </xf>
    <xf numFmtId="164" fontId="0" fillId="5" borderId="3" xfId="1" applyNumberFormat="1" applyFont="1" applyFill="1" applyBorder="1" applyAlignment="1">
      <alignment horizontal="center"/>
    </xf>
    <xf numFmtId="164" fontId="0" fillId="5" borderId="4" xfId="1" applyNumberFormat="1" applyFont="1" applyFill="1" applyBorder="1" applyAlignment="1">
      <alignment horizontal="center"/>
    </xf>
    <xf numFmtId="164" fontId="0" fillId="5" borderId="5" xfId="1" applyNumberFormat="1" applyFont="1" applyFill="1" applyBorder="1" applyAlignment="1">
      <alignment horizontal="center"/>
    </xf>
    <xf numFmtId="164" fontId="0" fillId="5" borderId="6" xfId="1" applyNumberFormat="1" applyFont="1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center"/>
    </xf>
    <xf numFmtId="164" fontId="0" fillId="2" borderId="5" xfId="1" applyNumberFormat="1" applyFont="1" applyFill="1" applyBorder="1" applyAlignment="1">
      <alignment horizontal="center"/>
    </xf>
    <xf numFmtId="164" fontId="0" fillId="2" borderId="6" xfId="1" applyNumberFormat="1" applyFont="1" applyFill="1" applyBorder="1" applyAlignment="1">
      <alignment horizontal="center"/>
    </xf>
    <xf numFmtId="16" fontId="0" fillId="0" borderId="0" xfId="0" applyNumberFormat="1"/>
    <xf numFmtId="16" fontId="0" fillId="0" borderId="2" xfId="0" applyNumberFormat="1" applyBorder="1" applyAlignment="1">
      <alignment horizontal="left"/>
    </xf>
    <xf numFmtId="16" fontId="0" fillId="0" borderId="4" xfId="0" applyNumberFormat="1" applyBorder="1" applyAlignment="1">
      <alignment horizontal="left"/>
    </xf>
    <xf numFmtId="0" fontId="2" fillId="3" borderId="5" xfId="0" applyFont="1" applyFill="1" applyBorder="1"/>
    <xf numFmtId="0" fontId="2" fillId="0" borderId="4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0" borderId="0" xfId="0" applyFont="1"/>
    <xf numFmtId="164" fontId="0" fillId="5" borderId="1" xfId="1" applyNumberFormat="1" applyFont="1" applyFill="1" applyBorder="1" applyAlignment="1">
      <alignment horizontal="center"/>
    </xf>
    <xf numFmtId="164" fontId="0" fillId="5" borderId="10" xfId="1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0" fillId="5" borderId="11" xfId="1" applyNumberFormat="1" applyFont="1" applyFill="1" applyBorder="1" applyAlignment="1">
      <alignment horizontal="center"/>
    </xf>
    <xf numFmtId="164" fontId="2" fillId="2" borderId="5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10" xfId="1" applyNumberFormat="1" applyFont="1" applyFill="1" applyBorder="1" applyAlignment="1">
      <alignment horizontal="center"/>
    </xf>
    <xf numFmtId="164" fontId="0" fillId="2" borderId="11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10" fontId="0" fillId="0" borderId="0" xfId="2" applyNumberFormat="1" applyFont="1"/>
    <xf numFmtId="0" fontId="5" fillId="0" borderId="0" xfId="0" applyFont="1"/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Continuous"/>
    </xf>
    <xf numFmtId="9" fontId="0" fillId="9" borderId="0" xfId="2" applyFont="1" applyFill="1" applyBorder="1" applyAlignment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164" fontId="11" fillId="0" borderId="0" xfId="1" applyNumberFormat="1" applyFont="1"/>
    <xf numFmtId="0" fontId="11" fillId="2" borderId="0" xfId="0" applyFont="1" applyFill="1"/>
    <xf numFmtId="0" fontId="10" fillId="0" borderId="0" xfId="0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11" fillId="0" borderId="0" xfId="0" applyNumberFormat="1" applyFont="1"/>
    <xf numFmtId="0" fontId="14" fillId="0" borderId="0" xfId="3" applyFont="1" applyAlignment="1">
      <alignment wrapText="1"/>
    </xf>
    <xf numFmtId="0" fontId="10" fillId="2" borderId="0" xfId="0" applyFont="1" applyFill="1" applyAlignment="1">
      <alignment horizontal="center"/>
    </xf>
    <xf numFmtId="164" fontId="11" fillId="2" borderId="0" xfId="1" applyNumberFormat="1" applyFont="1" applyFill="1"/>
    <xf numFmtId="0" fontId="9" fillId="0" borderId="0" xfId="3"/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wrapText="1"/>
    </xf>
    <xf numFmtId="0" fontId="11" fillId="0" borderId="12" xfId="0" applyFont="1" applyBorder="1" applyAlignment="1">
      <alignment horizontal="center"/>
    </xf>
    <xf numFmtId="166" fontId="11" fillId="0" borderId="12" xfId="2" applyNumberFormat="1" applyFont="1" applyBorder="1" applyAlignment="1">
      <alignment horizontal="center"/>
    </xf>
    <xf numFmtId="166" fontId="15" fillId="10" borderId="12" xfId="2" applyNumberFormat="1" applyFont="1" applyFill="1" applyBorder="1" applyAlignment="1">
      <alignment horizontal="center"/>
    </xf>
    <xf numFmtId="0" fontId="10" fillId="7" borderId="0" xfId="0" applyFont="1" applyFill="1"/>
    <xf numFmtId="0" fontId="11" fillId="7" borderId="0" xfId="0" applyFont="1" applyFill="1"/>
    <xf numFmtId="0" fontId="11" fillId="0" borderId="0" xfId="0" quotePrefix="1" applyFont="1"/>
    <xf numFmtId="0" fontId="10" fillId="0" borderId="12" xfId="0" applyFont="1" applyBorder="1" applyAlignment="1">
      <alignment horizontal="center" vertical="center"/>
    </xf>
    <xf numFmtId="164" fontId="11" fillId="0" borderId="12" xfId="1" applyNumberFormat="1" applyFont="1" applyBorder="1"/>
    <xf numFmtId="0" fontId="0" fillId="4" borderId="5" xfId="0" applyFill="1" applyBorder="1"/>
    <xf numFmtId="0" fontId="4" fillId="4" borderId="5" xfId="0" applyFont="1" applyFill="1" applyBorder="1"/>
    <xf numFmtId="0" fontId="0" fillId="4" borderId="0" xfId="0" applyFill="1"/>
    <xf numFmtId="165" fontId="0" fillId="4" borderId="0" xfId="2" applyNumberFormat="1" applyFont="1" applyFill="1" applyBorder="1" applyAlignment="1"/>
    <xf numFmtId="164" fontId="0" fillId="0" borderId="0" xfId="1" applyNumberFormat="1" applyFont="1" applyFill="1" applyBorder="1" applyAlignment="1"/>
    <xf numFmtId="9" fontId="11" fillId="0" borderId="0" xfId="2" applyFont="1"/>
    <xf numFmtId="0" fontId="10" fillId="2" borderId="0" xfId="0" applyFont="1" applyFill="1"/>
    <xf numFmtId="0" fontId="17" fillId="0" borderId="0" xfId="0" applyFont="1" applyAlignment="1">
      <alignment horizontal="center"/>
    </xf>
    <xf numFmtId="0" fontId="11" fillId="0" borderId="12" xfId="0" applyFont="1" applyBorder="1"/>
    <xf numFmtId="164" fontId="15" fillId="10" borderId="12" xfId="1" applyNumberFormat="1" applyFont="1" applyFill="1" applyBorder="1" applyAlignment="1">
      <alignment horizontal="center"/>
    </xf>
    <xf numFmtId="43" fontId="11" fillId="0" borderId="0" xfId="1" applyFont="1"/>
    <xf numFmtId="166" fontId="15" fillId="0" borderId="12" xfId="2" applyNumberFormat="1" applyFont="1" applyFill="1" applyBorder="1" applyAlignment="1">
      <alignment horizontal="center"/>
    </xf>
    <xf numFmtId="166" fontId="15" fillId="13" borderId="12" xfId="2" applyNumberFormat="1" applyFont="1" applyFill="1" applyBorder="1" applyAlignment="1">
      <alignment horizontal="center"/>
    </xf>
    <xf numFmtId="43" fontId="11" fillId="0" borderId="0" xfId="0" applyNumberFormat="1" applyFont="1"/>
    <xf numFmtId="0" fontId="11" fillId="11" borderId="0" xfId="0" applyFont="1" applyFill="1" applyAlignment="1">
      <alignment horizontal="center" vertical="center" wrapText="1"/>
    </xf>
    <xf numFmtId="43" fontId="15" fillId="10" borderId="12" xfId="1" applyFont="1" applyFill="1" applyBorder="1" applyAlignment="1">
      <alignment horizontal="center"/>
    </xf>
    <xf numFmtId="164" fontId="15" fillId="10" borderId="0" xfId="1" applyNumberFormat="1" applyFont="1" applyFill="1"/>
    <xf numFmtId="164" fontId="15" fillId="0" borderId="0" xfId="0" applyNumberFormat="1" applyFont="1"/>
    <xf numFmtId="43" fontId="15" fillId="0" borderId="0" xfId="1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166" fontId="15" fillId="10" borderId="0" xfId="2" applyNumberFormat="1" applyFont="1" applyFill="1" applyBorder="1" applyAlignment="1">
      <alignment horizontal="center"/>
    </xf>
    <xf numFmtId="0" fontId="11" fillId="10" borderId="0" xfId="0" applyFont="1" applyFill="1"/>
    <xf numFmtId="0" fontId="11" fillId="14" borderId="0" xfId="0" applyFont="1" applyFill="1"/>
    <xf numFmtId="164" fontId="11" fillId="14" borderId="0" xfId="0" applyNumberFormat="1" applyFont="1" applyFill="1"/>
    <xf numFmtId="164" fontId="11" fillId="15" borderId="12" xfId="0" applyNumberFormat="1" applyFont="1" applyFill="1" applyBorder="1"/>
    <xf numFmtId="166" fontId="15" fillId="15" borderId="12" xfId="2" applyNumberFormat="1" applyFont="1" applyFill="1" applyBorder="1" applyAlignment="1">
      <alignment horizontal="center"/>
    </xf>
    <xf numFmtId="166" fontId="15" fillId="0" borderId="0" xfId="2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/>
    <xf numFmtId="166" fontId="13" fillId="0" borderId="12" xfId="2" applyNumberFormat="1" applyFont="1" applyBorder="1"/>
    <xf numFmtId="164" fontId="15" fillId="0" borderId="12" xfId="1" applyNumberFormat="1" applyFont="1" applyBorder="1"/>
    <xf numFmtId="164" fontId="15" fillId="0" borderId="12" xfId="0" applyNumberFormat="1" applyFont="1" applyBorder="1"/>
    <xf numFmtId="164" fontId="11" fillId="0" borderId="12" xfId="0" applyNumberFormat="1" applyFont="1" applyBorder="1"/>
    <xf numFmtId="164" fontId="18" fillId="0" borderId="12" xfId="0" applyNumberFormat="1" applyFont="1" applyBorder="1"/>
    <xf numFmtId="0" fontId="11" fillId="0" borderId="17" xfId="0" applyFont="1" applyBorder="1" applyAlignment="1">
      <alignment horizontal="center"/>
    </xf>
    <xf numFmtId="166" fontId="15" fillId="0" borderId="12" xfId="2" applyNumberFormat="1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1" fillId="15" borderId="0" xfId="0" applyFont="1" applyFill="1"/>
    <xf numFmtId="164" fontId="12" fillId="0" borderId="0" xfId="0" applyNumberFormat="1" applyFont="1"/>
    <xf numFmtId="164" fontId="12" fillId="0" borderId="0" xfId="1" applyNumberFormat="1" applyFont="1"/>
    <xf numFmtId="0" fontId="18" fillId="0" borderId="0" xfId="0" applyFont="1"/>
    <xf numFmtId="0" fontId="0" fillId="17" borderId="0" xfId="0" applyFill="1"/>
    <xf numFmtId="10" fontId="11" fillId="0" borderId="0" xfId="2" applyNumberFormat="1" applyFont="1"/>
    <xf numFmtId="10" fontId="11" fillId="0" borderId="12" xfId="2" applyNumberFormat="1" applyFont="1" applyBorder="1"/>
    <xf numFmtId="167" fontId="11" fillId="0" borderId="12" xfId="1" applyNumberFormat="1" applyFont="1" applyBorder="1"/>
    <xf numFmtId="167" fontId="18" fillId="0" borderId="12" xfId="1" applyNumberFormat="1" applyFont="1" applyBorder="1"/>
    <xf numFmtId="167" fontId="13" fillId="0" borderId="12" xfId="1" applyNumberFormat="1" applyFont="1" applyBorder="1"/>
    <xf numFmtId="10" fontId="11" fillId="0" borderId="0" xfId="2" applyNumberFormat="1" applyFont="1" applyAlignment="1">
      <alignment horizontal="center"/>
    </xf>
    <xf numFmtId="165" fontId="11" fillId="0" borderId="0" xfId="2" applyNumberFormat="1" applyFont="1" applyAlignment="1">
      <alignment horizontal="center"/>
    </xf>
    <xf numFmtId="10" fontId="0" fillId="4" borderId="0" xfId="2" applyNumberFormat="1" applyFont="1" applyFill="1" applyBorder="1" applyAlignment="1"/>
    <xf numFmtId="0" fontId="10" fillId="4" borderId="0" xfId="0" applyFont="1" applyFill="1"/>
    <xf numFmtId="0" fontId="11" fillId="4" borderId="0" xfId="0" applyFont="1" applyFill="1"/>
    <xf numFmtId="0" fontId="10" fillId="0" borderId="12" xfId="0" applyFont="1" applyBorder="1" applyAlignment="1">
      <alignment horizontal="center"/>
    </xf>
    <xf numFmtId="164" fontId="15" fillId="18" borderId="0" xfId="1" applyNumberFormat="1" applyFont="1" applyFill="1"/>
    <xf numFmtId="9" fontId="15" fillId="18" borderId="0" xfId="2" applyFont="1" applyFill="1"/>
    <xf numFmtId="43" fontId="15" fillId="18" borderId="0" xfId="1" applyFont="1" applyFill="1"/>
    <xf numFmtId="9" fontId="11" fillId="0" borderId="12" xfId="0" applyNumberFormat="1" applyFont="1" applyBorder="1" applyAlignment="1">
      <alignment horizontal="center"/>
    </xf>
    <xf numFmtId="0" fontId="10" fillId="0" borderId="12" xfId="0" applyFont="1" applyBorder="1"/>
    <xf numFmtId="0" fontId="10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9" fontId="15" fillId="10" borderId="12" xfId="2" applyFont="1" applyFill="1" applyBorder="1" applyAlignment="1">
      <alignment horizontal="center"/>
    </xf>
    <xf numFmtId="9" fontId="18" fillId="10" borderId="12" xfId="2" applyFont="1" applyFill="1" applyBorder="1" applyAlignment="1">
      <alignment horizontal="center"/>
    </xf>
    <xf numFmtId="164" fontId="0" fillId="0" borderId="5" xfId="1" applyNumberFormat="1" applyFont="1" applyBorder="1"/>
    <xf numFmtId="9" fontId="0" fillId="0" borderId="0" xfId="2" applyFont="1"/>
    <xf numFmtId="167" fontId="0" fillId="0" borderId="0" xfId="1" applyNumberFormat="1" applyFont="1"/>
    <xf numFmtId="168" fontId="11" fillId="0" borderId="0" xfId="0" applyNumberFormat="1" applyFont="1"/>
    <xf numFmtId="0" fontId="15" fillId="10" borderId="12" xfId="1" applyNumberFormat="1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165" fontId="11" fillId="0" borderId="0" xfId="2" applyNumberFormat="1" applyFont="1"/>
    <xf numFmtId="0" fontId="14" fillId="0" borderId="0" xfId="3" applyFont="1"/>
    <xf numFmtId="0" fontId="10" fillId="0" borderId="0" xfId="0" applyFont="1" applyAlignment="1">
      <alignment horizontal="center" vertical="center"/>
    </xf>
    <xf numFmtId="166" fontId="15" fillId="10" borderId="12" xfId="2" applyNumberFormat="1" applyFont="1" applyFill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6" fontId="15" fillId="0" borderId="12" xfId="2" applyNumberFormat="1" applyFont="1" applyFill="1" applyBorder="1" applyAlignment="1">
      <alignment horizontal="center" vertical="center"/>
    </xf>
    <xf numFmtId="167" fontId="15" fillId="10" borderId="12" xfId="1" applyNumberFormat="1" applyFont="1" applyFill="1" applyBorder="1"/>
    <xf numFmtId="164" fontId="15" fillId="10" borderId="12" xfId="1" applyNumberFormat="1" applyFont="1" applyFill="1" applyBorder="1"/>
    <xf numFmtId="9" fontId="15" fillId="10" borderId="12" xfId="2" applyFont="1" applyFill="1" applyBorder="1"/>
    <xf numFmtId="43" fontId="15" fillId="10" borderId="12" xfId="1" applyFont="1" applyFill="1" applyBorder="1"/>
    <xf numFmtId="0" fontId="11" fillId="12" borderId="0" xfId="0" applyFont="1" applyFill="1"/>
    <xf numFmtId="0" fontId="17" fillId="0" borderId="0" xfId="0" applyFont="1" applyAlignment="1">
      <alignment horizontal="center" vertical="center" wrapText="1"/>
    </xf>
    <xf numFmtId="164" fontId="10" fillId="0" borderId="12" xfId="0" applyNumberFormat="1" applyFont="1" applyBorder="1"/>
    <xf numFmtId="0" fontId="10" fillId="8" borderId="0" xfId="0" applyFont="1" applyFill="1" applyAlignment="1">
      <alignment horizontal="center" vertical="center" wrapText="1"/>
    </xf>
    <xf numFmtId="0" fontId="10" fillId="16" borderId="0" xfId="0" applyFont="1" applyFill="1" applyAlignment="1">
      <alignment horizontal="center" vertical="center" wrapText="1"/>
    </xf>
    <xf numFmtId="0" fontId="11" fillId="8" borderId="0" xfId="0" applyFont="1" applyFill="1"/>
    <xf numFmtId="164" fontId="11" fillId="8" borderId="0" xfId="0" applyNumberFormat="1" applyFont="1" applyFill="1"/>
    <xf numFmtId="0" fontId="11" fillId="16" borderId="0" xfId="0" applyFont="1" applyFill="1"/>
    <xf numFmtId="164" fontId="11" fillId="16" borderId="0" xfId="0" applyNumberFormat="1" applyFont="1" applyFill="1"/>
    <xf numFmtId="0" fontId="11" fillId="14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12" fillId="0" borderId="12" xfId="0" applyNumberFormat="1" applyFont="1" applyBorder="1"/>
    <xf numFmtId="164" fontId="15" fillId="14" borderId="12" xfId="1" applyNumberFormat="1" applyFont="1" applyFill="1" applyBorder="1"/>
    <xf numFmtId="0" fontId="25" fillId="4" borderId="0" xfId="0" applyFont="1" applyFill="1"/>
    <xf numFmtId="0" fontId="26" fillId="4" borderId="0" xfId="0" applyFont="1" applyFill="1"/>
    <xf numFmtId="0" fontId="26" fillId="0" borderId="0" xfId="0" applyFont="1"/>
    <xf numFmtId="0" fontId="10" fillId="20" borderId="0" xfId="0" applyFont="1" applyFill="1" applyAlignment="1">
      <alignment horizontal="center" vertical="center" wrapText="1"/>
    </xf>
    <xf numFmtId="164" fontId="15" fillId="20" borderId="0" xfId="0" applyNumberFormat="1" applyFont="1" applyFill="1"/>
    <xf numFmtId="164" fontId="11" fillId="20" borderId="0" xfId="0" applyNumberFormat="1" applyFont="1" applyFill="1"/>
    <xf numFmtId="0" fontId="9" fillId="2" borderId="0" xfId="3" applyFill="1"/>
    <xf numFmtId="43" fontId="15" fillId="0" borderId="0" xfId="0" applyNumberFormat="1" applyFont="1"/>
    <xf numFmtId="169" fontId="11" fillId="0" borderId="0" xfId="0" applyNumberFormat="1" applyFont="1"/>
    <xf numFmtId="0" fontId="10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27" fillId="18" borderId="0" xfId="1" applyNumberFormat="1" applyFont="1" applyFill="1"/>
    <xf numFmtId="164" fontId="15" fillId="0" borderId="0" xfId="1" applyNumberFormat="1" applyFont="1" applyAlignment="1">
      <alignment horizontal="center"/>
    </xf>
    <xf numFmtId="9" fontId="15" fillId="0" borderId="12" xfId="2" applyFont="1" applyFill="1" applyBorder="1" applyAlignment="1"/>
    <xf numFmtId="164" fontId="15" fillId="0" borderId="12" xfId="1" applyNumberFormat="1" applyFont="1" applyFill="1" applyBorder="1" applyAlignment="1"/>
    <xf numFmtId="170" fontId="15" fillId="0" borderId="12" xfId="1" applyNumberFormat="1" applyFont="1" applyBorder="1"/>
    <xf numFmtId="9" fontId="15" fillId="0" borderId="12" xfId="2" applyFont="1" applyBorder="1"/>
    <xf numFmtId="0" fontId="0" fillId="0" borderId="12" xfId="0" applyBorder="1"/>
    <xf numFmtId="166" fontId="18" fillId="15" borderId="12" xfId="2" applyNumberFormat="1" applyFont="1" applyFill="1" applyBorder="1" applyAlignment="1">
      <alignment horizontal="center"/>
    </xf>
    <xf numFmtId="164" fontId="11" fillId="0" borderId="12" xfId="1" applyNumberFormat="1" applyFont="1" applyBorder="1" applyAlignment="1">
      <alignment vertical="center"/>
    </xf>
    <xf numFmtId="0" fontId="28" fillId="0" borderId="13" xfId="0" applyFont="1" applyBorder="1" applyAlignment="1">
      <alignment horizontal="centerContinuous"/>
    </xf>
    <xf numFmtId="0" fontId="11" fillId="0" borderId="5" xfId="0" applyFont="1" applyBorder="1"/>
    <xf numFmtId="0" fontId="28" fillId="0" borderId="13" xfId="0" applyFont="1" applyBorder="1" applyAlignment="1">
      <alignment horizontal="center"/>
    </xf>
    <xf numFmtId="9" fontId="27" fillId="18" borderId="12" xfId="2" applyFont="1" applyFill="1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6" fontId="18" fillId="0" borderId="12" xfId="2" applyNumberFormat="1" applyFont="1" applyBorder="1"/>
    <xf numFmtId="164" fontId="12" fillId="0" borderId="12" xfId="1" applyNumberFormat="1" applyFont="1" applyFill="1" applyBorder="1"/>
    <xf numFmtId="164" fontId="12" fillId="0" borderId="12" xfId="0" applyNumberFormat="1" applyFont="1" applyBorder="1" applyAlignment="1">
      <alignment vertical="center"/>
    </xf>
    <xf numFmtId="164" fontId="15" fillId="0" borderId="12" xfId="1" applyNumberFormat="1" applyFont="1" applyFill="1" applyBorder="1" applyAlignment="1">
      <alignment horizontal="center"/>
    </xf>
    <xf numFmtId="164" fontId="18" fillId="0" borderId="12" xfId="1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5" fillId="0" borderId="12" xfId="0" applyNumberFormat="1" applyFont="1" applyBorder="1" applyAlignment="1">
      <alignment horizontal="center"/>
    </xf>
    <xf numFmtId="164" fontId="15" fillId="0" borderId="0" xfId="1" applyNumberFormat="1" applyFont="1" applyFill="1" applyAlignment="1">
      <alignment horizontal="center"/>
    </xf>
    <xf numFmtId="164" fontId="11" fillId="14" borderId="0" xfId="1" applyNumberFormat="1" applyFont="1" applyFill="1"/>
    <xf numFmtId="164" fontId="10" fillId="0" borderId="0" xfId="1" applyNumberFormat="1" applyFont="1" applyAlignment="1">
      <alignment horizontal="center"/>
    </xf>
    <xf numFmtId="164" fontId="17" fillId="0" borderId="12" xfId="1" applyNumberFormat="1" applyFont="1" applyBorder="1"/>
    <xf numFmtId="164" fontId="17" fillId="0" borderId="12" xfId="0" applyNumberFormat="1" applyFont="1" applyBorder="1"/>
    <xf numFmtId="164" fontId="10" fillId="0" borderId="0" xfId="0" applyNumberFormat="1" applyFont="1"/>
    <xf numFmtId="164" fontId="18" fillId="0" borderId="0" xfId="1" applyNumberFormat="1" applyFont="1"/>
    <xf numFmtId="165" fontId="10" fillId="0" borderId="0" xfId="2" applyNumberFormat="1" applyFont="1"/>
    <xf numFmtId="0" fontId="0" fillId="0" borderId="0" xfId="0" quotePrefix="1"/>
    <xf numFmtId="164" fontId="15" fillId="0" borderId="0" xfId="1" applyNumberFormat="1" applyFont="1"/>
    <xf numFmtId="164" fontId="27" fillId="0" borderId="0" xfId="0" applyNumberFormat="1" applyFont="1"/>
    <xf numFmtId="166" fontId="27" fillId="0" borderId="0" xfId="2" applyNumberFormat="1" applyFont="1"/>
    <xf numFmtId="0" fontId="15" fillId="0" borderId="0" xfId="0" applyFont="1"/>
    <xf numFmtId="2" fontId="15" fillId="0" borderId="0" xfId="0" applyNumberFormat="1" applyFont="1"/>
    <xf numFmtId="164" fontId="27" fillId="0" borderId="0" xfId="1" applyNumberFormat="1" applyFont="1"/>
    <xf numFmtId="0" fontId="0" fillId="0" borderId="12" xfId="0" applyBorder="1" applyAlignment="1">
      <alignment horizontal="right"/>
    </xf>
    <xf numFmtId="164" fontId="18" fillId="0" borderId="12" xfId="1" applyNumberFormat="1" applyFont="1" applyBorder="1"/>
    <xf numFmtId="0" fontId="29" fillId="21" borderId="0" xfId="0" applyFont="1" applyFill="1"/>
    <xf numFmtId="0" fontId="0" fillId="22" borderId="0" xfId="0" applyFill="1"/>
    <xf numFmtId="0" fontId="0" fillId="22" borderId="0" xfId="0" applyFill="1" applyAlignment="1">
      <alignment horizontal="center"/>
    </xf>
    <xf numFmtId="0" fontId="30" fillId="22" borderId="0" xfId="0" applyFont="1" applyFill="1"/>
    <xf numFmtId="43" fontId="0" fillId="0" borderId="0" xfId="1" applyFont="1"/>
    <xf numFmtId="9" fontId="0" fillId="4" borderId="0" xfId="0" applyNumberFormat="1" applyFill="1"/>
    <xf numFmtId="9" fontId="0" fillId="0" borderId="0" xfId="0" applyNumberFormat="1"/>
    <xf numFmtId="164" fontId="0" fillId="0" borderId="5" xfId="1" applyNumberFormat="1" applyFont="1" applyFill="1" applyBorder="1" applyAlignment="1"/>
    <xf numFmtId="164" fontId="15" fillId="0" borderId="12" xfId="1" applyNumberFormat="1" applyFont="1" applyBorder="1" applyAlignment="1">
      <alignment horizontal="center" vertical="center"/>
    </xf>
    <xf numFmtId="164" fontId="15" fillId="0" borderId="12" xfId="1" applyNumberFormat="1" applyFont="1" applyBorder="1" applyAlignment="1">
      <alignment horizontal="center"/>
    </xf>
    <xf numFmtId="0" fontId="18" fillId="20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4" fontId="31" fillId="18" borderId="0" xfId="1" applyNumberFormat="1" applyFont="1" applyFill="1"/>
    <xf numFmtId="164" fontId="17" fillId="0" borderId="0" xfId="1" applyNumberFormat="1" applyFont="1" applyAlignment="1">
      <alignment horizontal="center"/>
    </xf>
    <xf numFmtId="170" fontId="18" fillId="0" borderId="12" xfId="1" applyNumberFormat="1" applyFont="1" applyBorder="1"/>
    <xf numFmtId="9" fontId="18" fillId="0" borderId="12" xfId="2" applyFont="1" applyBorder="1"/>
    <xf numFmtId="9" fontId="32" fillId="18" borderId="12" xfId="2" applyFont="1" applyFill="1" applyBorder="1"/>
    <xf numFmtId="43" fontId="15" fillId="0" borderId="12" xfId="1" applyFont="1" applyFill="1" applyBorder="1" applyAlignment="1">
      <alignment horizontal="center"/>
    </xf>
    <xf numFmtId="0" fontId="33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171" fontId="0" fillId="0" borderId="0" xfId="0" quotePrefix="1" applyNumberFormat="1"/>
    <xf numFmtId="43" fontId="27" fillId="0" borderId="12" xfId="0" applyNumberFormat="1" applyFont="1" applyBorder="1"/>
    <xf numFmtId="164" fontId="27" fillId="0" borderId="12" xfId="0" applyNumberFormat="1" applyFont="1" applyBorder="1"/>
    <xf numFmtId="166" fontId="12" fillId="0" borderId="12" xfId="2" applyNumberFormat="1" applyFont="1" applyBorder="1" applyAlignment="1">
      <alignment horizontal="center"/>
    </xf>
    <xf numFmtId="0" fontId="10" fillId="12" borderId="12" xfId="0" applyFont="1" applyFill="1" applyBorder="1" applyAlignment="1">
      <alignment horizontal="center" vertical="center" wrapText="1"/>
    </xf>
    <xf numFmtId="172" fontId="11" fillId="0" borderId="0" xfId="0" applyNumberFormat="1" applyFont="1"/>
    <xf numFmtId="0" fontId="10" fillId="8" borderId="0" xfId="0" applyFont="1" applyFill="1"/>
    <xf numFmtId="9" fontId="10" fillId="0" borderId="0" xfId="2" applyFont="1"/>
    <xf numFmtId="10" fontId="10" fillId="0" borderId="0" xfId="1" applyNumberFormat="1" applyFont="1"/>
    <xf numFmtId="10" fontId="11" fillId="23" borderId="0" xfId="0" applyNumberFormat="1" applyFont="1" applyFill="1"/>
    <xf numFmtId="0" fontId="35" fillId="0" borderId="0" xfId="0" applyFont="1"/>
    <xf numFmtId="164" fontId="35" fillId="0" borderId="0" xfId="0" applyNumberFormat="1" applyFont="1"/>
    <xf numFmtId="10" fontId="11" fillId="0" borderId="0" xfId="0" applyNumberFormat="1" applyFont="1"/>
    <xf numFmtId="10" fontId="15" fillId="0" borderId="12" xfId="2" applyNumberFormat="1" applyFont="1" applyBorder="1"/>
    <xf numFmtId="9" fontId="10" fillId="0" borderId="12" xfId="2" applyFont="1" applyBorder="1"/>
    <xf numFmtId="9" fontId="15" fillId="10" borderId="0" xfId="2" applyFont="1" applyFill="1"/>
    <xf numFmtId="9" fontId="11" fillId="0" borderId="0" xfId="0" applyNumberFormat="1" applyFont="1"/>
    <xf numFmtId="9" fontId="10" fillId="0" borderId="0" xfId="0" applyNumberFormat="1" applyFont="1"/>
    <xf numFmtId="0" fontId="10" fillId="0" borderId="14" xfId="0" applyFont="1" applyBorder="1" applyAlignment="1">
      <alignment horizontal="center" vertical="center"/>
    </xf>
    <xf numFmtId="10" fontId="15" fillId="0" borderId="12" xfId="0" applyNumberFormat="1" applyFont="1" applyBorder="1"/>
    <xf numFmtId="165" fontId="10" fillId="0" borderId="0" xfId="0" applyNumberFormat="1" applyFont="1"/>
    <xf numFmtId="0" fontId="10" fillId="0" borderId="26" xfId="0" applyFont="1" applyBorder="1" applyAlignment="1">
      <alignment horizontal="center" vertical="center" wrapText="1"/>
    </xf>
    <xf numFmtId="9" fontId="10" fillId="0" borderId="12" xfId="0" applyNumberFormat="1" applyFont="1" applyBorder="1" applyAlignment="1">
      <alignment horizontal="center" vertical="center"/>
    </xf>
    <xf numFmtId="0" fontId="36" fillId="14" borderId="0" xfId="0" applyFont="1" applyFill="1"/>
    <xf numFmtId="0" fontId="11" fillId="11" borderId="0" xfId="0" applyFont="1" applyFill="1"/>
    <xf numFmtId="0" fontId="10" fillId="11" borderId="12" xfId="0" applyFont="1" applyFill="1" applyBorder="1"/>
    <xf numFmtId="0" fontId="10" fillId="2" borderId="12" xfId="0" applyFont="1" applyFill="1" applyBorder="1"/>
    <xf numFmtId="164" fontId="11" fillId="0" borderId="12" xfId="1" applyNumberFormat="1" applyFont="1" applyBorder="1" applyAlignment="1">
      <alignment horizontal="left" indent="1"/>
    </xf>
    <xf numFmtId="0" fontId="11" fillId="0" borderId="27" xfId="0" applyFont="1" applyBorder="1"/>
    <xf numFmtId="0" fontId="11" fillId="0" borderId="2" xfId="0" applyFont="1" applyBorder="1"/>
    <xf numFmtId="0" fontId="11" fillId="0" borderId="4" xfId="0" applyFont="1" applyBorder="1"/>
    <xf numFmtId="0" fontId="10" fillId="11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43" fontId="15" fillId="0" borderId="0" xfId="1" applyFont="1"/>
    <xf numFmtId="0" fontId="10" fillId="0" borderId="0" xfId="0" applyFont="1" applyAlignment="1">
      <alignment horizontal="left"/>
    </xf>
    <xf numFmtId="0" fontId="15" fillId="0" borderId="0" xfId="1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43" fontId="11" fillId="0" borderId="12" xfId="1" applyFont="1" applyBorder="1" applyAlignment="1">
      <alignment horizontal="left"/>
    </xf>
    <xf numFmtId="0" fontId="0" fillId="0" borderId="37" xfId="0" applyBorder="1" applyAlignment="1">
      <alignment vertical="center" wrapText="1"/>
    </xf>
    <xf numFmtId="43" fontId="11" fillId="0" borderId="37" xfId="1" applyFont="1" applyBorder="1" applyAlignment="1">
      <alignment horizontal="left"/>
    </xf>
    <xf numFmtId="164" fontId="0" fillId="4" borderId="0" xfId="1" applyNumberFormat="1" applyFont="1" applyFill="1"/>
    <xf numFmtId="0" fontId="0" fillId="24" borderId="0" xfId="0" applyFill="1"/>
    <xf numFmtId="164" fontId="0" fillId="24" borderId="0" xfId="1" applyNumberFormat="1" applyFont="1" applyFill="1"/>
    <xf numFmtId="164" fontId="0" fillId="4" borderId="0" xfId="0" applyNumberFormat="1" applyFill="1"/>
    <xf numFmtId="164" fontId="0" fillId="24" borderId="0" xfId="0" applyNumberFormat="1" applyFill="1"/>
    <xf numFmtId="0" fontId="0" fillId="0" borderId="0" xfId="0" applyAlignment="1">
      <alignment wrapText="1"/>
    </xf>
    <xf numFmtId="43" fontId="0" fillId="0" borderId="0" xfId="0" applyNumberFormat="1"/>
    <xf numFmtId="173" fontId="0" fillId="0" borderId="0" xfId="0" applyNumberFormat="1"/>
    <xf numFmtId="174" fontId="0" fillId="0" borderId="0" xfId="0" applyNumberFormat="1"/>
    <xf numFmtId="0" fontId="37" fillId="23" borderId="27" xfId="0" applyFont="1" applyFill="1" applyBorder="1" applyAlignment="1">
      <alignment vertical="center" wrapText="1"/>
    </xf>
    <xf numFmtId="0" fontId="37" fillId="23" borderId="30" xfId="0" applyFont="1" applyFill="1" applyBorder="1" applyAlignment="1">
      <alignment vertical="center" wrapText="1"/>
    </xf>
    <xf numFmtId="0" fontId="37" fillId="25" borderId="39" xfId="0" applyFont="1" applyFill="1" applyBorder="1" applyAlignment="1">
      <alignment vertical="center" wrapText="1"/>
    </xf>
    <xf numFmtId="43" fontId="37" fillId="23" borderId="8" xfId="1" applyFont="1" applyFill="1" applyBorder="1" applyAlignment="1">
      <alignment vertical="center" wrapText="1"/>
    </xf>
    <xf numFmtId="0" fontId="0" fillId="14" borderId="0" xfId="0" applyFill="1"/>
    <xf numFmtId="0" fontId="10" fillId="0" borderId="12" xfId="0" applyFont="1" applyBorder="1" applyAlignment="1">
      <alignment horizontal="right"/>
    </xf>
    <xf numFmtId="164" fontId="11" fillId="0" borderId="12" xfId="0" applyNumberFormat="1" applyFont="1" applyBorder="1" applyAlignment="1">
      <alignment horizontal="right"/>
    </xf>
    <xf numFmtId="164" fontId="18" fillId="0" borderId="12" xfId="0" applyNumberFormat="1" applyFont="1" applyBorder="1" applyAlignment="1">
      <alignment horizontal="right"/>
    </xf>
    <xf numFmtId="43" fontId="15" fillId="0" borderId="12" xfId="1" applyFont="1" applyBorder="1"/>
    <xf numFmtId="0" fontId="10" fillId="27" borderId="10" xfId="0" applyFont="1" applyFill="1" applyBorder="1"/>
    <xf numFmtId="0" fontId="10" fillId="27" borderId="11" xfId="0" applyFont="1" applyFill="1" applyBorder="1"/>
    <xf numFmtId="164" fontId="11" fillId="27" borderId="1" xfId="0" applyNumberFormat="1" applyFont="1" applyFill="1" applyBorder="1"/>
    <xf numFmtId="164" fontId="11" fillId="27" borderId="28" xfId="0" applyNumberFormat="1" applyFont="1" applyFill="1" applyBorder="1"/>
    <xf numFmtId="164" fontId="11" fillId="27" borderId="11" xfId="0" applyNumberFormat="1" applyFont="1" applyFill="1" applyBorder="1"/>
    <xf numFmtId="164" fontId="11" fillId="27" borderId="2" xfId="0" applyNumberFormat="1" applyFont="1" applyFill="1" applyBorder="1"/>
    <xf numFmtId="164" fontId="11" fillId="27" borderId="29" xfId="0" applyNumberFormat="1" applyFont="1" applyFill="1" applyBorder="1"/>
    <xf numFmtId="164" fontId="11" fillId="27" borderId="3" xfId="0" applyNumberFormat="1" applyFont="1" applyFill="1" applyBorder="1"/>
    <xf numFmtId="164" fontId="11" fillId="27" borderId="4" xfId="0" applyNumberFormat="1" applyFont="1" applyFill="1" applyBorder="1"/>
    <xf numFmtId="164" fontId="11" fillId="27" borderId="30" xfId="0" applyNumberFormat="1" applyFont="1" applyFill="1" applyBorder="1"/>
    <xf numFmtId="164" fontId="11" fillId="27" borderId="6" xfId="0" applyNumberFormat="1" applyFont="1" applyFill="1" applyBorder="1"/>
    <xf numFmtId="0" fontId="10" fillId="20" borderId="7" xfId="0" applyFont="1" applyFill="1" applyBorder="1"/>
    <xf numFmtId="0" fontId="10" fillId="20" borderId="9" xfId="0" applyFont="1" applyFill="1" applyBorder="1"/>
    <xf numFmtId="0" fontId="10" fillId="20" borderId="8" xfId="0" applyFont="1" applyFill="1" applyBorder="1"/>
    <xf numFmtId="164" fontId="11" fillId="20" borderId="1" xfId="0" applyNumberFormat="1" applyFont="1" applyFill="1" applyBorder="1"/>
    <xf numFmtId="164" fontId="11" fillId="28" borderId="1" xfId="0" applyNumberFormat="1" applyFont="1" applyFill="1" applyBorder="1"/>
    <xf numFmtId="164" fontId="12" fillId="0" borderId="12" xfId="1" applyNumberFormat="1" applyFont="1" applyBorder="1"/>
    <xf numFmtId="0" fontId="11" fillId="29" borderId="0" xfId="0" applyFont="1" applyFill="1"/>
    <xf numFmtId="0" fontId="15" fillId="29" borderId="0" xfId="1" applyNumberFormat="1" applyFont="1" applyFill="1" applyBorder="1" applyAlignment="1">
      <alignment horizontal="center"/>
    </xf>
    <xf numFmtId="0" fontId="10" fillId="29" borderId="12" xfId="0" applyFont="1" applyFill="1" applyBorder="1"/>
    <xf numFmtId="0" fontId="10" fillId="29" borderId="12" xfId="0" applyFont="1" applyFill="1" applyBorder="1" applyAlignment="1">
      <alignment horizontal="center"/>
    </xf>
    <xf numFmtId="0" fontId="11" fillId="29" borderId="12" xfId="0" applyFont="1" applyFill="1" applyBorder="1"/>
    <xf numFmtId="164" fontId="15" fillId="29" borderId="12" xfId="0" applyNumberFormat="1" applyFont="1" applyFill="1" applyBorder="1"/>
    <xf numFmtId="164" fontId="15" fillId="29" borderId="12" xfId="0" applyNumberFormat="1" applyFont="1" applyFill="1" applyBorder="1" applyAlignment="1">
      <alignment horizontal="center"/>
    </xf>
    <xf numFmtId="164" fontId="12" fillId="29" borderId="0" xfId="0" applyNumberFormat="1" applyFont="1" applyFill="1"/>
    <xf numFmtId="0" fontId="12" fillId="29" borderId="0" xfId="0" applyFont="1" applyFill="1"/>
    <xf numFmtId="0" fontId="10" fillId="28" borderId="1" xfId="0" applyFont="1" applyFill="1" applyBorder="1"/>
    <xf numFmtId="0" fontId="10" fillId="28" borderId="10" xfId="0" applyFont="1" applyFill="1" applyBorder="1"/>
    <xf numFmtId="0" fontId="10" fillId="28" borderId="11" xfId="0" applyFont="1" applyFill="1" applyBorder="1"/>
    <xf numFmtId="164" fontId="11" fillId="20" borderId="7" xfId="0" applyNumberFormat="1" applyFont="1" applyFill="1" applyBorder="1"/>
    <xf numFmtId="164" fontId="11" fillId="27" borderId="27" xfId="0" applyNumberFormat="1" applyFont="1" applyFill="1" applyBorder="1"/>
    <xf numFmtId="0" fontId="10" fillId="11" borderId="14" xfId="0" applyFont="1" applyFill="1" applyBorder="1"/>
    <xf numFmtId="0" fontId="11" fillId="0" borderId="28" xfId="0" applyFont="1" applyBorder="1"/>
    <xf numFmtId="0" fontId="11" fillId="0" borderId="1" xfId="0" applyFont="1" applyBorder="1"/>
    <xf numFmtId="164" fontId="11" fillId="28" borderId="7" xfId="0" applyNumberFormat="1" applyFont="1" applyFill="1" applyBorder="1"/>
    <xf numFmtId="43" fontId="11" fillId="15" borderId="0" xfId="1" applyFont="1" applyFill="1"/>
    <xf numFmtId="164" fontId="11" fillId="15" borderId="0" xfId="1" applyNumberFormat="1" applyFont="1" applyFill="1"/>
    <xf numFmtId="9" fontId="11" fillId="15" borderId="0" xfId="2" applyFont="1" applyFill="1"/>
    <xf numFmtId="164" fontId="15" fillId="11" borderId="12" xfId="1" applyNumberFormat="1" applyFont="1" applyFill="1" applyBorder="1"/>
    <xf numFmtId="169" fontId="18" fillId="0" borderId="8" xfId="0" applyNumberFormat="1" applyFont="1" applyBorder="1"/>
    <xf numFmtId="164" fontId="15" fillId="0" borderId="0" xfId="1" applyNumberFormat="1" applyFont="1" applyBorder="1"/>
    <xf numFmtId="164" fontId="28" fillId="0" borderId="12" xfId="0" applyNumberFormat="1" applyFont="1" applyBorder="1" applyAlignment="1">
      <alignment horizontal="center"/>
    </xf>
    <xf numFmtId="1" fontId="11" fillId="0" borderId="0" xfId="1" applyNumberFormat="1" applyFont="1" applyBorder="1" applyAlignment="1">
      <alignment horizontal="center" vertical="center"/>
    </xf>
    <xf numFmtId="1" fontId="11" fillId="0" borderId="0" xfId="1" applyNumberFormat="1" applyFont="1" applyAlignment="1">
      <alignment horizontal="center" vertical="center"/>
    </xf>
    <xf numFmtId="0" fontId="39" fillId="0" borderId="0" xfId="0" applyFont="1"/>
    <xf numFmtId="0" fontId="28" fillId="0" borderId="0" xfId="0" applyFont="1"/>
    <xf numFmtId="0" fontId="28" fillId="0" borderId="12" xfId="0" applyFont="1" applyBorder="1"/>
    <xf numFmtId="0" fontId="11" fillId="30" borderId="12" xfId="0" applyFont="1" applyFill="1" applyBorder="1"/>
    <xf numFmtId="0" fontId="11" fillId="31" borderId="12" xfId="0" applyFont="1" applyFill="1" applyBorder="1"/>
    <xf numFmtId="0" fontId="11" fillId="3" borderId="12" xfId="0" applyFont="1" applyFill="1" applyBorder="1"/>
    <xf numFmtId="0" fontId="11" fillId="4" borderId="12" xfId="0" applyFont="1" applyFill="1" applyBorder="1"/>
    <xf numFmtId="0" fontId="11" fillId="10" borderId="12" xfId="0" applyFont="1" applyFill="1" applyBorder="1"/>
    <xf numFmtId="0" fontId="11" fillId="14" borderId="12" xfId="0" applyFont="1" applyFill="1" applyBorder="1"/>
    <xf numFmtId="164" fontId="28" fillId="0" borderId="0" xfId="0" applyNumberFormat="1" applyFont="1"/>
    <xf numFmtId="0" fontId="28" fillId="16" borderId="0" xfId="0" applyFont="1" applyFill="1"/>
    <xf numFmtId="164" fontId="39" fillId="0" borderId="0" xfId="0" applyNumberFormat="1" applyFont="1"/>
    <xf numFmtId="0" fontId="39" fillId="16" borderId="0" xfId="0" applyFont="1" applyFill="1"/>
    <xf numFmtId="164" fontId="39" fillId="0" borderId="0" xfId="1" applyNumberFormat="1" applyFont="1"/>
    <xf numFmtId="43" fontId="15" fillId="0" borderId="12" xfId="1" applyFont="1" applyBorder="1" applyAlignment="1">
      <alignment horizontal="left"/>
    </xf>
    <xf numFmtId="43" fontId="15" fillId="0" borderId="35" xfId="1" applyFont="1" applyBorder="1" applyAlignment="1">
      <alignment horizontal="left"/>
    </xf>
    <xf numFmtId="43" fontId="15" fillId="0" borderId="37" xfId="1" applyFont="1" applyBorder="1" applyAlignment="1">
      <alignment horizontal="left"/>
    </xf>
    <xf numFmtId="43" fontId="15" fillId="0" borderId="38" xfId="1" applyFont="1" applyBorder="1" applyAlignment="1">
      <alignment horizontal="left"/>
    </xf>
    <xf numFmtId="169" fontId="11" fillId="11" borderId="7" xfId="0" applyNumberFormat="1" applyFont="1" applyFill="1" applyBorder="1"/>
    <xf numFmtId="9" fontId="15" fillId="0" borderId="12" xfId="2" applyFont="1" applyFill="1" applyBorder="1" applyAlignment="1">
      <alignment horizontal="center" vertical="center"/>
    </xf>
    <xf numFmtId="9" fontId="11" fillId="0" borderId="0" xfId="1" applyNumberFormat="1" applyFont="1"/>
    <xf numFmtId="0" fontId="10" fillId="32" borderId="0" xfId="0" applyFont="1" applyFill="1" applyAlignment="1">
      <alignment horizontal="center"/>
    </xf>
    <xf numFmtId="0" fontId="10" fillId="32" borderId="12" xfId="0" applyFont="1" applyFill="1" applyBorder="1" applyAlignment="1">
      <alignment horizontal="center" vertical="center"/>
    </xf>
    <xf numFmtId="0" fontId="11" fillId="23" borderId="0" xfId="0" applyFont="1" applyFill="1"/>
    <xf numFmtId="164" fontId="11" fillId="0" borderId="12" xfId="1" applyNumberFormat="1" applyFont="1" applyFill="1" applyBorder="1"/>
    <xf numFmtId="166" fontId="13" fillId="0" borderId="12" xfId="2" applyNumberFormat="1" applyFont="1" applyFill="1" applyBorder="1"/>
    <xf numFmtId="164" fontId="15" fillId="0" borderId="12" xfId="1" applyNumberFormat="1" applyFont="1" applyFill="1" applyBorder="1"/>
    <xf numFmtId="164" fontId="11" fillId="0" borderId="0" xfId="1" applyNumberFormat="1" applyFont="1" applyFill="1"/>
    <xf numFmtId="3" fontId="0" fillId="0" borderId="0" xfId="0" applyNumberFormat="1"/>
    <xf numFmtId="1" fontId="11" fillId="0" borderId="0" xfId="0" applyNumberFormat="1" applyFont="1"/>
    <xf numFmtId="0" fontId="11" fillId="33" borderId="0" xfId="0" applyFont="1" applyFill="1"/>
    <xf numFmtId="43" fontId="10" fillId="0" borderId="0" xfId="0" applyNumberFormat="1" applyFont="1"/>
    <xf numFmtId="43" fontId="0" fillId="0" borderId="0" xfId="1" applyFont="1" applyFill="1"/>
    <xf numFmtId="43" fontId="11" fillId="0" borderId="0" xfId="1" applyFont="1" applyFill="1"/>
    <xf numFmtId="0" fontId="0" fillId="0" borderId="14" xfId="0" applyBorder="1"/>
    <xf numFmtId="0" fontId="0" fillId="0" borderId="3" xfId="0" applyBorder="1"/>
    <xf numFmtId="0" fontId="2" fillId="34" borderId="0" xfId="0" applyFont="1" applyFill="1" applyAlignment="1">
      <alignment horizontal="left" vertical="center" wrapText="1"/>
    </xf>
    <xf numFmtId="0" fontId="0" fillId="10" borderId="12" xfId="0" applyFill="1" applyBorder="1" applyAlignment="1">
      <alignment vertical="center" wrapText="1"/>
    </xf>
    <xf numFmtId="9" fontId="27" fillId="10" borderId="12" xfId="0" applyNumberFormat="1" applyFont="1" applyFill="1" applyBorder="1" applyAlignment="1">
      <alignment vertical="center" wrapText="1"/>
    </xf>
    <xf numFmtId="0" fontId="11" fillId="35" borderId="0" xfId="0" applyFont="1" applyFill="1"/>
    <xf numFmtId="43" fontId="11" fillId="35" borderId="0" xfId="1" applyFont="1" applyFill="1" applyAlignment="1"/>
    <xf numFmtId="43" fontId="11" fillId="35" borderId="0" xfId="1" applyFont="1" applyFill="1"/>
    <xf numFmtId="43" fontId="11" fillId="35" borderId="0" xfId="0" applyNumberFormat="1" applyFont="1" applyFill="1"/>
    <xf numFmtId="0" fontId="11" fillId="11" borderId="34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43" xfId="0" applyFont="1" applyFill="1" applyBorder="1" applyAlignment="1">
      <alignment horizontal="center" vertical="center" wrapText="1"/>
    </xf>
    <xf numFmtId="0" fontId="15" fillId="11" borderId="17" xfId="0" applyFont="1" applyFill="1" applyBorder="1" applyAlignment="1">
      <alignment horizontal="center" vertical="center" wrapText="1"/>
    </xf>
    <xf numFmtId="0" fontId="15" fillId="11" borderId="44" xfId="0" applyFont="1" applyFill="1" applyBorder="1" applyAlignment="1">
      <alignment horizontal="center" vertical="center" wrapText="1"/>
    </xf>
    <xf numFmtId="0" fontId="15" fillId="11" borderId="35" xfId="0" applyFont="1" applyFill="1" applyBorder="1" applyAlignment="1">
      <alignment horizontal="center" vertical="center" wrapText="1"/>
    </xf>
    <xf numFmtId="0" fontId="15" fillId="11" borderId="34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center"/>
    </xf>
    <xf numFmtId="9" fontId="11" fillId="0" borderId="12" xfId="2" applyFont="1" applyBorder="1" applyAlignment="1">
      <alignment horizontal="center"/>
    </xf>
    <xf numFmtId="164" fontId="11" fillId="0" borderId="14" xfId="1" applyNumberFormat="1" applyFont="1" applyBorder="1" applyAlignment="1">
      <alignment horizontal="center"/>
    </xf>
    <xf numFmtId="164" fontId="15" fillId="0" borderId="2" xfId="1" applyNumberFormat="1" applyFont="1" applyFill="1" applyBorder="1"/>
    <xf numFmtId="164" fontId="15" fillId="0" borderId="0" xfId="1" applyNumberFormat="1" applyFont="1" applyFill="1" applyBorder="1"/>
    <xf numFmtId="164" fontId="15" fillId="0" borderId="3" xfId="0" applyNumberFormat="1" applyFont="1" applyBorder="1"/>
    <xf numFmtId="164" fontId="15" fillId="10" borderId="0" xfId="1" applyNumberFormat="1" applyFont="1" applyFill="1" applyBorder="1"/>
    <xf numFmtId="164" fontId="15" fillId="10" borderId="2" xfId="1" applyNumberFormat="1" applyFont="1" applyFill="1" applyBorder="1"/>
    <xf numFmtId="164" fontId="42" fillId="10" borderId="0" xfId="1" applyNumberFormat="1" applyFont="1" applyFill="1" applyBorder="1"/>
    <xf numFmtId="176" fontId="11" fillId="0" borderId="14" xfId="1" applyNumberFormat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9" fontId="11" fillId="0" borderId="37" xfId="2" applyFont="1" applyBorder="1" applyAlignment="1">
      <alignment horizontal="center"/>
    </xf>
    <xf numFmtId="0" fontId="0" fillId="0" borderId="45" xfId="0" applyBorder="1"/>
    <xf numFmtId="164" fontId="15" fillId="10" borderId="4" xfId="1" applyNumberFormat="1" applyFont="1" applyFill="1" applyBorder="1"/>
    <xf numFmtId="164" fontId="15" fillId="10" borderId="5" xfId="1" applyNumberFormat="1" applyFont="1" applyFill="1" applyBorder="1"/>
    <xf numFmtId="164" fontId="42" fillId="10" borderId="5" xfId="1" applyNumberFormat="1" applyFont="1" applyFill="1" applyBorder="1"/>
    <xf numFmtId="164" fontId="15" fillId="0" borderId="6" xfId="0" applyNumberFormat="1" applyFont="1" applyBorder="1"/>
    <xf numFmtId="9" fontId="11" fillId="0" borderId="0" xfId="2" applyFont="1" applyAlignment="1">
      <alignment horizontal="center"/>
    </xf>
    <xf numFmtId="164" fontId="11" fillId="0" borderId="12" xfId="2" applyNumberFormat="1" applyFont="1" applyBorder="1" applyAlignment="1">
      <alignment horizontal="center"/>
    </xf>
    <xf numFmtId="0" fontId="43" fillId="36" borderId="0" xfId="0" applyFont="1" applyFill="1"/>
    <xf numFmtId="43" fontId="43" fillId="36" borderId="0" xfId="1" applyFont="1" applyFill="1"/>
    <xf numFmtId="3" fontId="43" fillId="36" borderId="0" xfId="0" applyNumberFormat="1" applyFont="1" applyFill="1"/>
    <xf numFmtId="0" fontId="0" fillId="16" borderId="0" xfId="0" applyFill="1"/>
    <xf numFmtId="0" fontId="0" fillId="37" borderId="0" xfId="0" applyFill="1"/>
    <xf numFmtId="164" fontId="0" fillId="0" borderId="12" xfId="0" applyNumberFormat="1" applyBorder="1"/>
    <xf numFmtId="0" fontId="0" fillId="0" borderId="12" xfId="0" quotePrefix="1" applyBorder="1"/>
    <xf numFmtId="0" fontId="2" fillId="12" borderId="12" xfId="0" applyFont="1" applyFill="1" applyBorder="1"/>
    <xf numFmtId="0" fontId="0" fillId="12" borderId="0" xfId="0" applyFill="1"/>
    <xf numFmtId="0" fontId="40" fillId="36" borderId="0" xfId="0" applyFont="1" applyFill="1"/>
    <xf numFmtId="0" fontId="27" fillId="18" borderId="0" xfId="0" applyFont="1" applyFill="1"/>
    <xf numFmtId="169" fontId="0" fillId="0" borderId="0" xfId="0" applyNumberFormat="1"/>
    <xf numFmtId="0" fontId="8" fillId="0" borderId="0" xfId="0" applyFont="1"/>
    <xf numFmtId="0" fontId="41" fillId="2" borderId="0" xfId="0" applyFont="1" applyFill="1" applyAlignment="1">
      <alignment horizontal="centerContinuous"/>
    </xf>
    <xf numFmtId="166" fontId="0" fillId="0" borderId="0" xfId="2" applyNumberFormat="1" applyFont="1"/>
    <xf numFmtId="168" fontId="0" fillId="0" borderId="0" xfId="0" applyNumberFormat="1"/>
    <xf numFmtId="164" fontId="44" fillId="18" borderId="0" xfId="1" applyNumberFormat="1" applyFont="1" applyFill="1"/>
    <xf numFmtId="43" fontId="27" fillId="18" borderId="0" xfId="1" applyFont="1" applyFill="1"/>
    <xf numFmtId="43" fontId="45" fillId="0" borderId="0" xfId="1" applyFont="1" applyFill="1"/>
    <xf numFmtId="166" fontId="0" fillId="0" borderId="0" xfId="0" applyNumberFormat="1"/>
    <xf numFmtId="164" fontId="0" fillId="0" borderId="0" xfId="1" applyNumberFormat="1" applyFont="1" applyFill="1"/>
    <xf numFmtId="164" fontId="0" fillId="28" borderId="0" xfId="1" applyNumberFormat="1" applyFont="1" applyFill="1"/>
    <xf numFmtId="166" fontId="45" fillId="0" borderId="0" xfId="2" applyNumberFormat="1" applyFont="1" applyFill="1"/>
    <xf numFmtId="164" fontId="0" fillId="32" borderId="0" xfId="1" applyNumberFormat="1" applyFont="1" applyFill="1"/>
    <xf numFmtId="164" fontId="45" fillId="0" borderId="0" xfId="1" applyNumberFormat="1" applyFont="1"/>
    <xf numFmtId="164" fontId="1" fillId="0" borderId="0" xfId="1" applyNumberFormat="1" applyFont="1" applyFill="1"/>
    <xf numFmtId="176" fontId="27" fillId="18" borderId="0" xfId="1" applyNumberFormat="1" applyFont="1" applyFill="1"/>
    <xf numFmtId="43" fontId="0" fillId="0" borderId="12" xfId="1" applyFont="1" applyBorder="1"/>
    <xf numFmtId="10" fontId="0" fillId="0" borderId="0" xfId="0" applyNumberFormat="1"/>
    <xf numFmtId="0" fontId="0" fillId="23" borderId="0" xfId="0" applyFill="1"/>
    <xf numFmtId="164" fontId="0" fillId="23" borderId="0" xfId="1" applyNumberFormat="1" applyFont="1" applyFill="1"/>
    <xf numFmtId="43" fontId="27" fillId="23" borderId="0" xfId="1" applyFont="1" applyFill="1"/>
    <xf numFmtId="43" fontId="45" fillId="23" borderId="0" xfId="1" applyFont="1" applyFill="1"/>
    <xf numFmtId="164" fontId="0" fillId="23" borderId="0" xfId="0" applyNumberFormat="1" applyFill="1"/>
    <xf numFmtId="166" fontId="45" fillId="23" borderId="0" xfId="2" applyNumberFormat="1" applyFont="1" applyFill="1"/>
    <xf numFmtId="166" fontId="0" fillId="23" borderId="0" xfId="2" applyNumberFormat="1" applyFont="1" applyFill="1"/>
    <xf numFmtId="9" fontId="0" fillId="23" borderId="0" xfId="2" applyFont="1" applyFill="1"/>
    <xf numFmtId="9" fontId="0" fillId="23" borderId="0" xfId="0" applyNumberFormat="1" applyFill="1"/>
    <xf numFmtId="164" fontId="1" fillId="23" borderId="0" xfId="1" applyNumberFormat="1" applyFont="1" applyFill="1"/>
    <xf numFmtId="43" fontId="0" fillId="23" borderId="0" xfId="1" applyFont="1" applyFill="1"/>
    <xf numFmtId="176" fontId="27" fillId="23" borderId="0" xfId="1" applyNumberFormat="1" applyFont="1" applyFill="1"/>
    <xf numFmtId="167" fontId="15" fillId="7" borderId="12" xfId="1" applyNumberFormat="1" applyFont="1" applyFill="1" applyBorder="1"/>
    <xf numFmtId="167" fontId="15" fillId="36" borderId="12" xfId="1" applyNumberFormat="1" applyFont="1" applyFill="1" applyBorder="1"/>
    <xf numFmtId="167" fontId="15" fillId="2" borderId="12" xfId="1" applyNumberFormat="1" applyFont="1" applyFill="1" applyBorder="1"/>
    <xf numFmtId="177" fontId="15" fillId="10" borderId="12" xfId="1" applyNumberFormat="1" applyFont="1" applyFill="1" applyBorder="1"/>
    <xf numFmtId="177" fontId="15" fillId="23" borderId="12" xfId="1" applyNumberFormat="1" applyFont="1" applyFill="1" applyBorder="1"/>
    <xf numFmtId="177" fontId="15" fillId="7" borderId="12" xfId="1" applyNumberFormat="1" applyFont="1" applyFill="1" applyBorder="1"/>
    <xf numFmtId="178" fontId="15" fillId="10" borderId="12" xfId="1" applyNumberFormat="1" applyFont="1" applyFill="1" applyBorder="1"/>
    <xf numFmtId="178" fontId="15" fillId="23" borderId="12" xfId="1" applyNumberFormat="1" applyFont="1" applyFill="1" applyBorder="1"/>
    <xf numFmtId="178" fontId="15" fillId="7" borderId="12" xfId="1" applyNumberFormat="1" applyFont="1" applyFill="1" applyBorder="1"/>
    <xf numFmtId="178" fontId="15" fillId="36" borderId="12" xfId="1" applyNumberFormat="1" applyFont="1" applyFill="1" applyBorder="1"/>
    <xf numFmtId="0" fontId="0" fillId="23" borderId="7" xfId="0" applyFill="1" applyBorder="1" applyAlignment="1">
      <alignment horizontal="center"/>
    </xf>
    <xf numFmtId="0" fontId="0" fillId="23" borderId="9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16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11" fillId="19" borderId="2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19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11" borderId="22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11" fillId="0" borderId="12" xfId="0" applyFont="1" applyBorder="1"/>
    <xf numFmtId="0" fontId="0" fillId="0" borderId="12" xfId="0" applyBorder="1"/>
    <xf numFmtId="0" fontId="0" fillId="0" borderId="14" xfId="0" applyBorder="1"/>
    <xf numFmtId="0" fontId="11" fillId="0" borderId="14" xfId="0" applyFont="1" applyBorder="1"/>
    <xf numFmtId="0" fontId="11" fillId="0" borderId="16" xfId="0" applyFont="1" applyBorder="1"/>
    <xf numFmtId="0" fontId="0" fillId="0" borderId="16" xfId="0" applyBorder="1"/>
    <xf numFmtId="0" fontId="10" fillId="12" borderId="22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9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/>
    <xf numFmtId="0" fontId="0" fillId="0" borderId="3" xfId="0" applyBorder="1"/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0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37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10" fillId="16" borderId="2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2" xfId="0" applyBorder="1" applyAlignment="1">
      <alignment horizontal="left"/>
    </xf>
    <xf numFmtId="0" fontId="10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/>
    </xf>
    <xf numFmtId="0" fontId="11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10" fillId="8" borderId="2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2" fillId="0" borderId="0" xfId="0" applyFont="1"/>
    <xf numFmtId="0" fontId="10" fillId="5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9" fillId="16" borderId="0" xfId="0" applyFont="1" applyFill="1" applyAlignment="1">
      <alignment horizontal="center"/>
    </xf>
    <xf numFmtId="0" fontId="40" fillId="0" borderId="0" xfId="0" applyFont="1"/>
    <xf numFmtId="0" fontId="11" fillId="16" borderId="0" xfId="0" applyFont="1" applyFill="1" applyAlignment="1">
      <alignment horizontal="center"/>
    </xf>
    <xf numFmtId="0" fontId="2" fillId="29" borderId="0" xfId="0" applyFont="1" applyFill="1"/>
    <xf numFmtId="0" fontId="10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28" fillId="0" borderId="4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0" fillId="26" borderId="0" xfId="0" applyFont="1" applyFill="1" applyAlignment="1">
      <alignment horizontal="center"/>
    </xf>
    <xf numFmtId="0" fontId="28" fillId="0" borderId="5" xfId="0" applyFont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39" fillId="2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/>
    </xf>
    <xf numFmtId="0" fontId="10" fillId="8" borderId="32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2" fillId="5" borderId="7" xfId="1" applyNumberFormat="1" applyFont="1" applyFill="1" applyBorder="1" applyAlignment="1">
      <alignment horizontal="center"/>
    </xf>
    <xf numFmtId="0" fontId="0" fillId="0" borderId="9" xfId="0" applyBorder="1"/>
    <xf numFmtId="0" fontId="0" fillId="0" borderId="8" xfId="0" applyBorder="1"/>
    <xf numFmtId="164" fontId="2" fillId="4" borderId="7" xfId="1" applyNumberFormat="1" applyFont="1" applyFill="1" applyBorder="1" applyAlignment="1">
      <alignment horizontal="center"/>
    </xf>
  </cellXfs>
  <cellStyles count="5">
    <cellStyle name="Comma" xfId="1" builtinId="3"/>
    <cellStyle name="Comma 2" xfId="4" xr:uid="{7EC2E9B9-D999-4933-A436-0D3B196DE8E4}"/>
    <cellStyle name="Hyperlink" xfId="3" builtinId="8"/>
    <cellStyle name="Normal" xfId="0" builtinId="0"/>
    <cellStyle name="Percent" xfId="2" builtinId="5"/>
  </cellStyles>
  <dxfs count="173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9" formatCode="yyyy/mm/dd"/>
      <alignment horizontal="center" vertical="bottom" textRotation="0" wrapText="0" indent="0" justifyLastLine="0" shrinkToFit="0" readingOrder="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21" formatCode="dd\-mmm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21" formatCode="dd\-mmm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21" formatCode="dd\-mmm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21" formatCode="dd\-mmm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  <dxf>
      <font>
        <b/>
        <i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</dxf>
  </dxfs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4.xml"/><Relationship Id="rId47" Type="http://schemas.openxmlformats.org/officeDocument/2006/relationships/sheetMetadata" Target="metadata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pivotCacheDefinition" Target="pivotCache/pivotCacheDefinition2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Assumptions!$AD$8</c:f>
              <c:strCache>
                <c:ptCount val="1"/>
                <c:pt idx="0">
                  <c:v>GDP/capita (constant 2015)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Assumptions!$Z$9:$Z$44</c:f>
              <c:numCache>
                <c:formatCode>General</c:formatCode>
                <c:ptCount val="3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  <c:pt idx="31">
                  <c:v>2036</c:v>
                </c:pt>
                <c:pt idx="32">
                  <c:v>2037</c:v>
                </c:pt>
                <c:pt idx="33">
                  <c:v>2038</c:v>
                </c:pt>
                <c:pt idx="34">
                  <c:v>2039</c:v>
                </c:pt>
                <c:pt idx="35">
                  <c:v>2040</c:v>
                </c:pt>
              </c:numCache>
            </c:numRef>
          </c:cat>
          <c:val>
            <c:numRef>
              <c:f>Assumptions!$AD$9:$AD$44</c:f>
              <c:numCache>
                <c:formatCode>_-* #\ ##0_-;\-* #\ ##0_-;_-* "-"??_-;_-@_-</c:formatCode>
                <c:ptCount val="36"/>
                <c:pt idx="0">
                  <c:v>71248.276734062398</c:v>
                </c:pt>
                <c:pt idx="1">
                  <c:v>74296.112623680121</c:v>
                </c:pt>
                <c:pt idx="2">
                  <c:v>77274.268044621524</c:v>
                </c:pt>
                <c:pt idx="3">
                  <c:v>78683.362741594479</c:v>
                </c:pt>
                <c:pt idx="4">
                  <c:v>76402.542563489667</c:v>
                </c:pt>
                <c:pt idx="5">
                  <c:v>77587.601064139468</c:v>
                </c:pt>
                <c:pt idx="6">
                  <c:v>78834.950056658563</c:v>
                </c:pt>
                <c:pt idx="7">
                  <c:v>79457.526677078029</c:v>
                </c:pt>
                <c:pt idx="8">
                  <c:v>80136.367446443459</c:v>
                </c:pt>
                <c:pt idx="9">
                  <c:v>79992.361913427827</c:v>
                </c:pt>
                <c:pt idx="10">
                  <c:v>79117.199555191779</c:v>
                </c:pt>
                <c:pt idx="11">
                  <c:v>78872.591985826642</c:v>
                </c:pt>
                <c:pt idx="12">
                  <c:v>79477.49731131857</c:v>
                </c:pt>
                <c:pt idx="13">
                  <c:v>79677.342047662736</c:v>
                </c:pt>
                <c:pt idx="14">
                  <c:v>78741.033795211013</c:v>
                </c:pt>
                <c:pt idx="15">
                  <c:v>72780.724692688324</c:v>
                </c:pt>
                <c:pt idx="16">
                  <c:v>75987.078108010232</c:v>
                </c:pt>
                <c:pt idx="17">
                  <c:v>76790.165012245096</c:v>
                </c:pt>
                <c:pt idx="18">
                  <c:v>76777.92621036293</c:v>
                </c:pt>
                <c:pt idx="19">
                  <c:v>76356.557279594257</c:v>
                </c:pt>
                <c:pt idx="20">
                  <c:v>75873.540353853896</c:v>
                </c:pt>
                <c:pt idx="21">
                  <c:v>76305.620802195466</c:v>
                </c:pt>
                <c:pt idx="22">
                  <c:v>76770.112741293895</c:v>
                </c:pt>
                <c:pt idx="23">
                  <c:v>77267.030311881841</c:v>
                </c:pt>
                <c:pt idx="24">
                  <c:v>77793.850145885241</c:v>
                </c:pt>
                <c:pt idx="25">
                  <c:v>78347.236624239842</c:v>
                </c:pt>
                <c:pt idx="26">
                  <c:v>78904.559616777144</c:v>
                </c:pt>
                <c:pt idx="27">
                  <c:v>79465.847125886998</c:v>
                </c:pt>
                <c:pt idx="28">
                  <c:v>80031.127353154239</c:v>
                </c:pt>
                <c:pt idx="29">
                  <c:v>80600.42870077565</c:v>
                </c:pt>
                <c:pt idx="30">
                  <c:v>81173.779772987022</c:v>
                </c:pt>
                <c:pt idx="31">
                  <c:v>81751.209377500316</c:v>
                </c:pt>
                <c:pt idx="32">
                  <c:v>82332.746526951159</c:v>
                </c:pt>
                <c:pt idx="33">
                  <c:v>82918.420440356524</c:v>
                </c:pt>
                <c:pt idx="34">
                  <c:v>83508.260544582838</c:v>
                </c:pt>
                <c:pt idx="35">
                  <c:v>84102.296475824507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72-4991-AAD6-E829E9D8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534880"/>
        <c:axId val="2121063056"/>
      </c:lineChart>
      <c:catAx>
        <c:axId val="71553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63056"/>
        <c:crosses val="autoZero"/>
        <c:auto val="1"/>
        <c:lblAlgn val="ctr"/>
        <c:lblOffset val="100"/>
        <c:noMultiLvlLbl val="0"/>
      </c:catAx>
      <c:valAx>
        <c:axId val="2121063056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3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57828789268129E-2"/>
          <c:y val="0.13582441522439573"/>
          <c:w val="0.91428588084728202"/>
          <c:h val="0.6130185730350648"/>
        </c:manualLayout>
      </c:layout>
      <c:lineChart>
        <c:grouping val="standard"/>
        <c:varyColors val="0"/>
        <c:ser>
          <c:idx val="0"/>
          <c:order val="0"/>
          <c:tx>
            <c:strRef>
              <c:f>'Supply Forecast'!$I$16</c:f>
              <c:strCache>
                <c:ptCount val="1"/>
                <c:pt idx="0">
                  <c:v>Total Gasoline High Supply (Litres)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'Supply Forecast'!$B$50:$B$78</c15:sqref>
                  </c15:fullRef>
                </c:ext>
              </c:extLst>
              <c:f>'Supply Forecast'!$B$50:$B$68</c:f>
              <c:numCache>
                <c:formatCode>General</c:formatCode>
                <c:ptCount val="1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'Supply Forecast'!$I$17:$I$45</c15:sqref>
                  </c15:fullRef>
                </c:ext>
              </c:extLst>
              <c:f>'Supply Forecast'!$I$17:$I$35</c:f>
              <c:numCache>
                <c:formatCode>_-* #\ ##0_-;\-* #\ ##0_-;_-* "-"??_-;_-@_-</c:formatCode>
                <c:ptCount val="19"/>
                <c:pt idx="0">
                  <c:v>5222682473.8971367</c:v>
                </c:pt>
                <c:pt idx="1">
                  <c:v>6443847802.9394989</c:v>
                </c:pt>
                <c:pt idx="2">
                  <c:v>7437640582.6728745</c:v>
                </c:pt>
                <c:pt idx="3">
                  <c:v>7402093424.5944366</c:v>
                </c:pt>
                <c:pt idx="4">
                  <c:v>7443046100.9261246</c:v>
                </c:pt>
                <c:pt idx="5">
                  <c:v>7483998777.2578125</c:v>
                </c:pt>
                <c:pt idx="6">
                  <c:v>7524618505.0014372</c:v>
                </c:pt>
                <c:pt idx="7">
                  <c:v>7424733928.5826874</c:v>
                </c:pt>
                <c:pt idx="8">
                  <c:v>7424733928.5826874</c:v>
                </c:pt>
                <c:pt idx="9">
                  <c:v>10552627672.46343</c:v>
                </c:pt>
                <c:pt idx="10">
                  <c:v>10586311490.061907</c:v>
                </c:pt>
                <c:pt idx="11">
                  <c:v>10521500569.532545</c:v>
                </c:pt>
                <c:pt idx="12">
                  <c:v>10431509406.853691</c:v>
                </c:pt>
                <c:pt idx="13">
                  <c:v>10338853764.084564</c:v>
                </c:pt>
                <c:pt idx="14">
                  <c:v>10026379441.983055</c:v>
                </c:pt>
                <c:pt idx="15">
                  <c:v>10024000698.419155</c:v>
                </c:pt>
                <c:pt idx="16">
                  <c:v>10016949109.179676</c:v>
                </c:pt>
                <c:pt idx="17">
                  <c:v>10004539877.873194</c:v>
                </c:pt>
                <c:pt idx="18">
                  <c:v>9986312183.0927734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9-40C0-83AE-46FB67DB144B}"/>
            </c:ext>
          </c:extLst>
        </c:ser>
        <c:ser>
          <c:idx val="1"/>
          <c:order val="1"/>
          <c:tx>
            <c:strRef>
              <c:f>'Supply Forecast'!$I$49</c:f>
              <c:strCache>
                <c:ptCount val="1"/>
                <c:pt idx="0">
                  <c:v>Total Gasoline Low Supply (Litres)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'Supply Forecast'!$B$50:$B$78</c15:sqref>
                  </c15:fullRef>
                </c:ext>
              </c:extLst>
              <c:f>'Supply Forecast'!$B$50:$B$68</c:f>
              <c:numCache>
                <c:formatCode>General</c:formatCode>
                <c:ptCount val="1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'Supply Forecast'!$I$50:$I$78</c15:sqref>
                  </c15:fullRef>
                </c:ext>
              </c:extLst>
              <c:f>'Supply Forecast'!$I$50:$I$68</c:f>
              <c:numCache>
                <c:formatCode>_-* #\ ##0_-;\-* #\ ##0_-;_-* "-"??_-;_-@_-</c:formatCode>
                <c:ptCount val="19"/>
                <c:pt idx="0">
                  <c:v>5205036198.729825</c:v>
                </c:pt>
                <c:pt idx="1">
                  <c:v>6407223458.2526245</c:v>
                </c:pt>
                <c:pt idx="2">
                  <c:v>6688016629.2556877</c:v>
                </c:pt>
                <c:pt idx="3">
                  <c:v>6709991236.067812</c:v>
                </c:pt>
                <c:pt idx="4">
                  <c:v>6731965842.8799372</c:v>
                </c:pt>
                <c:pt idx="5">
                  <c:v>6753940449.6920624</c:v>
                </c:pt>
                <c:pt idx="6">
                  <c:v>6775582107.9161243</c:v>
                </c:pt>
                <c:pt idx="7">
                  <c:v>6588797950.0130615</c:v>
                </c:pt>
                <c:pt idx="8">
                  <c:v>6588797950.0130615</c:v>
                </c:pt>
                <c:pt idx="9">
                  <c:v>4803801813.7768116</c:v>
                </c:pt>
                <c:pt idx="10">
                  <c:v>4803801813.7768116</c:v>
                </c:pt>
                <c:pt idx="11">
                  <c:v>4691598139.5997496</c:v>
                </c:pt>
                <c:pt idx="12">
                  <c:v>4579394465.4226875</c:v>
                </c:pt>
                <c:pt idx="13">
                  <c:v>4467190791.2456245</c:v>
                </c:pt>
                <c:pt idx="14">
                  <c:v>4467190791.2456245</c:v>
                </c:pt>
                <c:pt idx="15">
                  <c:v>4467190791.2456245</c:v>
                </c:pt>
                <c:pt idx="16">
                  <c:v>4467190791.2456245</c:v>
                </c:pt>
                <c:pt idx="17">
                  <c:v>4467190791.2456245</c:v>
                </c:pt>
                <c:pt idx="18">
                  <c:v>4467190791.2456245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9-40C0-83AE-46FB67DB1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45247"/>
        <c:axId val="617046367"/>
      </c:lineChart>
      <c:catAx>
        <c:axId val="20204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617046367"/>
        <c:crosses val="autoZero"/>
        <c:auto val="1"/>
        <c:lblAlgn val="ctr"/>
        <c:lblOffset val="100"/>
        <c:noMultiLvlLbl val="0"/>
      </c:catAx>
      <c:valAx>
        <c:axId val="617046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r>
                  <a:rPr lang="en-ZA" sz="1200" b="1"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rPr>
                  <a:t>Litres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Lato" panose="020F0502020204030203" pitchFamily="34" charset="0"/>
                  <a:cs typeface="Lato" panose="020F0502020204030203" pitchFamily="34" charset="0"/>
                </a:defRPr>
              </a:pPr>
              <a:endParaRPr lang="en-US"/>
            </a:p>
          </c:txPr>
        </c:title>
        <c:numFmt formatCode="0.0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20204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'Supply Forecast'!$F$16</c:f>
              <c:strCache>
                <c:ptCount val="1"/>
                <c:pt idx="0">
                  <c:v>Sasol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'Supply Forecast'!$B$17:$B$40</c:f>
              <c:numCache>
                <c:formatCode>General</c:formatCode>
                <c:ptCount val="2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</c:numCache>
            </c:numRef>
          </c:cat>
          <c:val>
            <c:numRef>
              <c:f>'Supply Forecast'!$F$17:$F$40</c:f>
              <c:numCache>
                <c:formatCode>_-* #\ ##0_-;\-* #\ ##0_-;_-* "-"??_-;_-@_-</c:formatCode>
                <c:ptCount val="24"/>
                <c:pt idx="0">
                  <c:v>2996537292.5624995</c:v>
                </c:pt>
                <c:pt idx="1">
                  <c:v>3037489968.894187</c:v>
                </c:pt>
                <c:pt idx="2">
                  <c:v>3078442645.2258744</c:v>
                </c:pt>
                <c:pt idx="3">
                  <c:v>3119395321.5575619</c:v>
                </c:pt>
                <c:pt idx="4">
                  <c:v>3160347997.8892498</c:v>
                </c:pt>
                <c:pt idx="5">
                  <c:v>3201300674.2209373</c:v>
                </c:pt>
                <c:pt idx="6">
                  <c:v>3241920401.9645619</c:v>
                </c:pt>
                <c:pt idx="7">
                  <c:v>3142035825.5458121</c:v>
                </c:pt>
                <c:pt idx="8">
                  <c:v>3142035825.5458121</c:v>
                </c:pt>
                <c:pt idx="9">
                  <c:v>4251256791.1185598</c:v>
                </c:pt>
                <c:pt idx="10">
                  <c:v>4262484730.3180518</c:v>
                </c:pt>
                <c:pt idx="11">
                  <c:v>4176289064.0574732</c:v>
                </c:pt>
                <c:pt idx="12">
                  <c:v>4081699983.7470627</c:v>
                </c:pt>
                <c:pt idx="13">
                  <c:v>3986000777.6811876</c:v>
                </c:pt>
                <c:pt idx="14">
                  <c:v>3672528991.2853932</c:v>
                </c:pt>
                <c:pt idx="15">
                  <c:v>3671736076.7640934</c:v>
                </c:pt>
                <c:pt idx="16">
                  <c:v>3669385547.0176001</c:v>
                </c:pt>
                <c:pt idx="17">
                  <c:v>3665249136.5821061</c:v>
                </c:pt>
                <c:pt idx="18">
                  <c:v>3659173238.3219662</c:v>
                </c:pt>
                <c:pt idx="19">
                  <c:v>3651105909.9232507</c:v>
                </c:pt>
                <c:pt idx="20">
                  <c:v>3641103871.6847224</c:v>
                </c:pt>
                <c:pt idx="21">
                  <c:v>3629317270.1794996</c:v>
                </c:pt>
                <c:pt idx="22">
                  <c:v>3615959032.4628148</c:v>
                </c:pt>
                <c:pt idx="23">
                  <c:v>3601270077.342783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18-47B9-B705-D77D8D064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854095"/>
        <c:axId val="11838646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'Supply Forecast'!$B$16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'Supply Forecast'!$B$17:$B$40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  <c:pt idx="8">
                        <c:v>2030</c:v>
                      </c:pt>
                      <c:pt idx="9">
                        <c:v>2031</c:v>
                      </c:pt>
                      <c:pt idx="10">
                        <c:v>2032</c:v>
                      </c:pt>
                      <c:pt idx="11">
                        <c:v>2033</c:v>
                      </c:pt>
                      <c:pt idx="12">
                        <c:v>2034</c:v>
                      </c:pt>
                      <c:pt idx="13">
                        <c:v>2035</c:v>
                      </c:pt>
                      <c:pt idx="14">
                        <c:v>2036</c:v>
                      </c:pt>
                      <c:pt idx="15">
                        <c:v>2037</c:v>
                      </c:pt>
                      <c:pt idx="16">
                        <c:v>2038</c:v>
                      </c:pt>
                      <c:pt idx="17">
                        <c:v>2039</c:v>
                      </c:pt>
                      <c:pt idx="18">
                        <c:v>2040</c:v>
                      </c:pt>
                      <c:pt idx="19">
                        <c:v>2041</c:v>
                      </c:pt>
                      <c:pt idx="20">
                        <c:v>2042</c:v>
                      </c:pt>
                      <c:pt idx="21">
                        <c:v>2043</c:v>
                      </c:pt>
                      <c:pt idx="22">
                        <c:v>2044</c:v>
                      </c:pt>
                      <c:pt idx="23">
                        <c:v>2045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'Supply Forecast'!$B$17:$B$40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  <c:pt idx="8">
                        <c:v>2030</c:v>
                      </c:pt>
                      <c:pt idx="9">
                        <c:v>2031</c:v>
                      </c:pt>
                      <c:pt idx="10">
                        <c:v>2032</c:v>
                      </c:pt>
                      <c:pt idx="11">
                        <c:v>2033</c:v>
                      </c:pt>
                      <c:pt idx="12">
                        <c:v>2034</c:v>
                      </c:pt>
                      <c:pt idx="13">
                        <c:v>2035</c:v>
                      </c:pt>
                      <c:pt idx="14">
                        <c:v>2036</c:v>
                      </c:pt>
                      <c:pt idx="15">
                        <c:v>2037</c:v>
                      </c:pt>
                      <c:pt idx="16">
                        <c:v>2038</c:v>
                      </c:pt>
                      <c:pt idx="17">
                        <c:v>2039</c:v>
                      </c:pt>
                      <c:pt idx="18">
                        <c:v>2040</c:v>
                      </c:pt>
                      <c:pt idx="19">
                        <c:v>2041</c:v>
                      </c:pt>
                      <c:pt idx="20">
                        <c:v>2042</c:v>
                      </c:pt>
                      <c:pt idx="21">
                        <c:v>2043</c:v>
                      </c:pt>
                      <c:pt idx="22">
                        <c:v>2044</c:v>
                      </c:pt>
                      <c:pt idx="23">
                        <c:v>2045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418-47B9-B705-D77D8D06416F}"/>
                  </c:ext>
                </c:extLst>
              </c15:ser>
            </c15:filteredLineSeries>
          </c:ext>
        </c:extLst>
      </c:lineChart>
      <c:catAx>
        <c:axId val="118385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64655"/>
        <c:crosses val="autoZero"/>
        <c:auto val="1"/>
        <c:lblAlgn val="ctr"/>
        <c:lblOffset val="100"/>
        <c:noMultiLvlLbl val="0"/>
      </c:catAx>
      <c:valAx>
        <c:axId val="118386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5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'Supply Forecast'!$F$49</c:f>
              <c:strCache>
                <c:ptCount val="1"/>
                <c:pt idx="0">
                  <c:v>Sasol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'Supply Forecast'!$B$50:$B$68</c:f>
              <c:numCache>
                <c:formatCode>General</c:formatCode>
                <c:ptCount val="1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</c:numCache>
            </c:numRef>
          </c:cat>
          <c:val>
            <c:numRef>
              <c:f>'Supply Forecast'!$F$50:$F$68</c:f>
              <c:numCache>
                <c:formatCode>_-* #\ ##0_-;\-* #\ ##0_-;_-* "-"??_-;_-@_-</c:formatCode>
                <c:ptCount val="19"/>
                <c:pt idx="0">
                  <c:v>2978891017.3951874</c:v>
                </c:pt>
                <c:pt idx="1">
                  <c:v>3000865624.2073121</c:v>
                </c:pt>
                <c:pt idx="2">
                  <c:v>3022840231.0194373</c:v>
                </c:pt>
                <c:pt idx="3">
                  <c:v>3044814837.831562</c:v>
                </c:pt>
                <c:pt idx="4">
                  <c:v>3066789444.6436872</c:v>
                </c:pt>
                <c:pt idx="5">
                  <c:v>3088764051.455812</c:v>
                </c:pt>
                <c:pt idx="6">
                  <c:v>3110405709.6798744</c:v>
                </c:pt>
                <c:pt idx="7">
                  <c:v>2923621551.7768121</c:v>
                </c:pt>
                <c:pt idx="8">
                  <c:v>2923621551.7768121</c:v>
                </c:pt>
                <c:pt idx="9">
                  <c:v>2923621551.7768121</c:v>
                </c:pt>
                <c:pt idx="10">
                  <c:v>2923621551.7768121</c:v>
                </c:pt>
                <c:pt idx="11">
                  <c:v>2811417877.5997496</c:v>
                </c:pt>
                <c:pt idx="12">
                  <c:v>2699214203.4226871</c:v>
                </c:pt>
                <c:pt idx="13">
                  <c:v>2587010529.2456245</c:v>
                </c:pt>
                <c:pt idx="14">
                  <c:v>2587010529.2456245</c:v>
                </c:pt>
                <c:pt idx="15">
                  <c:v>2587010529.2456245</c:v>
                </c:pt>
                <c:pt idx="16">
                  <c:v>2587010529.2456245</c:v>
                </c:pt>
                <c:pt idx="17">
                  <c:v>2587010529.2456245</c:v>
                </c:pt>
                <c:pt idx="18">
                  <c:v>2587010529.2456245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4-4207-9D6C-71B69FFC1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819535"/>
        <c:axId val="11838368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'Supply Forecast'!$B$49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'Supply Forecast'!$B$50:$B$68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  <c:pt idx="8">
                        <c:v>2030</c:v>
                      </c:pt>
                      <c:pt idx="9">
                        <c:v>2031</c:v>
                      </c:pt>
                      <c:pt idx="10">
                        <c:v>2032</c:v>
                      </c:pt>
                      <c:pt idx="11">
                        <c:v>2033</c:v>
                      </c:pt>
                      <c:pt idx="12">
                        <c:v>2034</c:v>
                      </c:pt>
                      <c:pt idx="13">
                        <c:v>2035</c:v>
                      </c:pt>
                      <c:pt idx="14">
                        <c:v>2036</c:v>
                      </c:pt>
                      <c:pt idx="15">
                        <c:v>2037</c:v>
                      </c:pt>
                      <c:pt idx="16">
                        <c:v>2038</c:v>
                      </c:pt>
                      <c:pt idx="17">
                        <c:v>2039</c:v>
                      </c:pt>
                      <c:pt idx="18">
                        <c:v>2040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'Supply Forecast'!$B$50:$B$68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  <c:pt idx="8">
                        <c:v>2030</c:v>
                      </c:pt>
                      <c:pt idx="9">
                        <c:v>2031</c:v>
                      </c:pt>
                      <c:pt idx="10">
                        <c:v>2032</c:v>
                      </c:pt>
                      <c:pt idx="11">
                        <c:v>2033</c:v>
                      </c:pt>
                      <c:pt idx="12">
                        <c:v>2034</c:v>
                      </c:pt>
                      <c:pt idx="13">
                        <c:v>2035</c:v>
                      </c:pt>
                      <c:pt idx="14">
                        <c:v>2036</c:v>
                      </c:pt>
                      <c:pt idx="15">
                        <c:v>2037</c:v>
                      </c:pt>
                      <c:pt idx="16">
                        <c:v>2038</c:v>
                      </c:pt>
                      <c:pt idx="17">
                        <c:v>2039</c:v>
                      </c:pt>
                      <c:pt idx="18">
                        <c:v>2040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284-4207-9D6C-71B69FFC1AB1}"/>
                  </c:ext>
                </c:extLst>
              </c15:ser>
            </c15:filteredLineSeries>
          </c:ext>
        </c:extLst>
      </c:lineChart>
      <c:catAx>
        <c:axId val="11838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36815"/>
        <c:crosses val="autoZero"/>
        <c:auto val="1"/>
        <c:lblAlgn val="ctr"/>
        <c:lblOffset val="100"/>
        <c:noMultiLvlLbl val="0"/>
      </c:catAx>
      <c:valAx>
        <c:axId val="11838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'Jet - DemandSupply'!$K$6</c:f>
              <c:strCache>
                <c:ptCount val="1"/>
                <c:pt idx="0">
                  <c:v>Total Passengers Depatures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'Jet - DemandSupply'!$E$16:$E$22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'Jet - DemandSupply'!$K$16:$K$22</c:f>
              <c:numCache>
                <c:formatCode>_-* #\ ##0_-;\-* #\ ##0_-;_-* "-"??_-;_-@_-</c:formatCode>
                <c:ptCount val="7"/>
                <c:pt idx="0">
                  <c:v>20836846</c:v>
                </c:pt>
                <c:pt idx="1">
                  <c:v>21118264</c:v>
                </c:pt>
                <c:pt idx="2">
                  <c:v>20924465</c:v>
                </c:pt>
                <c:pt idx="3">
                  <c:v>4569737</c:v>
                </c:pt>
                <c:pt idx="4">
                  <c:v>10538202</c:v>
                </c:pt>
                <c:pt idx="5">
                  <c:v>15813215</c:v>
                </c:pt>
                <c:pt idx="6">
                  <c:v>17730490.285714291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3-43BA-BB1E-DAD475C26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718207"/>
        <c:axId val="870536479"/>
      </c:lineChart>
      <c:lineChart>
        <c:grouping val="standard"/>
        <c:varyColors val="0"/>
        <c:ser>
          <c:idx val="1"/>
          <c:order val="1"/>
          <c:tx>
            <c:strRef>
              <c:f>'Jet - DemandSupply'!$L$6</c:f>
              <c:strCache>
                <c:ptCount val="1"/>
                <c:pt idx="0">
                  <c:v>GDP Per Capita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'Jet - DemandSupply'!$E$16:$E$22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'Jet - DemandSupply'!$L$16:$L$22</c:f>
              <c:numCache>
                <c:formatCode>_-* #\ ##0_-;\-* #\ ##0_-;_-* "-"??_-;_-@_-</c:formatCode>
                <c:ptCount val="7"/>
                <c:pt idx="0">
                  <c:v>79477.49731131857</c:v>
                </c:pt>
                <c:pt idx="1">
                  <c:v>79677.342047662736</c:v>
                </c:pt>
                <c:pt idx="2">
                  <c:v>78741.033795211013</c:v>
                </c:pt>
                <c:pt idx="3">
                  <c:v>72780.724692688324</c:v>
                </c:pt>
                <c:pt idx="4">
                  <c:v>75987.078108010232</c:v>
                </c:pt>
                <c:pt idx="5">
                  <c:v>76790.165012245096</c:v>
                </c:pt>
                <c:pt idx="6">
                  <c:v>76777.92621036293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3-43BA-BB1E-DAD475C26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30927"/>
        <c:axId val="104753903"/>
      </c:lineChart>
      <c:catAx>
        <c:axId val="8827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36479"/>
        <c:crosses val="autoZero"/>
        <c:auto val="1"/>
        <c:lblAlgn val="ctr"/>
        <c:lblOffset val="100"/>
        <c:noMultiLvlLbl val="0"/>
      </c:catAx>
      <c:valAx>
        <c:axId val="87053647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718207"/>
        <c:crosses val="autoZero"/>
        <c:crossBetween val="between"/>
      </c:valAx>
      <c:valAx>
        <c:axId val="104753903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0927"/>
        <c:crosses val="max"/>
        <c:crossBetween val="between"/>
      </c:valAx>
      <c:catAx>
        <c:axId val="115230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753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GDP per Capita vs Jet Fuel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'Jet - DemandSupply'!$J$8</c:f>
              <c:strCache>
                <c:ptCount val="1"/>
                <c:pt idx="0">
                  <c:v>RSA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'Jet - DemandSupply'!$E$9:$E$22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2023*</c:v>
                </c:pt>
              </c:strCache>
            </c:strRef>
          </c:cat>
          <c:val>
            <c:numRef>
              <c:f>'Jet - DemandSupply'!$J$9:$J$22</c:f>
              <c:numCache>
                <c:formatCode>_-* #\ ##0_-;\-* #\ ##0_-;_-* "-"??_-;_-@_-</c:formatCode>
                <c:ptCount val="14"/>
                <c:pt idx="0">
                  <c:v>2460460646</c:v>
                </c:pt>
                <c:pt idx="1">
                  <c:v>2562518279</c:v>
                </c:pt>
                <c:pt idx="2">
                  <c:v>2461375625</c:v>
                </c:pt>
                <c:pt idx="3">
                  <c:v>2335193738</c:v>
                </c:pt>
                <c:pt idx="4">
                  <c:v>2315233957</c:v>
                </c:pt>
                <c:pt idx="5">
                  <c:v>2477655021</c:v>
                </c:pt>
                <c:pt idx="6">
                  <c:v>2616374955</c:v>
                </c:pt>
                <c:pt idx="7">
                  <c:v>2726423717</c:v>
                </c:pt>
                <c:pt idx="8">
                  <c:v>2356724442</c:v>
                </c:pt>
                <c:pt idx="9">
                  <c:v>2449505137</c:v>
                </c:pt>
                <c:pt idx="10">
                  <c:v>1098369094</c:v>
                </c:pt>
                <c:pt idx="11">
                  <c:v>1054945939</c:v>
                </c:pt>
                <c:pt idx="12">
                  <c:v>1482846283.9199998</c:v>
                </c:pt>
                <c:pt idx="13">
                  <c:v>1850517638.0579998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9-44E3-B8B9-6ACB37C1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875408"/>
        <c:axId val="1050833727"/>
      </c:lineChart>
      <c:lineChart>
        <c:grouping val="standard"/>
        <c:varyColors val="0"/>
        <c:ser>
          <c:idx val="1"/>
          <c:order val="1"/>
          <c:tx>
            <c:strRef>
              <c:f>'Jet - DemandSupply'!$L$6</c:f>
              <c:strCache>
                <c:ptCount val="1"/>
                <c:pt idx="0">
                  <c:v>GDP Per Capita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'Jet - DemandSupply'!$E$9:$E$22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2023*</c:v>
                </c:pt>
              </c:strCache>
            </c:strRef>
          </c:cat>
          <c:val>
            <c:numRef>
              <c:f>'Jet - DemandSupply'!$L$9:$L$22</c:f>
              <c:numCache>
                <c:formatCode>_-* #\ ##0_-;\-* #\ ##0_-;_-* "-"??_-;_-@_-</c:formatCode>
                <c:ptCount val="14"/>
                <c:pt idx="0">
                  <c:v>77587.601064139468</c:v>
                </c:pt>
                <c:pt idx="1">
                  <c:v>78834.950056658563</c:v>
                </c:pt>
                <c:pt idx="2">
                  <c:v>79457.526677078029</c:v>
                </c:pt>
                <c:pt idx="3">
                  <c:v>80136.367446443459</c:v>
                </c:pt>
                <c:pt idx="4">
                  <c:v>79992.361913427827</c:v>
                </c:pt>
                <c:pt idx="5">
                  <c:v>79117.199555191779</c:v>
                </c:pt>
                <c:pt idx="6">
                  <c:v>78872.591985826642</c:v>
                </c:pt>
                <c:pt idx="7">
                  <c:v>79477.49731131857</c:v>
                </c:pt>
                <c:pt idx="8">
                  <c:v>79677.342047662736</c:v>
                </c:pt>
                <c:pt idx="9">
                  <c:v>78741.033795211013</c:v>
                </c:pt>
                <c:pt idx="10">
                  <c:v>72780.724692688324</c:v>
                </c:pt>
                <c:pt idx="11">
                  <c:v>75987.078108010232</c:v>
                </c:pt>
                <c:pt idx="12">
                  <c:v>76790.165012245096</c:v>
                </c:pt>
                <c:pt idx="13">
                  <c:v>76777.92621036293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9-44E3-B8B9-6ACB37C1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82096"/>
        <c:axId val="424662191"/>
      </c:lineChart>
      <c:catAx>
        <c:axId val="204887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33727"/>
        <c:crosses val="autoZero"/>
        <c:auto val="1"/>
        <c:lblAlgn val="ctr"/>
        <c:lblOffset val="100"/>
        <c:noMultiLvlLbl val="0"/>
      </c:catAx>
      <c:valAx>
        <c:axId val="105083372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75408"/>
        <c:crosses val="autoZero"/>
        <c:crossBetween val="between"/>
      </c:valAx>
      <c:valAx>
        <c:axId val="424662191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82096"/>
        <c:crosses val="max"/>
        <c:crossBetween val="between"/>
      </c:valAx>
      <c:catAx>
        <c:axId val="195598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46621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Jet Fuel</a:t>
            </a:r>
            <a:r>
              <a:rPr lang="en-ZA" b="1" baseline="0"/>
              <a:t> Import vs Expected production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'Jet - DemandSupply'!$Z$8</c:f>
              <c:strCache>
                <c:ptCount val="1"/>
                <c:pt idx="0">
                  <c:v>Imports (Litres)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'Jet - DemandSupply'!$Y$17:$Y$29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'Jet - DemandSupply'!$Z$17:$Z$29</c:f>
              <c:numCache>
                <c:formatCode>_-* #\ ##0_-;\-* #\ ##0_-;_-* "-"??_-;_-@_-</c:formatCode>
                <c:ptCount val="13"/>
                <c:pt idx="0">
                  <c:v>268471772.32704401</c:v>
                </c:pt>
                <c:pt idx="1">
                  <c:v>250648096.8553459</c:v>
                </c:pt>
                <c:pt idx="2">
                  <c:v>230988941.75999999</c:v>
                </c:pt>
                <c:pt idx="3">
                  <c:v>182636168.09</c:v>
                </c:pt>
                <c:pt idx="4">
                  <c:v>287722211.38</c:v>
                </c:pt>
                <c:pt idx="5">
                  <c:v>275033735.25</c:v>
                </c:pt>
                <c:pt idx="6">
                  <c:v>108419489.34</c:v>
                </c:pt>
                <c:pt idx="7">
                  <c:v>421007012</c:v>
                </c:pt>
                <c:pt idx="8">
                  <c:v>395028362.75</c:v>
                </c:pt>
                <c:pt idx="9">
                  <c:v>461709651</c:v>
                </c:pt>
                <c:pt idx="10">
                  <c:v>671350193</c:v>
                </c:pt>
                <c:pt idx="11">
                  <c:v>703501144</c:v>
                </c:pt>
                <c:pt idx="12">
                  <c:v>1063826506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D-411A-AF7B-A58A101B5234}"/>
            </c:ext>
          </c:extLst>
        </c:ser>
        <c:ser>
          <c:idx val="2"/>
          <c:order val="1"/>
          <c:tx>
            <c:v>Expected Production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'Jet - DemandSupply'!$Y$17:$Y$29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'Jet - DemandSupply'!$AD$17:$AD$29</c:f>
              <c:numCache>
                <c:formatCode>_-* #\ ##0_-;\-* #\ ##0_-;_-* "-"??_-;_-@_-</c:formatCode>
                <c:ptCount val="13"/>
                <c:pt idx="0">
                  <c:v>2260883692.5408807</c:v>
                </c:pt>
                <c:pt idx="1">
                  <c:v>2472283881.5157232</c:v>
                </c:pt>
                <c:pt idx="2">
                  <c:v>2375552199.3154716</c:v>
                </c:pt>
                <c:pt idx="3">
                  <c:v>2233772127.8533959</c:v>
                </c:pt>
                <c:pt idx="4">
                  <c:v>2182861949.6199999</c:v>
                </c:pt>
                <c:pt idx="5">
                  <c:v>3089182680.8000002</c:v>
                </c:pt>
                <c:pt idx="6">
                  <c:v>2888517896.3599997</c:v>
                </c:pt>
                <c:pt idx="7">
                  <c:v>2700081387.1599998</c:v>
                </c:pt>
                <c:pt idx="8">
                  <c:v>2402386588.25</c:v>
                </c:pt>
                <c:pt idx="9">
                  <c:v>2318771172.1300001</c:v>
                </c:pt>
                <c:pt idx="10">
                  <c:v>1051389782</c:v>
                </c:pt>
                <c:pt idx="11">
                  <c:v>498813699</c:v>
                </c:pt>
                <c:pt idx="12">
                  <c:v>837794557.91999984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D-411A-AF7B-A58A101B5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549791"/>
        <c:axId val="78234543"/>
      </c:lineChart>
      <c:catAx>
        <c:axId val="2435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4543"/>
        <c:crosses val="autoZero"/>
        <c:auto val="1"/>
        <c:lblAlgn val="ctr"/>
        <c:lblOffset val="100"/>
        <c:noMultiLvlLbl val="0"/>
      </c:catAx>
      <c:valAx>
        <c:axId val="78234543"/>
        <c:scaling>
          <c:orientation val="minMax"/>
          <c:max val="35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Jet Fuel</a:t>
            </a:r>
            <a:r>
              <a:rPr lang="en-ZA" b="1" baseline="0"/>
              <a:t> Export vs Expected production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'Jet - DemandSupply'!$AA$8</c:f>
              <c:strCache>
                <c:ptCount val="1"/>
                <c:pt idx="0">
                  <c:v>Exports (Litres)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'Jet - DemandSupply'!$Y$17:$Y$29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'Jet - DemandSupply'!$AA$17:$AA$29</c:f>
              <c:numCache>
                <c:formatCode>_-* #\ ##0_-;\-* #\ ##0_-;_-* "-"??_-;_-@_-</c:formatCode>
                <c:ptCount val="13"/>
                <c:pt idx="0">
                  <c:v>68894818.867924526</c:v>
                </c:pt>
                <c:pt idx="1">
                  <c:v>160413699.37106916</c:v>
                </c:pt>
                <c:pt idx="2">
                  <c:v>145165516.0754717</c:v>
                </c:pt>
                <c:pt idx="3">
                  <c:v>81214557.943396226</c:v>
                </c:pt>
                <c:pt idx="4">
                  <c:v>155350204</c:v>
                </c:pt>
                <c:pt idx="5">
                  <c:v>886561395.04999995</c:v>
                </c:pt>
                <c:pt idx="6">
                  <c:v>380562430.69999999</c:v>
                </c:pt>
                <c:pt idx="7">
                  <c:v>394664682.16000003</c:v>
                </c:pt>
                <c:pt idx="8">
                  <c:v>440690509</c:v>
                </c:pt>
                <c:pt idx="9">
                  <c:v>330975686.13</c:v>
                </c:pt>
                <c:pt idx="10">
                  <c:v>624370881</c:v>
                </c:pt>
                <c:pt idx="11">
                  <c:v>147368904</c:v>
                </c:pt>
                <c:pt idx="12">
                  <c:v>418774780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7-475C-8D9B-4496465DC3CA}"/>
            </c:ext>
          </c:extLst>
        </c:ser>
        <c:ser>
          <c:idx val="2"/>
          <c:order val="1"/>
          <c:tx>
            <c:v>Expected Production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'Jet - DemandSupply'!$Y$17:$Y$29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'Jet - DemandSupply'!$AD$17:$AD$29</c:f>
              <c:numCache>
                <c:formatCode>_-* #\ ##0_-;\-* #\ ##0_-;_-* "-"??_-;_-@_-</c:formatCode>
                <c:ptCount val="13"/>
                <c:pt idx="0">
                  <c:v>2260883692.5408807</c:v>
                </c:pt>
                <c:pt idx="1">
                  <c:v>2472283881.5157232</c:v>
                </c:pt>
                <c:pt idx="2">
                  <c:v>2375552199.3154716</c:v>
                </c:pt>
                <c:pt idx="3">
                  <c:v>2233772127.8533959</c:v>
                </c:pt>
                <c:pt idx="4">
                  <c:v>2182861949.6199999</c:v>
                </c:pt>
                <c:pt idx="5">
                  <c:v>3089182680.8000002</c:v>
                </c:pt>
                <c:pt idx="6">
                  <c:v>2888517896.3599997</c:v>
                </c:pt>
                <c:pt idx="7">
                  <c:v>2700081387.1599998</c:v>
                </c:pt>
                <c:pt idx="8">
                  <c:v>2402386588.25</c:v>
                </c:pt>
                <c:pt idx="9">
                  <c:v>2318771172.1300001</c:v>
                </c:pt>
                <c:pt idx="10">
                  <c:v>1051389782</c:v>
                </c:pt>
                <c:pt idx="11">
                  <c:v>498813699</c:v>
                </c:pt>
                <c:pt idx="12">
                  <c:v>837794557.91999984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7-475C-8D9B-4496465DC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549791"/>
        <c:axId val="78234543"/>
      </c:lineChart>
      <c:catAx>
        <c:axId val="2435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4543"/>
        <c:crosses val="autoZero"/>
        <c:auto val="1"/>
        <c:lblAlgn val="ctr"/>
        <c:lblOffset val="100"/>
        <c:noMultiLvlLbl val="0"/>
      </c:catAx>
      <c:valAx>
        <c:axId val="78234543"/>
        <c:scaling>
          <c:orientation val="minMax"/>
          <c:max val="320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200" b="1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rPr>
              <a:t>Eskom Diesel Demand for Power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'Diesel - DemandSupply'!$AA$9</c:f>
              <c:strCache>
                <c:ptCount val="1"/>
                <c:pt idx="0">
                  <c:v>High EAF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'Diesel - DemandSupply'!$R$29:$R$46</c:f>
              <c:numCache>
                <c:formatCode>General</c:formatCode>
                <c:ptCount val="1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</c:numCache>
            </c:numRef>
          </c:cat>
          <c:val>
            <c:numRef>
              <c:f>'Diesel - DemandSupply'!$AA$29:$AA$46</c:f>
              <c:numCache>
                <c:formatCode>_-* #\ ##0_-;\-* #\ ##0_-;_-* "-"??_-;_-@_-</c:formatCode>
                <c:ptCount val="18"/>
                <c:pt idx="1">
                  <c:v>495121951.21951222</c:v>
                </c:pt>
                <c:pt idx="2">
                  <c:v>757073170.73170733</c:v>
                </c:pt>
                <c:pt idx="3">
                  <c:v>131271804.87804879</c:v>
                </c:pt>
                <c:pt idx="4">
                  <c:v>196907707.3170732</c:v>
                </c:pt>
                <c:pt idx="5">
                  <c:v>262543609.75609758</c:v>
                </c:pt>
                <c:pt idx="6">
                  <c:v>262543609.75609758</c:v>
                </c:pt>
                <c:pt idx="7">
                  <c:v>262543609.75609758</c:v>
                </c:pt>
                <c:pt idx="8">
                  <c:v>262543609.75609758</c:v>
                </c:pt>
                <c:pt idx="9">
                  <c:v>262543609.75609758</c:v>
                </c:pt>
                <c:pt idx="10">
                  <c:v>262543609.75609758</c:v>
                </c:pt>
                <c:pt idx="11">
                  <c:v>262543609.75609758</c:v>
                </c:pt>
                <c:pt idx="12">
                  <c:v>262543609.75609758</c:v>
                </c:pt>
                <c:pt idx="13">
                  <c:v>262543609.75609758</c:v>
                </c:pt>
                <c:pt idx="14">
                  <c:v>262543609.75609758</c:v>
                </c:pt>
                <c:pt idx="15">
                  <c:v>262543609.75609758</c:v>
                </c:pt>
                <c:pt idx="16">
                  <c:v>262543609.75609758</c:v>
                </c:pt>
                <c:pt idx="17">
                  <c:v>262543609.75609758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C-4AB3-AE48-EBD32CD77270}"/>
            </c:ext>
          </c:extLst>
        </c:ser>
        <c:ser>
          <c:idx val="1"/>
          <c:order val="1"/>
          <c:tx>
            <c:strRef>
              <c:f>'Diesel - DemandSupply'!$AB$9</c:f>
              <c:strCache>
                <c:ptCount val="1"/>
                <c:pt idx="0">
                  <c:v>Low EAF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'Diesel - DemandSupply'!$R$29:$R$46</c:f>
              <c:numCache>
                <c:formatCode>General</c:formatCode>
                <c:ptCount val="1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</c:numCache>
            </c:numRef>
          </c:cat>
          <c:val>
            <c:numRef>
              <c:f>'Diesel - DemandSupply'!$AB$29:$AB$46</c:f>
              <c:numCache>
                <c:formatCode>_-* #\ ##0_-;\-* #\ ##0_-;_-* "-"??_-;_-@_-</c:formatCode>
                <c:ptCount val="18"/>
                <c:pt idx="1">
                  <c:v>495121951.21951222</c:v>
                </c:pt>
                <c:pt idx="2">
                  <c:v>757073170.73170733</c:v>
                </c:pt>
                <c:pt idx="3">
                  <c:v>984538536.58536577</c:v>
                </c:pt>
                <c:pt idx="4">
                  <c:v>984538536.58536577</c:v>
                </c:pt>
                <c:pt idx="5">
                  <c:v>984538536.58536577</c:v>
                </c:pt>
                <c:pt idx="6">
                  <c:v>984538536.58536577</c:v>
                </c:pt>
                <c:pt idx="7">
                  <c:v>984538536.58536577</c:v>
                </c:pt>
                <c:pt idx="8">
                  <c:v>1181446243.9024389</c:v>
                </c:pt>
                <c:pt idx="9">
                  <c:v>1181446243.9024389</c:v>
                </c:pt>
                <c:pt idx="10">
                  <c:v>1181446243.9024389</c:v>
                </c:pt>
                <c:pt idx="11">
                  <c:v>1181446243.9024389</c:v>
                </c:pt>
                <c:pt idx="12">
                  <c:v>1181446243.9024389</c:v>
                </c:pt>
                <c:pt idx="13">
                  <c:v>1312718048.7804878</c:v>
                </c:pt>
                <c:pt idx="14">
                  <c:v>1312718048.7804878</c:v>
                </c:pt>
                <c:pt idx="15">
                  <c:v>1312718048.7804878</c:v>
                </c:pt>
                <c:pt idx="16">
                  <c:v>1312718048.7804878</c:v>
                </c:pt>
                <c:pt idx="17">
                  <c:v>1312718048.7804878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C-4AB3-AE48-EBD32CD77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060992"/>
        <c:axId val="634897328"/>
      </c:lineChart>
      <c:catAx>
        <c:axId val="55906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897328"/>
        <c:crosses val="autoZero"/>
        <c:auto val="1"/>
        <c:lblAlgn val="ctr"/>
        <c:lblOffset val="100"/>
        <c:noMultiLvlLbl val="0"/>
      </c:catAx>
      <c:valAx>
        <c:axId val="634897328"/>
        <c:scaling>
          <c:orientation val="minMax"/>
        </c:scaling>
        <c:delete val="0"/>
        <c:axPos val="l"/>
        <c:numFmt formatCode="0.0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200" b="1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rPr>
              <a:t>Diesel (litres) +</a:t>
            </a:r>
            <a:r>
              <a:rPr lang="en-ZA" sz="1200" b="1" baseline="0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rPr>
              <a:t> </a:t>
            </a:r>
            <a:r>
              <a:rPr lang="en-ZA" sz="1200" b="1"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rPr>
              <a:t>Power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'Diesel - DemandSupply'!$M$10</c:f>
              <c:strCache>
                <c:ptCount val="1"/>
                <c:pt idx="0">
                  <c:v>RSA Demand (excluding Power Gen)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'Diesel - DemandSupply'!$C$11:$C$30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'Diesel - DemandSupply'!$M$11:$M$30</c:f>
              <c:numCache>
                <c:formatCode>_-* #\ ##0_-;\-* #\ ##0_-;_-* "-"??_-;_-@_-</c:formatCode>
                <c:ptCount val="20"/>
                <c:pt idx="0">
                  <c:v>8116573441</c:v>
                </c:pt>
                <c:pt idx="1">
                  <c:v>8707405264</c:v>
                </c:pt>
                <c:pt idx="2">
                  <c:v>10141584286</c:v>
                </c:pt>
                <c:pt idx="3">
                  <c:v>10385030955</c:v>
                </c:pt>
                <c:pt idx="4">
                  <c:v>9437131324</c:v>
                </c:pt>
                <c:pt idx="5">
                  <c:v>10451548684</c:v>
                </c:pt>
                <c:pt idx="6">
                  <c:v>11470381512</c:v>
                </c:pt>
                <c:pt idx="7">
                  <c:v>11198706533.658537</c:v>
                </c:pt>
                <c:pt idx="8">
                  <c:v>11362744962.634146</c:v>
                </c:pt>
                <c:pt idx="9">
                  <c:v>11715755066.317074</c:v>
                </c:pt>
                <c:pt idx="10">
                  <c:v>12573980715.414635</c:v>
                </c:pt>
                <c:pt idx="11">
                  <c:v>11837069159.95122</c:v>
                </c:pt>
                <c:pt idx="12">
                  <c:v>12116193781.414635</c:v>
                </c:pt>
                <c:pt idx="13">
                  <c:v>12319507441.121952</c:v>
                </c:pt>
                <c:pt idx="14">
                  <c:v>12384545702.512196</c:v>
                </c:pt>
                <c:pt idx="15">
                  <c:v>11223521838</c:v>
                </c:pt>
                <c:pt idx="16">
                  <c:v>12162482006.609756</c:v>
                </c:pt>
                <c:pt idx="17">
                  <c:v>12894860130.546631</c:v>
                </c:pt>
                <c:pt idx="18">
                  <c:v>12935768959.036036</c:v>
                </c:pt>
                <c:pt idx="19">
                  <c:v>11383299462.310488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A-484D-BA55-D1F23061DFD6}"/>
            </c:ext>
          </c:extLst>
        </c:ser>
        <c:ser>
          <c:idx val="2"/>
          <c:order val="1"/>
          <c:tx>
            <c:strRef>
              <c:f>'Diesel - DemandSupply'!$S$6</c:f>
              <c:strCache>
                <c:ptCount val="1"/>
                <c:pt idx="0">
                  <c:v>RSA Power Generation 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'Diesel - DemandSupply'!$C$11:$C$30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'Diesel - DemandSupply'!$T$11:$T$30</c:f>
              <c:numCache>
                <c:formatCode>_-* #\ ##0_-;\-* #\ ##0_-;_-*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464634146.34146339</c:v>
                </c:pt>
                <c:pt idx="8">
                  <c:v>778536585.36585367</c:v>
                </c:pt>
                <c:pt idx="9">
                  <c:v>899268292.68292677</c:v>
                </c:pt>
                <c:pt idx="10">
                  <c:v>946158536.58536589</c:v>
                </c:pt>
                <c:pt idx="11">
                  <c:v>245304878.0487805</c:v>
                </c:pt>
                <c:pt idx="12">
                  <c:v>31051386.585365813</c:v>
                </c:pt>
                <c:pt idx="13">
                  <c:v>219236884.87804875</c:v>
                </c:pt>
                <c:pt idx="14">
                  <c:v>524085530.48780447</c:v>
                </c:pt>
                <c:pt idx="15">
                  <c:v>466435920.00000012</c:v>
                </c:pt>
                <c:pt idx="16">
                  <c:v>783300744.39024365</c:v>
                </c:pt>
                <c:pt idx="17">
                  <c:v>882860212.43902397</c:v>
                </c:pt>
                <c:pt idx="18">
                  <c:v>1031293538.7139651</c:v>
                </c:pt>
                <c:pt idx="19">
                  <c:v>495121951.21951222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A-484D-BA55-D1F23061D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230000"/>
        <c:axId val="410386496"/>
      </c:areaChart>
      <c:catAx>
        <c:axId val="44423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86496"/>
        <c:crosses val="autoZero"/>
        <c:auto val="1"/>
        <c:lblAlgn val="ctr"/>
        <c:lblOffset val="100"/>
        <c:noMultiLvlLbl val="0"/>
      </c:catAx>
      <c:valAx>
        <c:axId val="410386496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3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Payloads</a:t>
            </a:r>
            <a:r>
              <a:rPr lang="en-ZA" b="1" baseline="0"/>
              <a:t> for Diesel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'Diesel - DemandSupply'!$AH$9</c:f>
              <c:strCache>
                <c:ptCount val="1"/>
                <c:pt idx="0">
                  <c:v>Payload for Road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'Diesel - DemandSupply'!$AF$11:$AF$27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'Diesel - DemandSupply'!$AH$11:$AH$27</c:f>
              <c:numCache>
                <c:formatCode>_-* #\ ##0_-;\-* #\ ##0_-;_-* "-"??_-;_-@_-</c:formatCode>
                <c:ptCount val="17"/>
                <c:pt idx="0">
                  <c:v>545824000</c:v>
                </c:pt>
                <c:pt idx="1">
                  <c:v>486528000</c:v>
                </c:pt>
                <c:pt idx="2">
                  <c:v>516022000</c:v>
                </c:pt>
                <c:pt idx="3">
                  <c:v>558637000</c:v>
                </c:pt>
                <c:pt idx="4">
                  <c:v>559027000</c:v>
                </c:pt>
                <c:pt idx="5">
                  <c:v>568128000</c:v>
                </c:pt>
                <c:pt idx="6">
                  <c:v>608701000</c:v>
                </c:pt>
                <c:pt idx="7">
                  <c:v>584740000</c:v>
                </c:pt>
                <c:pt idx="8">
                  <c:v>606365000</c:v>
                </c:pt>
                <c:pt idx="9">
                  <c:v>667908000</c:v>
                </c:pt>
                <c:pt idx="10">
                  <c:v>727979000</c:v>
                </c:pt>
                <c:pt idx="11">
                  <c:v>707740000</c:v>
                </c:pt>
                <c:pt idx="12">
                  <c:v>623654000</c:v>
                </c:pt>
                <c:pt idx="13">
                  <c:v>674535000</c:v>
                </c:pt>
                <c:pt idx="14">
                  <c:v>839218000</c:v>
                </c:pt>
                <c:pt idx="15">
                  <c:v>837112000</c:v>
                </c:pt>
                <c:pt idx="16">
                  <c:v>980518000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3-4C25-9BD8-3176AB19D29D}"/>
            </c:ext>
          </c:extLst>
        </c:ser>
        <c:ser>
          <c:idx val="1"/>
          <c:order val="1"/>
          <c:tx>
            <c:strRef>
              <c:f>'Diesel - DemandSupply'!$AI$9</c:f>
              <c:strCache>
                <c:ptCount val="1"/>
                <c:pt idx="0">
                  <c:v>Payload for Rail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'Diesel - DemandSupply'!$AF$11:$AF$27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'Diesel - DemandSupply'!$AI$11:$AI$27</c:f>
              <c:numCache>
                <c:formatCode>_-* #\ ##0_-;\-* #\ ##0_-;_-* "-"??_-;_-@_-</c:formatCode>
                <c:ptCount val="17"/>
                <c:pt idx="0">
                  <c:v>179975000</c:v>
                </c:pt>
                <c:pt idx="1">
                  <c:v>180345000</c:v>
                </c:pt>
                <c:pt idx="2">
                  <c:v>182780000</c:v>
                </c:pt>
                <c:pt idx="3">
                  <c:v>195516000</c:v>
                </c:pt>
                <c:pt idx="4">
                  <c:v>207264000</c:v>
                </c:pt>
                <c:pt idx="5">
                  <c:v>213290000</c:v>
                </c:pt>
                <c:pt idx="6">
                  <c:v>221944000</c:v>
                </c:pt>
                <c:pt idx="7">
                  <c:v>220982000</c:v>
                </c:pt>
                <c:pt idx="8">
                  <c:v>216935000</c:v>
                </c:pt>
                <c:pt idx="9">
                  <c:v>227242000</c:v>
                </c:pt>
                <c:pt idx="10">
                  <c:v>218475000</c:v>
                </c:pt>
                <c:pt idx="11">
                  <c:v>215944000</c:v>
                </c:pt>
                <c:pt idx="12">
                  <c:v>191968000</c:v>
                </c:pt>
                <c:pt idx="13">
                  <c:v>177907000</c:v>
                </c:pt>
                <c:pt idx="14">
                  <c:v>154679000</c:v>
                </c:pt>
                <c:pt idx="15">
                  <c:v>152680000</c:v>
                </c:pt>
                <c:pt idx="16">
                  <c:v>161098000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3-4C25-9BD8-3176AB19D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549791"/>
        <c:axId val="78234543"/>
      </c:lineChart>
      <c:catAx>
        <c:axId val="2435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4543"/>
        <c:crosses val="autoZero"/>
        <c:auto val="1"/>
        <c:lblAlgn val="ctr"/>
        <c:lblOffset val="100"/>
        <c:noMultiLvlLbl val="0"/>
      </c:catAx>
      <c:valAx>
        <c:axId val="78234543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Percentage mix</a:t>
            </a:r>
            <a:r>
              <a:rPr lang="en-ZA" b="1" baseline="0"/>
              <a:t> of Payloads Road vs Rail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'Diesel - DemandSupply'!$AJ$9</c:f>
              <c:strCache>
                <c:ptCount val="1"/>
                <c:pt idx="0">
                  <c:v>Road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'Diesel - DemandSupply'!$AF$11:$AF$27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'Diesel - DemandSupply'!$AJ$11:$AJ$27</c:f>
              <c:numCache>
                <c:formatCode>0.0%</c:formatCode>
                <c:ptCount val="17"/>
                <c:pt idx="0">
                  <c:v>0.75203189863860376</c:v>
                </c:pt>
                <c:pt idx="1">
                  <c:v>0.7295661992613286</c:v>
                </c:pt>
                <c:pt idx="2">
                  <c:v>0.73843806972504367</c:v>
                </c:pt>
                <c:pt idx="3">
                  <c:v>0.7407475671382332</c:v>
                </c:pt>
                <c:pt idx="4">
                  <c:v>0.72952311850197904</c:v>
                </c:pt>
                <c:pt idx="5">
                  <c:v>0.72704749570652327</c:v>
                </c:pt>
                <c:pt idx="6">
                  <c:v>0.73280522967091843</c:v>
                </c:pt>
                <c:pt idx="7">
                  <c:v>0.7257341862329687</c:v>
                </c:pt>
                <c:pt idx="8">
                  <c:v>0.73650552653953605</c:v>
                </c:pt>
                <c:pt idx="9">
                  <c:v>0.74614087024521025</c:v>
                </c:pt>
                <c:pt idx="10">
                  <c:v>0.76916469263165455</c:v>
                </c:pt>
                <c:pt idx="11">
                  <c:v>0.76621441965001014</c:v>
                </c:pt>
                <c:pt idx="12">
                  <c:v>0.76463606915948812</c:v>
                </c:pt>
                <c:pt idx="13">
                  <c:v>0.79129723781793948</c:v>
                </c:pt>
                <c:pt idx="14">
                  <c:v>0.84437119741784106</c:v>
                </c:pt>
                <c:pt idx="15">
                  <c:v>0.84574536872393391</c:v>
                </c:pt>
                <c:pt idx="16">
                  <c:v>0.85888600019621308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C-44EB-8577-0F87C60BBF34}"/>
            </c:ext>
          </c:extLst>
        </c:ser>
        <c:ser>
          <c:idx val="1"/>
          <c:order val="1"/>
          <c:tx>
            <c:strRef>
              <c:f>'Diesel - DemandSupply'!$AK$9</c:f>
              <c:strCache>
                <c:ptCount val="1"/>
                <c:pt idx="0">
                  <c:v>Rail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'Diesel - DemandSupply'!$AF$11:$AF$27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'Diesel - DemandSupply'!$AK$11:$AK$27</c:f>
              <c:numCache>
                <c:formatCode>0.0%</c:formatCode>
                <c:ptCount val="17"/>
                <c:pt idx="0">
                  <c:v>0.24796810136139619</c:v>
                </c:pt>
                <c:pt idx="1">
                  <c:v>0.2704338007386714</c:v>
                </c:pt>
                <c:pt idx="2">
                  <c:v>0.26156193027495628</c:v>
                </c:pt>
                <c:pt idx="3">
                  <c:v>0.2592524328617668</c:v>
                </c:pt>
                <c:pt idx="4">
                  <c:v>0.27047688149802096</c:v>
                </c:pt>
                <c:pt idx="5">
                  <c:v>0.27295250429347673</c:v>
                </c:pt>
                <c:pt idx="6">
                  <c:v>0.26719477032908162</c:v>
                </c:pt>
                <c:pt idx="7">
                  <c:v>0.2742658137670313</c:v>
                </c:pt>
                <c:pt idx="8">
                  <c:v>0.26349447346046401</c:v>
                </c:pt>
                <c:pt idx="9">
                  <c:v>0.25385912975478969</c:v>
                </c:pt>
                <c:pt idx="10">
                  <c:v>0.23083530736834543</c:v>
                </c:pt>
                <c:pt idx="11">
                  <c:v>0.23378558034998984</c:v>
                </c:pt>
                <c:pt idx="12">
                  <c:v>0.23536393084051191</c:v>
                </c:pt>
                <c:pt idx="13">
                  <c:v>0.20870276218206049</c:v>
                </c:pt>
                <c:pt idx="14">
                  <c:v>0.15562880258215891</c:v>
                </c:pt>
                <c:pt idx="15">
                  <c:v>0.15425463127606609</c:v>
                </c:pt>
                <c:pt idx="16">
                  <c:v>0.14111399980378692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C-44EB-8577-0F87C60BBF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5659935"/>
        <c:axId val="186074095"/>
      </c:lineChart>
      <c:catAx>
        <c:axId val="171565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4095"/>
        <c:crosses val="autoZero"/>
        <c:auto val="1"/>
        <c:lblAlgn val="ctr"/>
        <c:lblOffset val="100"/>
        <c:noMultiLvlLbl val="0"/>
      </c:catAx>
      <c:valAx>
        <c:axId val="18607409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5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Diesel</a:t>
            </a:r>
            <a:r>
              <a:rPr lang="en-ZA" b="1" baseline="0"/>
              <a:t> Import vs Expected production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0.10825093203115611"/>
          <c:y val="9.6118904438949021E-2"/>
          <c:w val="0.86578928505531405"/>
          <c:h val="0.75842932804161645"/>
        </c:manualLayout>
      </c:layout>
      <c:lineChart>
        <c:grouping val="standard"/>
        <c:varyColors val="0"/>
        <c:ser>
          <c:idx val="0"/>
          <c:order val="0"/>
          <c:tx>
            <c:strRef>
              <c:f>'Diesel - DemandSupply'!$AU$10</c:f>
              <c:strCache>
                <c:ptCount val="1"/>
                <c:pt idx="0">
                  <c:v>Imports (Litres)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'Diesel - DemandSupply'!$AT$14:$AT$31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'Diesel - DemandSupply'!$AU$14:$AU$31</c:f>
              <c:numCache>
                <c:formatCode>_-* #\ ##0_-;\-* #\ ##0_-;_-* "-"??_-;_-@_-</c:formatCode>
                <c:ptCount val="18"/>
                <c:pt idx="0">
                  <c:v>904706105.95238101</c:v>
                </c:pt>
                <c:pt idx="1">
                  <c:v>2034568829.761905</c:v>
                </c:pt>
                <c:pt idx="2">
                  <c:v>2789321839.2857146</c:v>
                </c:pt>
                <c:pt idx="3">
                  <c:v>2509117982.1428571</c:v>
                </c:pt>
                <c:pt idx="4">
                  <c:v>2313535626.1904764</c:v>
                </c:pt>
                <c:pt idx="5">
                  <c:v>2575160810.7142859</c:v>
                </c:pt>
                <c:pt idx="6">
                  <c:v>3753147008.333333</c:v>
                </c:pt>
                <c:pt idx="7">
                  <c:v>3246942102.96</c:v>
                </c:pt>
                <c:pt idx="8">
                  <c:v>4253991750.7599998</c:v>
                </c:pt>
                <c:pt idx="9">
                  <c:v>4997072943.6000004</c:v>
                </c:pt>
                <c:pt idx="10">
                  <c:v>6450779034.5599995</c:v>
                </c:pt>
                <c:pt idx="11">
                  <c:v>4424294964.8899994</c:v>
                </c:pt>
                <c:pt idx="12">
                  <c:v>6036040239.8100004</c:v>
                </c:pt>
                <c:pt idx="13">
                  <c:v>6105304179.7600002</c:v>
                </c:pt>
                <c:pt idx="14">
                  <c:v>5858025642.5600004</c:v>
                </c:pt>
                <c:pt idx="15">
                  <c:v>6814985448</c:v>
                </c:pt>
                <c:pt idx="16">
                  <c:v>9761395306</c:v>
                </c:pt>
                <c:pt idx="17">
                  <c:v>11913795570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3-4666-AEE8-AC277F31DB64}"/>
            </c:ext>
          </c:extLst>
        </c:ser>
        <c:ser>
          <c:idx val="1"/>
          <c:order val="1"/>
          <c:tx>
            <c:strRef>
              <c:f>'Diesel - DemandSupply'!$AZ$10</c:f>
              <c:strCache>
                <c:ptCount val="1"/>
                <c:pt idx="0">
                  <c:v>RSA 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'Diesel - DemandSupply'!$AT$14:$AT$31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'Diesel - DemandSupply'!$AZ$14:$AZ$31</c:f>
              <c:numCache>
                <c:formatCode>_-* #\ ##0_-;\-* #\ ##0_-;_-* "-"??_-;_-@_-</c:formatCode>
                <c:ptCount val="18"/>
                <c:pt idx="0">
                  <c:v>10762866793.380953</c:v>
                </c:pt>
                <c:pt idx="1">
                  <c:v>7454014896.1428576</c:v>
                </c:pt>
                <c:pt idx="2">
                  <c:v>8218515113.3809519</c:v>
                </c:pt>
                <c:pt idx="3">
                  <c:v>8762158074.0476189</c:v>
                </c:pt>
                <c:pt idx="4">
                  <c:v>7976808997.8095236</c:v>
                </c:pt>
                <c:pt idx="5">
                  <c:v>8612341236.3809528</c:v>
                </c:pt>
                <c:pt idx="6">
                  <c:v>8255597245.333334</c:v>
                </c:pt>
                <c:pt idx="7">
                  <c:v>9345772373.4685707</c:v>
                </c:pt>
                <c:pt idx="8">
                  <c:v>9507240580.2276192</c:v>
                </c:pt>
                <c:pt idx="9">
                  <c:v>9111357881.4899998</c:v>
                </c:pt>
                <c:pt idx="10">
                  <c:v>8694775295.1599998</c:v>
                </c:pt>
                <c:pt idx="11">
                  <c:v>9545123686.0699997</c:v>
                </c:pt>
                <c:pt idx="12">
                  <c:v>7895209793.4699993</c:v>
                </c:pt>
                <c:pt idx="13">
                  <c:v>8271330931.6099997</c:v>
                </c:pt>
                <c:pt idx="14">
                  <c:v>8836582022.6399994</c:v>
                </c:pt>
                <c:pt idx="15">
                  <c:v>5788786830</c:v>
                </c:pt>
                <c:pt idx="16">
                  <c:v>4077875551</c:v>
                </c:pt>
                <c:pt idx="17">
                  <c:v>2761689862.9856548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73-4666-AEE8-AC277F31D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549791"/>
        <c:axId val="78234543"/>
      </c:lineChart>
      <c:catAx>
        <c:axId val="2435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4543"/>
        <c:crosses val="autoZero"/>
        <c:auto val="1"/>
        <c:lblAlgn val="ctr"/>
        <c:lblOffset val="100"/>
        <c:noMultiLvlLbl val="0"/>
      </c:catAx>
      <c:valAx>
        <c:axId val="78234543"/>
        <c:scaling>
          <c:orientation val="minMax"/>
          <c:max val="12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Gasoline Follows Fuel Pricing</a:t>
            </a:r>
          </a:p>
        </c:rich>
      </c:tx>
      <c:layout>
        <c:manualLayout>
          <c:xMode val="edge"/>
          <c:yMode val="edge"/>
          <c:x val="0.32331936447570653"/>
          <c:y val="3.9360398686747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'Gasoline - DemandSupply'!$L$9</c:f>
              <c:strCache>
                <c:ptCount val="1"/>
                <c:pt idx="0">
                  <c:v>Specified Market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'Gasoline - DemandSupply'!$C$15:$C$29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'Gasoline - DemandSupply'!$L$15:$L$29</c:f>
              <c:numCache>
                <c:formatCode>_(* #,##0.00_);_(* \(#,##0.00\);_(* "-"??_);_(@_)</c:formatCode>
                <c:ptCount val="15"/>
                <c:pt idx="0">
                  <c:v>7.3600257649999996</c:v>
                </c:pt>
                <c:pt idx="1">
                  <c:v>9.0198510390000006</c:v>
                </c:pt>
                <c:pt idx="2">
                  <c:v>8.875863313</c:v>
                </c:pt>
                <c:pt idx="3">
                  <c:v>8.8262695840000003</c:v>
                </c:pt>
                <c:pt idx="4">
                  <c:v>8.3987917119999995</c:v>
                </c:pt>
                <c:pt idx="5">
                  <c:v>8.7469924720000005</c:v>
                </c:pt>
                <c:pt idx="6">
                  <c:v>8.6822166766939937</c:v>
                </c:pt>
                <c:pt idx="7">
                  <c:v>8.4835010244879889</c:v>
                </c:pt>
                <c:pt idx="8">
                  <c:v>8.3439815996729809</c:v>
                </c:pt>
                <c:pt idx="9">
                  <c:v>8.2366723892409848</c:v>
                </c:pt>
                <c:pt idx="10">
                  <c:v>6.6992448733779968</c:v>
                </c:pt>
                <c:pt idx="11">
                  <c:v>7.0823627574579984</c:v>
                </c:pt>
                <c:pt idx="12">
                  <c:v>6.9597741774685256</c:v>
                </c:pt>
                <c:pt idx="13">
                  <c:v>7.5360904703293592</c:v>
                </c:pt>
                <c:pt idx="14">
                  <c:v>6.8310070903402034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3-4369-A930-E11A3612D228}"/>
            </c:ext>
          </c:extLst>
        </c:ser>
        <c:ser>
          <c:idx val="1"/>
          <c:order val="1"/>
          <c:tx>
            <c:strRef>
              <c:f>'Gasoline - DemandSupply'!$M$9</c:f>
              <c:strCache>
                <c:ptCount val="1"/>
                <c:pt idx="0">
                  <c:v>RSA 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'Gasoline - DemandSupply'!$C$15:$C$29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'Gasoline - DemandSupply'!$M$15:$M$29</c:f>
              <c:numCache>
                <c:formatCode>_(* #,##0.00_);_(* \(#,##0.00\);_(* "-"??_);_(@_)</c:formatCode>
                <c:ptCount val="15"/>
                <c:pt idx="0">
                  <c:v>11.78823467</c:v>
                </c:pt>
                <c:pt idx="1">
                  <c:v>12.278314707</c:v>
                </c:pt>
                <c:pt idx="2">
                  <c:v>12.060330013</c:v>
                </c:pt>
                <c:pt idx="3">
                  <c:v>11.439925235</c:v>
                </c:pt>
                <c:pt idx="4">
                  <c:v>10.890207679</c:v>
                </c:pt>
                <c:pt idx="5">
                  <c:v>11.475709419999999</c:v>
                </c:pt>
                <c:pt idx="6">
                  <c:v>11.462252467000001</c:v>
                </c:pt>
                <c:pt idx="7">
                  <c:v>11.174082981</c:v>
                </c:pt>
                <c:pt idx="8">
                  <c:v>11.141630546</c:v>
                </c:pt>
                <c:pt idx="9">
                  <c:v>10.773208065</c:v>
                </c:pt>
                <c:pt idx="10">
                  <c:v>8.7614709610000006</c:v>
                </c:pt>
                <c:pt idx="11">
                  <c:v>9.3015842289999995</c:v>
                </c:pt>
                <c:pt idx="12">
                  <c:v>9.1848699155409896</c:v>
                </c:pt>
                <c:pt idx="13">
                  <c:v>9.9813464323599987</c:v>
                </c:pt>
                <c:pt idx="14">
                  <c:v>9.0474827125600008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A3-4369-A930-E11A3612D228}"/>
            </c:ext>
          </c:extLst>
        </c:ser>
        <c:ser>
          <c:idx val="2"/>
          <c:order val="2"/>
          <c:tx>
            <c:strRef>
              <c:f>'Gasoline - DemandSupply'!$N$9</c:f>
              <c:strCache>
                <c:ptCount val="1"/>
                <c:pt idx="0">
                  <c:v>ULP (Constant 2015)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'Gasoline - DemandSupply'!$C$15:$C$29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'Gasoline - DemandSupply'!$N$15:$N$29</c:f>
              <c:numCache>
                <c:formatCode>_(* #,##0.00_);_(* \(#,##0.00\);_(* "-"??_);_(@_)</c:formatCode>
                <c:ptCount val="15"/>
                <c:pt idx="0">
                  <c:v>10.569258156805544</c:v>
                </c:pt>
                <c:pt idx="1">
                  <c:v>12.269760152634946</c:v>
                </c:pt>
                <c:pt idx="2">
                  <c:v>13.550740237837728</c:v>
                </c:pt>
                <c:pt idx="3">
                  <c:v>14.293444875066665</c:v>
                </c:pt>
                <c:pt idx="4">
                  <c:v>14.529909583333335</c:v>
                </c:pt>
                <c:pt idx="5">
                  <c:v>12.244166666666667</c:v>
                </c:pt>
                <c:pt idx="6">
                  <c:v>11.653940311513589</c:v>
                </c:pt>
                <c:pt idx="7">
                  <c:v>11.984234279716526</c:v>
                </c:pt>
                <c:pt idx="8">
                  <c:v>12.926871155855082</c:v>
                </c:pt>
                <c:pt idx="9">
                  <c:v>12.644779320295711</c:v>
                </c:pt>
                <c:pt idx="10">
                  <c:v>11.439035777818907</c:v>
                </c:pt>
                <c:pt idx="11">
                  <c:v>13.353394777286253</c:v>
                </c:pt>
                <c:pt idx="12">
                  <c:v>16.085106382978726</c:v>
                </c:pt>
                <c:pt idx="13">
                  <c:v>16.163120567375888</c:v>
                </c:pt>
                <c:pt idx="14">
                  <c:v>15.502793296089386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A3-4369-A930-E11A3612D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29280"/>
        <c:axId val="439811440"/>
      </c:lineChart>
      <c:catAx>
        <c:axId val="57102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11440"/>
        <c:crosses val="autoZero"/>
        <c:auto val="1"/>
        <c:lblAlgn val="ctr"/>
        <c:lblOffset val="100"/>
        <c:noMultiLvlLbl val="0"/>
      </c:catAx>
      <c:valAx>
        <c:axId val="43981144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02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111280582881179"/>
          <c:y val="0.94434150011543905"/>
          <c:w val="0.71005484213205017"/>
          <c:h val="5.5658499884560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Gasoline</a:t>
            </a:r>
            <a:r>
              <a:rPr lang="en-ZA" b="1" baseline="0"/>
              <a:t> Import vs Expected production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'Gasoline - DemandSupply'!$AJ$9</c:f>
              <c:strCache>
                <c:ptCount val="1"/>
                <c:pt idx="0">
                  <c:v>Imports (Litres)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'Gasoline - DemandSupply'!$AI$14:$AI$32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'Gasoline - DemandSupply'!$AJ$14:$AJ$32</c:f>
              <c:numCache>
                <c:formatCode>_-* #\ ##0_-;\-* #\ ##0_-;_-* "-"??_-;_-@_-</c:formatCode>
                <c:ptCount val="19"/>
                <c:pt idx="0">
                  <c:v>1724849573.3333333</c:v>
                </c:pt>
                <c:pt idx="1">
                  <c:v>1696287553.3333333</c:v>
                </c:pt>
                <c:pt idx="2">
                  <c:v>1274450861.3333333</c:v>
                </c:pt>
                <c:pt idx="3">
                  <c:v>1979120654.6666667</c:v>
                </c:pt>
                <c:pt idx="4">
                  <c:v>2095196218.6666667</c:v>
                </c:pt>
                <c:pt idx="5">
                  <c:v>2420092698.6666665</c:v>
                </c:pt>
                <c:pt idx="6">
                  <c:v>1827120704</c:v>
                </c:pt>
                <c:pt idx="7">
                  <c:v>1508536793.3733332</c:v>
                </c:pt>
                <c:pt idx="8">
                  <c:v>1150194821.8699999</c:v>
                </c:pt>
                <c:pt idx="9">
                  <c:v>1869645208.21</c:v>
                </c:pt>
                <c:pt idx="10">
                  <c:v>1395638476.0999999</c:v>
                </c:pt>
                <c:pt idx="11">
                  <c:v>2114180559.6399996</c:v>
                </c:pt>
                <c:pt idx="12">
                  <c:v>2195270855.29</c:v>
                </c:pt>
                <c:pt idx="13">
                  <c:v>1477345841.0900002</c:v>
                </c:pt>
                <c:pt idx="14">
                  <c:v>1719673064</c:v>
                </c:pt>
                <c:pt idx="15">
                  <c:v>4008612764</c:v>
                </c:pt>
                <c:pt idx="16">
                  <c:v>5455133853</c:v>
                </c:pt>
                <c:pt idx="17">
                  <c:v>4482774760.3800001</c:v>
                </c:pt>
                <c:pt idx="18">
                  <c:v>4000854433.4499998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4-4C01-9BB9-DD0956C76017}"/>
            </c:ext>
          </c:extLst>
        </c:ser>
        <c:ser>
          <c:idx val="2"/>
          <c:order val="1"/>
          <c:tx>
            <c:strRef>
              <c:f>'Gasoline - DemandSupply'!$AN$9</c:f>
              <c:strCache>
                <c:ptCount val="1"/>
                <c:pt idx="0">
                  <c:v>RSA Demand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'Gasoline - DemandSupply'!$AI$14:$AI$32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'Gasoline - DemandSupply'!$AN$14:$AN$32</c:f>
              <c:numCache>
                <c:formatCode>_-* #\ ##0_-;\-* #\ ##0_-;_-* "-"??_-;_-@_-</c:formatCode>
                <c:ptCount val="19"/>
                <c:pt idx="0">
                  <c:v>10109114789</c:v>
                </c:pt>
                <c:pt idx="1">
                  <c:v>10267717186.666666</c:v>
                </c:pt>
                <c:pt idx="2">
                  <c:v>10296815727</c:v>
                </c:pt>
                <c:pt idx="3">
                  <c:v>9785813656.6666679</c:v>
                </c:pt>
                <c:pt idx="4">
                  <c:v>10131572787.333334</c:v>
                </c:pt>
                <c:pt idx="5">
                  <c:v>10092691788.333334</c:v>
                </c:pt>
                <c:pt idx="6">
                  <c:v>10676820605</c:v>
                </c:pt>
                <c:pt idx="7">
                  <c:v>10887885073.476667</c:v>
                </c:pt>
                <c:pt idx="8">
                  <c:v>10729320402.130001</c:v>
                </c:pt>
                <c:pt idx="9">
                  <c:v>10692559034.1</c:v>
                </c:pt>
                <c:pt idx="10">
                  <c:v>11225520971.15</c:v>
                </c:pt>
                <c:pt idx="11">
                  <c:v>10141945439.530001</c:v>
                </c:pt>
                <c:pt idx="12">
                  <c:v>10266926754.41</c:v>
                </c:pt>
                <c:pt idx="13">
                  <c:v>10475010390.799999</c:v>
                </c:pt>
                <c:pt idx="14">
                  <c:v>8196576968</c:v>
                </c:pt>
                <c:pt idx="15">
                  <c:v>6346604030</c:v>
                </c:pt>
                <c:pt idx="16">
                  <c:v>4595776117.5409889</c:v>
                </c:pt>
                <c:pt idx="17">
                  <c:v>6492679589.9999981</c:v>
                </c:pt>
                <c:pt idx="18">
                  <c:v>5975134590.0000019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D4-4C01-9BB9-DD0956C76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549791"/>
        <c:axId val="78234543"/>
      </c:lineChart>
      <c:catAx>
        <c:axId val="2435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4543"/>
        <c:crosses val="autoZero"/>
        <c:auto val="1"/>
        <c:lblAlgn val="ctr"/>
        <c:lblOffset val="100"/>
        <c:noMultiLvlLbl val="0"/>
      </c:catAx>
      <c:valAx>
        <c:axId val="78234543"/>
        <c:scaling>
          <c:orientation val="minMax"/>
          <c:max val="12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Gasoline</a:t>
            </a:r>
            <a:r>
              <a:rPr lang="en-ZA" b="1" baseline="0"/>
              <a:t> Export vs Expected production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'Gasoline - DemandSupply'!$AK$9</c:f>
              <c:strCache>
                <c:ptCount val="1"/>
                <c:pt idx="0">
                  <c:v>Exports (Litres)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'Gasoline - DemandSupply'!$AI$13:$AI$32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'Gasoline - DemandSupply'!$AK$13:$AK$32</c:f>
              <c:numCache>
                <c:formatCode>_-* #\ ##0_-;\-* #\ ##0_-;_-* "-"??_-;_-@_-</c:formatCode>
                <c:ptCount val="20"/>
                <c:pt idx="0">
                  <c:v>362769446.66666669</c:v>
                </c:pt>
                <c:pt idx="1">
                  <c:v>555552109.33333337</c:v>
                </c:pt>
                <c:pt idx="2">
                  <c:v>395191404</c:v>
                </c:pt>
                <c:pt idx="3">
                  <c:v>484328181.33333325</c:v>
                </c:pt>
                <c:pt idx="4">
                  <c:v>443748093.33333331</c:v>
                </c:pt>
                <c:pt idx="5">
                  <c:v>438534336</c:v>
                </c:pt>
                <c:pt idx="6">
                  <c:v>234469780</c:v>
                </c:pt>
                <c:pt idx="7">
                  <c:v>443611296</c:v>
                </c:pt>
                <c:pt idx="8">
                  <c:v>956496631.85000014</c:v>
                </c:pt>
                <c:pt idx="9">
                  <c:v>989307545</c:v>
                </c:pt>
                <c:pt idx="10">
                  <c:v>1086494822.3099999</c:v>
                </c:pt>
                <c:pt idx="11">
                  <c:v>1158906980.25</c:v>
                </c:pt>
                <c:pt idx="12">
                  <c:v>1082043018.1700001</c:v>
                </c:pt>
                <c:pt idx="13">
                  <c:v>1320567063.7</c:v>
                </c:pt>
                <c:pt idx="14">
                  <c:v>1179148166.8900001</c:v>
                </c:pt>
                <c:pt idx="15">
                  <c:v>1154779071</c:v>
                </c:pt>
                <c:pt idx="16">
                  <c:v>1053632565</c:v>
                </c:pt>
                <c:pt idx="17">
                  <c:v>866040055</c:v>
                </c:pt>
                <c:pt idx="18">
                  <c:v>994107918.01999998</c:v>
                </c:pt>
                <c:pt idx="19">
                  <c:v>928506310.88999999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D-40EA-AFDE-F94544447A1E}"/>
            </c:ext>
          </c:extLst>
        </c:ser>
        <c:ser>
          <c:idx val="2"/>
          <c:order val="1"/>
          <c:tx>
            <c:strRef>
              <c:f>'Gasoline - DemandSupply'!$AN$9</c:f>
              <c:strCache>
                <c:ptCount val="1"/>
                <c:pt idx="0">
                  <c:v>RSA Demand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'Gasoline - DemandSupply'!$AI$13:$AI$32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'Gasoline - DemandSupply'!$AN$13:$AN$32</c:f>
              <c:numCache>
                <c:formatCode>_-* #\ ##0_-;\-* #\ ##0_-;_-* "-"??_-;_-@_-</c:formatCode>
                <c:ptCount val="20"/>
                <c:pt idx="0">
                  <c:v>8004450694.666667</c:v>
                </c:pt>
                <c:pt idx="1">
                  <c:v>10109114789</c:v>
                </c:pt>
                <c:pt idx="2">
                  <c:v>10267717186.666666</c:v>
                </c:pt>
                <c:pt idx="3">
                  <c:v>10296815727</c:v>
                </c:pt>
                <c:pt idx="4">
                  <c:v>9785813656.6666679</c:v>
                </c:pt>
                <c:pt idx="5">
                  <c:v>10131572787.333334</c:v>
                </c:pt>
                <c:pt idx="6">
                  <c:v>10092691788.333334</c:v>
                </c:pt>
                <c:pt idx="7">
                  <c:v>10676820605</c:v>
                </c:pt>
                <c:pt idx="8">
                  <c:v>10887885073.476667</c:v>
                </c:pt>
                <c:pt idx="9">
                  <c:v>10729320402.130001</c:v>
                </c:pt>
                <c:pt idx="10">
                  <c:v>10692559034.1</c:v>
                </c:pt>
                <c:pt idx="11">
                  <c:v>11225520971.15</c:v>
                </c:pt>
                <c:pt idx="12">
                  <c:v>10141945439.530001</c:v>
                </c:pt>
                <c:pt idx="13">
                  <c:v>10266926754.41</c:v>
                </c:pt>
                <c:pt idx="14">
                  <c:v>10475010390.799999</c:v>
                </c:pt>
                <c:pt idx="15">
                  <c:v>8196576968</c:v>
                </c:pt>
                <c:pt idx="16">
                  <c:v>6346604030</c:v>
                </c:pt>
                <c:pt idx="17">
                  <c:v>4595776117.5409889</c:v>
                </c:pt>
                <c:pt idx="18">
                  <c:v>6492679589.9999981</c:v>
                </c:pt>
                <c:pt idx="19">
                  <c:v>5975134590.0000019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FD-40EA-AFDE-F94544447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549791"/>
        <c:axId val="78234543"/>
      </c:lineChart>
      <c:catAx>
        <c:axId val="2435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4543"/>
        <c:crosses val="autoZero"/>
        <c:auto val="1"/>
        <c:lblAlgn val="ctr"/>
        <c:lblOffset val="100"/>
        <c:noMultiLvlLbl val="0"/>
      </c:catAx>
      <c:valAx>
        <c:axId val="78234543"/>
        <c:scaling>
          <c:orientation val="minMax"/>
          <c:max val="12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Total</a:t>
            </a:r>
            <a:r>
              <a:rPr lang="en-ZA" b="1" baseline="0"/>
              <a:t> LF -Iimport/Export vs Expected production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LF - DemandSupply'!$B$1</c:f>
              <c:strCache>
                <c:ptCount val="1"/>
                <c:pt idx="0">
                  <c:v>Imports (Litres)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LF - DemandSupply'!$A$10:$A$22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'Total LF - DemandSupply'!$B$10:$B$22</c:f>
              <c:numCache>
                <c:formatCode>_-* #\ ##0_-;\-* #\ ##0_-;_-* "-"??_-;_-@_-</c:formatCode>
                <c:ptCount val="13"/>
                <c:pt idx="0">
                  <c:v>4938828801.7079964</c:v>
                </c:pt>
                <c:pt idx="1">
                  <c:v>6423887803.8553448</c:v>
                </c:pt>
                <c:pt idx="2">
                  <c:v>5305051748.7200003</c:v>
                </c:pt>
                <c:pt idx="3">
                  <c:v>5945164712.2233324</c:v>
                </c:pt>
                <c:pt idx="4">
                  <c:v>6434989976.8500004</c:v>
                </c:pt>
                <c:pt idx="5">
                  <c:v>8595457978.0200005</c:v>
                </c:pt>
                <c:pt idx="6">
                  <c:v>5928352930.3299999</c:v>
                </c:pt>
                <c:pt idx="7">
                  <c:v>8571227811.4499998</c:v>
                </c:pt>
                <c:pt idx="8">
                  <c:v>8695603397.7999992</c:v>
                </c:pt>
                <c:pt idx="9">
                  <c:v>7797081134.6500006</c:v>
                </c:pt>
                <c:pt idx="10">
                  <c:v>9206008705</c:v>
                </c:pt>
                <c:pt idx="11">
                  <c:v>14473509214</c:v>
                </c:pt>
                <c:pt idx="12">
                  <c:v>18432755929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1-482F-8E3C-6D5209C38BF6}"/>
            </c:ext>
          </c:extLst>
        </c:ser>
        <c:ser>
          <c:idx val="2"/>
          <c:order val="1"/>
          <c:tx>
            <c:strRef>
              <c:f>'Total LF - DemandSupply'!$C$1</c:f>
              <c:strCache>
                <c:ptCount val="1"/>
                <c:pt idx="0">
                  <c:v>Exports (Litres)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LF - DemandSupply'!$A$10:$A$22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'Total LF - DemandSupply'!$C$10:$C$22</c:f>
              <c:numCache>
                <c:formatCode>_-* #\ ##0_-;\-* #\ ##0_-;_-* "-"??_-;_-@_-</c:formatCode>
                <c:ptCount val="13"/>
                <c:pt idx="0">
                  <c:v>1243382517.9631627</c:v>
                </c:pt>
                <c:pt idx="1">
                  <c:v>933246221.03773594</c:v>
                </c:pt>
                <c:pt idx="2">
                  <c:v>1518150608.5040431</c:v>
                </c:pt>
                <c:pt idx="3">
                  <c:v>2657661972.7810154</c:v>
                </c:pt>
                <c:pt idx="4">
                  <c:v>2638065215.0900002</c:v>
                </c:pt>
                <c:pt idx="5">
                  <c:v>3598471295.0799999</c:v>
                </c:pt>
                <c:pt idx="6">
                  <c:v>3426514023.9099998</c:v>
                </c:pt>
                <c:pt idx="7">
                  <c:v>3260712565.6100001</c:v>
                </c:pt>
                <c:pt idx="8">
                  <c:v>3599148358.0699997</c:v>
                </c:pt>
                <c:pt idx="9">
                  <c:v>3296100285.2200003</c:v>
                </c:pt>
                <c:pt idx="10">
                  <c:v>2692964472</c:v>
                </c:pt>
                <c:pt idx="11">
                  <c:v>2094489575</c:v>
                </c:pt>
                <c:pt idx="12">
                  <c:v>2182579925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1-482F-8E3C-6D5209C38BF6}"/>
            </c:ext>
          </c:extLst>
        </c:ser>
        <c:ser>
          <c:idx val="0"/>
          <c:order val="2"/>
          <c:tx>
            <c:strRef>
              <c:f>'Total LF - DemandSupply'!$D$1</c:f>
              <c:strCache>
                <c:ptCount val="1"/>
                <c:pt idx="0">
                  <c:v>RSA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'Total LF - DemandSupply'!$D$10:$D$22</c:f>
              <c:numCache>
                <c:formatCode>_-* #\ ##0_-;\-* #\ ##0_-;_-* "-"??_-;_-@_-</c:formatCode>
                <c:ptCount val="13"/>
                <c:pt idx="0">
                  <c:v>21004797716.255165</c:v>
                </c:pt>
                <c:pt idx="1">
                  <c:v>20820572915.182388</c:v>
                </c:pt>
                <c:pt idx="2">
                  <c:v>22398145177.784042</c:v>
                </c:pt>
                <c:pt idx="3">
                  <c:v>22628897781.557682</c:v>
                </c:pt>
                <c:pt idx="4">
                  <c:v>22023540233.240002</c:v>
                </c:pt>
                <c:pt idx="5">
                  <c:v>22476517010.059998</c:v>
                </c:pt>
                <c:pt idx="6">
                  <c:v>23659162553.580002</c:v>
                </c:pt>
                <c:pt idx="7">
                  <c:v>20737236620.16</c:v>
                </c:pt>
                <c:pt idx="8">
                  <c:v>20940644274.27</c:v>
                </c:pt>
                <c:pt idx="9">
                  <c:v>21630363585.57</c:v>
                </c:pt>
                <c:pt idx="10">
                  <c:v>15036753580</c:v>
                </c:pt>
                <c:pt idx="11">
                  <c:v>10923293280</c:v>
                </c:pt>
                <c:pt idx="12">
                  <c:v>8195260538.4466438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1-482F-8E3C-6D5209C38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549791"/>
        <c:axId val="78234543"/>
      </c:lineChart>
      <c:catAx>
        <c:axId val="2435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4543"/>
        <c:crosses val="autoZero"/>
        <c:auto val="1"/>
        <c:lblAlgn val="ctr"/>
        <c:lblOffset val="100"/>
        <c:noMultiLvlLbl val="0"/>
      </c:catAx>
      <c:valAx>
        <c:axId val="78234543"/>
        <c:scaling>
          <c:orientation val="minMax"/>
          <c:max val="25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'Deficit Manual '!$B$29</c:f>
              <c:strCache>
                <c:ptCount val="1"/>
                <c:pt idx="0">
                  <c:v>Gasoline HP 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'Deficit Manual '!$A$30:$A$38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'!$B$30:$B$38</c:f>
              <c:numCache>
                <c:formatCode>_-* #\ ##0_-;\-* #\ ##0_-;_-* "-"??_-;_-@_-</c:formatCode>
                <c:ptCount val="9"/>
                <c:pt idx="0">
                  <c:v>4589093798</c:v>
                </c:pt>
                <c:pt idx="1">
                  <c:v>3488666842.3600001</c:v>
                </c:pt>
                <c:pt idx="2">
                  <c:v>1450360332.8430004</c:v>
                </c:pt>
                <c:pt idx="3">
                  <c:v>1884041465.0231266</c:v>
                </c:pt>
                <c:pt idx="4">
                  <c:v>2143534381.7182274</c:v>
                </c:pt>
                <c:pt idx="5">
                  <c:v>2535786125.5365582</c:v>
                </c:pt>
                <c:pt idx="6">
                  <c:v>2791026175.3936701</c:v>
                </c:pt>
                <c:pt idx="7">
                  <c:v>4871980137.6194057</c:v>
                </c:pt>
                <c:pt idx="8">
                  <c:v>4990840537.4256516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C-4137-9544-24895AF56103}"/>
            </c:ext>
          </c:extLst>
        </c:ser>
        <c:ser>
          <c:idx val="1"/>
          <c:order val="1"/>
          <c:tx>
            <c:strRef>
              <c:f>'Deficit Manual '!$C$29</c:f>
              <c:strCache>
                <c:ptCount val="1"/>
                <c:pt idx="0">
                  <c:v>Gasoiline LP HI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'Deficit Manual '!$A$30:$A$38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'!$C$30:$C$38</c:f>
              <c:numCache>
                <c:formatCode>_-* #\ ##0_-;\-* #\ ##0_-;_-* "-"??_-;_-@_-</c:formatCode>
                <c:ptCount val="9"/>
                <c:pt idx="0">
                  <c:v>4589093798</c:v>
                </c:pt>
                <c:pt idx="1">
                  <c:v>3488666842.3600001</c:v>
                </c:pt>
                <c:pt idx="2">
                  <c:v>1450360332.8430004</c:v>
                </c:pt>
                <c:pt idx="3">
                  <c:v>1884041465.0231266</c:v>
                </c:pt>
                <c:pt idx="4">
                  <c:v>1359577864.7011671</c:v>
                </c:pt>
                <c:pt idx="5">
                  <c:v>1592505403.3085489</c:v>
                </c:pt>
                <c:pt idx="6">
                  <c:v>1687538999.5900059</c:v>
                </c:pt>
                <c:pt idx="7">
                  <c:v>1642741250.6273918</c:v>
                </c:pt>
                <c:pt idx="8">
                  <c:v>1595477538.3987045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DC-4137-9544-24895AF56103}"/>
            </c:ext>
          </c:extLst>
        </c:ser>
        <c:ser>
          <c:idx val="2"/>
          <c:order val="2"/>
          <c:tx>
            <c:strRef>
              <c:f>'Deficit Manual '!$D$29</c:f>
              <c:strCache>
                <c:ptCount val="1"/>
                <c:pt idx="0">
                  <c:v>Diesel HP 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'Deficit Manual '!$A$30:$A$38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'!$D$30:$D$38</c:f>
              <c:numCache>
                <c:formatCode>_-* #\ ##0_-;\-* #\ ##0_-;_-* "-"??_-;_-@_-</c:formatCode>
                <c:ptCount val="9"/>
                <c:pt idx="0">
                  <c:v>11016030480</c:v>
                </c:pt>
                <c:pt idx="1">
                  <c:v>11953374947.75</c:v>
                </c:pt>
                <c:pt idx="2">
                  <c:v>8921523840.2350025</c:v>
                </c:pt>
                <c:pt idx="3">
                  <c:v>9208901011.2613888</c:v>
                </c:pt>
                <c:pt idx="4">
                  <c:v>10474036503.280468</c:v>
                </c:pt>
                <c:pt idx="5">
                  <c:v>10894416861.648127</c:v>
                </c:pt>
                <c:pt idx="6">
                  <c:v>11241572383.950581</c:v>
                </c:pt>
                <c:pt idx="7">
                  <c:v>12606406814.402596</c:v>
                </c:pt>
                <c:pt idx="8">
                  <c:v>12885248654.621841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DC-4137-9544-24895AF56103}"/>
            </c:ext>
          </c:extLst>
        </c:ser>
        <c:ser>
          <c:idx val="3"/>
          <c:order val="3"/>
          <c:tx>
            <c:strRef>
              <c:f>'Deficit Manual '!$E$29</c:f>
              <c:strCache>
                <c:ptCount val="1"/>
                <c:pt idx="0">
                  <c:v>Diesel LP HI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'Deficit Manual '!$A$30:$A$38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'!$E$30:$E$38</c:f>
              <c:numCache>
                <c:formatCode>_-* #\ ##0_-;\-* #\ ##0_-;_-* "-"??_-;_-@_-</c:formatCode>
                <c:ptCount val="9"/>
                <c:pt idx="0">
                  <c:v>11016030480</c:v>
                </c:pt>
                <c:pt idx="1">
                  <c:v>11953374947.75</c:v>
                </c:pt>
                <c:pt idx="2">
                  <c:v>8921523840.2350025</c:v>
                </c:pt>
                <c:pt idx="3">
                  <c:v>9208901011.2613888</c:v>
                </c:pt>
                <c:pt idx="4">
                  <c:v>8763402267.5030899</c:v>
                </c:pt>
                <c:pt idx="5">
                  <c:v>9016643349.0852547</c:v>
                </c:pt>
                <c:pt idx="6">
                  <c:v>9194182216.753233</c:v>
                </c:pt>
                <c:pt idx="7">
                  <c:v>9229951158.5757236</c:v>
                </c:pt>
                <c:pt idx="8">
                  <c:v>9267961497.3914642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DC-4137-9544-24895AF56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991583"/>
        <c:axId val="1170990623"/>
      </c:lineChart>
      <c:catAx>
        <c:axId val="117099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90623"/>
        <c:crosses val="autoZero"/>
        <c:auto val="1"/>
        <c:lblAlgn val="ctr"/>
        <c:lblOffset val="100"/>
        <c:noMultiLvlLbl val="0"/>
      </c:catAx>
      <c:valAx>
        <c:axId val="11709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9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RSA</a:t>
            </a:r>
            <a:r>
              <a:rPr lang="en-GB" baseline="0"/>
              <a:t> Import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4782616370012222"/>
          <c:y val="0.10473177661128248"/>
          <c:w val="0.83500911792425581"/>
          <c:h val="0.76866925162227762"/>
        </c:manualLayout>
      </c:layout>
      <c:lineChart>
        <c:grouping val="standard"/>
        <c:varyColors val="0"/>
        <c:ser>
          <c:idx val="0"/>
          <c:order val="0"/>
          <c:tx>
            <c:strRef>
              <c:f>'Deficit Manual '!$B$29</c:f>
              <c:strCache>
                <c:ptCount val="1"/>
                <c:pt idx="0">
                  <c:v>Gasoline HP 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4452597897147005E-2"/>
                  <c:y val="5.64744009766958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1B-4D58-B386-8D733E0E5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'Deficit Manual '!$A$30:$A$38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'!$B$30:$B$38</c:f>
              <c:numCache>
                <c:formatCode>_-* #\ ##0_-;\-* #\ ##0_-;_-* "-"??_-;_-@_-</c:formatCode>
                <c:ptCount val="9"/>
                <c:pt idx="0">
                  <c:v>4589093798</c:v>
                </c:pt>
                <c:pt idx="1">
                  <c:v>3488666842.3600001</c:v>
                </c:pt>
                <c:pt idx="2">
                  <c:v>1450360332.8430004</c:v>
                </c:pt>
                <c:pt idx="3">
                  <c:v>1884041465.0231266</c:v>
                </c:pt>
                <c:pt idx="4">
                  <c:v>2143534381.7182274</c:v>
                </c:pt>
                <c:pt idx="5">
                  <c:v>2535786125.5365582</c:v>
                </c:pt>
                <c:pt idx="6">
                  <c:v>2791026175.3936701</c:v>
                </c:pt>
                <c:pt idx="7">
                  <c:v>4871980137.6194057</c:v>
                </c:pt>
                <c:pt idx="8">
                  <c:v>4990840537.4256516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B-4D58-B386-8D733E0E5DA4}"/>
            </c:ext>
          </c:extLst>
        </c:ser>
        <c:ser>
          <c:idx val="1"/>
          <c:order val="1"/>
          <c:tx>
            <c:strRef>
              <c:f>'Deficit Manual '!$C$29</c:f>
              <c:strCache>
                <c:ptCount val="1"/>
                <c:pt idx="0">
                  <c:v>Gasoiline LP HI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'Deficit Manual '!$A$30:$A$38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'!$C$30:$C$38</c:f>
              <c:numCache>
                <c:formatCode>_-* #\ ##0_-;\-* #\ ##0_-;_-* "-"??_-;_-@_-</c:formatCode>
                <c:ptCount val="9"/>
                <c:pt idx="0">
                  <c:v>4589093798</c:v>
                </c:pt>
                <c:pt idx="1">
                  <c:v>3488666842.3600001</c:v>
                </c:pt>
                <c:pt idx="2">
                  <c:v>1450360332.8430004</c:v>
                </c:pt>
                <c:pt idx="3">
                  <c:v>1884041465.0231266</c:v>
                </c:pt>
                <c:pt idx="4">
                  <c:v>1359577864.7011671</c:v>
                </c:pt>
                <c:pt idx="5">
                  <c:v>1592505403.3085489</c:v>
                </c:pt>
                <c:pt idx="6">
                  <c:v>1687538999.5900059</c:v>
                </c:pt>
                <c:pt idx="7">
                  <c:v>1642741250.6273918</c:v>
                </c:pt>
                <c:pt idx="8">
                  <c:v>1595477538.3987045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B-4D58-B386-8D733E0E5DA4}"/>
            </c:ext>
          </c:extLst>
        </c:ser>
        <c:ser>
          <c:idx val="2"/>
          <c:order val="2"/>
          <c:tx>
            <c:strRef>
              <c:f>'Deficit Manual '!$D$29</c:f>
              <c:strCache>
                <c:ptCount val="1"/>
                <c:pt idx="0">
                  <c:v>Diesel HP 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0839448422860255E-2"/>
                  <c:y val="-6.21218410743654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1B-4D58-B386-8D733E0E5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'Deficit Manual '!$A$30:$A$38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'!$D$30:$D$38</c:f>
              <c:numCache>
                <c:formatCode>_-* #\ ##0_-;\-* #\ ##0_-;_-* "-"??_-;_-@_-</c:formatCode>
                <c:ptCount val="9"/>
                <c:pt idx="0">
                  <c:v>11016030480</c:v>
                </c:pt>
                <c:pt idx="1">
                  <c:v>11953374947.75</c:v>
                </c:pt>
                <c:pt idx="2">
                  <c:v>8921523840.2350025</c:v>
                </c:pt>
                <c:pt idx="3">
                  <c:v>9208901011.2613888</c:v>
                </c:pt>
                <c:pt idx="4">
                  <c:v>10474036503.280468</c:v>
                </c:pt>
                <c:pt idx="5">
                  <c:v>10894416861.648127</c:v>
                </c:pt>
                <c:pt idx="6">
                  <c:v>11241572383.950581</c:v>
                </c:pt>
                <c:pt idx="7">
                  <c:v>12606406814.402596</c:v>
                </c:pt>
                <c:pt idx="8">
                  <c:v>12885248654.621841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B-4D58-B386-8D733E0E5DA4}"/>
            </c:ext>
          </c:extLst>
        </c:ser>
        <c:ser>
          <c:idx val="3"/>
          <c:order val="3"/>
          <c:tx>
            <c:strRef>
              <c:f>'Deficit Manual '!$E$29</c:f>
              <c:strCache>
                <c:ptCount val="1"/>
                <c:pt idx="0">
                  <c:v>Diesel LP HI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'Deficit Manual '!$A$30:$A$38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'!$E$30:$E$38</c:f>
              <c:numCache>
                <c:formatCode>_-* #\ ##0_-;\-* #\ ##0_-;_-* "-"??_-;_-@_-</c:formatCode>
                <c:ptCount val="9"/>
                <c:pt idx="0">
                  <c:v>11016030480</c:v>
                </c:pt>
                <c:pt idx="1">
                  <c:v>11953374947.75</c:v>
                </c:pt>
                <c:pt idx="2">
                  <c:v>8921523840.2350025</c:v>
                </c:pt>
                <c:pt idx="3">
                  <c:v>9208901011.2613888</c:v>
                </c:pt>
                <c:pt idx="4">
                  <c:v>8763402267.5030899</c:v>
                </c:pt>
                <c:pt idx="5">
                  <c:v>9016643349.0852547</c:v>
                </c:pt>
                <c:pt idx="6">
                  <c:v>9194182216.753233</c:v>
                </c:pt>
                <c:pt idx="7">
                  <c:v>9229951158.5757236</c:v>
                </c:pt>
                <c:pt idx="8">
                  <c:v>9267961497.3914642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1B-4D58-B386-8D733E0E5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956047"/>
        <c:axId val="1732947887"/>
      </c:lineChart>
      <c:catAx>
        <c:axId val="173295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947887"/>
        <c:crosses val="autoZero"/>
        <c:auto val="1"/>
        <c:lblAlgn val="ctr"/>
        <c:lblOffset val="100"/>
        <c:noMultiLvlLbl val="0"/>
      </c:catAx>
      <c:valAx>
        <c:axId val="1732947887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95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MOI Import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'Deficit Manual '!$M$29</c:f>
              <c:strCache>
                <c:ptCount val="1"/>
                <c:pt idx="0">
                  <c:v>Gasoline LP 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3.3752070688837378E-2"/>
                  <c:y val="-7.9142297765428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E4-4806-A838-1697D928BD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'Deficit Manual '!$L$30:$L$38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'!$M$30:$M$38</c:f>
              <c:numCache>
                <c:formatCode>_-* #\ ##0_-;\-* #\ ##0_-;_-* "-"??_-;_-@_-</c:formatCode>
                <c:ptCount val="9"/>
                <c:pt idx="0">
                  <c:v>1214823456.1816759</c:v>
                </c:pt>
                <c:pt idx="1">
                  <c:v>1740481817.2209101</c:v>
                </c:pt>
                <c:pt idx="2">
                  <c:v>976325523.62504101</c:v>
                </c:pt>
                <c:pt idx="3">
                  <c:v>1181753979.2166796</c:v>
                </c:pt>
                <c:pt idx="4">
                  <c:v>1313890748.0061569</c:v>
                </c:pt>
                <c:pt idx="5">
                  <c:v>1353009883.8357153</c:v>
                </c:pt>
                <c:pt idx="6">
                  <c:v>1394933987.7457523</c:v>
                </c:pt>
                <c:pt idx="7">
                  <c:v>1593271511.7782183</c:v>
                </c:pt>
                <c:pt idx="8">
                  <c:v>1682792069.216608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4-4806-A838-1697D928BD45}"/>
            </c:ext>
          </c:extLst>
        </c:ser>
        <c:ser>
          <c:idx val="1"/>
          <c:order val="1"/>
          <c:tx>
            <c:strRef>
              <c:f>'Deficit Manual '!$N$29</c:f>
              <c:strCache>
                <c:ptCount val="1"/>
                <c:pt idx="0">
                  <c:v>Gasoiline HP 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'Deficit Manual '!$L$30:$L$38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'!$N$30:$N$38</c:f>
              <c:numCache>
                <c:formatCode>_-* #\ ##0_-;\-* #\ ##0_-;_-* "-"??_-;_-@_-</c:formatCode>
                <c:ptCount val="9"/>
                <c:pt idx="0">
                  <c:v>1234234358.8657179</c:v>
                </c:pt>
                <c:pt idx="1">
                  <c:v>1780768596.3764725</c:v>
                </c:pt>
                <c:pt idx="2">
                  <c:v>1432664858.4235029</c:v>
                </c:pt>
                <c:pt idx="3">
                  <c:v>1683141257.9799976</c:v>
                </c:pt>
                <c:pt idx="4">
                  <c:v>1717660454.8333664</c:v>
                </c:pt>
                <c:pt idx="5">
                  <c:v>1657659306.1997452</c:v>
                </c:pt>
                <c:pt idx="6">
                  <c:v>1599798654.0014124</c:v>
                </c:pt>
                <c:pt idx="7">
                  <c:v>1771521483.7122993</c:v>
                </c:pt>
                <c:pt idx="8">
                  <c:v>1735924481.9167747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E4-4806-A838-1697D928BD45}"/>
            </c:ext>
          </c:extLst>
        </c:ser>
        <c:ser>
          <c:idx val="2"/>
          <c:order val="2"/>
          <c:tx>
            <c:strRef>
              <c:f>'Deficit Manual '!$O$29</c:f>
              <c:strCache>
                <c:ptCount val="1"/>
                <c:pt idx="0">
                  <c:v>Diesel LP HI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7.105699092386817E-3"/>
                  <c:y val="-6.8226118763300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E4-4806-A838-1697D928BD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'Deficit Manual '!$L$30:$L$38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'!$O$30:$O$38</c:f>
              <c:numCache>
                <c:formatCode>_-* #\ ##0_-;\-* #\ ##0_-;_-* "-"??_-;_-@_-</c:formatCode>
                <c:ptCount val="9"/>
                <c:pt idx="0">
                  <c:v>6940221695.1187067</c:v>
                </c:pt>
                <c:pt idx="1">
                  <c:v>7297113652.5999022</c:v>
                </c:pt>
                <c:pt idx="2">
                  <c:v>5898080736.160244</c:v>
                </c:pt>
                <c:pt idx="3">
                  <c:v>6422250349.9277973</c:v>
                </c:pt>
                <c:pt idx="4">
                  <c:v>7757484327.3659</c:v>
                </c:pt>
                <c:pt idx="5">
                  <c:v>7940028141.6508503</c:v>
                </c:pt>
                <c:pt idx="6">
                  <c:v>8126014926.9088087</c:v>
                </c:pt>
                <c:pt idx="7">
                  <c:v>8342706818.0825615</c:v>
                </c:pt>
                <c:pt idx="8">
                  <c:v>8543493339.1887875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E4-4806-A838-1697D928BD45}"/>
            </c:ext>
          </c:extLst>
        </c:ser>
        <c:ser>
          <c:idx val="3"/>
          <c:order val="3"/>
          <c:tx>
            <c:strRef>
              <c:f>'Deficit Manual '!$P$29</c:f>
              <c:strCache>
                <c:ptCount val="1"/>
                <c:pt idx="0">
                  <c:v>Diesel LP HI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'Deficit Manual '!$L$30:$L$38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'Deficit Manual '!$P$30:$P$38</c:f>
              <c:numCache>
                <c:formatCode>_-* #\ ##0_-;\-* #\ ##0_-;_-* "-"??_-;_-@_-</c:formatCode>
                <c:ptCount val="9"/>
                <c:pt idx="0">
                  <c:v>6943647148.5335388</c:v>
                </c:pt>
                <c:pt idx="1">
                  <c:v>7304223084.2155895</c:v>
                </c:pt>
                <c:pt idx="2">
                  <c:v>5978611207.0070314</c:v>
                </c:pt>
                <c:pt idx="3">
                  <c:v>6510730457.9448538</c:v>
                </c:pt>
                <c:pt idx="4">
                  <c:v>6693823526.8571157</c:v>
                </c:pt>
                <c:pt idx="5">
                  <c:v>6915531810.518569</c:v>
                </c:pt>
                <c:pt idx="6">
                  <c:v>6983066175.8710022</c:v>
                </c:pt>
                <c:pt idx="7">
                  <c:v>7045080531.5760565</c:v>
                </c:pt>
                <c:pt idx="8">
                  <c:v>7072450755.8253317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E4-4806-A838-1697D928B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669200"/>
        <c:axId val="837669680"/>
      </c:lineChart>
      <c:catAx>
        <c:axId val="83766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69680"/>
        <c:crosses val="autoZero"/>
        <c:auto val="1"/>
        <c:lblAlgn val="ctr"/>
        <c:lblOffset val="100"/>
        <c:noMultiLvlLbl val="0"/>
      </c:catAx>
      <c:valAx>
        <c:axId val="837669680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6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Jet Fuel Demand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fJetFuel!$N$9</c:f>
              <c:strCache>
                <c:ptCount val="1"/>
                <c:pt idx="0">
                  <c:v>Jet Fuel Demand upto 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fJetFuel!$B$10:$B$45</c15:sqref>
                  </c15:fullRef>
                </c:ext>
              </c:extLst>
              <c:f>fJetFuel!$B$10:$B$40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fJetFuel!$N$10:$N$45</c15:sqref>
                  </c15:fullRef>
                </c:ext>
              </c:extLst>
              <c:f>fJetFuel!$N$10:$N$40</c:f>
              <c:numCache>
                <c:formatCode>_-* #\ ##0_-;\-* #\ ##0_-;_-* "-"??_-;_-@_-</c:formatCode>
                <c:ptCount val="31"/>
                <c:pt idx="0">
                  <c:v>2460460646</c:v>
                </c:pt>
                <c:pt idx="1">
                  <c:v>2562518279</c:v>
                </c:pt>
                <c:pt idx="2">
                  <c:v>2461375625</c:v>
                </c:pt>
                <c:pt idx="3">
                  <c:v>2335193738</c:v>
                </c:pt>
                <c:pt idx="4">
                  <c:v>2315233957</c:v>
                </c:pt>
                <c:pt idx="5">
                  <c:v>2477655021</c:v>
                </c:pt>
                <c:pt idx="6">
                  <c:v>2616374955</c:v>
                </c:pt>
                <c:pt idx="7">
                  <c:v>2726423717</c:v>
                </c:pt>
                <c:pt idx="8">
                  <c:v>2356724442</c:v>
                </c:pt>
                <c:pt idx="9">
                  <c:v>2449505137</c:v>
                </c:pt>
                <c:pt idx="10">
                  <c:v>1098369094</c:v>
                </c:pt>
                <c:pt idx="11">
                  <c:v>1054945939</c:v>
                </c:pt>
                <c:pt idx="12">
                  <c:v>1482846283.9199998</c:v>
                </c:pt>
                <c:pt idx="13">
                  <c:v>1850517638.0579998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7-44DA-ACD7-349B04E4CF24}"/>
            </c:ext>
          </c:extLst>
        </c:ser>
        <c:ser>
          <c:idx val="1"/>
          <c:order val="1"/>
          <c:tx>
            <c:strRef>
              <c:f>fJetFuel!$O$9</c:f>
              <c:strCache>
                <c:ptCount val="1"/>
                <c:pt idx="0">
                  <c:v>RSA High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fJetFuel!$B$10:$B$45</c15:sqref>
                  </c15:fullRef>
                </c:ext>
              </c:extLst>
              <c:f>fJetFuel!$B$10:$B$40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fJetFuel!$O$10:$O$45</c15:sqref>
                  </c15:fullRef>
                </c:ext>
              </c:extLst>
              <c:f>fJetFuel!$O$10:$O$40</c:f>
              <c:numCache>
                <c:formatCode>General</c:formatCode>
                <c:ptCount val="31"/>
                <c:pt idx="13" formatCode="_-* #\ ##0_-;\-* #\ ##0_-;_-* &quot;-&quot;??_-;_-@_-">
                  <c:v>1850517638.0579998</c:v>
                </c:pt>
                <c:pt idx="14" formatCode="_-* #\ ##0_-;\-* #\ ##0_-;_-* &quot;-&quot;??_-;_-@_-">
                  <c:v>1601444539.2936802</c:v>
                </c:pt>
                <c:pt idx="15" formatCode="_-* #\ ##0_-;\-* #\ ##0_-;_-* &quot;-&quot;??_-;_-@_-">
                  <c:v>1666187174.1169891</c:v>
                </c:pt>
                <c:pt idx="16" formatCode="_-* #\ ##0_-;\-* #\ ##0_-;_-* &quot;-&quot;??_-;_-@_-">
                  <c:v>1910595391.337534</c:v>
                </c:pt>
                <c:pt idx="17" formatCode="_-* #\ ##0_-;\-* #\ ##0_-;_-* &quot;-&quot;??_-;_-@_-">
                  <c:v>2122425405.0802803</c:v>
                </c:pt>
                <c:pt idx="18" formatCode="_-* #\ ##0_-;\-* #\ ##0_-;_-* &quot;-&quot;??_-;_-@_-">
                  <c:v>2347516406.2648716</c:v>
                </c:pt>
                <c:pt idx="19" formatCode="_-* #\ ##0_-;\-* #\ ##0_-;_-* &quot;-&quot;??_-;_-@_-">
                  <c:v>2587532805.6803932</c:v>
                </c:pt>
                <c:pt idx="20" formatCode="_-* #\ ##0_-;\-* #\ ##0_-;_-* &quot;-&quot;??_-;_-@_-">
                  <c:v>2842462577.0703812</c:v>
                </c:pt>
                <c:pt idx="21" formatCode="_-* #\ ##0_-;\-* #\ ##0_-;_-* &quot;-&quot;??_-;_-@_-">
                  <c:v>2996015987.0114479</c:v>
                </c:pt>
                <c:pt idx="22" formatCode="_-* #\ ##0_-;\-* #\ ##0_-;_-* &quot;-&quot;??_-;_-@_-">
                  <c:v>3151230398.7929764</c:v>
                </c:pt>
                <c:pt idx="23" formatCode="_-* #\ ##0_-;\-* #\ ##0_-;_-* &quot;-&quot;??_-;_-@_-">
                  <c:v>3308129001.9460793</c:v>
                </c:pt>
                <c:pt idx="24" formatCode="_-* #\ ##0_-;\-* #\ ##0_-;_-* &quot;-&quot;??_-;_-@_-">
                  <c:v>3466735378.4405136</c:v>
                </c:pt>
                <c:pt idx="25" formatCode="_-* #\ ##0_-;\-* #\ ##0_-;_-* &quot;-&quot;??_-;_-@_-">
                  <c:v>3627073510.0258751</c:v>
                </c:pt>
                <c:pt idx="26" formatCode="_-* #\ ##0_-;\-* #\ ##0_-;_-* &quot;-&quot;??_-;_-@_-">
                  <c:v>3789167785.7160187</c:v>
                </c:pt>
                <c:pt idx="27" formatCode="_-* #\ ##0_-;\-* #\ ##0_-;_-* &quot;-&quot;??_-;_-@_-">
                  <c:v>3953043009.4195366</c:v>
                </c:pt>
                <c:pt idx="28" formatCode="_-* #\ ##0_-;\-* #\ ##0_-;_-* &quot;-&quot;??_-;_-@_-">
                  <c:v>4118724407.7191925</c:v>
                </c:pt>
                <c:pt idx="29" formatCode="_-* #\ ##0_-;\-* #\ ##0_-;_-* &quot;-&quot;??_-;_-@_-">
                  <c:v>4286237637.8032303</c:v>
                </c:pt>
                <c:pt idx="30" formatCode="_-* #\ ##0_-;\-* #\ ##0_-;_-* &quot;-&quot;??_-;_-@_-">
                  <c:v>4455608795.5516281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7-44DA-ACD7-349B04E4CF24}"/>
            </c:ext>
          </c:extLst>
        </c:ser>
        <c:ser>
          <c:idx val="2"/>
          <c:order val="2"/>
          <c:tx>
            <c:strRef>
              <c:f>fJetFuel!$P$9</c:f>
              <c:strCache>
                <c:ptCount val="1"/>
                <c:pt idx="0">
                  <c:v>RSA Low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fJetFuel!$B$10:$B$45</c15:sqref>
                  </c15:fullRef>
                </c:ext>
              </c:extLst>
              <c:f>fJetFuel!$B$10:$B$40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fJetFuel!$P$10:$P$45</c15:sqref>
                  </c15:fullRef>
                </c:ext>
              </c:extLst>
              <c:f>fJetFuel!$P$10:$P$40</c:f>
              <c:numCache>
                <c:formatCode>General</c:formatCode>
                <c:ptCount val="31"/>
                <c:pt idx="13" formatCode="_-* #\ ##0_-;\-* #\ ##0_-;_-* &quot;-&quot;??_-;_-@_-">
                  <c:v>1850517638.0579998</c:v>
                </c:pt>
                <c:pt idx="14" formatCode="_-* #\ ##0_-;\-* #\ ##0_-;_-* &quot;-&quot;??_-;_-@_-">
                  <c:v>1601444539.2936802</c:v>
                </c:pt>
                <c:pt idx="15" formatCode="_-* #\ ##0_-;\-* #\ ##0_-;_-* &quot;-&quot;??_-;_-@_-">
                  <c:v>1666187174.1169891</c:v>
                </c:pt>
                <c:pt idx="16" formatCode="_-* #\ ##0_-;\-* #\ ##0_-;_-* &quot;-&quot;??_-;_-@_-">
                  <c:v>1822122208.1970177</c:v>
                </c:pt>
                <c:pt idx="17" formatCode="_-* #\ ##0_-;\-* #\ ##0_-;_-* &quot;-&quot;??_-;_-@_-">
                  <c:v>1906132449.5785255</c:v>
                </c:pt>
                <c:pt idx="18" formatCode="_-* #\ ##0_-;\-* #\ ##0_-;_-* &quot;-&quot;??_-;_-@_-">
                  <c:v>1923729609.9256821</c:v>
                </c:pt>
                <c:pt idx="19" formatCode="_-* #\ ##0_-;\-* #\ ##0_-;_-* &quot;-&quot;??_-;_-@_-">
                  <c:v>1946501349.1933441</c:v>
                </c:pt>
                <c:pt idx="20" formatCode="_-* #\ ##0_-;\-* #\ ##0_-;_-* &quot;-&quot;??_-;_-@_-">
                  <c:v>1974327616.5707474</c:v>
                </c:pt>
                <c:pt idx="21" formatCode="_-* #\ ##0_-;\-* #\ ##0_-;_-* &quot;-&quot;??_-;_-@_-">
                  <c:v>2002760161.920599</c:v>
                </c:pt>
                <c:pt idx="22" formatCode="_-* #\ ##0_-;\-* #\ ##0_-;_-* &quot;-&quot;??_-;_-@_-">
                  <c:v>2031280961.4434795</c:v>
                </c:pt>
                <c:pt idx="23" formatCode="_-* #\ ##0_-;\-* #\ ##0_-;_-* &quot;-&quot;??_-;_-@_-">
                  <c:v>2059890457.8023033</c:v>
                </c:pt>
                <c:pt idx="24" formatCode="_-* #\ ##0_-;\-* #\ ##0_-;_-* &quot;-&quot;??_-;_-@_-">
                  <c:v>2088589096.2710648</c:v>
                </c:pt>
                <c:pt idx="25" formatCode="_-* #\ ##0_-;\-* #\ ##0_-;_-* &quot;-&quot;??_-;_-@_-">
                  <c:v>2117377324.750824</c:v>
                </c:pt>
                <c:pt idx="26" formatCode="_-* #\ ##0_-;\-* #\ ##0_-;_-* &quot;-&quot;??_-;_-@_-">
                  <c:v>2146255593.7857475</c:v>
                </c:pt>
                <c:pt idx="27" formatCode="_-* #\ ##0_-;\-* #\ ##0_-;_-* &quot;-&quot;??_-;_-@_-">
                  <c:v>2175224356.5792732</c:v>
                </c:pt>
                <c:pt idx="28" formatCode="_-* #\ ##0_-;\-* #\ ##0_-;_-* &quot;-&quot;??_-;_-@_-">
                  <c:v>2204284069.010376</c:v>
                </c:pt>
                <c:pt idx="29" formatCode="_-* #\ ##0_-;\-* #\ ##0_-;_-* &quot;-&quot;??_-;_-@_-">
                  <c:v>2233435189.6499119</c:v>
                </c:pt>
                <c:pt idx="30" formatCode="_-* #\ ##0_-;\-* #\ ##0_-;_-* &quot;-&quot;??_-;_-@_-">
                  <c:v>2262678179.7770882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37-44DA-ACD7-349B04E4C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532960"/>
        <c:axId val="880350928"/>
      </c:lineChart>
      <c:catAx>
        <c:axId val="7155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0928"/>
        <c:crosses val="autoZero"/>
        <c:auto val="1"/>
        <c:lblAlgn val="ctr"/>
        <c:lblOffset val="100"/>
        <c:noMultiLvlLbl val="0"/>
      </c:catAx>
      <c:valAx>
        <c:axId val="880350928"/>
        <c:scaling>
          <c:orientation val="minMax"/>
        </c:scaling>
        <c:delete val="0"/>
        <c:axPos val="l"/>
        <c:numFmt formatCode="0.0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Diesel</a:t>
            </a:r>
            <a:r>
              <a:rPr lang="en-US" baseline="0"/>
              <a:t> Forecast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422415116437734"/>
          <c:y val="2.5220964778029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fDiesel!$R$9</c:f>
              <c:strCache>
                <c:ptCount val="1"/>
                <c:pt idx="0">
                  <c:v>Diesel Demand up to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fDiesel!$B$10:$B$45</c15:sqref>
                  </c15:fullRef>
                </c:ext>
              </c:extLst>
              <c:f>fDiesel!$B$10:$B$40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fDiesel!$R$10:$R$45</c15:sqref>
                  </c15:fullRef>
                </c:ext>
              </c:extLst>
              <c:f>fDiesel!$R$10:$R$40</c:f>
              <c:numCache>
                <c:formatCode>_-* #\ ##0_-;\-* #\ ##0_-;_-* "-"??_-;_-@_-</c:formatCode>
                <c:ptCount val="31"/>
                <c:pt idx="0">
                  <c:v>10451548684</c:v>
                </c:pt>
                <c:pt idx="1">
                  <c:v>11470381512</c:v>
                </c:pt>
                <c:pt idx="2">
                  <c:v>11663340680</c:v>
                </c:pt>
                <c:pt idx="3">
                  <c:v>12141281548</c:v>
                </c:pt>
                <c:pt idx="4">
                  <c:v>12615023359</c:v>
                </c:pt>
                <c:pt idx="5">
                  <c:v>13520139252</c:v>
                </c:pt>
                <c:pt idx="6">
                  <c:v>12082374038</c:v>
                </c:pt>
                <c:pt idx="7">
                  <c:v>12147245168</c:v>
                </c:pt>
                <c:pt idx="8">
                  <c:v>12538744326</c:v>
                </c:pt>
                <c:pt idx="9">
                  <c:v>12908631233</c:v>
                </c:pt>
                <c:pt idx="10">
                  <c:v>11689957758</c:v>
                </c:pt>
                <c:pt idx="11">
                  <c:v>12945782751</c:v>
                </c:pt>
                <c:pt idx="12">
                  <c:v>13777720342.985655</c:v>
                </c:pt>
                <c:pt idx="13">
                  <c:v>13967062497.75</c:v>
                </c:pt>
                <c:pt idx="14">
                  <c:v>11878421413.530001</c:v>
                </c:pt>
                <c:pt idx="15">
                  <c:v>12611283774.790003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B43-4042-B988-4B2529ABA12B}"/>
            </c:ext>
          </c:extLst>
        </c:ser>
        <c:ser>
          <c:idx val="1"/>
          <c:order val="1"/>
          <c:tx>
            <c:strRef>
              <c:f>fDiesel!$S$9</c:f>
              <c:strCache>
                <c:ptCount val="1"/>
                <c:pt idx="0">
                  <c:v>RSA High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fDiesel!$B$10:$B$45</c15:sqref>
                  </c15:fullRef>
                </c:ext>
              </c:extLst>
              <c:f>fDiesel!$B$10:$B$40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fDiesel!$S$10:$S$45</c15:sqref>
                  </c15:fullRef>
                </c:ext>
              </c:extLst>
              <c:f>fDiesel!$S$10:$S$40</c:f>
              <c:numCache>
                <c:formatCode>General</c:formatCode>
                <c:ptCount val="31"/>
                <c:pt idx="15" formatCode="_-* #\ ##0_-;\-* #\ ##0_-;_-* &quot;-&quot;??_-;_-@_-">
                  <c:v>12611283774.790003</c:v>
                </c:pt>
                <c:pt idx="16" formatCode="_-* #\ ##0_-;\-* #\ ##0_-;_-* &quot;-&quot;??_-;_-@_-">
                  <c:v>13373940595.049215</c:v>
                </c:pt>
                <c:pt idx="17" formatCode="_-* #\ ##0_-;\-* #\ ##0_-;_-* &quot;-&quot;??_-;_-@_-">
                  <c:v>13636705435.722342</c:v>
                </c:pt>
                <c:pt idx="18" formatCode="_-* #\ ##0_-;\-* #\ ##0_-;_-* &quot;-&quot;??_-;_-@_-">
                  <c:v>13904130325.894968</c:v>
                </c:pt>
                <c:pt idx="19" formatCode="_-* #\ ##0_-;\-* #\ ##0_-;_-* &quot;-&quot;??_-;_-@_-">
                  <c:v>14176287547.298841</c:v>
                </c:pt>
                <c:pt idx="20" formatCode="_-* #\ ##0_-;\-* #\ ##0_-;_-* &quot;-&quot;??_-;_-@_-">
                  <c:v>14453250549.56872</c:v>
                </c:pt>
                <c:pt idx="21" formatCode="_-* #\ ##0_-;\-* #\ ##0_-;_-* &quot;-&quot;??_-;_-@_-">
                  <c:v>14932001676.188917</c:v>
                </c:pt>
                <c:pt idx="22" formatCode="_-* #\ ##0_-;\-* #\ ##0_-;_-* &quot;-&quot;??_-;_-@_-">
                  <c:v>15218801354.15283</c:v>
                </c:pt>
                <c:pt idx="23" formatCode="_-* #\ ##0_-;\-* #\ ##0_-;_-* &quot;-&quot;??_-;_-@_-">
                  <c:v>15510634357.096354</c:v>
                </c:pt>
                <c:pt idx="24" formatCode="_-* #\ ##0_-;\-* #\ ##0_-;_-* &quot;-&quot;??_-;_-@_-">
                  <c:v>15807578995.568495</c:v>
                </c:pt>
                <c:pt idx="25" formatCode="_-* #\ ##0_-;\-* #\ ##0_-;_-* &quot;-&quot;??_-;_-@_-">
                  <c:v>16109714844.200296</c:v>
                </c:pt>
                <c:pt idx="26" formatCode="_-* #\ ##0_-;\-* #\ ##0_-;_-* &quot;-&quot;??_-;_-@_-">
                  <c:v>16548394566.752653</c:v>
                </c:pt>
                <c:pt idx="27" formatCode="_-* #\ ##0_-;\-* #\ ##0_-;_-* &quot;-&quot;??_-;_-@_-">
                  <c:v>16861156717.096815</c:v>
                </c:pt>
                <c:pt idx="28" formatCode="_-* #\ ##0_-;\-* #\ ##0_-;_-* &quot;-&quot;??_-;_-@_-">
                  <c:v>17179356589.303625</c:v>
                </c:pt>
                <c:pt idx="29" formatCode="_-* #\ ##0_-;\-* #\ ##0_-;_-* &quot;-&quot;??_-;_-@_-">
                  <c:v>17503079019.285595</c:v>
                </c:pt>
                <c:pt idx="30" formatCode="_-* #\ ##0_-;\-* #\ ##0_-;_-* &quot;-&quot;??_-;_-@_-">
                  <c:v>17832410211.168022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B43-4042-B988-4B2529ABA12B}"/>
            </c:ext>
          </c:extLst>
        </c:ser>
        <c:ser>
          <c:idx val="2"/>
          <c:order val="2"/>
          <c:tx>
            <c:strRef>
              <c:f>fDiesel!$T$9</c:f>
              <c:strCache>
                <c:ptCount val="1"/>
                <c:pt idx="0">
                  <c:v>RSA Low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fDiesel!$B$10:$B$45</c15:sqref>
                  </c15:fullRef>
                </c:ext>
              </c:extLst>
              <c:f>fDiesel!$B$10:$B$40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fDiesel!$T$10:$T$45</c15:sqref>
                  </c15:fullRef>
                </c:ext>
              </c:extLst>
              <c:f>fDiesel!$T$10:$T$40</c:f>
              <c:numCache>
                <c:formatCode>General</c:formatCode>
                <c:ptCount val="31"/>
                <c:pt idx="15" formatCode="_-* #\ ##0_-;\-* #\ ##0_-;_-* &quot;-&quot;??_-;_-@_-">
                  <c:v>12611283774.790003</c:v>
                </c:pt>
                <c:pt idx="16" formatCode="_-* #\ ##0_-;\-* #\ ##0_-;_-* &quot;-&quot;??_-;_-@_-">
                  <c:v>11881685469.71483</c:v>
                </c:pt>
                <c:pt idx="17" formatCode="_-* #\ ##0_-;\-* #\ ##0_-;_-* &quot;-&quot;??_-;_-@_-">
                  <c:v>11978437219.026459</c:v>
                </c:pt>
                <c:pt idx="18" formatCode="_-* #\ ##0_-;\-* #\ ##0_-;_-* &quot;-&quot;??_-;_-@_-">
                  <c:v>12077388332.575027</c:v>
                </c:pt>
                <c:pt idx="19" formatCode="_-* #\ ##0_-;\-* #\ ##0_-;_-* &quot;-&quot;??_-;_-@_-">
                  <c:v>12112916263.058432</c:v>
                </c:pt>
                <c:pt idx="20" formatCode="_-* #\ ##0_-;\-* #\ ##0_-;_-* &quot;-&quot;??_-;_-@_-">
                  <c:v>12150670487.989042</c:v>
                </c:pt>
                <c:pt idx="21" formatCode="_-* #\ ##0_-;\-* #\ ##0_-;_-* &quot;-&quot;??_-;_-@_-">
                  <c:v>12452436925.597534</c:v>
                </c:pt>
                <c:pt idx="22" formatCode="_-* #\ ##0_-;\-* #\ ##0_-;_-* &quot;-&quot;??_-;_-@_-">
                  <c:v>12754203363.206055</c:v>
                </c:pt>
                <c:pt idx="23" formatCode="_-* #\ ##0_-;\-* #\ ##0_-;_-* &quot;-&quot;??_-;_-@_-">
                  <c:v>13055969800.814575</c:v>
                </c:pt>
                <c:pt idx="24" formatCode="_-* #\ ##0_-;\-* #\ ##0_-;_-* &quot;-&quot;??_-;_-@_-">
                  <c:v>13357736238.423096</c:v>
                </c:pt>
                <c:pt idx="25" formatCode="_-* #\ ##0_-;\-* #\ ##0_-;_-* &quot;-&quot;??_-;_-@_-">
                  <c:v>13659502676.031616</c:v>
                </c:pt>
                <c:pt idx="26" formatCode="_-* #\ ##0_-;\-* #\ ##0_-;_-* &quot;-&quot;??_-;_-@_-">
                  <c:v>13961269113.640255</c:v>
                </c:pt>
                <c:pt idx="27" formatCode="_-* #\ ##0_-;\-* #\ ##0_-;_-* &quot;-&quot;??_-;_-@_-">
                  <c:v>14117441784.802876</c:v>
                </c:pt>
                <c:pt idx="28" formatCode="_-* #\ ##0_-;\-* #\ ##0_-;_-* &quot;-&quot;??_-;_-@_-">
                  <c:v>14275957433.62516</c:v>
                </c:pt>
                <c:pt idx="29" formatCode="_-* #\ ##0_-;\-* #\ ##0_-;_-* &quot;-&quot;??_-;_-@_-">
                  <c:v>14436831677.374218</c:v>
                </c:pt>
                <c:pt idx="30" formatCode="_-* #\ ##0_-;\-* #\ ##0_-;_-* &quot;-&quot;??_-;_-@_-">
                  <c:v>14600080367.614937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B43-4042-B988-4B2529AB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784559"/>
        <c:axId val="1352786959"/>
      </c:lineChart>
      <c:catAx>
        <c:axId val="135278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786959"/>
        <c:crosses val="autoZero"/>
        <c:auto val="1"/>
        <c:lblAlgn val="ctr"/>
        <c:lblOffset val="100"/>
        <c:noMultiLvlLbl val="0"/>
      </c:catAx>
      <c:valAx>
        <c:axId val="13527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78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04420935190173E-2"/>
          <c:y val="0.12325013709665679"/>
          <c:w val="0.91365749148125819"/>
          <c:h val="0.71572144520954895"/>
        </c:manualLayout>
      </c:layout>
      <c:lineChart>
        <c:grouping val="standard"/>
        <c:varyColors val="0"/>
        <c:ser>
          <c:idx val="0"/>
          <c:order val="0"/>
          <c:tx>
            <c:strRef>
              <c:f>fGasoline!$U$9</c:f>
              <c:strCache>
                <c:ptCount val="1"/>
                <c:pt idx="0">
                  <c:v>Gasoline Demand up to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fGasoline!$B$10:$B$45</c15:sqref>
                  </c15:fullRef>
                </c:ext>
              </c:extLst>
              <c:f>fGasoline!$B$10:$B$30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fGasoline!$U$10:$U$45</c15:sqref>
                  </c15:fullRef>
                </c:ext>
              </c:extLst>
              <c:f>fGasoline!$U$10:$U$30</c:f>
              <c:numCache>
                <c:formatCode>_-* #\ ##0_-;\-* #\ ##0_-;_-* "-"??_-;_-@_-</c:formatCode>
                <c:ptCount val="21"/>
                <c:pt idx="0">
                  <c:v>11788234670</c:v>
                </c:pt>
                <c:pt idx="1">
                  <c:v>12278314707</c:v>
                </c:pt>
                <c:pt idx="2">
                  <c:v>12060330013</c:v>
                </c:pt>
                <c:pt idx="3">
                  <c:v>11439925235</c:v>
                </c:pt>
                <c:pt idx="4">
                  <c:v>10890207679</c:v>
                </c:pt>
                <c:pt idx="5">
                  <c:v>11475709420</c:v>
                </c:pt>
                <c:pt idx="6">
                  <c:v>11462252467</c:v>
                </c:pt>
                <c:pt idx="7">
                  <c:v>11174082981</c:v>
                </c:pt>
                <c:pt idx="8">
                  <c:v>11141630546</c:v>
                </c:pt>
                <c:pt idx="9">
                  <c:v>10773208065</c:v>
                </c:pt>
                <c:pt idx="10">
                  <c:v>8761470961</c:v>
                </c:pt>
                <c:pt idx="11">
                  <c:v>9301584229</c:v>
                </c:pt>
                <c:pt idx="12">
                  <c:v>9184869915.5409889</c:v>
                </c:pt>
                <c:pt idx="13">
                  <c:v>9981346432.3599987</c:v>
                </c:pt>
                <c:pt idx="14">
                  <c:v>9047482712.5600014</c:v>
                </c:pt>
                <c:pt idx="15">
                  <c:v>9267777736.8100014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1-455B-B6DD-96ADFCD26320}"/>
            </c:ext>
          </c:extLst>
        </c:ser>
        <c:ser>
          <c:idx val="1"/>
          <c:order val="1"/>
          <c:tx>
            <c:strRef>
              <c:f>fGasoline!$V$9</c:f>
              <c:strCache>
                <c:ptCount val="1"/>
                <c:pt idx="0">
                  <c:v>RSA High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-1.1604545594746626E-16"/>
                  <c:y val="-3.93909035404811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C-4107-AA10-B74947899029}"/>
                </c:ext>
              </c:extLst>
            </c:dLbl>
            <c:numFmt formatCode="0.00,,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fGasoline!$B$10:$B$45</c15:sqref>
                  </c15:fullRef>
                </c:ext>
              </c:extLst>
              <c:f>fGasoline!$B$10:$B$30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fGasoline!$V$10:$V$45</c15:sqref>
                  </c15:fullRef>
                </c:ext>
              </c:extLst>
              <c:f>fGasoline!$V$10:$V$30</c:f>
              <c:numCache>
                <c:formatCode>General</c:formatCode>
                <c:ptCount val="21"/>
                <c:pt idx="15" formatCode="_-* #\ ##0_-;\-* #\ ##0_-;_-* &quot;-&quot;??_-;_-@_-">
                  <c:v>9267777736.8100014</c:v>
                </c:pt>
                <c:pt idx="16" formatCode="_-* #\ ##0_-;\-* #\ ##0_-;_-* &quot;-&quot;??_-;_-@_-">
                  <c:v>9514771930.7149372</c:v>
                </c:pt>
                <c:pt idx="17" formatCode="_-* #\ ##0_-;\-* #\ ##0_-;_-* &quot;-&quot;??_-;_-@_-">
                  <c:v>9626393439.695219</c:v>
                </c:pt>
                <c:pt idx="18" formatCode="_-* #\ ##0_-;\-* #\ ##0_-;_-* &quot;-&quot;??_-;_-@_-">
                  <c:v>9741249160.0115223</c:v>
                </c:pt>
                <c:pt idx="19" formatCode="_-* #\ ##0_-;\-* #\ ##0_-;_-* &quot;-&quot;??_-;_-@_-">
                  <c:v>9858569849.8340435</c:v>
                </c:pt>
                <c:pt idx="20" formatCode="_-* #\ ##0_-;\-* #\ ##0_-;_-* &quot;-&quot;??_-;_-@_-">
                  <c:v>9977291085.3864307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1-455B-B6DD-96ADFCD26320}"/>
            </c:ext>
          </c:extLst>
        </c:ser>
        <c:ser>
          <c:idx val="2"/>
          <c:order val="2"/>
          <c:tx>
            <c:strRef>
              <c:f>fGasoline!$W$9</c:f>
              <c:strCache>
                <c:ptCount val="1"/>
                <c:pt idx="0">
                  <c:v>RSA Low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8CAC-4D2B-A0E2-1D7D63415291}"/>
              </c:ext>
            </c:extLst>
          </c:dPt>
          <c:dLbls>
            <c:dLbl>
              <c:idx val="20"/>
              <c:layout>
                <c:manualLayout>
                  <c:x val="0"/>
                  <c:y val="4.54510425467090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3C-4107-AA10-B74947899029}"/>
                </c:ext>
              </c:extLst>
            </c:dLbl>
            <c:numFmt formatCode="0.00,,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fGasoline!$B$10:$B$45</c15:sqref>
                  </c15:fullRef>
                </c:ext>
              </c:extLst>
              <c:f>fGasoline!$B$10:$B$30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fGasoline!$W$10:$W$45</c15:sqref>
                  </c15:fullRef>
                </c:ext>
              </c:extLst>
              <c:f>fGasoline!$W$10:$W$30</c:f>
              <c:numCache>
                <c:formatCode>General</c:formatCode>
                <c:ptCount val="21"/>
                <c:pt idx="15" formatCode="_-* #\ ##0_-;\-* #\ ##0_-;_-* &quot;-&quot;??_-;_-@_-">
                  <c:v>9267777736.8100014</c:v>
                </c:pt>
                <c:pt idx="16" formatCode="_-* #\ ##0_-;\-* #\ ##0_-;_-* &quot;-&quot;??_-;_-@_-">
                  <c:v>9355770027.5799065</c:v>
                </c:pt>
                <c:pt idx="17" formatCode="_-* #\ ##0_-;\-* #\ ##0_-;_-* &quot;-&quot;??_-;_-@_-">
                  <c:v>9308253871.4767838</c:v>
                </c:pt>
                <c:pt idx="18" formatCode="_-* #\ ##0_-;\-* #\ ##0_-;_-* &quot;-&quot;??_-;_-@_-">
                  <c:v>9263090711.2999058</c:v>
                </c:pt>
                <c:pt idx="19" formatCode="_-* #\ ##0_-;\-* #\ ##0_-;_-* &quot;-&quot;??_-;_-@_-">
                  <c:v>9218345412.4831676</c:v>
                </c:pt>
                <c:pt idx="20" formatCode="_-* #\ ##0_-;\-* #\ ##0_-;_-* &quot;-&quot;??_-;_-@_-">
                  <c:v>9171137037.6019726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F1-455B-B6DD-96ADFCD2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532960"/>
        <c:axId val="880350928"/>
      </c:lineChart>
      <c:catAx>
        <c:axId val="7155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880350928"/>
        <c:crosses val="autoZero"/>
        <c:auto val="1"/>
        <c:lblAlgn val="ctr"/>
        <c:lblOffset val="100"/>
        <c:noMultiLvlLbl val="0"/>
      </c:catAx>
      <c:valAx>
        <c:axId val="880350928"/>
        <c:scaling>
          <c:orientation val="minMax"/>
        </c:scaling>
        <c:delete val="0"/>
        <c:axPos val="l"/>
        <c:numFmt formatCode="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7155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Durban</a:t>
            </a:r>
            <a:r>
              <a:rPr lang="en-GB" baseline="0"/>
              <a:t> Gasoline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share'!$B$10</c:f>
              <c:strCache>
                <c:ptCount val="1"/>
                <c:pt idx="0">
                  <c:v>Deficit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share'!$A$11:$A$29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share'!$B$11:$B$29</c:f>
              <c:numCache>
                <c:formatCode>_-* #\ ##0_-;\-* #\ ##0_-;_-* "-"??_-;_-@_-</c:formatCode>
                <c:ptCount val="19"/>
                <c:pt idx="0">
                  <c:v>1344679093.1571112</c:v>
                </c:pt>
                <c:pt idx="1">
                  <c:v>1163884565.8676147</c:v>
                </c:pt>
                <c:pt idx="2">
                  <c:v>887058082.07269454</c:v>
                </c:pt>
                <c:pt idx="3">
                  <c:v>1425077262.1535883</c:v>
                </c:pt>
                <c:pt idx="4">
                  <c:v>1057142624.1671886</c:v>
                </c:pt>
                <c:pt idx="5">
                  <c:v>1605111844.4489498</c:v>
                </c:pt>
                <c:pt idx="6">
                  <c:v>1644041197.3105936</c:v>
                </c:pt>
                <c:pt idx="7">
                  <c:v>1129506979.281199</c:v>
                </c:pt>
                <c:pt idx="8">
                  <c:v>1314906025.3888378</c:v>
                </c:pt>
                <c:pt idx="9">
                  <c:v>3052216595.5676765</c:v>
                </c:pt>
                <c:pt idx="10">
                  <c:v>4133591447.0060902</c:v>
                </c:pt>
                <c:pt idx="11">
                  <c:v>3384573051.4680777</c:v>
                </c:pt>
                <c:pt idx="12">
                  <c:v>3020714807.7084246</c:v>
                </c:pt>
                <c:pt idx="13">
                  <c:v>3063359953.5070748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4-4655-9EE5-2A57B8CB0550}"/>
            </c:ext>
          </c:extLst>
        </c:ser>
        <c:ser>
          <c:idx val="1"/>
          <c:order val="1"/>
          <c:tx>
            <c:strRef>
              <c:f>'Market share'!$C$10</c:f>
              <c:strCache>
                <c:ptCount val="1"/>
                <c:pt idx="0">
                  <c:v>Min deficit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share'!$A$11:$A$29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share'!$C$11:$C$29</c:f>
              <c:numCache>
                <c:formatCode>General</c:formatCode>
                <c:ptCount val="19"/>
                <c:pt idx="13" formatCode="_-* #\ ##0_-;\-* #\ ##0_-;_-* &quot;-&quot;??_-;_-@_-">
                  <c:v>3063359953.5070748</c:v>
                </c:pt>
                <c:pt idx="14" formatCode="_-* #\ ##0_-;\-* #\ ##0_-;_-* &quot;-&quot;??_-;_-@_-">
                  <c:v>1717660454.8333664</c:v>
                </c:pt>
                <c:pt idx="15" formatCode="_-* #\ ##0_-;\-* #\ ##0_-;_-* &quot;-&quot;??_-;_-@_-">
                  <c:v>1657659306.1997452</c:v>
                </c:pt>
                <c:pt idx="16" formatCode="_-* #\ ##0_-;\-* #\ ##0_-;_-* &quot;-&quot;??_-;_-@_-">
                  <c:v>1599798654.0014124</c:v>
                </c:pt>
                <c:pt idx="17" formatCode="_-* #\ ##0_-;\-* #\ ##0_-;_-* &quot;-&quot;??_-;_-@_-">
                  <c:v>1771521483.7122993</c:v>
                </c:pt>
                <c:pt idx="18" formatCode="_-* #\ ##0_-;\-* #\ ##0_-;_-* &quot;-&quot;??_-;_-@_-">
                  <c:v>1735924481.9167747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C4-4655-9EE5-2A57B8CB0550}"/>
            </c:ext>
          </c:extLst>
        </c:ser>
        <c:ser>
          <c:idx val="2"/>
          <c:order val="2"/>
          <c:tx>
            <c:strRef>
              <c:f>'Market share'!$D$10</c:f>
              <c:strCache>
                <c:ptCount val="1"/>
                <c:pt idx="0">
                  <c:v>Max deficit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share'!$A$11:$A$29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share'!$D$11:$D$29</c:f>
              <c:numCache>
                <c:formatCode>General</c:formatCode>
                <c:ptCount val="19"/>
                <c:pt idx="13" formatCode="_-* #\ ##0_-;\-* #\ ##0_-;_-* &quot;-&quot;??_-;_-@_-">
                  <c:v>3063359953.5070748</c:v>
                </c:pt>
                <c:pt idx="14" formatCode="_-* #\ ##0_-;\-* #\ ##0_-;_-* &quot;-&quot;??_-;_-@_-">
                  <c:v>1313890748.0061569</c:v>
                </c:pt>
                <c:pt idx="15" formatCode="_-* #\ ##0_-;\-* #\ ##0_-;_-* &quot;-&quot;??_-;_-@_-">
                  <c:v>1353009883.8357153</c:v>
                </c:pt>
                <c:pt idx="16" formatCode="_-* #\ ##0_-;\-* #\ ##0_-;_-* &quot;-&quot;??_-;_-@_-">
                  <c:v>1394933987.7457523</c:v>
                </c:pt>
                <c:pt idx="17" formatCode="_-* #\ ##0_-;\-* #\ ##0_-;_-* &quot;-&quot;??_-;_-@_-">
                  <c:v>1593271511.7782183</c:v>
                </c:pt>
                <c:pt idx="18" formatCode="_-* #\ ##0_-;\-* #\ ##0_-;_-* &quot;-&quot;??_-;_-@_-">
                  <c:v>1682792069.216608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C4-4655-9EE5-2A57B8CB0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432288"/>
        <c:axId val="711428928"/>
      </c:lineChart>
      <c:catAx>
        <c:axId val="71143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28928"/>
        <c:crosses val="autoZero"/>
        <c:auto val="1"/>
        <c:lblAlgn val="ctr"/>
        <c:lblOffset val="100"/>
        <c:noMultiLvlLbl val="0"/>
      </c:catAx>
      <c:valAx>
        <c:axId val="7114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Durban</a:t>
            </a:r>
            <a:r>
              <a:rPr lang="en-GB" baseline="0"/>
              <a:t> Diesel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share'!$B$33</c:f>
              <c:strCache>
                <c:ptCount val="1"/>
                <c:pt idx="0">
                  <c:v>Imports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share'!$A$34:$A$52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share'!$B$34:$B$52</c:f>
              <c:numCache>
                <c:formatCode>_-* #\ ##0_-;\-* #\ ##0_-;_-* "-"??_-;_-@_-</c:formatCode>
                <c:ptCount val="19"/>
                <c:pt idx="0">
                  <c:v>2165185587.0706043</c:v>
                </c:pt>
                <c:pt idx="1">
                  <c:v>2760741946.7655087</c:v>
                </c:pt>
                <c:pt idx="2">
                  <c:v>3216958588.0176687</c:v>
                </c:pt>
                <c:pt idx="3">
                  <c:v>3872927297.9814301</c:v>
                </c:pt>
                <c:pt idx="4">
                  <c:v>2807202439.4594846</c:v>
                </c:pt>
                <c:pt idx="5">
                  <c:v>3873409236.7635546</c:v>
                </c:pt>
                <c:pt idx="6">
                  <c:v>3865729884.0216031</c:v>
                </c:pt>
                <c:pt idx="7">
                  <c:v>3762091651.509264</c:v>
                </c:pt>
                <c:pt idx="8">
                  <c:v>4630485410.0340328</c:v>
                </c:pt>
                <c:pt idx="9">
                  <c:v>6316075075.5235729</c:v>
                </c:pt>
                <c:pt idx="10">
                  <c:v>7210814183.1640472</c:v>
                </c:pt>
                <c:pt idx="11">
                  <c:v>7996500175.481019</c:v>
                </c:pt>
                <c:pt idx="12">
                  <c:v>6691862157.0900211</c:v>
                </c:pt>
                <c:pt idx="13">
                  <c:v>7178949818.7351646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C-455D-853C-FF74613030D6}"/>
            </c:ext>
          </c:extLst>
        </c:ser>
        <c:ser>
          <c:idx val="1"/>
          <c:order val="1"/>
          <c:tx>
            <c:strRef>
              <c:f>'Market share'!$C$33</c:f>
              <c:strCache>
                <c:ptCount val="1"/>
                <c:pt idx="0">
                  <c:v>Min deficit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share'!$A$34:$A$52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share'!$C$34:$C$52</c:f>
              <c:numCache>
                <c:formatCode>_-* #\ ##0_-;\-* #\ ##0_-;_-* "-"??_-;_-@_-</c:formatCode>
                <c:ptCount val="19"/>
                <c:pt idx="13">
                  <c:v>7178949818.7351646</c:v>
                </c:pt>
                <c:pt idx="14">
                  <c:v>6693823526.8571157</c:v>
                </c:pt>
                <c:pt idx="15">
                  <c:v>6915531810.518569</c:v>
                </c:pt>
                <c:pt idx="16">
                  <c:v>6983066175.8710022</c:v>
                </c:pt>
                <c:pt idx="17">
                  <c:v>7045080531.5760565</c:v>
                </c:pt>
                <c:pt idx="18">
                  <c:v>7072450755.8253317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C-455D-853C-FF74613030D6}"/>
            </c:ext>
          </c:extLst>
        </c:ser>
        <c:ser>
          <c:idx val="2"/>
          <c:order val="2"/>
          <c:tx>
            <c:strRef>
              <c:f>'Market share'!$D$33</c:f>
              <c:strCache>
                <c:ptCount val="1"/>
                <c:pt idx="0">
                  <c:v>Max deficit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share'!$A$34:$A$52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share'!$D$34:$D$52</c:f>
              <c:numCache>
                <c:formatCode>_-* #\ ##0_-;\-* #\ ##0_-;_-* "-"??_-;_-@_-</c:formatCode>
                <c:ptCount val="19"/>
                <c:pt idx="13">
                  <c:v>7178949818.7351646</c:v>
                </c:pt>
                <c:pt idx="14">
                  <c:v>7757484327.3659</c:v>
                </c:pt>
                <c:pt idx="15">
                  <c:v>7940028141.6508503</c:v>
                </c:pt>
                <c:pt idx="16">
                  <c:v>8126014926.9088087</c:v>
                </c:pt>
                <c:pt idx="17">
                  <c:v>8342706818.0825615</c:v>
                </c:pt>
                <c:pt idx="18">
                  <c:v>8543493339.1887875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9C-455D-853C-FF746130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608528"/>
        <c:axId val="383611408"/>
      </c:lineChart>
      <c:catAx>
        <c:axId val="3836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11408"/>
        <c:crosses val="autoZero"/>
        <c:auto val="1"/>
        <c:lblAlgn val="ctr"/>
        <c:lblOffset val="100"/>
        <c:noMultiLvlLbl val="0"/>
      </c:catAx>
      <c:valAx>
        <c:axId val="3836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Durban</a:t>
            </a:r>
            <a:r>
              <a:rPr lang="en-GB" baseline="0"/>
              <a:t> combine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share'!$B$56</c:f>
              <c:strCache>
                <c:ptCount val="1"/>
                <c:pt idx="0">
                  <c:v>Imports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share'!$A$57:$A$75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share'!$B$57:$B$75</c:f>
              <c:numCache>
                <c:formatCode>_-* #\ ##0_-;\-* #\ ##0_-;_-* "-"??_-;_-@_-</c:formatCode>
                <c:ptCount val="19"/>
                <c:pt idx="0">
                  <c:v>3509864680.2277155</c:v>
                </c:pt>
                <c:pt idx="1">
                  <c:v>3924626512.6331234</c:v>
                </c:pt>
                <c:pt idx="2">
                  <c:v>4104016670.0903635</c:v>
                </c:pt>
                <c:pt idx="3">
                  <c:v>5298004560.1350183</c:v>
                </c:pt>
                <c:pt idx="4">
                  <c:v>3864345063.6266732</c:v>
                </c:pt>
                <c:pt idx="5">
                  <c:v>5478521081.2125044</c:v>
                </c:pt>
                <c:pt idx="6">
                  <c:v>5509771081.3321972</c:v>
                </c:pt>
                <c:pt idx="7">
                  <c:v>4891598630.7904625</c:v>
                </c:pt>
                <c:pt idx="8">
                  <c:v>5945391435.4228706</c:v>
                </c:pt>
                <c:pt idx="9">
                  <c:v>9368291671.0912495</c:v>
                </c:pt>
                <c:pt idx="10">
                  <c:v>11344405630.170137</c:v>
                </c:pt>
                <c:pt idx="11">
                  <c:v>11381073226.949097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0-440F-9149-8BFD56EBFFF4}"/>
            </c:ext>
          </c:extLst>
        </c:ser>
        <c:ser>
          <c:idx val="1"/>
          <c:order val="1"/>
          <c:tx>
            <c:strRef>
              <c:f>'Market share'!$C$56</c:f>
              <c:strCache>
                <c:ptCount val="1"/>
                <c:pt idx="0">
                  <c:v>Min deficit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share'!$A$57:$A$75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share'!$C$57:$C$75</c:f>
              <c:numCache>
                <c:formatCode>_-* #\ ##0_-;\-* #\ ##0_-;_-* "-"??_-;_-@_-</c:formatCode>
                <c:ptCount val="19"/>
                <c:pt idx="11">
                  <c:v>0</c:v>
                </c:pt>
                <c:pt idx="12">
                  <c:v>0</c:v>
                </c:pt>
                <c:pt idx="13">
                  <c:v>10242309772.242239</c:v>
                </c:pt>
                <c:pt idx="14">
                  <c:v>8411483981.6904821</c:v>
                </c:pt>
                <c:pt idx="15">
                  <c:v>8573191116.7183142</c:v>
                </c:pt>
                <c:pt idx="16">
                  <c:v>8582864829.8724146</c:v>
                </c:pt>
                <c:pt idx="17">
                  <c:v>8816602015.2883568</c:v>
                </c:pt>
                <c:pt idx="18">
                  <c:v>8808375237.7421074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0-440F-9149-8BFD56EBFFF4}"/>
            </c:ext>
          </c:extLst>
        </c:ser>
        <c:ser>
          <c:idx val="2"/>
          <c:order val="2"/>
          <c:tx>
            <c:strRef>
              <c:f>'Market share'!$D$56</c:f>
              <c:strCache>
                <c:ptCount val="1"/>
                <c:pt idx="0">
                  <c:v>Max deficit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share'!$A$57:$A$75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share'!$D$57:$D$75</c:f>
              <c:numCache>
                <c:formatCode>_-* #\ ##0_-;\-* #\ ##0_-;_-* "-"??_-;_-@_-</c:formatCode>
                <c:ptCount val="19"/>
                <c:pt idx="11">
                  <c:v>0</c:v>
                </c:pt>
                <c:pt idx="12">
                  <c:v>0</c:v>
                </c:pt>
                <c:pt idx="13">
                  <c:v>10242309772.242239</c:v>
                </c:pt>
                <c:pt idx="14">
                  <c:v>9071375075.372057</c:v>
                </c:pt>
                <c:pt idx="15">
                  <c:v>9293038025.4865646</c:v>
                </c:pt>
                <c:pt idx="16">
                  <c:v>9520948914.6545601</c:v>
                </c:pt>
                <c:pt idx="17">
                  <c:v>9935978329.8607788</c:v>
                </c:pt>
                <c:pt idx="18">
                  <c:v>10226285408.405396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0-440F-9149-8BFD56EBF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494752"/>
        <c:axId val="1880492352"/>
      </c:lineChart>
      <c:catAx>
        <c:axId val="188049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92352"/>
        <c:crosses val="autoZero"/>
        <c:auto val="1"/>
        <c:lblAlgn val="ctr"/>
        <c:lblOffset val="100"/>
        <c:noMultiLvlLbl val="0"/>
      </c:catAx>
      <c:valAx>
        <c:axId val="188049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9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Lesedi</a:t>
            </a:r>
            <a:r>
              <a:rPr lang="en-GB" baseline="0"/>
              <a:t> Diesel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share'!$C$84</c:f>
              <c:strCache>
                <c:ptCount val="1"/>
                <c:pt idx="0">
                  <c:v>Inland Demand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share'!$A$85:$A$103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share'!$C$85:$C$103</c:f>
              <c:numCache>
                <c:formatCode>_-* #\ ##0_-;\-* #\ ##0_-;_-* "-"??_-;_-@_-</c:formatCode>
                <c:ptCount val="19"/>
                <c:pt idx="0">
                  <c:v>1626033653.57775</c:v>
                </c:pt>
                <c:pt idx="1">
                  <c:v>2063438579.3537004</c:v>
                </c:pt>
                <c:pt idx="2">
                  <c:v>2460912108.832551</c:v>
                </c:pt>
                <c:pt idx="3">
                  <c:v>2966323067.5350757</c:v>
                </c:pt>
                <c:pt idx="4">
                  <c:v>2116506821.1802664</c:v>
                </c:pt>
                <c:pt idx="5">
                  <c:v>2805943680.7730293</c:v>
                </c:pt>
                <c:pt idx="6">
                  <c:v>2855928043.9429646</c:v>
                </c:pt>
                <c:pt idx="7">
                  <c:v>2734215141.3544621</c:v>
                </c:pt>
                <c:pt idx="8">
                  <c:v>3218060773.5178385</c:v>
                </c:pt>
                <c:pt idx="9">
                  <c:v>4393078678.8592472</c:v>
                </c:pt>
                <c:pt idx="10">
                  <c:v>4898078882.051281</c:v>
                </c:pt>
                <c:pt idx="11">
                  <c:v>5605514167.4141636</c:v>
                </c:pt>
                <c:pt idx="12">
                  <c:v>4690968211.6894817</c:v>
                </c:pt>
                <c:pt idx="13">
                  <c:v>5032414685.5476837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1-4143-8824-1E7448619244}"/>
            </c:ext>
          </c:extLst>
        </c:ser>
        <c:ser>
          <c:idx val="1"/>
          <c:order val="1"/>
          <c:tx>
            <c:strRef>
              <c:f>'Market share'!$D$84</c:f>
              <c:strCache>
                <c:ptCount val="1"/>
                <c:pt idx="0">
                  <c:v>Min deficit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share'!$A$85:$A$103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share'!$D$85:$D$103</c:f>
              <c:numCache>
                <c:formatCode>General</c:formatCode>
                <c:ptCount val="19"/>
                <c:pt idx="13" formatCode="_-* #\ ##0_-;\-* #\ ##0_-;_-* &quot;-&quot;??_-;_-@_-">
                  <c:v>5032414685.5476837</c:v>
                </c:pt>
                <c:pt idx="14" formatCode="_-* #\ ##0_-;\-* #\ ##0_-;_-* &quot;-&quot;??_-;_-@_-">
                  <c:v>4971671578.1668377</c:v>
                </c:pt>
                <c:pt idx="15" formatCode="_-* #\ ##0_-;\-* #\ ##0_-;_-* &quot;-&quot;??_-;_-@_-">
                  <c:v>4902581759.4023943</c:v>
                </c:pt>
                <c:pt idx="16" formatCode="_-* #\ ##0_-;\-* #\ ##0_-;_-* &quot;-&quot;??_-;_-@_-">
                  <c:v>5106156420.7345686</c:v>
                </c:pt>
                <c:pt idx="17" formatCode="_-* #\ ##0_-;\-* #\ ##0_-;_-* &quot;-&quot;??_-;_-@_-">
                  <c:v>5160635568.718174</c:v>
                </c:pt>
                <c:pt idx="18" formatCode="_-* #\ ##0_-;\-* #\ ##0_-;_-* &quot;-&quot;??_-;_-@_-">
                  <c:v>5215453388.294488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1-4143-8824-1E7448619244}"/>
            </c:ext>
          </c:extLst>
        </c:ser>
        <c:ser>
          <c:idx val="2"/>
          <c:order val="2"/>
          <c:tx>
            <c:strRef>
              <c:f>'Market share'!$E$84</c:f>
              <c:strCache>
                <c:ptCount val="1"/>
                <c:pt idx="0">
                  <c:v>Max deficit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share'!$A$85:$A$103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share'!$E$85:$E$103</c:f>
              <c:numCache>
                <c:formatCode>General</c:formatCode>
                <c:ptCount val="19"/>
                <c:pt idx="13" formatCode="_-* #\ ##0_-;\-* #\ ##0_-;_-* &quot;-&quot;??_-;_-@_-">
                  <c:v>5032414685.5476837</c:v>
                </c:pt>
                <c:pt idx="14" formatCode="_-* #\ ##0_-;\-* #\ ##0_-;_-* &quot;-&quot;??_-;_-@_-">
                  <c:v>5189505544.4889412</c:v>
                </c:pt>
                <c:pt idx="15" formatCode="_-* #\ ##0_-;\-* #\ ##0_-;_-* &quot;-&quot;??_-;_-@_-">
                  <c:v>5719330598.2945337</c:v>
                </c:pt>
                <c:pt idx="16" formatCode="_-* #\ ##0_-;\-* #\ ##0_-;_-* &quot;-&quot;??_-;_-@_-">
                  <c:v>5852265480.8962069</c:v>
                </c:pt>
                <c:pt idx="17" formatCode="_-* #\ ##0_-;\-* #\ ##0_-;_-* &quot;-&quot;??_-;_-@_-">
                  <c:v>5983014994.2603874</c:v>
                </c:pt>
                <c:pt idx="18" formatCode="_-* #\ ##0_-;\-* #\ ##0_-;_-* &quot;-&quot;??_-;_-@_-">
                  <c:v>6146913476.0654392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21-4143-8824-1E7448619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6303"/>
        <c:axId val="155668703"/>
      </c:lineChart>
      <c:catAx>
        <c:axId val="15566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68703"/>
        <c:crosses val="autoZero"/>
        <c:auto val="1"/>
        <c:lblAlgn val="ctr"/>
        <c:lblOffset val="100"/>
        <c:noMultiLvlLbl val="0"/>
      </c:catAx>
      <c:valAx>
        <c:axId val="1556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6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Lesedi</a:t>
            </a:r>
            <a:r>
              <a:rPr lang="en-GB" baseline="0"/>
              <a:t> Gasoline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share'!$C$108</c:f>
              <c:strCache>
                <c:ptCount val="1"/>
                <c:pt idx="0">
                  <c:v>Inland Demand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share'!$A$109:$A$127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share'!$C$109:$C$127</c:f>
              <c:numCache>
                <c:formatCode>_-* #\ ##0_-;\-* #\ ##0_-;_-* "-"??_-;_-@_-</c:formatCode>
                <c:ptCount val="19"/>
                <c:pt idx="0">
                  <c:v>1052511216.8764969</c:v>
                </c:pt>
                <c:pt idx="1">
                  <c:v>923769052.00944495</c:v>
                </c:pt>
                <c:pt idx="2">
                  <c:v>704524367.1947825</c:v>
                </c:pt>
                <c:pt idx="3">
                  <c:v>1132756718.9716449</c:v>
                </c:pt>
                <c:pt idx="4">
                  <c:v>841330297.82485986</c:v>
                </c:pt>
                <c:pt idx="5">
                  <c:v>1277387037.1264849</c:v>
                </c:pt>
                <c:pt idx="6">
                  <c:v>1321423418.7516632</c:v>
                </c:pt>
                <c:pt idx="7">
                  <c:v>898848893.77775943</c:v>
                </c:pt>
                <c:pt idx="8">
                  <c:v>1030174099.6462824</c:v>
                </c:pt>
                <c:pt idx="9">
                  <c:v>2383340964.0746212</c:v>
                </c:pt>
                <c:pt idx="10">
                  <c:v>3239711038.5924006</c:v>
                </c:pt>
                <c:pt idx="11">
                  <c:v>2663456573.5870275</c:v>
                </c:pt>
                <c:pt idx="12">
                  <c:v>2377121896.6696196</c:v>
                </c:pt>
                <c:pt idx="13">
                  <c:v>2410681075.9757729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D-4498-907E-9C17F75C535B}"/>
            </c:ext>
          </c:extLst>
        </c:ser>
        <c:ser>
          <c:idx val="1"/>
          <c:order val="1"/>
          <c:tx>
            <c:strRef>
              <c:f>'Market share'!$D$108</c:f>
              <c:strCache>
                <c:ptCount val="1"/>
                <c:pt idx="0">
                  <c:v>Min imports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share'!$A$109:$A$127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share'!$D$109:$D$127</c:f>
              <c:numCache>
                <c:formatCode>General</c:formatCode>
                <c:ptCount val="19"/>
                <c:pt idx="13" formatCode="_-* #\ ##0_-;\-* #\ ##0_-;_-* &quot;-&quot;??_-;_-@_-">
                  <c:v>2410681075.9757729</c:v>
                </c:pt>
                <c:pt idx="14" formatCode="_-* #\ ##0_-;\-* #\ ##0_-;_-* &quot;-&quot;??_-;_-@_-">
                  <c:v>1343184824.649138</c:v>
                </c:pt>
                <c:pt idx="15" formatCode="_-* #\ ##0_-;\-* #\ ##0_-;_-* &quot;-&quot;??_-;_-@_-">
                  <c:v>1249097227.7284474</c:v>
                </c:pt>
                <c:pt idx="16" formatCode="_-* #\ ##0_-;\-* #\ ##0_-;_-* &quot;-&quot;??_-;_-@_-">
                  <c:v>1178241473.5603888</c:v>
                </c:pt>
                <c:pt idx="17" formatCode="_-* #\ ##0_-;\-* #\ ##0_-;_-* &quot;-&quot;??_-;_-@_-">
                  <c:v>1054932498.3605362</c:v>
                </c:pt>
                <c:pt idx="18" formatCode="_-* #\ ##0_-;\-* #\ ##0_-;_-* &quot;-&quot;??_-;_-@_-">
                  <c:v>1027885349.2864192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D-4498-907E-9C17F75C535B}"/>
            </c:ext>
          </c:extLst>
        </c:ser>
        <c:ser>
          <c:idx val="2"/>
          <c:order val="2"/>
          <c:tx>
            <c:strRef>
              <c:f>'Market share'!$E$108</c:f>
              <c:strCache>
                <c:ptCount val="1"/>
                <c:pt idx="0">
                  <c:v>Max imports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'Market share'!$A$109:$A$127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numCache>
            </c:numRef>
          </c:cat>
          <c:val>
            <c:numRef>
              <c:f>'Market share'!$E$109:$E$127</c:f>
              <c:numCache>
                <c:formatCode>General</c:formatCode>
                <c:ptCount val="19"/>
                <c:pt idx="13" formatCode="_-* #\ ##0_-;\-* #\ ##0_-;_-* &quot;-&quot;??_-;_-@_-">
                  <c:v>2410681075.9757729</c:v>
                </c:pt>
                <c:pt idx="14" formatCode="_-* #\ ##0_-;\-* #\ ##0_-;_-* &quot;-&quot;??_-;_-@_-">
                  <c:v>979188287.46396518</c:v>
                </c:pt>
                <c:pt idx="15" formatCode="_-* #\ ##0_-;\-* #\ ##0_-;_-* &quot;-&quot;??_-;_-@_-">
                  <c:v>1006890356.502625</c:v>
                </c:pt>
                <c:pt idx="16" formatCode="_-* #\ ##0_-;\-* #\ ##0_-;_-* &quot;-&quot;??_-;_-@_-">
                  <c:v>1036821092.8455837</c:v>
                </c:pt>
                <c:pt idx="17" formatCode="_-* #\ ##0_-;\-* #\ ##0_-;_-* &quot;-&quot;??_-;_-@_-">
                  <c:v>1200067517.4630821</c:v>
                </c:pt>
                <c:pt idx="18" formatCode="_-* #\ ##0_-;\-* #\ ##0_-;_-* &quot;-&quot;??_-;_-@_-">
                  <c:v>1270407790.963011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6D-4498-907E-9C17F75C5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1983"/>
        <c:axId val="155644223"/>
      </c:lineChart>
      <c:catAx>
        <c:axId val="15566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4223"/>
        <c:crosses val="autoZero"/>
        <c:auto val="1"/>
        <c:lblAlgn val="ctr"/>
        <c:lblOffset val="100"/>
        <c:noMultiLvlLbl val="0"/>
      </c:catAx>
      <c:valAx>
        <c:axId val="15564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6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Gasoline</a:t>
            </a:r>
            <a:r>
              <a:rPr lang="en-GB" baseline="0"/>
              <a:t> </a:t>
            </a:r>
            <a:r>
              <a:rPr lang="en-GB"/>
              <a:t>Market Share</a:t>
            </a:r>
            <a:r>
              <a:rPr lang="en-GB" baseline="0"/>
              <a:t> LI </a:t>
            </a:r>
            <a:endParaRPr lang="en-GB"/>
          </a:p>
          <a:p>
            <a:pPr>
              <a:defRPr/>
            </a:pP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'Market share'!$T$16</c:f>
              <c:strCache>
                <c:ptCount val="1"/>
                <c:pt idx="0">
                  <c:v>Rest of MKT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'Market share'!$R$17:$R$29</c:f>
              <c:numCache>
                <c:formatCode>General</c:formatCode>
                <c:ptCount val="1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</c:numCache>
            </c:numRef>
          </c:cat>
          <c:val>
            <c:numRef>
              <c:f>'Market share'!$T$17:$T$29</c:f>
              <c:numCache>
                <c:formatCode>General</c:formatCode>
                <c:ptCount val="13"/>
                <c:pt idx="0">
                  <c:v>0.24951201236274367</c:v>
                </c:pt>
                <c:pt idx="1">
                  <c:v>0.23297352606293797</c:v>
                </c:pt>
                <c:pt idx="2">
                  <c:v>7.7207116557090449E-2</c:v>
                </c:pt>
                <c:pt idx="3">
                  <c:v>0.24951201236274367</c:v>
                </c:pt>
                <c:pt idx="4">
                  <c:v>0.23297352606293797</c:v>
                </c:pt>
                <c:pt idx="5">
                  <c:v>7.7207116557090449E-2</c:v>
                </c:pt>
                <c:pt idx="6">
                  <c:v>0.48400637147452574</c:v>
                </c:pt>
                <c:pt idx="7">
                  <c:v>0.48629026318255797</c:v>
                </c:pt>
                <c:pt idx="8">
                  <c:v>0.47210411190100843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1-4EF1-A3BE-664D925AF41E}"/>
            </c:ext>
          </c:extLst>
        </c:ser>
        <c:ser>
          <c:idx val="0"/>
          <c:order val="1"/>
          <c:tx>
            <c:strRef>
              <c:f>'Market share'!$S$16</c:f>
              <c:strCache>
                <c:ptCount val="1"/>
                <c:pt idx="0">
                  <c:v>MOI MKT%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'Market share'!$R$17:$R$29</c:f>
              <c:numCache>
                <c:formatCode>General</c:formatCode>
                <c:ptCount val="1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</c:numCache>
            </c:numRef>
          </c:cat>
          <c:val>
            <c:numRef>
              <c:f>'Market share'!$S$17:$S$29</c:f>
              <c:numCache>
                <c:formatCode>General</c:formatCode>
                <c:ptCount val="13"/>
                <c:pt idx="0">
                  <c:v>0.75048798763725633</c:v>
                </c:pt>
                <c:pt idx="1">
                  <c:v>0.76702647393706203</c:v>
                </c:pt>
                <c:pt idx="2">
                  <c:v>0.92279288344290955</c:v>
                </c:pt>
                <c:pt idx="3">
                  <c:v>0.75048798763725633</c:v>
                </c:pt>
                <c:pt idx="4">
                  <c:v>0.76702647393706203</c:v>
                </c:pt>
                <c:pt idx="5">
                  <c:v>0.92279288344290955</c:v>
                </c:pt>
                <c:pt idx="6">
                  <c:v>0.51599362852547426</c:v>
                </c:pt>
                <c:pt idx="7">
                  <c:v>0.51370973681744203</c:v>
                </c:pt>
                <c:pt idx="8">
                  <c:v>0.52789588809899157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1-4EF1-A3BE-664D925AF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4943"/>
        <c:axId val="1170928223"/>
      </c:areaChart>
      <c:catAx>
        <c:axId val="1170934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28223"/>
        <c:crosses val="autoZero"/>
        <c:auto val="1"/>
        <c:lblAlgn val="ctr"/>
        <c:lblOffset val="100"/>
        <c:noMultiLvlLbl val="0"/>
      </c:catAx>
      <c:valAx>
        <c:axId val="11709282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3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Gasoline Marke</a:t>
            </a:r>
            <a:r>
              <a:rPr lang="en-GB" baseline="0"/>
              <a:t>t Share HI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'Market share'!$V$16</c:f>
              <c:strCache>
                <c:ptCount val="1"/>
                <c:pt idx="0">
                  <c:v>Rest of Market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'Market share'!$R$17:$R$29</c:f>
              <c:numCache>
                <c:formatCode>General</c:formatCode>
                <c:ptCount val="1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</c:numCache>
            </c:numRef>
          </c:cat>
          <c:val>
            <c:numRef>
              <c:f>'Market share'!$V$17:$V$29</c:f>
              <c:numCache>
                <c:formatCode>General</c:formatCode>
                <c:ptCount val="13"/>
                <c:pt idx="0">
                  <c:v>0.24951201236274367</c:v>
                </c:pt>
                <c:pt idx="1">
                  <c:v>0.23297352606293797</c:v>
                </c:pt>
                <c:pt idx="2">
                  <c:v>7.7207116557090449E-2</c:v>
                </c:pt>
                <c:pt idx="3">
                  <c:v>0.24951201236274367</c:v>
                </c:pt>
                <c:pt idx="4">
                  <c:v>0.23297352606293797</c:v>
                </c:pt>
                <c:pt idx="5">
                  <c:v>7.7207116557090449E-2</c:v>
                </c:pt>
                <c:pt idx="6">
                  <c:v>0.48400637147452574</c:v>
                </c:pt>
                <c:pt idx="7">
                  <c:v>0.48629026318255797</c:v>
                </c:pt>
                <c:pt idx="8">
                  <c:v>0.47210411190100843</c:v>
                </c:pt>
                <c:pt idx="9">
                  <c:v>0.51551016019626306</c:v>
                </c:pt>
                <c:pt idx="10">
                  <c:v>0.61000052106630298</c:v>
                </c:pt>
                <c:pt idx="11">
                  <c:v>0.7230924500595457</c:v>
                </c:pt>
                <c:pt idx="12">
                  <c:v>0.71941392097143142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1-41AA-B791-B5997816AC3C}"/>
            </c:ext>
          </c:extLst>
        </c:ser>
        <c:ser>
          <c:idx val="0"/>
          <c:order val="1"/>
          <c:tx>
            <c:strRef>
              <c:f>'Market share'!$U$16</c:f>
              <c:strCache>
                <c:ptCount val="1"/>
                <c:pt idx="0">
                  <c:v>MOI MKT%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'Market share'!$R$17:$R$29</c:f>
              <c:numCache>
                <c:formatCode>General</c:formatCode>
                <c:ptCount val="1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</c:numCache>
            </c:numRef>
          </c:cat>
          <c:val>
            <c:numRef>
              <c:f>'Market share'!$U$17:$U$29</c:f>
              <c:numCache>
                <c:formatCode>General</c:formatCode>
                <c:ptCount val="13"/>
                <c:pt idx="0">
                  <c:v>0.75048798763725633</c:v>
                </c:pt>
                <c:pt idx="1">
                  <c:v>0.76702647393706203</c:v>
                </c:pt>
                <c:pt idx="2">
                  <c:v>0.92279288344290955</c:v>
                </c:pt>
                <c:pt idx="3">
                  <c:v>0.75048798763725633</c:v>
                </c:pt>
                <c:pt idx="4">
                  <c:v>0.76702647393706203</c:v>
                </c:pt>
                <c:pt idx="5">
                  <c:v>0.92279288344290955</c:v>
                </c:pt>
                <c:pt idx="6">
                  <c:v>0.51599362852547426</c:v>
                </c:pt>
                <c:pt idx="7">
                  <c:v>0.51370973681744203</c:v>
                </c:pt>
                <c:pt idx="8">
                  <c:v>0.52789588809899157</c:v>
                </c:pt>
                <c:pt idx="9">
                  <c:v>0.484489839803737</c:v>
                </c:pt>
                <c:pt idx="10">
                  <c:v>0.38999947893369702</c:v>
                </c:pt>
                <c:pt idx="11">
                  <c:v>0.2769075499404543</c:v>
                </c:pt>
                <c:pt idx="12">
                  <c:v>0.28058607902856852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1-41AA-B791-B5997816A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329759"/>
        <c:axId val="1162320639"/>
      </c:areaChart>
      <c:catAx>
        <c:axId val="1162329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20639"/>
        <c:crosses val="autoZero"/>
        <c:auto val="1"/>
        <c:lblAlgn val="ctr"/>
        <c:lblOffset val="100"/>
        <c:noMultiLvlLbl val="0"/>
      </c:catAx>
      <c:valAx>
        <c:axId val="11623206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2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641885389326338"/>
          <c:y val="0.89421910700468799"/>
          <c:w val="0.38871701796483588"/>
          <c:h val="7.57280977058323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Gasoline</a:t>
            </a:r>
            <a:r>
              <a:rPr lang="en-GB" baseline="0"/>
              <a:t> </a:t>
            </a:r>
            <a:r>
              <a:rPr lang="en-GB"/>
              <a:t>Market Share</a:t>
            </a:r>
            <a:r>
              <a:rPr lang="en-GB" baseline="0"/>
              <a:t> LI </a:t>
            </a:r>
            <a:endParaRPr lang="en-GB"/>
          </a:p>
          <a:p>
            <a:pPr>
              <a:defRPr/>
            </a:pP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'Market share'!$T$16</c:f>
              <c:strCache>
                <c:ptCount val="1"/>
                <c:pt idx="0">
                  <c:v>Rest of MKT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'Market share'!$R$17:$R$29</c:f>
              <c:numCache>
                <c:formatCode>General</c:formatCode>
                <c:ptCount val="1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</c:numCache>
            </c:numRef>
          </c:cat>
          <c:val>
            <c:numRef>
              <c:f>'Market share'!$T$17:$T$29</c:f>
              <c:numCache>
                <c:formatCode>General</c:formatCode>
                <c:ptCount val="13"/>
                <c:pt idx="0">
                  <c:v>0.24951201236274367</c:v>
                </c:pt>
                <c:pt idx="1">
                  <c:v>0.23297352606293797</c:v>
                </c:pt>
                <c:pt idx="2">
                  <c:v>7.7207116557090449E-2</c:v>
                </c:pt>
                <c:pt idx="3">
                  <c:v>0.24951201236274367</c:v>
                </c:pt>
                <c:pt idx="4">
                  <c:v>0.23297352606293797</c:v>
                </c:pt>
                <c:pt idx="5">
                  <c:v>7.7207116557090449E-2</c:v>
                </c:pt>
                <c:pt idx="6">
                  <c:v>0.48400637147452574</c:v>
                </c:pt>
                <c:pt idx="7">
                  <c:v>0.48629026318255797</c:v>
                </c:pt>
                <c:pt idx="8">
                  <c:v>0.47210411190100843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E-42E8-A038-C9402F9E3445}"/>
            </c:ext>
          </c:extLst>
        </c:ser>
        <c:ser>
          <c:idx val="0"/>
          <c:order val="1"/>
          <c:tx>
            <c:strRef>
              <c:f>'Market share'!$S$16</c:f>
              <c:strCache>
                <c:ptCount val="1"/>
                <c:pt idx="0">
                  <c:v>MOI MKT%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'Market share'!$R$17:$R$29</c:f>
              <c:numCache>
                <c:formatCode>General</c:formatCode>
                <c:ptCount val="1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</c:numCache>
            </c:numRef>
          </c:cat>
          <c:val>
            <c:numRef>
              <c:f>'Market share'!$S$17:$S$29</c:f>
              <c:numCache>
                <c:formatCode>General</c:formatCode>
                <c:ptCount val="13"/>
                <c:pt idx="0">
                  <c:v>0.75048798763725633</c:v>
                </c:pt>
                <c:pt idx="1">
                  <c:v>0.76702647393706203</c:v>
                </c:pt>
                <c:pt idx="2">
                  <c:v>0.92279288344290955</c:v>
                </c:pt>
                <c:pt idx="3">
                  <c:v>0.75048798763725633</c:v>
                </c:pt>
                <c:pt idx="4">
                  <c:v>0.76702647393706203</c:v>
                </c:pt>
                <c:pt idx="5">
                  <c:v>0.92279288344290955</c:v>
                </c:pt>
                <c:pt idx="6">
                  <c:v>0.51599362852547426</c:v>
                </c:pt>
                <c:pt idx="7">
                  <c:v>0.51370973681744203</c:v>
                </c:pt>
                <c:pt idx="8">
                  <c:v>0.52789588809899157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FE-42E8-A038-C9402F9E3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4943"/>
        <c:axId val="1170928223"/>
      </c:areaChart>
      <c:catAx>
        <c:axId val="1170934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28223"/>
        <c:crosses val="autoZero"/>
        <c:auto val="1"/>
        <c:lblAlgn val="ctr"/>
        <c:lblOffset val="100"/>
        <c:noMultiLvlLbl val="0"/>
      </c:catAx>
      <c:valAx>
        <c:axId val="11709282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3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Gasoline Marke</a:t>
            </a:r>
            <a:r>
              <a:rPr lang="en-GB" baseline="0"/>
              <a:t>t Share HI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'Market share'!$V$16</c:f>
              <c:strCache>
                <c:ptCount val="1"/>
                <c:pt idx="0">
                  <c:v>Rest of Market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'Market share'!$R$17:$R$29</c:f>
              <c:numCache>
                <c:formatCode>General</c:formatCode>
                <c:ptCount val="1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</c:numCache>
            </c:numRef>
          </c:cat>
          <c:val>
            <c:numRef>
              <c:f>'Market share'!$V$17:$V$29</c:f>
              <c:numCache>
                <c:formatCode>General</c:formatCode>
                <c:ptCount val="13"/>
                <c:pt idx="0">
                  <c:v>0.24951201236274367</c:v>
                </c:pt>
                <c:pt idx="1">
                  <c:v>0.23297352606293797</c:v>
                </c:pt>
                <c:pt idx="2">
                  <c:v>7.7207116557090449E-2</c:v>
                </c:pt>
                <c:pt idx="3">
                  <c:v>0.24951201236274367</c:v>
                </c:pt>
                <c:pt idx="4">
                  <c:v>0.23297352606293797</c:v>
                </c:pt>
                <c:pt idx="5">
                  <c:v>7.7207116557090449E-2</c:v>
                </c:pt>
                <c:pt idx="6">
                  <c:v>0.48400637147452574</c:v>
                </c:pt>
                <c:pt idx="7">
                  <c:v>0.48629026318255797</c:v>
                </c:pt>
                <c:pt idx="8">
                  <c:v>0.47210411190100843</c:v>
                </c:pt>
                <c:pt idx="9">
                  <c:v>0.51551016019626306</c:v>
                </c:pt>
                <c:pt idx="10">
                  <c:v>0.61000052106630298</c:v>
                </c:pt>
                <c:pt idx="11">
                  <c:v>0.7230924500595457</c:v>
                </c:pt>
                <c:pt idx="12">
                  <c:v>0.71941392097143142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5-44F2-9081-4E7E5B9F5D00}"/>
            </c:ext>
          </c:extLst>
        </c:ser>
        <c:ser>
          <c:idx val="0"/>
          <c:order val="1"/>
          <c:tx>
            <c:strRef>
              <c:f>'Market share'!$U$16</c:f>
              <c:strCache>
                <c:ptCount val="1"/>
                <c:pt idx="0">
                  <c:v>MOI MKT%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'Market share'!$R$17:$R$29</c:f>
              <c:numCache>
                <c:formatCode>General</c:formatCode>
                <c:ptCount val="1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</c:numCache>
            </c:numRef>
          </c:cat>
          <c:val>
            <c:numRef>
              <c:f>'Market share'!$U$17:$U$29</c:f>
              <c:numCache>
                <c:formatCode>General</c:formatCode>
                <c:ptCount val="13"/>
                <c:pt idx="0">
                  <c:v>0.75048798763725633</c:v>
                </c:pt>
                <c:pt idx="1">
                  <c:v>0.76702647393706203</c:v>
                </c:pt>
                <c:pt idx="2">
                  <c:v>0.92279288344290955</c:v>
                </c:pt>
                <c:pt idx="3">
                  <c:v>0.75048798763725633</c:v>
                </c:pt>
                <c:pt idx="4">
                  <c:v>0.76702647393706203</c:v>
                </c:pt>
                <c:pt idx="5">
                  <c:v>0.92279288344290955</c:v>
                </c:pt>
                <c:pt idx="6">
                  <c:v>0.51599362852547426</c:v>
                </c:pt>
                <c:pt idx="7">
                  <c:v>0.51370973681744203</c:v>
                </c:pt>
                <c:pt idx="8">
                  <c:v>0.52789588809899157</c:v>
                </c:pt>
                <c:pt idx="9">
                  <c:v>0.484489839803737</c:v>
                </c:pt>
                <c:pt idx="10">
                  <c:v>0.38999947893369702</c:v>
                </c:pt>
                <c:pt idx="11">
                  <c:v>0.2769075499404543</c:v>
                </c:pt>
                <c:pt idx="12">
                  <c:v>0.28058607902856852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5-44F2-9081-4E7E5B9F5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329759"/>
        <c:axId val="1162320639"/>
      </c:areaChart>
      <c:catAx>
        <c:axId val="1162329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20639"/>
        <c:crosses val="autoZero"/>
        <c:auto val="1"/>
        <c:lblAlgn val="ctr"/>
        <c:lblOffset val="100"/>
        <c:noMultiLvlLbl val="0"/>
      </c:catAx>
      <c:valAx>
        <c:axId val="11623206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2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641885389326338"/>
          <c:y val="0.89421910700468799"/>
          <c:w val="0.38871693333083673"/>
          <c:h val="7.57280977058323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'fEV Penetration'!$H$9</c:f>
              <c:strCache>
                <c:ptCount val="1"/>
                <c:pt idx="0">
                  <c:v>Low Pentration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'fEV Penetration'!$B$10:$B$50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'fEV Penetration'!$H$10:$H$50</c:f>
              <c:numCache>
                <c:formatCode>0%</c:formatCode>
                <c:ptCount val="41"/>
                <c:pt idx="0">
                  <c:v>1.410521759055134E-5</c:v>
                </c:pt>
                <c:pt idx="1">
                  <c:v>1.9685063384947016E-5</c:v>
                </c:pt>
                <c:pt idx="2">
                  <c:v>2.7472030470589082E-5</c:v>
                </c:pt>
                <c:pt idx="3">
                  <c:v>3.8338965980715473E-5</c:v>
                </c:pt>
                <c:pt idx="4">
                  <c:v>5.3503725426908911E-5</c:v>
                </c:pt>
                <c:pt idx="5">
                  <c:v>7.4665377378988631E-5</c:v>
                </c:pt>
                <c:pt idx="6">
                  <c:v>1.0419402263692184E-4</c:v>
                </c:pt>
                <c:pt idx="7">
                  <c:v>1.4539518322498996E-4</c:v>
                </c:pt>
                <c:pt idx="8">
                  <c:v>2.0287776559816003E-4</c:v>
                </c:pt>
                <c:pt idx="9">
                  <c:v>2.8306560859461008E-4</c:v>
                </c:pt>
                <c:pt idx="10">
                  <c:v>3.9490754663843152E-4</c:v>
                </c:pt>
                <c:pt idx="11">
                  <c:v>5.5086088956352139E-4</c:v>
                </c:pt>
                <c:pt idx="12">
                  <c:v>7.6824944960244754E-4</c:v>
                </c:pt>
                <c:pt idx="13">
                  <c:v>1.0711306969081555E-3</c:v>
                </c:pt>
                <c:pt idx="14">
                  <c:v>1.4928472829073716E-3</c:v>
                </c:pt>
                <c:pt idx="15">
                  <c:v>2.0794834930895835E-3</c:v>
                </c:pt>
                <c:pt idx="16">
                  <c:v>2.8944890450297604E-3</c:v>
                </c:pt>
                <c:pt idx="17">
                  <c:v>4.02475161613441E-3</c:v>
                </c:pt>
                <c:pt idx="18">
                  <c:v>5.5883549689864486E-3</c:v>
                </c:pt>
                <c:pt idx="19">
                  <c:v>7.7440741432521784E-3</c:v>
                </c:pt>
                <c:pt idx="20">
                  <c:v>1.0702198004175715E-2</c:v>
                </c:pt>
                <c:pt idx="21">
                  <c:v>1.4735323038537279E-2</c:v>
                </c:pt>
                <c:pt idx="22">
                  <c:v>2.0186063650780961E-2</c:v>
                </c:pt>
                <c:pt idx="23">
                  <c:v>2.7465974011092676E-2</c:v>
                </c:pt>
                <c:pt idx="24">
                  <c:v>3.7036609880792278E-2</c:v>
                </c:pt>
                <c:pt idx="25">
                  <c:v>4.9360980081456257E-2</c:v>
                </c:pt>
                <c:pt idx="26">
                  <c:v>6.4815127962616306E-2</c:v>
                </c:pt>
                <c:pt idx="27">
                  <c:v>8.3560690754024669E-2</c:v>
                </c:pt>
                <c:pt idx="28">
                  <c:v>0.10540374188337864</c:v>
                </c:pt>
                <c:pt idx="29">
                  <c:v>0.12969635436458807</c:v>
                </c:pt>
                <c:pt idx="30">
                  <c:v>0.15535109900208785</c:v>
                </c:pt>
                <c:pt idx="31">
                  <c:v>0.1810058436395876</c:v>
                </c:pt>
                <c:pt idx="32">
                  <c:v>0.20529845612079706</c:v>
                </c:pt>
                <c:pt idx="33">
                  <c:v>0.22714150725015103</c:v>
                </c:pt>
                <c:pt idx="34">
                  <c:v>0.24588707004155935</c:v>
                </c:pt>
                <c:pt idx="35">
                  <c:v>0.26134121792271947</c:v>
                </c:pt>
                <c:pt idx="36">
                  <c:v>0.27366558812338337</c:v>
                </c:pt>
                <c:pt idx="37">
                  <c:v>0.28323622399308301</c:v>
                </c:pt>
                <c:pt idx="38">
                  <c:v>0.29051613435339474</c:v>
                </c:pt>
                <c:pt idx="39">
                  <c:v>0.29596687496563845</c:v>
                </c:pt>
                <c:pt idx="4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B-4D87-9166-F347F183C322}"/>
            </c:ext>
          </c:extLst>
        </c:ser>
        <c:ser>
          <c:idx val="1"/>
          <c:order val="1"/>
          <c:tx>
            <c:strRef>
              <c:f>'fEV Penetration'!$O$9</c:f>
              <c:strCache>
                <c:ptCount val="1"/>
                <c:pt idx="0">
                  <c:v>High Pentration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'fEV Penetration'!$B$10:$B$50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'fEV Penetration'!$O$10:$O$50</c:f>
              <c:numCache>
                <c:formatCode>0%</c:formatCode>
                <c:ptCount val="41"/>
                <c:pt idx="0">
                  <c:v>2.0361469021804239E-6</c:v>
                </c:pt>
                <c:pt idx="1">
                  <c:v>3.3570337854077437E-6</c:v>
                </c:pt>
                <c:pt idx="2">
                  <c:v>5.5347996278049256E-6</c:v>
                </c:pt>
                <c:pt idx="3">
                  <c:v>9.1253055032645486E-6</c:v>
                </c:pt>
                <c:pt idx="4">
                  <c:v>1.504498641612982E-5</c:v>
                </c:pt>
                <c:pt idx="5">
                  <c:v>2.4804720373247946E-5</c:v>
                </c:pt>
                <c:pt idx="6">
                  <c:v>4.089533958016088E-5</c:v>
                </c:pt>
                <c:pt idx="7">
                  <c:v>6.742303059210114E-5</c:v>
                </c:pt>
                <c:pt idx="8">
                  <c:v>1.1115638754724873E-4</c:v>
                </c:pt>
                <c:pt idx="9">
                  <c:v>1.8325123150302207E-4</c:v>
                </c:pt>
                <c:pt idx="10">
                  <c:v>3.0209033718233715E-4</c:v>
                </c:pt>
                <c:pt idx="11">
                  <c:v>4.9795443521419855E-4</c:v>
                </c:pt>
                <c:pt idx="12">
                  <c:v>8.2069376899906457E-4</c:v>
                </c:pt>
                <c:pt idx="13">
                  <c:v>1.3522960419875285E-3</c:v>
                </c:pt>
                <c:pt idx="14">
                  <c:v>2.2273901073890296E-3</c:v>
                </c:pt>
                <c:pt idx="15">
                  <c:v>3.6664642809689186E-3</c:v>
                </c:pt>
                <c:pt idx="16">
                  <c:v>6.0290586129067699E-3</c:v>
                </c:pt>
                <c:pt idx="17">
                  <c:v>9.8972652828911399E-3</c:v>
                </c:pt>
                <c:pt idx="18">
                  <c:v>1.6202350136326201E-2</c:v>
                </c:pt>
                <c:pt idx="19">
                  <c:v>2.6405064041353787E-2</c:v>
                </c:pt>
                <c:pt idx="20">
                  <c:v>4.2722207978416277E-2</c:v>
                </c:pt>
                <c:pt idx="21">
                  <c:v>6.8334618354790239E-2</c:v>
                </c:pt>
                <c:pt idx="22">
                  <c:v>0.10738045891525583</c:v>
                </c:pt>
                <c:pt idx="23">
                  <c:v>0.16433268691641498</c:v>
                </c:pt>
                <c:pt idx="24">
                  <c:v>0.24226799778173969</c:v>
                </c:pt>
                <c:pt idx="25">
                  <c:v>0.34009644719275722</c:v>
                </c:pt>
                <c:pt idx="26">
                  <c:v>0.45041034688449955</c:v>
                </c:pt>
                <c:pt idx="27">
                  <c:v>0.56072424657624176</c:v>
                </c:pt>
                <c:pt idx="28">
                  <c:v>0.6585526959872593</c:v>
                </c:pt>
                <c:pt idx="29">
                  <c:v>0.73648800685258409</c:v>
                </c:pt>
                <c:pt idx="30">
                  <c:v>0.79344023485374315</c:v>
                </c:pt>
                <c:pt idx="31">
                  <c:v>0.83248607541420883</c:v>
                </c:pt>
                <c:pt idx="32">
                  <c:v>0.8580984857905829</c:v>
                </c:pt>
                <c:pt idx="33">
                  <c:v>0.87441562972764519</c:v>
                </c:pt>
                <c:pt idx="34">
                  <c:v>0.88461834363267289</c:v>
                </c:pt>
                <c:pt idx="35">
                  <c:v>0.89092342848610784</c:v>
                </c:pt>
                <c:pt idx="36">
                  <c:v>0.89479163515609239</c:v>
                </c:pt>
                <c:pt idx="37">
                  <c:v>0.89715422948803014</c:v>
                </c:pt>
                <c:pt idx="38">
                  <c:v>0.89859330366161005</c:v>
                </c:pt>
                <c:pt idx="39">
                  <c:v>0.89946839772701148</c:v>
                </c:pt>
                <c:pt idx="4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B-4D87-9166-F347F183C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435648"/>
        <c:axId val="1588258416"/>
      </c:lineChart>
      <c:catAx>
        <c:axId val="151343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1588258416"/>
        <c:crosses val="autoZero"/>
        <c:auto val="1"/>
        <c:lblAlgn val="ctr"/>
        <c:lblOffset val="100"/>
        <c:noMultiLvlLbl val="0"/>
      </c:catAx>
      <c:valAx>
        <c:axId val="158825841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151343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'fEV Penetration'!$O$9</c:f>
              <c:strCache>
                <c:ptCount val="1"/>
                <c:pt idx="0">
                  <c:v>High Pentration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'fEV Penetration'!$B$10:$B$50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'fEV Penetration'!$O$10:$O$50</c:f>
              <c:numCache>
                <c:formatCode>0%</c:formatCode>
                <c:ptCount val="41"/>
                <c:pt idx="0">
                  <c:v>2.0361469021804239E-6</c:v>
                </c:pt>
                <c:pt idx="1">
                  <c:v>3.3570337854077437E-6</c:v>
                </c:pt>
                <c:pt idx="2">
                  <c:v>5.5347996278049256E-6</c:v>
                </c:pt>
                <c:pt idx="3">
                  <c:v>9.1253055032645486E-6</c:v>
                </c:pt>
                <c:pt idx="4">
                  <c:v>1.504498641612982E-5</c:v>
                </c:pt>
                <c:pt idx="5">
                  <c:v>2.4804720373247946E-5</c:v>
                </c:pt>
                <c:pt idx="6">
                  <c:v>4.089533958016088E-5</c:v>
                </c:pt>
                <c:pt idx="7">
                  <c:v>6.742303059210114E-5</c:v>
                </c:pt>
                <c:pt idx="8">
                  <c:v>1.1115638754724873E-4</c:v>
                </c:pt>
                <c:pt idx="9">
                  <c:v>1.8325123150302207E-4</c:v>
                </c:pt>
                <c:pt idx="10">
                  <c:v>3.0209033718233715E-4</c:v>
                </c:pt>
                <c:pt idx="11">
                  <c:v>4.9795443521419855E-4</c:v>
                </c:pt>
                <c:pt idx="12">
                  <c:v>8.2069376899906457E-4</c:v>
                </c:pt>
                <c:pt idx="13">
                  <c:v>1.3522960419875285E-3</c:v>
                </c:pt>
                <c:pt idx="14">
                  <c:v>2.2273901073890296E-3</c:v>
                </c:pt>
                <c:pt idx="15">
                  <c:v>3.6664642809689186E-3</c:v>
                </c:pt>
                <c:pt idx="16">
                  <c:v>6.0290586129067699E-3</c:v>
                </c:pt>
                <c:pt idx="17">
                  <c:v>9.8972652828911399E-3</c:v>
                </c:pt>
                <c:pt idx="18">
                  <c:v>1.6202350136326201E-2</c:v>
                </c:pt>
                <c:pt idx="19">
                  <c:v>2.6405064041353787E-2</c:v>
                </c:pt>
                <c:pt idx="20">
                  <c:v>4.2722207978416277E-2</c:v>
                </c:pt>
                <c:pt idx="21">
                  <c:v>6.8334618354790239E-2</c:v>
                </c:pt>
                <c:pt idx="22">
                  <c:v>0.10738045891525583</c:v>
                </c:pt>
                <c:pt idx="23">
                  <c:v>0.16433268691641498</c:v>
                </c:pt>
                <c:pt idx="24">
                  <c:v>0.24226799778173969</c:v>
                </c:pt>
                <c:pt idx="25">
                  <c:v>0.34009644719275722</c:v>
                </c:pt>
                <c:pt idx="26">
                  <c:v>0.45041034688449955</c:v>
                </c:pt>
                <c:pt idx="27">
                  <c:v>0.56072424657624176</c:v>
                </c:pt>
                <c:pt idx="28">
                  <c:v>0.6585526959872593</c:v>
                </c:pt>
                <c:pt idx="29">
                  <c:v>0.73648800685258409</c:v>
                </c:pt>
                <c:pt idx="30">
                  <c:v>0.79344023485374315</c:v>
                </c:pt>
                <c:pt idx="31">
                  <c:v>0.83248607541420883</c:v>
                </c:pt>
                <c:pt idx="32">
                  <c:v>0.8580984857905829</c:v>
                </c:pt>
                <c:pt idx="33">
                  <c:v>0.87441562972764519</c:v>
                </c:pt>
                <c:pt idx="34">
                  <c:v>0.88461834363267289</c:v>
                </c:pt>
                <c:pt idx="35">
                  <c:v>0.89092342848610784</c:v>
                </c:pt>
                <c:pt idx="36">
                  <c:v>0.89479163515609239</c:v>
                </c:pt>
                <c:pt idx="37">
                  <c:v>0.89715422948803014</c:v>
                </c:pt>
                <c:pt idx="38">
                  <c:v>0.89859330366161005</c:v>
                </c:pt>
                <c:pt idx="39">
                  <c:v>0.89946839772701148</c:v>
                </c:pt>
                <c:pt idx="4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8-419D-806D-253CAFAB2F49}"/>
            </c:ext>
          </c:extLst>
        </c:ser>
        <c:ser>
          <c:idx val="1"/>
          <c:order val="1"/>
          <c:tx>
            <c:strRef>
              <c:f>'fEV Penetration'!$U$9</c:f>
              <c:strCache>
                <c:ptCount val="1"/>
                <c:pt idx="0">
                  <c:v>High penetration_2021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'fEV Penetration'!$B$10:$B$50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'fEV Penetration'!$U$10:$U$50</c:f>
              <c:numCache>
                <c:formatCode>0%</c:formatCode>
                <c:ptCount val="41"/>
                <c:pt idx="12">
                  <c:v>8.4632062963456867E-3</c:v>
                </c:pt>
                <c:pt idx="13">
                  <c:v>1.1767984846025216E-2</c:v>
                </c:pt>
                <c:pt idx="14">
                  <c:v>1.6339809971280973E-2</c:v>
                </c:pt>
                <c:pt idx="15">
                  <c:v>2.2642924546935297E-2</c:v>
                </c:pt>
                <c:pt idx="16">
                  <c:v>3.129219289643119E-2</c:v>
                </c:pt>
                <c:pt idx="17">
                  <c:v>4.3084660808296184E-2</c:v>
                </c:pt>
                <c:pt idx="18">
                  <c:v>5.9022099697035722E-2</c:v>
                </c:pt>
                <c:pt idx="19">
                  <c:v>8.0307854191086284E-2</c:v>
                </c:pt>
                <c:pt idx="20">
                  <c:v>0.10829146874010619</c:v>
                </c:pt>
                <c:pt idx="21">
                  <c:v>0.14432673640154661</c:v>
                </c:pt>
                <c:pt idx="22">
                  <c:v>0.18951317159537764</c:v>
                </c:pt>
                <c:pt idx="23">
                  <c:v>0.2443233859636823</c:v>
                </c:pt>
                <c:pt idx="24">
                  <c:v>0.30819035694662084</c:v>
                </c:pt>
                <c:pt idx="25">
                  <c:v>0.37921960864086718</c:v>
                </c:pt>
                <c:pt idx="26">
                  <c:v>0.45423160314817285</c:v>
                </c:pt>
                <c:pt idx="27">
                  <c:v>0.52924359765547846</c:v>
                </c:pt>
                <c:pt idx="28">
                  <c:v>0.60027284934972491</c:v>
                </c:pt>
                <c:pt idx="29">
                  <c:v>0.66413982033266339</c:v>
                </c:pt>
                <c:pt idx="30">
                  <c:v>0.71895003470096808</c:v>
                </c:pt>
                <c:pt idx="31">
                  <c:v>0.76413646989479922</c:v>
                </c:pt>
                <c:pt idx="32">
                  <c:v>0.80017173755623949</c:v>
                </c:pt>
                <c:pt idx="33">
                  <c:v>0.82815535210525948</c:v>
                </c:pt>
                <c:pt idx="34">
                  <c:v>0.84944110659931005</c:v>
                </c:pt>
                <c:pt idx="35">
                  <c:v>0.86537854548804971</c:v>
                </c:pt>
                <c:pt idx="36">
                  <c:v>0.87717101339991455</c:v>
                </c:pt>
                <c:pt idx="37">
                  <c:v>0.88582028174941041</c:v>
                </c:pt>
                <c:pt idx="38">
                  <c:v>0.89212339632506477</c:v>
                </c:pt>
                <c:pt idx="39">
                  <c:v>0.89669522145032043</c:v>
                </c:pt>
                <c:pt idx="4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88-419D-806D-253CAFAB2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32447"/>
        <c:axId val="2081720544"/>
      </c:lineChart>
      <c:catAx>
        <c:axId val="16883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2081720544"/>
        <c:crosses val="autoZero"/>
        <c:auto val="1"/>
        <c:lblAlgn val="ctr"/>
        <c:lblOffset val="100"/>
        <c:noMultiLvlLbl val="0"/>
      </c:catAx>
      <c:valAx>
        <c:axId val="208172054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1688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'fEV Penetration'!$H$9</c:f>
              <c:strCache>
                <c:ptCount val="1"/>
                <c:pt idx="0">
                  <c:v>Low Pentration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'fEV Penetration'!$B$10:$B$50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'fEV Penetration'!$H$13:$H$53</c:f>
              <c:numCache>
                <c:formatCode>0%</c:formatCode>
                <c:ptCount val="41"/>
                <c:pt idx="0">
                  <c:v>3.8338965980715473E-5</c:v>
                </c:pt>
                <c:pt idx="1">
                  <c:v>5.3503725426908911E-5</c:v>
                </c:pt>
                <c:pt idx="2">
                  <c:v>7.4665377378988631E-5</c:v>
                </c:pt>
                <c:pt idx="3">
                  <c:v>1.0419402263692184E-4</c:v>
                </c:pt>
                <c:pt idx="4">
                  <c:v>1.4539518322498996E-4</c:v>
                </c:pt>
                <c:pt idx="5">
                  <c:v>2.0287776559816003E-4</c:v>
                </c:pt>
                <c:pt idx="6">
                  <c:v>2.8306560859461008E-4</c:v>
                </c:pt>
                <c:pt idx="7">
                  <c:v>3.9490754663843152E-4</c:v>
                </c:pt>
                <c:pt idx="8">
                  <c:v>5.5086088956352139E-4</c:v>
                </c:pt>
                <c:pt idx="9">
                  <c:v>7.6824944960244754E-4</c:v>
                </c:pt>
                <c:pt idx="10">
                  <c:v>1.0711306969081555E-3</c:v>
                </c:pt>
                <c:pt idx="11">
                  <c:v>1.4928472829073716E-3</c:v>
                </c:pt>
                <c:pt idx="12">
                  <c:v>2.0794834930895835E-3</c:v>
                </c:pt>
                <c:pt idx="13">
                  <c:v>2.8944890450297604E-3</c:v>
                </c:pt>
                <c:pt idx="14">
                  <c:v>4.02475161613441E-3</c:v>
                </c:pt>
                <c:pt idx="15">
                  <c:v>5.5883549689864486E-3</c:v>
                </c:pt>
                <c:pt idx="16">
                  <c:v>7.7440741432521784E-3</c:v>
                </c:pt>
                <c:pt idx="17">
                  <c:v>1.0702198004175715E-2</c:v>
                </c:pt>
                <c:pt idx="18">
                  <c:v>1.4735323038537279E-2</c:v>
                </c:pt>
                <c:pt idx="19">
                  <c:v>2.0186063650780961E-2</c:v>
                </c:pt>
                <c:pt idx="20">
                  <c:v>2.7465974011092676E-2</c:v>
                </c:pt>
                <c:pt idx="21">
                  <c:v>3.7036609880792278E-2</c:v>
                </c:pt>
                <c:pt idx="22">
                  <c:v>4.9360980081456257E-2</c:v>
                </c:pt>
                <c:pt idx="23">
                  <c:v>6.4815127962616306E-2</c:v>
                </c:pt>
                <c:pt idx="24">
                  <c:v>8.3560690754024669E-2</c:v>
                </c:pt>
                <c:pt idx="25">
                  <c:v>0.10540374188337864</c:v>
                </c:pt>
                <c:pt idx="26">
                  <c:v>0.12969635436458807</c:v>
                </c:pt>
                <c:pt idx="27">
                  <c:v>0.15535109900208785</c:v>
                </c:pt>
                <c:pt idx="28">
                  <c:v>0.1810058436395876</c:v>
                </c:pt>
                <c:pt idx="29">
                  <c:v>0.20529845612079706</c:v>
                </c:pt>
                <c:pt idx="30">
                  <c:v>0.22714150725015103</c:v>
                </c:pt>
                <c:pt idx="31">
                  <c:v>0.24588707004155935</c:v>
                </c:pt>
                <c:pt idx="32">
                  <c:v>0.26134121792271947</c:v>
                </c:pt>
                <c:pt idx="33">
                  <c:v>0.27366558812338337</c:v>
                </c:pt>
                <c:pt idx="34">
                  <c:v>0.28323622399308301</c:v>
                </c:pt>
                <c:pt idx="35">
                  <c:v>0.29051613435339474</c:v>
                </c:pt>
                <c:pt idx="36">
                  <c:v>0.29596687496563845</c:v>
                </c:pt>
                <c:pt idx="3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D-48B0-81CE-3C8FA40CBF8B}"/>
            </c:ext>
          </c:extLst>
        </c:ser>
        <c:ser>
          <c:idx val="1"/>
          <c:order val="1"/>
          <c:tx>
            <c:strRef>
              <c:f>'fEV Penetration'!$T$9</c:f>
              <c:strCache>
                <c:ptCount val="1"/>
                <c:pt idx="0">
                  <c:v>Low penetration_2021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'fEV Penetration'!$B$10:$B$50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'fEV Penetration'!$T$10:$T$50</c:f>
              <c:numCache>
                <c:formatCode>0%</c:formatCode>
                <c:ptCount val="41"/>
                <c:pt idx="12">
                  <c:v>2.0342058252875899E-3</c:v>
                </c:pt>
                <c:pt idx="13">
                  <c:v>2.8314658405307136E-3</c:v>
                </c:pt>
                <c:pt idx="14">
                  <c:v>3.9371186210822905E-3</c:v>
                </c:pt>
                <c:pt idx="15">
                  <c:v>5.4666768307919146E-3</c:v>
                </c:pt>
                <c:pt idx="16">
                  <c:v>7.5754584184063636E-3</c:v>
                </c:pt>
                <c:pt idx="17">
                  <c:v>1.0469173521127613E-2</c:v>
                </c:pt>
                <c:pt idx="18">
                  <c:v>1.441448324167852E-2</c:v>
                </c:pt>
                <c:pt idx="19">
                  <c:v>1.9746542064171931E-2</c:v>
                </c:pt>
                <c:pt idx="20">
                  <c:v>2.6867943177347097E-2</c:v>
                </c:pt>
                <c:pt idx="21">
                  <c:v>3.6230192650615958E-2</c:v>
                </c:pt>
                <c:pt idx="22">
                  <c:v>4.8286217975415872E-2</c:v>
                </c:pt>
                <c:pt idx="23">
                  <c:v>6.3403874715265415E-2</c:v>
                </c:pt>
                <c:pt idx="24">
                  <c:v>8.1741280689054674E-2</c:v>
                </c:pt>
                <c:pt idx="25">
                  <c:v>0.10310873178787053</c:v>
                </c:pt>
                <c:pt idx="26">
                  <c:v>0.12687240867443736</c:v>
                </c:pt>
                <c:pt idx="27">
                  <c:v>0.15196855931054115</c:v>
                </c:pt>
                <c:pt idx="28">
                  <c:v>0.17706470994664494</c:v>
                </c:pt>
                <c:pt idx="29">
                  <c:v>0.20082838683321177</c:v>
                </c:pt>
                <c:pt idx="30">
                  <c:v>0.22219583793202763</c:v>
                </c:pt>
                <c:pt idx="31">
                  <c:v>0.24053324390581687</c:v>
                </c:pt>
                <c:pt idx="32">
                  <c:v>0.25565090064566642</c:v>
                </c:pt>
                <c:pt idx="33">
                  <c:v>0.2677069259704663</c:v>
                </c:pt>
                <c:pt idx="34">
                  <c:v>0.27706917544373522</c:v>
                </c:pt>
                <c:pt idx="35">
                  <c:v>0.28419057655691038</c:v>
                </c:pt>
                <c:pt idx="36">
                  <c:v>0.28952263537940381</c:v>
                </c:pt>
                <c:pt idx="37">
                  <c:v>0.29346794509995472</c:v>
                </c:pt>
                <c:pt idx="38">
                  <c:v>0.29636166020267596</c:v>
                </c:pt>
                <c:pt idx="39">
                  <c:v>0.29847044179029036</c:v>
                </c:pt>
                <c:pt idx="4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D-48B0-81CE-3C8FA40CB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32447"/>
        <c:axId val="2081720544"/>
      </c:lineChart>
      <c:catAx>
        <c:axId val="16883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2081720544"/>
        <c:crosses val="autoZero"/>
        <c:auto val="1"/>
        <c:lblAlgn val="ctr"/>
        <c:lblOffset val="100"/>
        <c:noMultiLvlLbl val="0"/>
      </c:catAx>
      <c:valAx>
        <c:axId val="208172054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1688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Number</a:t>
            </a:r>
            <a:r>
              <a:rPr lang="en-ZA" baseline="0"/>
              <a:t> of EVs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'fEV Penetration'!$K$9</c:f>
              <c:strCache>
                <c:ptCount val="1"/>
                <c:pt idx="0">
                  <c:v>EV Stock High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'fEV Penetration'!$B$21:$B$50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'fEV Penetration'!$K$21:$K$50</c:f>
              <c:numCache>
                <c:formatCode>_-* #\ ##0_-;\-* #\ ##0_-;_-* "-"??_-;_-@_-</c:formatCode>
                <c:ptCount val="30"/>
                <c:pt idx="0">
                  <c:v>218</c:v>
                </c:pt>
                <c:pt idx="1">
                  <c:v>502</c:v>
                </c:pt>
                <c:pt idx="2">
                  <c:v>929</c:v>
                </c:pt>
                <c:pt idx="3">
                  <c:v>1100</c:v>
                </c:pt>
                <c:pt idx="4">
                  <c:v>1150</c:v>
                </c:pt>
                <c:pt idx="5">
                  <c:v>2480.2817474606277</c:v>
                </c:pt>
                <c:pt idx="6">
                  <c:v>4399.7810901056073</c:v>
                </c:pt>
                <c:pt idx="7">
                  <c:v>7168.6215053558499</c:v>
                </c:pt>
                <c:pt idx="8">
                  <c:v>11157.7823704858</c:v>
                </c:pt>
                <c:pt idx="9">
                  <c:v>16891.740303639246</c:v>
                </c:pt>
                <c:pt idx="10">
                  <c:v>25092.983440655444</c:v>
                </c:pt>
                <c:pt idx="11">
                  <c:v>36750.731367900938</c:v>
                </c:pt>
                <c:pt idx="12">
                  <c:v>53192.084059528483</c:v>
                </c:pt>
                <c:pt idx="13">
                  <c:v>76149.280127116624</c:v>
                </c:pt>
                <c:pt idx="14">
                  <c:v>107801.80952460863</c:v>
                </c:pt>
                <c:pt idx="15">
                  <c:v>150760.80195242105</c:v>
                </c:pt>
                <c:pt idx="16">
                  <c:v>207957.48206895791</c:v>
                </c:pt>
                <c:pt idx="17">
                  <c:v>282409.10072826321</c:v>
                </c:pt>
                <c:pt idx="18">
                  <c:v>376874.32590970339</c:v>
                </c:pt>
                <c:pt idx="19">
                  <c:v>493468.93054505461</c:v>
                </c:pt>
                <c:pt idx="20">
                  <c:v>633358.80121484958</c:v>
                </c:pt>
                <c:pt idx="21">
                  <c:v>796638.84732783842</c:v>
                </c:pt>
                <c:pt idx="22">
                  <c:v>982434.44776131317</c:v>
                </c:pt>
                <c:pt idx="23">
                  <c:v>1189170.5853819475</c:v>
                </c:pt>
                <c:pt idx="24">
                  <c:v>1414902.1939575099</c:v>
                </c:pt>
                <c:pt idx="25">
                  <c:v>1657608.6224753091</c:v>
                </c:pt>
                <c:pt idx="26">
                  <c:v>1915400.6808155091</c:v>
                </c:pt>
                <c:pt idx="27">
                  <c:v>2186634.0831227773</c:v>
                </c:pt>
                <c:pt idx="28">
                  <c:v>2469949.1170992977</c:v>
                </c:pt>
                <c:pt idx="29">
                  <c:v>2764263.2580353152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7-4229-AE5C-DA6A1F80CDC0}"/>
            </c:ext>
          </c:extLst>
        </c:ser>
        <c:ser>
          <c:idx val="1"/>
          <c:order val="1"/>
          <c:tx>
            <c:strRef>
              <c:f>'fEV Penetration'!$R$9</c:f>
              <c:strCache>
                <c:ptCount val="1"/>
                <c:pt idx="0">
                  <c:v>EV Stock Low 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'fEV Penetration'!$B$21:$B$50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'fEV Penetration'!$R$21:$R$50</c:f>
              <c:numCache>
                <c:formatCode>_-* #\ ##0_-;\-* #\ ##0_-;_-* "-"??_-;_-@_-</c:formatCode>
                <c:ptCount val="30"/>
                <c:pt idx="0">
                  <c:v>218</c:v>
                </c:pt>
                <c:pt idx="1">
                  <c:v>502</c:v>
                </c:pt>
                <c:pt idx="2">
                  <c:v>929</c:v>
                </c:pt>
                <c:pt idx="3">
                  <c:v>1100</c:v>
                </c:pt>
                <c:pt idx="4">
                  <c:v>1150</c:v>
                </c:pt>
                <c:pt idx="5">
                  <c:v>3819.5239603734221</c:v>
                </c:pt>
                <c:pt idx="6">
                  <c:v>8205.8823788290665</c:v>
                </c:pt>
                <c:pt idx="7">
                  <c:v>15410.851537033679</c:v>
                </c:pt>
                <c:pt idx="8">
                  <c:v>27218.078408563539</c:v>
                </c:pt>
                <c:pt idx="9">
                  <c:v>46462.856737202237</c:v>
                </c:pt>
                <c:pt idx="10">
                  <c:v>77471.219797502941</c:v>
                </c:pt>
                <c:pt idx="11">
                  <c:v>126553.27438544834</c:v>
                </c:pt>
                <c:pt idx="12">
                  <c:v>202212.46165494624</c:v>
                </c:pt>
                <c:pt idx="13">
                  <c:v>314557.80655173108</c:v>
                </c:pt>
                <c:pt idx="14">
                  <c:v>473399.23001623957</c:v>
                </c:pt>
                <c:pt idx="15">
                  <c:v>685261.80584823992</c:v>
                </c:pt>
                <c:pt idx="16">
                  <c:v>950882.0975802032</c:v>
                </c:pt>
                <c:pt idx="17">
                  <c:v>1265041.8258986713</c:v>
                </c:pt>
                <c:pt idx="18">
                  <c:v>1618840.3365964903</c:v>
                </c:pt>
                <c:pt idx="19">
                  <c:v>2002651.3035830276</c:v>
                </c:pt>
                <c:pt idx="20">
                  <c:v>2408137.1479004435</c:v>
                </c:pt>
                <c:pt idx="21">
                  <c:v>2828974.5687349439</c:v>
                </c:pt>
                <c:pt idx="22">
                  <c:v>3260748.8511515497</c:v>
                </c:pt>
                <c:pt idx="23">
                  <c:v>3700533.2336990759</c:v>
                </c:pt>
                <c:pt idx="24">
                  <c:v>4146448.9791513071</c:v>
                </c:pt>
                <c:pt idx="25">
                  <c:v>4597314.1360227689</c:v>
                </c:pt>
                <c:pt idx="26">
                  <c:v>5052394.5663566589</c:v>
                </c:pt>
                <c:pt idx="27">
                  <c:v>5511238.1657447461</c:v>
                </c:pt>
                <c:pt idx="28">
                  <c:v>5973568.3037864873</c:v>
                </c:pt>
                <c:pt idx="29">
                  <c:v>6439216.7245595958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7-4229-AE5C-DA6A1F80C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394272"/>
        <c:axId val="1524864832"/>
      </c:lineChart>
      <c:catAx>
        <c:axId val="139339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64832"/>
        <c:crosses val="autoZero"/>
        <c:auto val="1"/>
        <c:lblAlgn val="ctr"/>
        <c:lblOffset val="100"/>
        <c:noMultiLvlLbl val="0"/>
      </c:catAx>
      <c:valAx>
        <c:axId val="1524864832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39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Airplane Arrivals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Arrivals_AP!$A$11</c:f>
              <c:strCache>
                <c:ptCount val="1"/>
                <c:pt idx="0">
                  <c:v>Domestic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Arrivals_AP!$B$11:$H$11</c:f>
              <c:numCache>
                <c:formatCode>_-* #\ ##0_-;\-* #\ ##0_-;_-* "-"??_-;_-@_-</c:formatCode>
                <c:ptCount val="7"/>
                <c:pt idx="0">
                  <c:v>140369</c:v>
                </c:pt>
                <c:pt idx="1">
                  <c:v>135668</c:v>
                </c:pt>
                <c:pt idx="2">
                  <c:v>130693</c:v>
                </c:pt>
                <c:pt idx="3">
                  <c:v>42896</c:v>
                </c:pt>
                <c:pt idx="4">
                  <c:v>90385</c:v>
                </c:pt>
                <c:pt idx="5">
                  <c:v>109076</c:v>
                </c:pt>
                <c:pt idx="6">
                  <c:v>121354.28571428571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6-49BF-A7B0-50ACECF2899E}"/>
            </c:ext>
          </c:extLst>
        </c:ser>
        <c:ser>
          <c:idx val="1"/>
          <c:order val="1"/>
          <c:tx>
            <c:strRef>
              <c:f>Arrivals_AP!$A$12</c:f>
              <c:strCache>
                <c:ptCount val="1"/>
                <c:pt idx="0">
                  <c:v>International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Arrivals_AP!$B$12:$H$12</c:f>
              <c:numCache>
                <c:formatCode>_-* #\ ##0_-;\-* #\ ##0_-;_-* "-"??_-;_-@_-</c:formatCode>
                <c:ptCount val="7"/>
                <c:pt idx="0">
                  <c:v>39047</c:v>
                </c:pt>
                <c:pt idx="1">
                  <c:v>39018</c:v>
                </c:pt>
                <c:pt idx="2">
                  <c:v>38524</c:v>
                </c:pt>
                <c:pt idx="3">
                  <c:v>10297</c:v>
                </c:pt>
                <c:pt idx="4">
                  <c:v>22743</c:v>
                </c:pt>
                <c:pt idx="5">
                  <c:v>33155</c:v>
                </c:pt>
                <c:pt idx="6">
                  <c:v>37685.142857142855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6-49BF-A7B0-50ACECF2899E}"/>
            </c:ext>
          </c:extLst>
        </c:ser>
        <c:ser>
          <c:idx val="2"/>
          <c:order val="2"/>
          <c:tx>
            <c:strRef>
              <c:f>Arrivals_AP!$A$13</c:f>
              <c:strCache>
                <c:ptCount val="1"/>
                <c:pt idx="0">
                  <c:v>Regional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Arrivals_AP!$B$13:$H$13</c:f>
              <c:numCache>
                <c:formatCode>_-* #\ ##0_-;\-* #\ ##0_-;_-* "-"??_-;_-@_-</c:formatCode>
                <c:ptCount val="7"/>
                <c:pt idx="0">
                  <c:v>13064</c:v>
                </c:pt>
                <c:pt idx="1">
                  <c:v>12613</c:v>
                </c:pt>
                <c:pt idx="2">
                  <c:v>11620</c:v>
                </c:pt>
                <c:pt idx="3">
                  <c:v>2624</c:v>
                </c:pt>
                <c:pt idx="4">
                  <c:v>6755</c:v>
                </c:pt>
                <c:pt idx="5">
                  <c:v>9354</c:v>
                </c:pt>
                <c:pt idx="6">
                  <c:v>11770.285714285716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96-49BF-A7B0-50ACECF2899E}"/>
            </c:ext>
          </c:extLst>
        </c:ser>
        <c:ser>
          <c:idx val="3"/>
          <c:order val="3"/>
          <c:tx>
            <c:strRef>
              <c:f>Arrivals_AP!$A$14</c:f>
              <c:strCache>
                <c:ptCount val="1"/>
                <c:pt idx="0">
                  <c:v>Unscheduled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Arrivals_AP!$B$14:$H$14</c:f>
              <c:numCache>
                <c:formatCode>_-* #\ ##0_-;\-* #\ ##0_-;_-* "-"??_-;_-@_-</c:formatCode>
                <c:ptCount val="7"/>
                <c:pt idx="0">
                  <c:v>71971</c:v>
                </c:pt>
                <c:pt idx="1">
                  <c:v>71870</c:v>
                </c:pt>
                <c:pt idx="2">
                  <c:v>67682</c:v>
                </c:pt>
                <c:pt idx="3">
                  <c:v>44063</c:v>
                </c:pt>
                <c:pt idx="4">
                  <c:v>53024</c:v>
                </c:pt>
                <c:pt idx="5">
                  <c:v>60202</c:v>
                </c:pt>
                <c:pt idx="6">
                  <c:v>59088.000000000007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96-49BF-A7B0-50ACECF28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9788624"/>
        <c:axId val="2062647552"/>
      </c:lineChart>
      <c:catAx>
        <c:axId val="18597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47552"/>
        <c:crosses val="autoZero"/>
        <c:auto val="1"/>
        <c:lblAlgn val="ctr"/>
        <c:lblOffset val="100"/>
        <c:noMultiLvlLbl val="0"/>
      </c:catAx>
      <c:valAx>
        <c:axId val="2062647552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GDP vs Airplane Arrivals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Arrivals_AP!$A$11</c:f>
              <c:strCache>
                <c:ptCount val="1"/>
                <c:pt idx="0">
                  <c:v>Domestic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Arrivals_AP!$B$11:$H$11</c:f>
              <c:numCache>
                <c:formatCode>_-* #\ ##0_-;\-* #\ ##0_-;_-* "-"??_-;_-@_-</c:formatCode>
                <c:ptCount val="7"/>
                <c:pt idx="0">
                  <c:v>140369</c:v>
                </c:pt>
                <c:pt idx="1">
                  <c:v>135668</c:v>
                </c:pt>
                <c:pt idx="2">
                  <c:v>130693</c:v>
                </c:pt>
                <c:pt idx="3">
                  <c:v>42896</c:v>
                </c:pt>
                <c:pt idx="4">
                  <c:v>90385</c:v>
                </c:pt>
                <c:pt idx="5">
                  <c:v>109076</c:v>
                </c:pt>
                <c:pt idx="6">
                  <c:v>121354.28571428571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1E-4965-8AF9-13C39370A1B6}"/>
            </c:ext>
          </c:extLst>
        </c:ser>
        <c:ser>
          <c:idx val="1"/>
          <c:order val="1"/>
          <c:tx>
            <c:strRef>
              <c:f>Arrivals_AP!$A$12</c:f>
              <c:strCache>
                <c:ptCount val="1"/>
                <c:pt idx="0">
                  <c:v>International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Arrivals_AP!$B$12:$H$12</c:f>
              <c:numCache>
                <c:formatCode>_-* #\ ##0_-;\-* #\ ##0_-;_-* "-"??_-;_-@_-</c:formatCode>
                <c:ptCount val="7"/>
                <c:pt idx="0">
                  <c:v>39047</c:v>
                </c:pt>
                <c:pt idx="1">
                  <c:v>39018</c:v>
                </c:pt>
                <c:pt idx="2">
                  <c:v>38524</c:v>
                </c:pt>
                <c:pt idx="3">
                  <c:v>10297</c:v>
                </c:pt>
                <c:pt idx="4">
                  <c:v>22743</c:v>
                </c:pt>
                <c:pt idx="5">
                  <c:v>33155</c:v>
                </c:pt>
                <c:pt idx="6">
                  <c:v>37685.142857142855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1E-4965-8AF9-13C39370A1B6}"/>
            </c:ext>
          </c:extLst>
        </c:ser>
        <c:ser>
          <c:idx val="2"/>
          <c:order val="2"/>
          <c:tx>
            <c:strRef>
              <c:f>Arrivals_AP!$A$13</c:f>
              <c:strCache>
                <c:ptCount val="1"/>
                <c:pt idx="0">
                  <c:v>Regional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Arrivals_AP!$B$13:$H$13</c:f>
              <c:numCache>
                <c:formatCode>_-* #\ ##0_-;\-* #\ ##0_-;_-* "-"??_-;_-@_-</c:formatCode>
                <c:ptCount val="7"/>
                <c:pt idx="0">
                  <c:v>13064</c:v>
                </c:pt>
                <c:pt idx="1">
                  <c:v>12613</c:v>
                </c:pt>
                <c:pt idx="2">
                  <c:v>11620</c:v>
                </c:pt>
                <c:pt idx="3">
                  <c:v>2624</c:v>
                </c:pt>
                <c:pt idx="4">
                  <c:v>6755</c:v>
                </c:pt>
                <c:pt idx="5">
                  <c:v>9354</c:v>
                </c:pt>
                <c:pt idx="6">
                  <c:v>11770.285714285716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1E-4965-8AF9-13C39370A1B6}"/>
            </c:ext>
          </c:extLst>
        </c:ser>
        <c:ser>
          <c:idx val="3"/>
          <c:order val="3"/>
          <c:tx>
            <c:strRef>
              <c:f>Arrivals_AP!$A$14</c:f>
              <c:strCache>
                <c:ptCount val="1"/>
                <c:pt idx="0">
                  <c:v>Unscheduled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Arrivals_AP!$B$14:$H$14</c:f>
              <c:numCache>
                <c:formatCode>_-* #\ ##0_-;\-* #\ ##0_-;_-* "-"??_-;_-@_-</c:formatCode>
                <c:ptCount val="7"/>
                <c:pt idx="0">
                  <c:v>71971</c:v>
                </c:pt>
                <c:pt idx="1">
                  <c:v>71870</c:v>
                </c:pt>
                <c:pt idx="2">
                  <c:v>67682</c:v>
                </c:pt>
                <c:pt idx="3">
                  <c:v>44063</c:v>
                </c:pt>
                <c:pt idx="4">
                  <c:v>53024</c:v>
                </c:pt>
                <c:pt idx="5">
                  <c:v>60202</c:v>
                </c:pt>
                <c:pt idx="6">
                  <c:v>59088.000000000007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1E-4965-8AF9-13C39370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184911"/>
        <c:axId val="1105835936"/>
      </c:lineChart>
      <c:lineChart>
        <c:grouping val="standard"/>
        <c:varyColors val="0"/>
        <c:ser>
          <c:idx val="4"/>
          <c:order val="4"/>
          <c:tx>
            <c:strRef>
              <c:f>Arrivals_AP!$A$15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Arrivals_AP!$B$10:$H$10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Arrivals_AP!$B$15:$H$15</c:f>
              <c:numCache>
                <c:formatCode>_-* #\ ##0_-;\-* #\ ##0_-;_-* "-"??_-;_-@_-</c:formatCode>
                <c:ptCount val="7"/>
                <c:pt idx="0">
                  <c:v>4501701615484.8301</c:v>
                </c:pt>
                <c:pt idx="1">
                  <c:v>4568669710783.1338</c:v>
                </c:pt>
                <c:pt idx="2">
                  <c:v>4573834760819.2813</c:v>
                </c:pt>
                <c:pt idx="3">
                  <c:v>4279646860386.5562</c:v>
                </c:pt>
                <c:pt idx="4">
                  <c:v>4513043919695.8613</c:v>
                </c:pt>
                <c:pt idx="5">
                  <c:v>4599261389164.5967</c:v>
                </c:pt>
                <c:pt idx="6">
                  <c:v>4638499639146.3398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1E-4965-8AF9-13C39370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634480"/>
        <c:axId val="2062601840"/>
      </c:lineChart>
      <c:catAx>
        <c:axId val="172218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35936"/>
        <c:crosses val="autoZero"/>
        <c:auto val="1"/>
        <c:lblAlgn val="ctr"/>
        <c:lblOffset val="100"/>
        <c:noMultiLvlLbl val="0"/>
      </c:catAx>
      <c:valAx>
        <c:axId val="1105835936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84911"/>
        <c:crosses val="autoZero"/>
        <c:crossBetween val="between"/>
      </c:valAx>
      <c:valAx>
        <c:axId val="2062601840"/>
        <c:scaling>
          <c:orientation val="minMax"/>
        </c:scaling>
        <c:delete val="0"/>
        <c:axPos val="r"/>
        <c:numFmt formatCode="0.00,,,,&quot;T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34480"/>
        <c:crosses val="max"/>
        <c:crossBetween val="between"/>
      </c:valAx>
      <c:catAx>
        <c:axId val="2023634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2601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[Liquid Fuels Model - Supply Demand, 2025 - Reatile Copy.xlsx]Departures_AP!PivotTable6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Departures_AP!$B$3</c:f>
              <c:strCache>
                <c:ptCount val="1"/>
                <c:pt idx="0">
                  <c:v>Sum of 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Departures_AP!$A$4:$A$8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Departures_AP!$B$4:$B$8</c:f>
              <c:numCache>
                <c:formatCode>_-* #\ ##0_-;\-* #\ ##0_-;_-* "-"??_-;_-@_-</c:formatCode>
                <c:ptCount val="4"/>
                <c:pt idx="0">
                  <c:v>140965</c:v>
                </c:pt>
                <c:pt idx="1">
                  <c:v>38929</c:v>
                </c:pt>
                <c:pt idx="2">
                  <c:v>13085</c:v>
                </c:pt>
                <c:pt idx="3">
                  <c:v>69459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7-45CB-BA81-33516E756FA6}"/>
            </c:ext>
          </c:extLst>
        </c:ser>
        <c:ser>
          <c:idx val="1"/>
          <c:order val="1"/>
          <c:tx>
            <c:strRef>
              <c:f>Departures_AP!$C$3</c:f>
              <c:strCache>
                <c:ptCount val="1"/>
                <c:pt idx="0">
                  <c:v>Sum of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Departures_AP!$A$4:$A$8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Departures_AP!$C$4:$C$8</c:f>
              <c:numCache>
                <c:formatCode>_-* #\ ##0_-;\-* #\ ##0_-;_-* "-"??_-;_-@_-</c:formatCode>
                <c:ptCount val="4"/>
                <c:pt idx="0">
                  <c:v>136144</c:v>
                </c:pt>
                <c:pt idx="1">
                  <c:v>38819</c:v>
                </c:pt>
                <c:pt idx="2">
                  <c:v>12650</c:v>
                </c:pt>
                <c:pt idx="3">
                  <c:v>71197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7-45CB-BA81-33516E756FA6}"/>
            </c:ext>
          </c:extLst>
        </c:ser>
        <c:ser>
          <c:idx val="2"/>
          <c:order val="2"/>
          <c:tx>
            <c:strRef>
              <c:f>Departures_AP!$D$3</c:f>
              <c:strCache>
                <c:ptCount val="1"/>
                <c:pt idx="0">
                  <c:v>Sum of 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Departures_AP!$A$4:$A$8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Departures_AP!$D$4:$D$8</c:f>
              <c:numCache>
                <c:formatCode>_-* #\ ##0_-;\-* #\ ##0_-;_-* "-"??_-;_-@_-</c:formatCode>
                <c:ptCount val="4"/>
                <c:pt idx="0">
                  <c:v>131082</c:v>
                </c:pt>
                <c:pt idx="1">
                  <c:v>38300</c:v>
                </c:pt>
                <c:pt idx="2">
                  <c:v>11689</c:v>
                </c:pt>
                <c:pt idx="3">
                  <c:v>65740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B7-45CB-BA81-33516E756FA6}"/>
            </c:ext>
          </c:extLst>
        </c:ser>
        <c:ser>
          <c:idx val="3"/>
          <c:order val="3"/>
          <c:tx>
            <c:strRef>
              <c:f>Departures_AP!$E$3</c:f>
              <c:strCache>
                <c:ptCount val="1"/>
                <c:pt idx="0">
                  <c:v>Sum of 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Departures_AP!$A$4:$A$8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Departures_AP!$E$4:$E$8</c:f>
              <c:numCache>
                <c:formatCode>_-* #\ ##0_-;\-* #\ ##0_-;_-* "-"??_-;_-@_-</c:formatCode>
                <c:ptCount val="4"/>
                <c:pt idx="0">
                  <c:v>42969</c:v>
                </c:pt>
                <c:pt idx="1">
                  <c:v>10160</c:v>
                </c:pt>
                <c:pt idx="2">
                  <c:v>2552</c:v>
                </c:pt>
                <c:pt idx="3">
                  <c:v>44101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B7-45CB-BA81-33516E756FA6}"/>
            </c:ext>
          </c:extLst>
        </c:ser>
        <c:ser>
          <c:idx val="4"/>
          <c:order val="4"/>
          <c:tx>
            <c:strRef>
              <c:f>Departures_AP!$F$3</c:f>
              <c:strCache>
                <c:ptCount val="1"/>
                <c:pt idx="0">
                  <c:v>Sum of 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Departures_AP!$A$4:$A$8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Departures_AP!$F$4:$F$8</c:f>
              <c:numCache>
                <c:formatCode>_-* #\ ##0_-;\-* #\ ##0_-;_-* "-"??_-;_-@_-</c:formatCode>
                <c:ptCount val="4"/>
                <c:pt idx="0">
                  <c:v>90631</c:v>
                </c:pt>
                <c:pt idx="1">
                  <c:v>22514</c:v>
                </c:pt>
                <c:pt idx="2">
                  <c:v>6679</c:v>
                </c:pt>
                <c:pt idx="3">
                  <c:v>52146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B7-45CB-BA81-33516E756FA6}"/>
            </c:ext>
          </c:extLst>
        </c:ser>
        <c:ser>
          <c:idx val="5"/>
          <c:order val="5"/>
          <c:tx>
            <c:strRef>
              <c:f>Departures_AP!$G$3</c:f>
              <c:strCache>
                <c:ptCount val="1"/>
                <c:pt idx="0">
                  <c:v>Sum of 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Departures_AP!$A$4:$A$8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Departures_AP!$G$4:$G$8</c:f>
              <c:numCache>
                <c:formatCode>_-* #\ ##0_-;\-* #\ ##0_-;_-* "-"??_-;_-@_-</c:formatCode>
                <c:ptCount val="4"/>
                <c:pt idx="0">
                  <c:v>109366</c:v>
                </c:pt>
                <c:pt idx="1">
                  <c:v>32933</c:v>
                </c:pt>
                <c:pt idx="2">
                  <c:v>9263</c:v>
                </c:pt>
                <c:pt idx="3">
                  <c:v>59308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B7-45CB-BA81-33516E756FA6}"/>
            </c:ext>
          </c:extLst>
        </c:ser>
        <c:ser>
          <c:idx val="6"/>
          <c:order val="6"/>
          <c:tx>
            <c:strRef>
              <c:f>Departures_AP!$H$3</c:f>
              <c:strCache>
                <c:ptCount val="1"/>
                <c:pt idx="0">
                  <c:v>Sum of 2023*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Departures_AP!$A$4:$A$8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Departures_AP!$H$4:$H$8</c:f>
              <c:numCache>
                <c:formatCode>_-* #\ ##0_-;\-* #\ ##0_-;_-* "-"??_-;_-@_-</c:formatCode>
                <c:ptCount val="4"/>
                <c:pt idx="0">
                  <c:v>121654.28571428572</c:v>
                </c:pt>
                <c:pt idx="1">
                  <c:v>37434.857142857138</c:v>
                </c:pt>
                <c:pt idx="2">
                  <c:v>11688</c:v>
                </c:pt>
                <c:pt idx="3">
                  <c:v>58674.857142857145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B7-45CB-BA81-33516E756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123199"/>
        <c:axId val="1849273920"/>
      </c:barChart>
      <c:catAx>
        <c:axId val="134012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73920"/>
        <c:crosses val="autoZero"/>
        <c:auto val="1"/>
        <c:lblAlgn val="ctr"/>
        <c:lblOffset val="100"/>
        <c:noMultiLvlLbl val="0"/>
      </c:catAx>
      <c:valAx>
        <c:axId val="1849273920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123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GDP vs Airplane Depatures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Departures_AP!$A$10</c:f>
              <c:strCache>
                <c:ptCount val="1"/>
                <c:pt idx="0">
                  <c:v>Row Labels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Departures_AP!$B$10:$H$10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Departures_AP!$B$10:$H$10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E-4BD8-B232-DEAE971F96F1}"/>
            </c:ext>
          </c:extLst>
        </c:ser>
        <c:ser>
          <c:idx val="1"/>
          <c:order val="1"/>
          <c:tx>
            <c:strRef>
              <c:f>Departures_AP!$A$11</c:f>
              <c:strCache>
                <c:ptCount val="1"/>
                <c:pt idx="0">
                  <c:v>Domestic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Departures_AP!$B$10:$H$10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Departures_AP!$B$11:$H$11</c:f>
              <c:numCache>
                <c:formatCode>_-* #\ ##0_-;\-* #\ ##0_-;_-* "-"??_-;_-@_-</c:formatCode>
                <c:ptCount val="7"/>
                <c:pt idx="0">
                  <c:v>140965</c:v>
                </c:pt>
                <c:pt idx="1">
                  <c:v>136144</c:v>
                </c:pt>
                <c:pt idx="2">
                  <c:v>131082</c:v>
                </c:pt>
                <c:pt idx="3">
                  <c:v>42969</c:v>
                </c:pt>
                <c:pt idx="4">
                  <c:v>90631</c:v>
                </c:pt>
                <c:pt idx="5">
                  <c:v>109366</c:v>
                </c:pt>
                <c:pt idx="6">
                  <c:v>121654.28571428572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1E-4BD8-B232-DEAE971F96F1}"/>
            </c:ext>
          </c:extLst>
        </c:ser>
        <c:ser>
          <c:idx val="2"/>
          <c:order val="2"/>
          <c:tx>
            <c:strRef>
              <c:f>Departures_AP!$A$12</c:f>
              <c:strCache>
                <c:ptCount val="1"/>
                <c:pt idx="0">
                  <c:v>International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Departures_AP!$B$10:$H$10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Departures_AP!$B$12:$H$12</c:f>
              <c:numCache>
                <c:formatCode>_-* #\ ##0_-;\-* #\ ##0_-;_-* "-"??_-;_-@_-</c:formatCode>
                <c:ptCount val="7"/>
                <c:pt idx="0">
                  <c:v>38929</c:v>
                </c:pt>
                <c:pt idx="1">
                  <c:v>38819</c:v>
                </c:pt>
                <c:pt idx="2">
                  <c:v>38300</c:v>
                </c:pt>
                <c:pt idx="3">
                  <c:v>10160</c:v>
                </c:pt>
                <c:pt idx="4">
                  <c:v>22514</c:v>
                </c:pt>
                <c:pt idx="5">
                  <c:v>32933</c:v>
                </c:pt>
                <c:pt idx="6">
                  <c:v>37434.857142857138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1E-4BD8-B232-DEAE971F96F1}"/>
            </c:ext>
          </c:extLst>
        </c:ser>
        <c:ser>
          <c:idx val="3"/>
          <c:order val="3"/>
          <c:tx>
            <c:strRef>
              <c:f>Departures_AP!$A$13</c:f>
              <c:strCache>
                <c:ptCount val="1"/>
                <c:pt idx="0">
                  <c:v>Regional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Departures_AP!$B$10:$H$10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Departures_AP!$B$13:$H$13</c:f>
              <c:numCache>
                <c:formatCode>_-* #\ ##0_-;\-* #\ ##0_-;_-* "-"??_-;_-@_-</c:formatCode>
                <c:ptCount val="7"/>
                <c:pt idx="0">
                  <c:v>13085</c:v>
                </c:pt>
                <c:pt idx="1">
                  <c:v>12650</c:v>
                </c:pt>
                <c:pt idx="2">
                  <c:v>11689</c:v>
                </c:pt>
                <c:pt idx="3">
                  <c:v>2552</c:v>
                </c:pt>
                <c:pt idx="4">
                  <c:v>6679</c:v>
                </c:pt>
                <c:pt idx="5">
                  <c:v>9263</c:v>
                </c:pt>
                <c:pt idx="6">
                  <c:v>11688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1E-4BD8-B232-DEAE971F96F1}"/>
            </c:ext>
          </c:extLst>
        </c:ser>
        <c:ser>
          <c:idx val="4"/>
          <c:order val="4"/>
          <c:tx>
            <c:strRef>
              <c:f>Departures_AP!$A$14</c:f>
              <c:strCache>
                <c:ptCount val="1"/>
                <c:pt idx="0">
                  <c:v>Unscheduled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Departures_AP!$B$10:$H$10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Departures_AP!$B$14:$H$14</c:f>
              <c:numCache>
                <c:formatCode>_-* #\ ##0_-;\-* #\ ##0_-;_-* "-"??_-;_-@_-</c:formatCode>
                <c:ptCount val="7"/>
                <c:pt idx="0">
                  <c:v>69459</c:v>
                </c:pt>
                <c:pt idx="1">
                  <c:v>71197</c:v>
                </c:pt>
                <c:pt idx="2">
                  <c:v>65740</c:v>
                </c:pt>
                <c:pt idx="3">
                  <c:v>44101</c:v>
                </c:pt>
                <c:pt idx="4">
                  <c:v>52146</c:v>
                </c:pt>
                <c:pt idx="5">
                  <c:v>59308</c:v>
                </c:pt>
                <c:pt idx="6">
                  <c:v>58674.857142857145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1E-4BD8-B232-DEAE971F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417760"/>
        <c:axId val="370755359"/>
      </c:lineChart>
      <c:lineChart>
        <c:grouping val="standard"/>
        <c:varyColors val="0"/>
        <c:ser>
          <c:idx val="5"/>
          <c:order val="5"/>
          <c:tx>
            <c:strRef>
              <c:f>Departures_AP!$A$15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Departures_AP!$B$15:$H$15</c:f>
              <c:numCache>
                <c:formatCode>_-* #\ ##0_-;\-* #\ ##0_-;_-* "-"??_-;_-@_-</c:formatCode>
                <c:ptCount val="7"/>
                <c:pt idx="0">
                  <c:v>4501701615484.8301</c:v>
                </c:pt>
                <c:pt idx="1">
                  <c:v>4568669710783.1338</c:v>
                </c:pt>
                <c:pt idx="2">
                  <c:v>4573834760819.2813</c:v>
                </c:pt>
                <c:pt idx="3">
                  <c:v>4279646860386.5562</c:v>
                </c:pt>
                <c:pt idx="4">
                  <c:v>4513043919695.8613</c:v>
                </c:pt>
                <c:pt idx="5">
                  <c:v>4599261389164.5967</c:v>
                </c:pt>
                <c:pt idx="6">
                  <c:v>4638499639146.3398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1E-4BD8-B232-DEAE971F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357056"/>
        <c:axId val="339353743"/>
      </c:lineChart>
      <c:catAx>
        <c:axId val="18624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755359"/>
        <c:crosses val="autoZero"/>
        <c:auto val="1"/>
        <c:lblAlgn val="ctr"/>
        <c:lblOffset val="100"/>
        <c:noMultiLvlLbl val="0"/>
      </c:catAx>
      <c:valAx>
        <c:axId val="37075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417760"/>
        <c:crosses val="autoZero"/>
        <c:crossBetween val="between"/>
      </c:valAx>
      <c:valAx>
        <c:axId val="339353743"/>
        <c:scaling>
          <c:orientation val="minMax"/>
        </c:scaling>
        <c:delete val="0"/>
        <c:axPos val="r"/>
        <c:numFmt formatCode="0.00,,,,&quot;T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357056"/>
        <c:crosses val="max"/>
        <c:crossBetween val="between"/>
      </c:valAx>
      <c:catAx>
        <c:axId val="1872357056"/>
        <c:scaling>
          <c:orientation val="minMax"/>
        </c:scaling>
        <c:delete val="1"/>
        <c:axPos val="b"/>
        <c:majorTickMark val="out"/>
        <c:minorTickMark val="none"/>
        <c:tickLblPos val="nextTo"/>
        <c:crossAx val="339353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[Liquid Fuels Model - Supply Demand, 2025 - Reatile Copy.xlsx]Arrivals_pass!PivotTable7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Passenger</a:t>
            </a:r>
            <a:r>
              <a:rPr lang="en-ZA" b="1" baseline="0"/>
              <a:t> Arrivals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Arrivals_pass!$B$3</c:f>
              <c:strCache>
                <c:ptCount val="1"/>
                <c:pt idx="0">
                  <c:v>Sum of 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Arrivals_pass!$A$4:$A$8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Arrivals_pass!$B$4:$B$8</c:f>
              <c:numCache>
                <c:formatCode>_-* #\ ##0_-;\-* #\ ##0_-;_-* "-"??_-;_-@_-</c:formatCode>
                <c:ptCount val="4"/>
                <c:pt idx="0">
                  <c:v>14180513</c:v>
                </c:pt>
                <c:pt idx="1">
                  <c:v>5856148</c:v>
                </c:pt>
                <c:pt idx="2">
                  <c:v>562415</c:v>
                </c:pt>
                <c:pt idx="3">
                  <c:v>66806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6-41BC-8001-F82300EF3D4C}"/>
            </c:ext>
          </c:extLst>
        </c:ser>
        <c:ser>
          <c:idx val="1"/>
          <c:order val="1"/>
          <c:tx>
            <c:strRef>
              <c:f>Arrivals_pass!$C$3</c:f>
              <c:strCache>
                <c:ptCount val="1"/>
                <c:pt idx="0">
                  <c:v>Sum of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Arrivals_pass!$A$4:$A$8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Arrivals_pass!$C$4:$C$8</c:f>
              <c:numCache>
                <c:formatCode>_-* #\ ##0_-;\-* #\ ##0_-;_-* "-"??_-;_-@_-</c:formatCode>
                <c:ptCount val="4"/>
                <c:pt idx="0">
                  <c:v>14440048</c:v>
                </c:pt>
                <c:pt idx="1">
                  <c:v>5904304</c:v>
                </c:pt>
                <c:pt idx="2">
                  <c:v>554969</c:v>
                </c:pt>
                <c:pt idx="3">
                  <c:v>57914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6-41BC-8001-F82300EF3D4C}"/>
            </c:ext>
          </c:extLst>
        </c:ser>
        <c:ser>
          <c:idx val="2"/>
          <c:order val="2"/>
          <c:tx>
            <c:strRef>
              <c:f>Arrivals_pass!$D$3</c:f>
              <c:strCache>
                <c:ptCount val="1"/>
                <c:pt idx="0">
                  <c:v>Sum of 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Arrivals_pass!$A$4:$A$8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Arrivals_pass!$D$4:$D$8</c:f>
              <c:numCache>
                <c:formatCode>_-* #\ ##0_-;\-* #\ ##0_-;_-* "-"??_-;_-@_-</c:formatCode>
                <c:ptCount val="4"/>
                <c:pt idx="0">
                  <c:v>14501236</c:v>
                </c:pt>
                <c:pt idx="1">
                  <c:v>5687850</c:v>
                </c:pt>
                <c:pt idx="2">
                  <c:v>522386</c:v>
                </c:pt>
                <c:pt idx="3">
                  <c:v>56456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6-41BC-8001-F82300EF3D4C}"/>
            </c:ext>
          </c:extLst>
        </c:ser>
        <c:ser>
          <c:idx val="3"/>
          <c:order val="3"/>
          <c:tx>
            <c:strRef>
              <c:f>Arrivals_pass!$E$3</c:f>
              <c:strCache>
                <c:ptCount val="1"/>
                <c:pt idx="0">
                  <c:v>Sum of 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Arrivals_pass!$A$4:$A$8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Arrivals_pass!$E$4:$E$8</c:f>
              <c:numCache>
                <c:formatCode>_-* #\ ##0_-;\-* #\ ##0_-;_-* "-"??_-;_-@_-</c:formatCode>
                <c:ptCount val="4"/>
                <c:pt idx="0">
                  <c:v>4013579</c:v>
                </c:pt>
                <c:pt idx="1">
                  <c:v>402223</c:v>
                </c:pt>
                <c:pt idx="2">
                  <c:v>37400</c:v>
                </c:pt>
                <c:pt idx="3">
                  <c:v>57957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26-41BC-8001-F82300EF3D4C}"/>
            </c:ext>
          </c:extLst>
        </c:ser>
        <c:ser>
          <c:idx val="4"/>
          <c:order val="4"/>
          <c:tx>
            <c:strRef>
              <c:f>Arrivals_pass!$F$3</c:f>
              <c:strCache>
                <c:ptCount val="1"/>
                <c:pt idx="0">
                  <c:v>Sum of 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Arrivals_pass!$A$4:$A$8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Arrivals_pass!$F$4:$F$8</c:f>
              <c:numCache>
                <c:formatCode>_-* #\ ##0_-;\-* #\ ##0_-;_-* "-"??_-;_-@_-</c:formatCode>
                <c:ptCount val="4"/>
                <c:pt idx="0">
                  <c:v>8599633</c:v>
                </c:pt>
                <c:pt idx="1">
                  <c:v>1660824</c:v>
                </c:pt>
                <c:pt idx="2">
                  <c:v>183191</c:v>
                </c:pt>
                <c:pt idx="3">
                  <c:v>52518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6-41BC-8001-F82300EF3D4C}"/>
            </c:ext>
          </c:extLst>
        </c:ser>
        <c:ser>
          <c:idx val="5"/>
          <c:order val="5"/>
          <c:tx>
            <c:strRef>
              <c:f>Arrivals_pass!$G$3</c:f>
              <c:strCache>
                <c:ptCount val="1"/>
                <c:pt idx="0">
                  <c:v>Sum of 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Arrivals_pass!$A$4:$A$8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Arrivals_pass!$G$4:$G$8</c:f>
              <c:numCache>
                <c:formatCode>_-* #\ ##0_-;\-* #\ ##0_-;_-* "-"??_-;_-@_-</c:formatCode>
                <c:ptCount val="4"/>
                <c:pt idx="0">
                  <c:v>11099054</c:v>
                </c:pt>
                <c:pt idx="1">
                  <c:v>4155925</c:v>
                </c:pt>
                <c:pt idx="2">
                  <c:v>364524</c:v>
                </c:pt>
                <c:pt idx="3">
                  <c:v>73886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26-41BC-8001-F82300EF3D4C}"/>
            </c:ext>
          </c:extLst>
        </c:ser>
        <c:ser>
          <c:idx val="6"/>
          <c:order val="6"/>
          <c:tx>
            <c:strRef>
              <c:f>Arrivals_pass!$H$3</c:f>
              <c:strCache>
                <c:ptCount val="1"/>
                <c:pt idx="0">
                  <c:v>Sum of 2023*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Arrivals_pass!$A$4:$A$8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Arrivals_pass!$H$4:$H$8</c:f>
              <c:numCache>
                <c:formatCode>_-* #\ ##0_-;\-* #\ ##0_-;_-* "-"??_-;_-@_-</c:formatCode>
                <c:ptCount val="4"/>
                <c:pt idx="0">
                  <c:v>12369574.285714287</c:v>
                </c:pt>
                <c:pt idx="1">
                  <c:v>4698690.8571428573</c:v>
                </c:pt>
                <c:pt idx="2">
                  <c:v>459632.57142857142</c:v>
                </c:pt>
                <c:pt idx="3">
                  <c:v>66882.857142857159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26-41BC-8001-F82300EF3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771439"/>
        <c:axId val="1793121712"/>
      </c:barChart>
      <c:catAx>
        <c:axId val="114677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121712"/>
        <c:crosses val="autoZero"/>
        <c:auto val="1"/>
        <c:lblAlgn val="ctr"/>
        <c:lblOffset val="100"/>
        <c:noMultiLvlLbl val="0"/>
      </c:catAx>
      <c:valAx>
        <c:axId val="1793121712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71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Passenger Arrivals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Arrivals_pass!$A$11</c:f>
              <c:strCache>
                <c:ptCount val="1"/>
                <c:pt idx="0">
                  <c:v>Domestic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Arrivals_pass!$B$11:$H$11</c:f>
              <c:numCache>
                <c:formatCode>_-* #\ ##0_-;\-* #\ ##0_-;_-* "-"??_-;_-@_-</c:formatCode>
                <c:ptCount val="7"/>
                <c:pt idx="0">
                  <c:v>14180513</c:v>
                </c:pt>
                <c:pt idx="1">
                  <c:v>14440048</c:v>
                </c:pt>
                <c:pt idx="2">
                  <c:v>14501236</c:v>
                </c:pt>
                <c:pt idx="3">
                  <c:v>4013579</c:v>
                </c:pt>
                <c:pt idx="4">
                  <c:v>8599633</c:v>
                </c:pt>
                <c:pt idx="5">
                  <c:v>11099054</c:v>
                </c:pt>
                <c:pt idx="6">
                  <c:v>12369574.285714287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D-46D3-8820-D6B2531F4387}"/>
            </c:ext>
          </c:extLst>
        </c:ser>
        <c:ser>
          <c:idx val="1"/>
          <c:order val="1"/>
          <c:tx>
            <c:strRef>
              <c:f>Arrivals_pass!$A$12</c:f>
              <c:strCache>
                <c:ptCount val="1"/>
                <c:pt idx="0">
                  <c:v>International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Arrivals_pass!$B$12:$H$12</c:f>
              <c:numCache>
                <c:formatCode>_-* #\ ##0_-;\-* #\ ##0_-;_-* "-"??_-;_-@_-</c:formatCode>
                <c:ptCount val="7"/>
                <c:pt idx="0">
                  <c:v>5856148</c:v>
                </c:pt>
                <c:pt idx="1">
                  <c:v>5904304</c:v>
                </c:pt>
                <c:pt idx="2">
                  <c:v>5687850</c:v>
                </c:pt>
                <c:pt idx="3">
                  <c:v>402223</c:v>
                </c:pt>
                <c:pt idx="4">
                  <c:v>1660824</c:v>
                </c:pt>
                <c:pt idx="5">
                  <c:v>4155925</c:v>
                </c:pt>
                <c:pt idx="6">
                  <c:v>4698690.8571428573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D-46D3-8820-D6B2531F4387}"/>
            </c:ext>
          </c:extLst>
        </c:ser>
        <c:ser>
          <c:idx val="2"/>
          <c:order val="2"/>
          <c:tx>
            <c:strRef>
              <c:f>Arrivals_pass!$A$13</c:f>
              <c:strCache>
                <c:ptCount val="1"/>
                <c:pt idx="0">
                  <c:v>Regional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Arrivals_pass!$B$13:$H$13</c:f>
              <c:numCache>
                <c:formatCode>_-* #\ ##0_-;\-* #\ ##0_-;_-* "-"??_-;_-@_-</c:formatCode>
                <c:ptCount val="7"/>
                <c:pt idx="0">
                  <c:v>562415</c:v>
                </c:pt>
                <c:pt idx="1">
                  <c:v>554969</c:v>
                </c:pt>
                <c:pt idx="2">
                  <c:v>522386</c:v>
                </c:pt>
                <c:pt idx="3">
                  <c:v>37400</c:v>
                </c:pt>
                <c:pt idx="4">
                  <c:v>183191</c:v>
                </c:pt>
                <c:pt idx="5">
                  <c:v>364524</c:v>
                </c:pt>
                <c:pt idx="6">
                  <c:v>459632.57142857142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0D-46D3-8820-D6B2531F4387}"/>
            </c:ext>
          </c:extLst>
        </c:ser>
        <c:ser>
          <c:idx val="3"/>
          <c:order val="3"/>
          <c:tx>
            <c:strRef>
              <c:f>Arrivals_pass!$A$14</c:f>
              <c:strCache>
                <c:ptCount val="1"/>
                <c:pt idx="0">
                  <c:v>Unscheduled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Arrivals_pass!$B$14:$H$14</c:f>
              <c:numCache>
                <c:formatCode>_-* #\ ##0_-;\-* #\ ##0_-;_-* "-"??_-;_-@_-</c:formatCode>
                <c:ptCount val="7"/>
                <c:pt idx="0">
                  <c:v>66806</c:v>
                </c:pt>
                <c:pt idx="1">
                  <c:v>57914</c:v>
                </c:pt>
                <c:pt idx="2">
                  <c:v>56456</c:v>
                </c:pt>
                <c:pt idx="3">
                  <c:v>57957</c:v>
                </c:pt>
                <c:pt idx="4">
                  <c:v>52518</c:v>
                </c:pt>
                <c:pt idx="5">
                  <c:v>73886</c:v>
                </c:pt>
                <c:pt idx="6">
                  <c:v>66882.857142857159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0D-46D3-8820-D6B2531F4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733951"/>
        <c:axId val="2065737472"/>
      </c:lineChart>
      <c:catAx>
        <c:axId val="154373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37472"/>
        <c:crosses val="autoZero"/>
        <c:auto val="1"/>
        <c:lblAlgn val="ctr"/>
        <c:lblOffset val="100"/>
        <c:noMultiLvlLbl val="0"/>
      </c:catAx>
      <c:valAx>
        <c:axId val="2065737472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73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vs Passsenger Arrivals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Arrivals_pass!$A$11</c:f>
              <c:strCache>
                <c:ptCount val="1"/>
                <c:pt idx="0">
                  <c:v>Domestic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Arrivals_pass!$B$11:$H$11</c:f>
              <c:numCache>
                <c:formatCode>_-* #\ ##0_-;\-* #\ ##0_-;_-* "-"??_-;_-@_-</c:formatCode>
                <c:ptCount val="7"/>
                <c:pt idx="0">
                  <c:v>14180513</c:v>
                </c:pt>
                <c:pt idx="1">
                  <c:v>14440048</c:v>
                </c:pt>
                <c:pt idx="2">
                  <c:v>14501236</c:v>
                </c:pt>
                <c:pt idx="3">
                  <c:v>4013579</c:v>
                </c:pt>
                <c:pt idx="4">
                  <c:v>8599633</c:v>
                </c:pt>
                <c:pt idx="5">
                  <c:v>11099054</c:v>
                </c:pt>
                <c:pt idx="6">
                  <c:v>12369574.285714287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0-4118-BA4F-CA5C53459D3A}"/>
            </c:ext>
          </c:extLst>
        </c:ser>
        <c:ser>
          <c:idx val="1"/>
          <c:order val="1"/>
          <c:tx>
            <c:strRef>
              <c:f>Arrivals_pass!$A$12</c:f>
              <c:strCache>
                <c:ptCount val="1"/>
                <c:pt idx="0">
                  <c:v>International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Arrivals_pass!$B$12:$H$12</c:f>
              <c:numCache>
                <c:formatCode>_-* #\ ##0_-;\-* #\ ##0_-;_-* "-"??_-;_-@_-</c:formatCode>
                <c:ptCount val="7"/>
                <c:pt idx="0">
                  <c:v>5856148</c:v>
                </c:pt>
                <c:pt idx="1">
                  <c:v>5904304</c:v>
                </c:pt>
                <c:pt idx="2">
                  <c:v>5687850</c:v>
                </c:pt>
                <c:pt idx="3">
                  <c:v>402223</c:v>
                </c:pt>
                <c:pt idx="4">
                  <c:v>1660824</c:v>
                </c:pt>
                <c:pt idx="5">
                  <c:v>4155925</c:v>
                </c:pt>
                <c:pt idx="6">
                  <c:v>4698690.8571428573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0-4118-BA4F-CA5C53459D3A}"/>
            </c:ext>
          </c:extLst>
        </c:ser>
        <c:ser>
          <c:idx val="2"/>
          <c:order val="2"/>
          <c:tx>
            <c:strRef>
              <c:f>Arrivals_pass!$A$13</c:f>
              <c:strCache>
                <c:ptCount val="1"/>
                <c:pt idx="0">
                  <c:v>Regional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Arrivals_pass!$B$13:$H$13</c:f>
              <c:numCache>
                <c:formatCode>_-* #\ ##0_-;\-* #\ ##0_-;_-* "-"??_-;_-@_-</c:formatCode>
                <c:ptCount val="7"/>
                <c:pt idx="0">
                  <c:v>562415</c:v>
                </c:pt>
                <c:pt idx="1">
                  <c:v>554969</c:v>
                </c:pt>
                <c:pt idx="2">
                  <c:v>522386</c:v>
                </c:pt>
                <c:pt idx="3">
                  <c:v>37400</c:v>
                </c:pt>
                <c:pt idx="4">
                  <c:v>183191</c:v>
                </c:pt>
                <c:pt idx="5">
                  <c:v>364524</c:v>
                </c:pt>
                <c:pt idx="6">
                  <c:v>459632.57142857142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0-4118-BA4F-CA5C53459D3A}"/>
            </c:ext>
          </c:extLst>
        </c:ser>
        <c:ser>
          <c:idx val="3"/>
          <c:order val="3"/>
          <c:tx>
            <c:strRef>
              <c:f>Arrivals_pass!$A$14</c:f>
              <c:strCache>
                <c:ptCount val="1"/>
                <c:pt idx="0">
                  <c:v>Unscheduled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Arrivals_pass!$B$14:$H$14</c:f>
              <c:numCache>
                <c:formatCode>_-* #\ ##0_-;\-* #\ ##0_-;_-* "-"??_-;_-@_-</c:formatCode>
                <c:ptCount val="7"/>
                <c:pt idx="0">
                  <c:v>66806</c:v>
                </c:pt>
                <c:pt idx="1">
                  <c:v>57914</c:v>
                </c:pt>
                <c:pt idx="2">
                  <c:v>56456</c:v>
                </c:pt>
                <c:pt idx="3">
                  <c:v>57957</c:v>
                </c:pt>
                <c:pt idx="4">
                  <c:v>52518</c:v>
                </c:pt>
                <c:pt idx="5">
                  <c:v>73886</c:v>
                </c:pt>
                <c:pt idx="6">
                  <c:v>66882.857142857159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0-4118-BA4F-CA5C53459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471807"/>
        <c:axId val="2079097808"/>
      </c:lineChart>
      <c:lineChart>
        <c:grouping val="standard"/>
        <c:varyColors val="0"/>
        <c:ser>
          <c:idx val="4"/>
          <c:order val="4"/>
          <c:tx>
            <c:strRef>
              <c:f>Arrivals_pass!$A$15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Arrivals_pass!$B$10:$H$10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Arrivals_pass!$B$15:$H$15</c:f>
              <c:numCache>
                <c:formatCode>_-* #\ ##0_-;\-* #\ ##0_-;_-* "-"??_-;_-@_-</c:formatCode>
                <c:ptCount val="7"/>
                <c:pt idx="0">
                  <c:v>4501701615484.8301</c:v>
                </c:pt>
                <c:pt idx="1">
                  <c:v>4568669710783.1338</c:v>
                </c:pt>
                <c:pt idx="2">
                  <c:v>4573834760819.2813</c:v>
                </c:pt>
                <c:pt idx="3">
                  <c:v>4279646860386.5562</c:v>
                </c:pt>
                <c:pt idx="4">
                  <c:v>4513043919695.8613</c:v>
                </c:pt>
                <c:pt idx="5">
                  <c:v>4599261389164.5967</c:v>
                </c:pt>
                <c:pt idx="6">
                  <c:v>4638499639146.3398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80-4118-BA4F-CA5C53459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560592"/>
        <c:axId val="1720412703"/>
      </c:lineChart>
      <c:catAx>
        <c:axId val="173647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97808"/>
        <c:crosses val="autoZero"/>
        <c:auto val="1"/>
        <c:lblAlgn val="ctr"/>
        <c:lblOffset val="100"/>
        <c:noMultiLvlLbl val="0"/>
      </c:catAx>
      <c:valAx>
        <c:axId val="2079097808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471807"/>
        <c:crosses val="autoZero"/>
        <c:crossBetween val="between"/>
      </c:valAx>
      <c:valAx>
        <c:axId val="1720412703"/>
        <c:scaling>
          <c:orientation val="minMax"/>
        </c:scaling>
        <c:delete val="0"/>
        <c:axPos val="r"/>
        <c:numFmt formatCode="0.00,,,,&quot;T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60592"/>
        <c:crosses val="max"/>
        <c:crossBetween val="between"/>
      </c:valAx>
      <c:catAx>
        <c:axId val="2052560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0412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[Liquid Fuels Model - Supply Demand, 2025 - Reatile Copy.xlsx]Departures_pass!PivotTable8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Departures_pass!$B$3</c:f>
              <c:strCache>
                <c:ptCount val="1"/>
                <c:pt idx="0">
                  <c:v>Sum of 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Departures_pass!$A$4:$A$8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Departures_pass!$B$4:$B$8</c:f>
              <c:numCache>
                <c:formatCode>_-* #\ ##0_-;\-* #\ ##0_-;_-* "-"??_-;_-@_-</c:formatCode>
                <c:ptCount val="4"/>
                <c:pt idx="0">
                  <c:v>14242488</c:v>
                </c:pt>
                <c:pt idx="1">
                  <c:v>5971517</c:v>
                </c:pt>
                <c:pt idx="2">
                  <c:v>560569</c:v>
                </c:pt>
                <c:pt idx="3">
                  <c:v>62272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A-4984-B19A-C36E10D0447E}"/>
            </c:ext>
          </c:extLst>
        </c:ser>
        <c:ser>
          <c:idx val="1"/>
          <c:order val="1"/>
          <c:tx>
            <c:strRef>
              <c:f>Departures_pass!$C$3</c:f>
              <c:strCache>
                <c:ptCount val="1"/>
                <c:pt idx="0">
                  <c:v>Sum of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Departures_pass!$A$4:$A$8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Departures_pass!$C$4:$C$8</c:f>
              <c:numCache>
                <c:formatCode>_-* #\ ##0_-;\-* #\ ##0_-;_-* "-"??_-;_-@_-</c:formatCode>
                <c:ptCount val="4"/>
                <c:pt idx="0">
                  <c:v>14483061</c:v>
                </c:pt>
                <c:pt idx="1">
                  <c:v>6026514</c:v>
                </c:pt>
                <c:pt idx="2">
                  <c:v>548047</c:v>
                </c:pt>
                <c:pt idx="3">
                  <c:v>60642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A-4984-B19A-C36E10D0447E}"/>
            </c:ext>
          </c:extLst>
        </c:ser>
        <c:ser>
          <c:idx val="2"/>
          <c:order val="2"/>
          <c:tx>
            <c:strRef>
              <c:f>Departures_pass!$D$3</c:f>
              <c:strCache>
                <c:ptCount val="1"/>
                <c:pt idx="0">
                  <c:v>Sum of 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Departures_pass!$A$4:$A$8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Departures_pass!$D$4:$D$8</c:f>
              <c:numCache>
                <c:formatCode>_-* #\ ##0_-;\-* #\ ##0_-;_-* "-"??_-;_-@_-</c:formatCode>
                <c:ptCount val="4"/>
                <c:pt idx="0">
                  <c:v>14526386</c:v>
                </c:pt>
                <c:pt idx="1">
                  <c:v>5822544</c:v>
                </c:pt>
                <c:pt idx="2">
                  <c:v>517960</c:v>
                </c:pt>
                <c:pt idx="3">
                  <c:v>57575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BA-4984-B19A-C36E10D0447E}"/>
            </c:ext>
          </c:extLst>
        </c:ser>
        <c:ser>
          <c:idx val="3"/>
          <c:order val="3"/>
          <c:tx>
            <c:strRef>
              <c:f>Departures_pass!$E$3</c:f>
              <c:strCache>
                <c:ptCount val="1"/>
                <c:pt idx="0">
                  <c:v>Sum of 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Departures_pass!$A$4:$A$8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Departures_pass!$E$4:$E$8</c:f>
              <c:numCache>
                <c:formatCode>_-* #\ ##0_-;\-* #\ ##0_-;_-* "-"??_-;_-@_-</c:formatCode>
                <c:ptCount val="4"/>
                <c:pt idx="0">
                  <c:v>4023358</c:v>
                </c:pt>
                <c:pt idx="1">
                  <c:v>411912</c:v>
                </c:pt>
                <c:pt idx="2">
                  <c:v>37222</c:v>
                </c:pt>
                <c:pt idx="3">
                  <c:v>97245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BA-4984-B19A-C36E10D0447E}"/>
            </c:ext>
          </c:extLst>
        </c:ser>
        <c:ser>
          <c:idx val="4"/>
          <c:order val="4"/>
          <c:tx>
            <c:strRef>
              <c:f>Departures_pass!$F$3</c:f>
              <c:strCache>
                <c:ptCount val="1"/>
                <c:pt idx="0">
                  <c:v>Sum of 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Departures_pass!$A$4:$A$8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Departures_pass!$F$4:$F$8</c:f>
              <c:numCache>
                <c:formatCode>_-* #\ ##0_-;\-* #\ ##0_-;_-* "-"??_-;_-@_-</c:formatCode>
                <c:ptCount val="4"/>
                <c:pt idx="0">
                  <c:v>8614021</c:v>
                </c:pt>
                <c:pt idx="1">
                  <c:v>1684486</c:v>
                </c:pt>
                <c:pt idx="2">
                  <c:v>187174</c:v>
                </c:pt>
                <c:pt idx="3">
                  <c:v>52521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BA-4984-B19A-C36E10D0447E}"/>
            </c:ext>
          </c:extLst>
        </c:ser>
        <c:ser>
          <c:idx val="5"/>
          <c:order val="5"/>
          <c:tx>
            <c:strRef>
              <c:f>Departures_pass!$G$3</c:f>
              <c:strCache>
                <c:ptCount val="1"/>
                <c:pt idx="0">
                  <c:v>Sum of 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Departures_pass!$A$4:$A$8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Departures_pass!$G$4:$G$8</c:f>
              <c:numCache>
                <c:formatCode>_-* #\ ##0_-;\-* #\ ##0_-;_-* "-"??_-;_-@_-</c:formatCode>
                <c:ptCount val="4"/>
                <c:pt idx="0">
                  <c:v>11115618</c:v>
                </c:pt>
                <c:pt idx="1">
                  <c:v>4267938</c:v>
                </c:pt>
                <c:pt idx="2">
                  <c:v>357813</c:v>
                </c:pt>
                <c:pt idx="3">
                  <c:v>71846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BA-4984-B19A-C36E10D0447E}"/>
            </c:ext>
          </c:extLst>
        </c:ser>
        <c:ser>
          <c:idx val="6"/>
          <c:order val="6"/>
          <c:tx>
            <c:strRef>
              <c:f>Departures_pass!$H$3</c:f>
              <c:strCache>
                <c:ptCount val="1"/>
                <c:pt idx="0">
                  <c:v>Sum of 2023*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Departures_pass!$A$4:$A$8</c:f>
              <c:strCache>
                <c:ptCount val="4"/>
                <c:pt idx="0">
                  <c:v>Domestic</c:v>
                </c:pt>
                <c:pt idx="1">
                  <c:v>International</c:v>
                </c:pt>
                <c:pt idx="2">
                  <c:v>Regional</c:v>
                </c:pt>
                <c:pt idx="3">
                  <c:v>Unscheduled</c:v>
                </c:pt>
              </c:strCache>
            </c:strRef>
          </c:cat>
          <c:val>
            <c:numRef>
              <c:f>Departures_pass!$H$4:$H$8</c:f>
              <c:numCache>
                <c:formatCode>_-* #\ ##0_-;\-* #\ ##0_-;_-* "-"??_-;_-@_-</c:formatCode>
                <c:ptCount val="4"/>
                <c:pt idx="0">
                  <c:v>12398247.428571431</c:v>
                </c:pt>
                <c:pt idx="1">
                  <c:v>4817220</c:v>
                </c:pt>
                <c:pt idx="2">
                  <c:v>448088.57142857142</c:v>
                </c:pt>
                <c:pt idx="3">
                  <c:v>66934.28571428571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BA-4984-B19A-C36E10D0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435376"/>
        <c:axId val="1366436351"/>
      </c:barChart>
      <c:catAx>
        <c:axId val="185243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36351"/>
        <c:crosses val="autoZero"/>
        <c:auto val="1"/>
        <c:lblAlgn val="ctr"/>
        <c:lblOffset val="100"/>
        <c:noMultiLvlLbl val="0"/>
      </c:catAx>
      <c:valAx>
        <c:axId val="1366436351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35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Passenger departures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Departures_pass!$A$11</c:f>
              <c:strCache>
                <c:ptCount val="1"/>
                <c:pt idx="0">
                  <c:v>Domestic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Departures_pass!$B$10:$H$10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Departures_pass!$B$11:$H$11</c:f>
              <c:numCache>
                <c:formatCode>_-* #\ ##0_-;\-* #\ ##0_-;_-* "-"??_-;_-@_-</c:formatCode>
                <c:ptCount val="7"/>
                <c:pt idx="0">
                  <c:v>14242488</c:v>
                </c:pt>
                <c:pt idx="1">
                  <c:v>14483061</c:v>
                </c:pt>
                <c:pt idx="2">
                  <c:v>14526386</c:v>
                </c:pt>
                <c:pt idx="3">
                  <c:v>4023358</c:v>
                </c:pt>
                <c:pt idx="4">
                  <c:v>8614021</c:v>
                </c:pt>
                <c:pt idx="5">
                  <c:v>11115618</c:v>
                </c:pt>
                <c:pt idx="6">
                  <c:v>12398247.428571431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A-49A7-B94E-705A6AB74D06}"/>
            </c:ext>
          </c:extLst>
        </c:ser>
        <c:ser>
          <c:idx val="1"/>
          <c:order val="1"/>
          <c:tx>
            <c:strRef>
              <c:f>Departures_pass!$A$12</c:f>
              <c:strCache>
                <c:ptCount val="1"/>
                <c:pt idx="0">
                  <c:v>International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Departures_pass!$B$10:$H$10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Departures_pass!$B$12:$H$12</c:f>
              <c:numCache>
                <c:formatCode>_-* #\ ##0_-;\-* #\ ##0_-;_-* "-"??_-;_-@_-</c:formatCode>
                <c:ptCount val="7"/>
                <c:pt idx="0">
                  <c:v>5971517</c:v>
                </c:pt>
                <c:pt idx="1">
                  <c:v>6026514</c:v>
                </c:pt>
                <c:pt idx="2">
                  <c:v>5822544</c:v>
                </c:pt>
                <c:pt idx="3">
                  <c:v>411912</c:v>
                </c:pt>
                <c:pt idx="4">
                  <c:v>1684486</c:v>
                </c:pt>
                <c:pt idx="5">
                  <c:v>4267938</c:v>
                </c:pt>
                <c:pt idx="6">
                  <c:v>4817220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A-49A7-B94E-705A6AB74D06}"/>
            </c:ext>
          </c:extLst>
        </c:ser>
        <c:ser>
          <c:idx val="2"/>
          <c:order val="2"/>
          <c:tx>
            <c:strRef>
              <c:f>Departures_pass!$A$13</c:f>
              <c:strCache>
                <c:ptCount val="1"/>
                <c:pt idx="0">
                  <c:v>Regional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Departures_pass!$B$10:$H$10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Departures_pass!$B$13:$H$13</c:f>
              <c:numCache>
                <c:formatCode>_-* #\ ##0_-;\-* #\ ##0_-;_-* "-"??_-;_-@_-</c:formatCode>
                <c:ptCount val="7"/>
                <c:pt idx="0">
                  <c:v>560569</c:v>
                </c:pt>
                <c:pt idx="1">
                  <c:v>548047</c:v>
                </c:pt>
                <c:pt idx="2">
                  <c:v>517960</c:v>
                </c:pt>
                <c:pt idx="3">
                  <c:v>37222</c:v>
                </c:pt>
                <c:pt idx="4">
                  <c:v>187174</c:v>
                </c:pt>
                <c:pt idx="5">
                  <c:v>357813</c:v>
                </c:pt>
                <c:pt idx="6">
                  <c:v>448088.57142857142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5A-49A7-B94E-705A6AB74D06}"/>
            </c:ext>
          </c:extLst>
        </c:ser>
        <c:ser>
          <c:idx val="3"/>
          <c:order val="3"/>
          <c:tx>
            <c:strRef>
              <c:f>Departures_pass!$A$14</c:f>
              <c:strCache>
                <c:ptCount val="1"/>
                <c:pt idx="0">
                  <c:v>Unscheduled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Departures_pass!$B$10:$H$10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2023*</c:v>
                </c:pt>
              </c:strCache>
            </c:strRef>
          </c:cat>
          <c:val>
            <c:numRef>
              <c:f>Departures_pass!$B$14:$H$14</c:f>
              <c:numCache>
                <c:formatCode>_-* #\ ##0_-;\-* #\ ##0_-;_-* "-"??_-;_-@_-</c:formatCode>
                <c:ptCount val="7"/>
                <c:pt idx="0">
                  <c:v>62272</c:v>
                </c:pt>
                <c:pt idx="1">
                  <c:v>60642</c:v>
                </c:pt>
                <c:pt idx="2">
                  <c:v>57575</c:v>
                </c:pt>
                <c:pt idx="3">
                  <c:v>97245</c:v>
                </c:pt>
                <c:pt idx="4">
                  <c:v>52521</c:v>
                </c:pt>
                <c:pt idx="5">
                  <c:v>71846</c:v>
                </c:pt>
                <c:pt idx="6">
                  <c:v>66934.28571428571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5A-49A7-B94E-705A6AB74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562847"/>
        <c:axId val="1538022816"/>
      </c:lineChart>
      <c:catAx>
        <c:axId val="180356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22816"/>
        <c:crosses val="autoZero"/>
        <c:auto val="1"/>
        <c:lblAlgn val="ctr"/>
        <c:lblOffset val="100"/>
        <c:noMultiLvlLbl val="0"/>
      </c:catAx>
      <c:valAx>
        <c:axId val="1538022816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6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231051</xdr:colOff>
      <xdr:row>55</xdr:row>
      <xdr:rowOff>58425</xdr:rowOff>
    </xdr:from>
    <xdr:to>
      <xdr:col>30</xdr:col>
      <xdr:colOff>702804</xdr:colOff>
      <xdr:row>72</xdr:row>
      <xdr:rowOff>74058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CC723C-14AE-0775-FCBD-2F57D1956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99607</xdr:colOff>
      <xdr:row>169</xdr:row>
      <xdr:rowOff>186765</xdr:rowOff>
    </xdr:from>
    <xdr:to>
      <xdr:col>21</xdr:col>
      <xdr:colOff>293761</xdr:colOff>
      <xdr:row>179</xdr:row>
      <xdr:rowOff>97045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2547BD-A993-9C5D-DC4B-56936980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99117" y="34912549"/>
          <a:ext cx="5732301" cy="2101653"/>
        </a:xfrm>
        <a:prstGeom prst="rect">
          <a:avLst/>
        </a:prstGeom>
      </xdr:spPr>
    </xdr:pic>
    <xdr:clientData/>
  </xdr:twoCellAnchor>
  <xdr:twoCellAnchor editAs="oneCell">
    <xdr:from>
      <xdr:col>16</xdr:col>
      <xdr:colOff>49805</xdr:colOff>
      <xdr:row>232</xdr:row>
      <xdr:rowOff>174314</xdr:rowOff>
    </xdr:from>
    <xdr:to>
      <xdr:col>21</xdr:col>
      <xdr:colOff>247938</xdr:colOff>
      <xdr:row>241</xdr:row>
      <xdr:rowOff>16487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645EE0-3B2B-FF07-B29A-F694FB0B5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49315" y="47923824"/>
          <a:ext cx="5731200" cy="1775302"/>
        </a:xfrm>
        <a:prstGeom prst="rect">
          <a:avLst/>
        </a:prstGeom>
      </xdr:spPr>
    </xdr:pic>
    <xdr:clientData/>
  </xdr:twoCellAnchor>
  <xdr:twoCellAnchor editAs="oneCell">
    <xdr:from>
      <xdr:col>16</xdr:col>
      <xdr:colOff>101600</xdr:colOff>
      <xdr:row>180</xdr:row>
      <xdr:rowOff>0</xdr:rowOff>
    </xdr:from>
    <xdr:to>
      <xdr:col>22</xdr:col>
      <xdr:colOff>734797</xdr:colOff>
      <xdr:row>196</xdr:row>
      <xdr:rowOff>1040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F530ED-454F-24A0-3EA5-508F41E7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29000" y="37795200"/>
          <a:ext cx="7023838" cy="3242301"/>
        </a:xfrm>
        <a:prstGeom prst="rect">
          <a:avLst/>
        </a:prstGeom>
      </xdr:spPr>
    </xdr:pic>
    <xdr:clientData/>
  </xdr:twoCellAnchor>
  <xdr:twoCellAnchor editAs="oneCell">
    <xdr:from>
      <xdr:col>2</xdr:col>
      <xdr:colOff>308921</xdr:colOff>
      <xdr:row>100</xdr:row>
      <xdr:rowOff>35040</xdr:rowOff>
    </xdr:from>
    <xdr:to>
      <xdr:col>9</xdr:col>
      <xdr:colOff>1022036</xdr:colOff>
      <xdr:row>123</xdr:row>
      <xdr:rowOff>41783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AA58AF-266D-0467-BD23-7EE49F95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2164" y="19634229"/>
          <a:ext cx="8426619" cy="4693079"/>
        </a:xfrm>
        <a:prstGeom prst="rect">
          <a:avLst/>
        </a:prstGeom>
      </xdr:spPr>
    </xdr:pic>
    <xdr:clientData/>
  </xdr:twoCellAnchor>
  <xdr:twoCellAnchor editAs="oneCell">
    <xdr:from>
      <xdr:col>2</xdr:col>
      <xdr:colOff>64577</xdr:colOff>
      <xdr:row>124</xdr:row>
      <xdr:rowOff>159207</xdr:rowOff>
    </xdr:from>
    <xdr:to>
      <xdr:col>9</xdr:col>
      <xdr:colOff>980862</xdr:colOff>
      <xdr:row>152</xdr:row>
      <xdr:rowOff>40832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D33364-693D-CBDE-32F9-B4335F42E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8984" y="25074885"/>
          <a:ext cx="8631694" cy="55105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469572</xdr:colOff>
      <xdr:row>13</xdr:row>
      <xdr:rowOff>85105</xdr:rowOff>
    </xdr:from>
    <xdr:to>
      <xdr:col>29</xdr:col>
      <xdr:colOff>599721</xdr:colOff>
      <xdr:row>36</xdr:row>
      <xdr:rowOff>35277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160B8AE-C591-6D11-D522-1523867D8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178836</xdr:colOff>
      <xdr:row>25</xdr:row>
      <xdr:rowOff>53417</xdr:rowOff>
    </xdr:from>
    <xdr:to>
      <xdr:col>22</xdr:col>
      <xdr:colOff>387597</xdr:colOff>
      <xdr:row>39</xdr:row>
      <xdr:rowOff>84415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CA873-4199-5171-0454-937FBBF40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180731</xdr:colOff>
      <xdr:row>48</xdr:row>
      <xdr:rowOff>77503</xdr:rowOff>
    </xdr:from>
    <xdr:to>
      <xdr:col>22</xdr:col>
      <xdr:colOff>372859</xdr:colOff>
      <xdr:row>60</xdr:row>
      <xdr:rowOff>85318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104AB2-1622-EF4F-E3FE-B13B66B88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96701</xdr:colOff>
      <xdr:row>4</xdr:row>
      <xdr:rowOff>136071</xdr:rowOff>
    </xdr:from>
    <xdr:to>
      <xdr:col>20</xdr:col>
      <xdr:colOff>508000</xdr:colOff>
      <xdr:row>19</xdr:row>
      <xdr:rowOff>154214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2A0757-242D-7DA1-3D6D-9F415B248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109531</xdr:colOff>
      <xdr:row>20</xdr:row>
      <xdr:rowOff>58773</xdr:rowOff>
    </xdr:from>
    <xdr:to>
      <xdr:col>20</xdr:col>
      <xdr:colOff>526143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455B5C-0909-4A8D-B07A-12273B9BB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67348</xdr:colOff>
      <xdr:row>6</xdr:row>
      <xdr:rowOff>427935</xdr:rowOff>
    </xdr:from>
    <xdr:to>
      <xdr:col>41</xdr:col>
      <xdr:colOff>566947</xdr:colOff>
      <xdr:row>26</xdr:row>
      <xdr:rowOff>32921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9BF0C7-8763-4272-B4B6-F45681BE1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38485</xdr:colOff>
      <xdr:row>26</xdr:row>
      <xdr:rowOff>61073</xdr:rowOff>
    </xdr:from>
    <xdr:to>
      <xdr:col>41</xdr:col>
      <xdr:colOff>571549</xdr:colOff>
      <xdr:row>42</xdr:row>
      <xdr:rowOff>191041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4BBA21-5A7B-41E7-AF4A-77E70FB50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101770</xdr:colOff>
      <xdr:row>51</xdr:row>
      <xdr:rowOff>192344</xdr:rowOff>
    </xdr:from>
    <xdr:to>
      <xdr:col>26</xdr:col>
      <xdr:colOff>363345</xdr:colOff>
      <xdr:row>76</xdr:row>
      <xdr:rowOff>158505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53B9D-D24E-FA49-02C5-6E520544C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906173</xdr:colOff>
      <xdr:row>56</xdr:row>
      <xdr:rowOff>197142</xdr:rowOff>
    </xdr:from>
    <xdr:to>
      <xdr:col>12</xdr:col>
      <xdr:colOff>136285</xdr:colOff>
      <xdr:row>79</xdr:row>
      <xdr:rowOff>102376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DCE8B05F-08A3-03D6-FDFB-521B4AA45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50993</xdr:colOff>
      <xdr:row>32</xdr:row>
      <xdr:rowOff>4387</xdr:rowOff>
    </xdr:from>
    <xdr:to>
      <xdr:col>39</xdr:col>
      <xdr:colOff>282559</xdr:colOff>
      <xdr:row>54</xdr:row>
      <xdr:rowOff>30279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7B3809-BC54-4023-9487-B314299D7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39680</xdr:colOff>
      <xdr:row>55</xdr:row>
      <xdr:rowOff>99311</xdr:rowOff>
    </xdr:from>
    <xdr:to>
      <xdr:col>39</xdr:col>
      <xdr:colOff>252397</xdr:colOff>
      <xdr:row>76</xdr:row>
      <xdr:rowOff>99312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77E98C6E-204C-47DC-AF4C-08CDBB214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57898</xdr:colOff>
      <xdr:row>10</xdr:row>
      <xdr:rowOff>26147</xdr:rowOff>
    </xdr:from>
    <xdr:to>
      <xdr:col>63</xdr:col>
      <xdr:colOff>569634</xdr:colOff>
      <xdr:row>32</xdr:row>
      <xdr:rowOff>52040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B4F604-74E3-48F5-9B41-DFC20DFEE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144860</xdr:colOff>
      <xdr:row>50</xdr:row>
      <xdr:rowOff>78958</xdr:rowOff>
    </xdr:from>
    <xdr:to>
      <xdr:col>15</xdr:col>
      <xdr:colOff>145839</xdr:colOff>
      <xdr:row>70</xdr:row>
      <xdr:rowOff>95512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F07FE0BA-D099-74FA-9A5B-A62ACCD62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242455</xdr:colOff>
      <xdr:row>8</xdr:row>
      <xdr:rowOff>115454</xdr:rowOff>
    </xdr:from>
    <xdr:to>
      <xdr:col>51</xdr:col>
      <xdr:colOff>539750</xdr:colOff>
      <xdr:row>26</xdr:row>
      <xdr:rowOff>152893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AA80F8-D5AA-4F2C-977B-CED00E509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107927</xdr:colOff>
      <xdr:row>28</xdr:row>
      <xdr:rowOff>57605</xdr:rowOff>
    </xdr:from>
    <xdr:to>
      <xdr:col>51</xdr:col>
      <xdr:colOff>420760</xdr:colOff>
      <xdr:row>49</xdr:row>
      <xdr:rowOff>119783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AFC6DE-7DBD-4FB1-9D06-A5167E531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992910</xdr:colOff>
      <xdr:row>3</xdr:row>
      <xdr:rowOff>11545</xdr:rowOff>
    </xdr:from>
    <xdr:to>
      <xdr:col>18</xdr:col>
      <xdr:colOff>115454</xdr:colOff>
      <xdr:row>32</xdr:row>
      <xdr:rowOff>57727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053CB-01F2-4A60-83D0-4C96E5119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286327</xdr:colOff>
      <xdr:row>12</xdr:row>
      <xdr:rowOff>30019</xdr:rowOff>
    </xdr:from>
    <xdr:to>
      <xdr:col>33</xdr:col>
      <xdr:colOff>34637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E9E80-225A-4F18-A7D2-2279A1ADE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199571</xdr:colOff>
      <xdr:row>61</xdr:row>
      <xdr:rowOff>121610</xdr:rowOff>
    </xdr:from>
    <xdr:to>
      <xdr:col>7</xdr:col>
      <xdr:colOff>661735</xdr:colOff>
      <xdr:row>86</xdr:row>
      <xdr:rowOff>83509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E2E233-C8A6-46E0-B16E-C13F4CC40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328755</xdr:colOff>
      <xdr:row>39</xdr:row>
      <xdr:rowOff>8600</xdr:rowOff>
    </xdr:from>
    <xdr:to>
      <xdr:col>23</xdr:col>
      <xdr:colOff>393161</xdr:colOff>
      <xdr:row>64</xdr:row>
      <xdr:rowOff>133249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FDE20B-C2D2-42E8-8861-AD0F08A5A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20561</xdr:colOff>
      <xdr:row>17</xdr:row>
      <xdr:rowOff>5730</xdr:rowOff>
    </xdr:from>
    <xdr:to>
      <xdr:col>26</xdr:col>
      <xdr:colOff>19243</xdr:colOff>
      <xdr:row>35</xdr:row>
      <xdr:rowOff>188148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8922B-20A7-9012-FCF7-7965FF1C9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548898</xdr:colOff>
      <xdr:row>5</xdr:row>
      <xdr:rowOff>118390</xdr:rowOff>
    </xdr:from>
    <xdr:to>
      <xdr:col>25</xdr:col>
      <xdr:colOff>605154</xdr:colOff>
      <xdr:row>15</xdr:row>
      <xdr:rowOff>157713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C43496-887A-4705-95B7-3AAF4BC3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3390" y="1097797"/>
          <a:ext cx="7353374" cy="2165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5</xdr:row>
      <xdr:rowOff>65128</xdr:rowOff>
    </xdr:from>
    <xdr:to>
      <xdr:col>29</xdr:col>
      <xdr:colOff>394351</xdr:colOff>
      <xdr:row>13</xdr:row>
      <xdr:rowOff>141328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C0EC31-2742-07CB-8687-25E5DC255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8590" y="1042051"/>
          <a:ext cx="7355742" cy="2160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450548</xdr:colOff>
      <xdr:row>10</xdr:row>
      <xdr:rowOff>14313</xdr:rowOff>
    </xdr:from>
    <xdr:to>
      <xdr:col>35</xdr:col>
      <xdr:colOff>387536</xdr:colOff>
      <xdr:row>25</xdr:row>
      <xdr:rowOff>131646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4DFB49-E8BA-9BFA-75B2-C5EF73B8C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24715</xdr:colOff>
      <xdr:row>14</xdr:row>
      <xdr:rowOff>96837</xdr:rowOff>
    </xdr:from>
    <xdr:to>
      <xdr:col>32</xdr:col>
      <xdr:colOff>747713</xdr:colOff>
      <xdr:row>35</xdr:row>
      <xdr:rowOff>149712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D94B6-A107-42CC-8D80-35B4448FE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1542143</xdr:colOff>
      <xdr:row>5</xdr:row>
      <xdr:rowOff>51836</xdr:rowOff>
    </xdr:from>
    <xdr:to>
      <xdr:col>32</xdr:col>
      <xdr:colOff>2086</xdr:colOff>
      <xdr:row>14</xdr:row>
      <xdr:rowOff>79498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792860-70C8-44C0-AA8E-04C6B645B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9388" y="1036734"/>
          <a:ext cx="7353374" cy="2165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57441</xdr:colOff>
      <xdr:row>6</xdr:row>
      <xdr:rowOff>7977</xdr:rowOff>
    </xdr:from>
    <xdr:to>
      <xdr:col>47</xdr:col>
      <xdr:colOff>105067</xdr:colOff>
      <xdr:row>24</xdr:row>
      <xdr:rowOff>100052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81E81-FF39-4779-BDD8-6CD36F15A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97531</xdr:colOff>
      <xdr:row>34</xdr:row>
      <xdr:rowOff>16909</xdr:rowOff>
    </xdr:from>
    <xdr:to>
      <xdr:col>46</xdr:col>
      <xdr:colOff>539615</xdr:colOff>
      <xdr:row>51</xdr:row>
      <xdr:rowOff>41103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EE0EB0-599D-4BA2-8F62-D06C77AB6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323014</xdr:colOff>
      <xdr:row>55</xdr:row>
      <xdr:rowOff>524062</xdr:rowOff>
    </xdr:from>
    <xdr:to>
      <xdr:col>26</xdr:col>
      <xdr:colOff>535897</xdr:colOff>
      <xdr:row>73</xdr:row>
      <xdr:rowOff>175424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AF728D-CA80-42A2-91B0-63C0913D0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1134475</xdr:colOff>
      <xdr:row>85</xdr:row>
      <xdr:rowOff>105692</xdr:rowOff>
    </xdr:from>
    <xdr:to>
      <xdr:col>33</xdr:col>
      <xdr:colOff>373530</xdr:colOff>
      <xdr:row>103</xdr:row>
      <xdr:rowOff>32693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720E0E-1E3B-4DFA-B7C4-8003DC7CA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1328404</xdr:colOff>
      <xdr:row>112</xdr:row>
      <xdr:rowOff>162454</xdr:rowOff>
    </xdr:from>
    <xdr:to>
      <xdr:col>31</xdr:col>
      <xdr:colOff>600240</xdr:colOff>
      <xdr:row>127</xdr:row>
      <xdr:rowOff>122248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0E5588-5D82-4C0C-82C4-E4F5EB685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536761</xdr:colOff>
      <xdr:row>1</xdr:row>
      <xdr:rowOff>63406</xdr:rowOff>
    </xdr:from>
    <xdr:to>
      <xdr:col>33</xdr:col>
      <xdr:colOff>232148</xdr:colOff>
      <xdr:row>14</xdr:row>
      <xdr:rowOff>82456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A4402A-849E-4A72-AA12-8FCC11AF5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301811</xdr:colOff>
      <xdr:row>15</xdr:row>
      <xdr:rowOff>151932</xdr:rowOff>
    </xdr:from>
    <xdr:to>
      <xdr:col>33</xdr:col>
      <xdr:colOff>606611</xdr:colOff>
      <xdr:row>30</xdr:row>
      <xdr:rowOff>180508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9BE32D-5A48-40CD-A353-25E50DE7C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47370</xdr:colOff>
      <xdr:row>30</xdr:row>
      <xdr:rowOff>152645</xdr:rowOff>
    </xdr:from>
    <xdr:to>
      <xdr:col>30</xdr:col>
      <xdr:colOff>355345</xdr:colOff>
      <xdr:row>43</xdr:row>
      <xdr:rowOff>171695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89F4B37-7C25-46AB-8292-0608A1204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121430</xdr:colOff>
      <xdr:row>44</xdr:row>
      <xdr:rowOff>42862</xdr:rowOff>
    </xdr:from>
    <xdr:to>
      <xdr:col>30</xdr:col>
      <xdr:colOff>426230</xdr:colOff>
      <xdr:row>57</xdr:row>
      <xdr:rowOff>78908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AA0200A-9115-4956-BB63-6ABE0C1CD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227542</xdr:colOff>
      <xdr:row>34</xdr:row>
      <xdr:rowOff>180622</xdr:rowOff>
    </xdr:from>
    <xdr:to>
      <xdr:col>30</xdr:col>
      <xdr:colOff>388056</xdr:colOff>
      <xdr:row>49</xdr:row>
      <xdr:rowOff>52916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29191D-93A7-3692-6B7E-3310613CA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10582</xdr:colOff>
      <xdr:row>34</xdr:row>
      <xdr:rowOff>154164</xdr:rowOff>
    </xdr:from>
    <xdr:to>
      <xdr:col>40</xdr:col>
      <xdr:colOff>275166</xdr:colOff>
      <xdr:row>49</xdr:row>
      <xdr:rowOff>70555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A12858-1825-14C7-87E1-167976712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555625</xdr:colOff>
      <xdr:row>8</xdr:row>
      <xdr:rowOff>1410</xdr:rowOff>
    </xdr:from>
    <xdr:to>
      <xdr:col>40</xdr:col>
      <xdr:colOff>292805</xdr:colOff>
      <xdr:row>33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02F81D6-3187-4FDB-89F4-2D0D0FDFC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244230</xdr:colOff>
      <xdr:row>8</xdr:row>
      <xdr:rowOff>12211</xdr:rowOff>
    </xdr:from>
    <xdr:to>
      <xdr:col>30</xdr:col>
      <xdr:colOff>404857</xdr:colOff>
      <xdr:row>33</xdr:row>
      <xdr:rowOff>158750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4CB69FAD-1DA1-441D-94FB-38AC41D21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18128</xdr:colOff>
      <xdr:row>29</xdr:row>
      <xdr:rowOff>181275</xdr:rowOff>
    </xdr:from>
    <xdr:to>
      <xdr:col>5</xdr:col>
      <xdr:colOff>1074456</xdr:colOff>
      <xdr:row>42</xdr:row>
      <xdr:rowOff>120820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99948A7-AA6E-D9CC-4C7C-98E505C05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6662" y="5961965"/>
          <a:ext cx="4586928" cy="2333495"/>
        </a:xfrm>
        <a:prstGeom prst="rect">
          <a:avLst/>
        </a:prstGeom>
      </xdr:spPr>
    </xdr:pic>
    <xdr:clientData/>
  </xdr:twoCellAnchor>
  <xdr:twoCellAnchor editAs="oneCell">
    <xdr:from>
      <xdr:col>8</xdr:col>
      <xdr:colOff>6989</xdr:colOff>
      <xdr:row>10</xdr:row>
      <xdr:rowOff>104098</xdr:rowOff>
    </xdr:from>
    <xdr:to>
      <xdr:col>20</xdr:col>
      <xdr:colOff>63979</xdr:colOff>
      <xdr:row>21</xdr:row>
      <xdr:rowOff>170968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9BABC9-0A0C-2F94-1E7E-31854B55C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6989" y="1918384"/>
          <a:ext cx="9092133" cy="266356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34925</xdr:colOff>
      <xdr:row>0</xdr:row>
      <xdr:rowOff>171450</xdr:rowOff>
    </xdr:from>
    <xdr:to>
      <xdr:col>15</xdr:col>
      <xdr:colOff>339725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2665C4-090F-5A4A-2EB9-BD93C7564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19</xdr:row>
      <xdr:rowOff>82550</xdr:rowOff>
    </xdr:from>
    <xdr:to>
      <xdr:col>4</xdr:col>
      <xdr:colOff>485775</xdr:colOff>
      <xdr:row>34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EF7065-146F-1A33-D897-5DE793590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333375</xdr:colOff>
      <xdr:row>5</xdr:row>
      <xdr:rowOff>115886</xdr:rowOff>
    </xdr:from>
    <xdr:to>
      <xdr:col>25</xdr:col>
      <xdr:colOff>254000</xdr:colOff>
      <xdr:row>25</xdr:row>
      <xdr:rowOff>155574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12F734-EF5C-BF38-51D9-512150F0E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829469</xdr:colOff>
      <xdr:row>17</xdr:row>
      <xdr:rowOff>76994</xdr:rowOff>
    </xdr:from>
    <xdr:to>
      <xdr:col>4</xdr:col>
      <xdr:colOff>750094</xdr:colOff>
      <xdr:row>32</xdr:row>
      <xdr:rowOff>81757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EECFF4A-57AA-2935-F9C4-F8419E994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146050</xdr:colOff>
      <xdr:row>0</xdr:row>
      <xdr:rowOff>71437</xdr:rowOff>
    </xdr:from>
    <xdr:to>
      <xdr:col>21</xdr:col>
      <xdr:colOff>325625</xdr:colOff>
      <xdr:row>20</xdr:row>
      <xdr:rowOff>109112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261B1-2DD4-0C7D-F91B-8D5212833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752475</xdr:colOff>
      <xdr:row>17</xdr:row>
      <xdr:rowOff>0</xdr:rowOff>
    </xdr:from>
    <xdr:to>
      <xdr:col>11</xdr:col>
      <xdr:colOff>600075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853363-FBC0-4516-5FC7-06D62FDF3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295275</xdr:colOff>
      <xdr:row>21</xdr:row>
      <xdr:rowOff>57150</xdr:rowOff>
    </xdr:from>
    <xdr:to>
      <xdr:col>4</xdr:col>
      <xdr:colOff>346075</xdr:colOff>
      <xdr:row>36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DE90DC-B15F-1E9D-3DCC-6C948DD21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187324</xdr:colOff>
      <xdr:row>1</xdr:row>
      <xdr:rowOff>115887</xdr:rowOff>
    </xdr:from>
    <xdr:to>
      <xdr:col>21</xdr:col>
      <xdr:colOff>357374</xdr:colOff>
      <xdr:row>21</xdr:row>
      <xdr:rowOff>153562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18B8E-A7D3-A6C7-5F5F-312DB3C1B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193675</xdr:colOff>
      <xdr:row>17</xdr:row>
      <xdr:rowOff>25400</xdr:rowOff>
    </xdr:from>
    <xdr:to>
      <xdr:col>4</xdr:col>
      <xdr:colOff>1184275</xdr:colOff>
      <xdr:row>32</xdr:row>
      <xdr:rowOff>6350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DB666374-F6C2-E0EE-D0B7-98A86ADDC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ricaiacom.sharepoint.com/sites/AIAProjects/Shared%20Documents/2025_Pr61_Vopak_SD/01.%20Background%20and%20Resources/02.%20AIA%20Internal%20References/Liquid%20Fuels%20Model%20-%20Supply%20Demand_KM_2024_Master.xlsx" TargetMode="External"/><Relationship Id="rId1" Type="http://schemas.openxmlformats.org/officeDocument/2006/relationships/externalLinkPath" Target="Liquid%20Fuels%20Model%20-%20Supply%20Demand_KM_2024_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3_Pr42_CEF_MS/01.%20Background%20and%20Resources/01.%20Research/CEF%20Model%20-%20Supply%20and%20Demand/AIA_Liquid%20Fuels%20Model_v0.1-JK.xlsx" TargetMode="External"/><Relationship Id="rId2" Type="http://schemas.openxmlformats.org/officeDocument/2006/relationships/externalLinkPath" Target="https://africaiacom.sharepoint.com/sites/AIAProjects/Shared%20Documents/2023_Pr42_CEF_MS/01.%20Background%20and%20Resources/01.%20Research/CEF%20Model%20-%20Supply%20and%20Demand/AIA_Liquid%20Fuels%20Model_v0.1-JK.xlsx" TargetMode="External"/><Relationship Id="rId1" Type="http://schemas.openxmlformats.org/officeDocument/2006/relationships/externalLinkPath" Target="/sites/AIAProjects/Shared%20Documents/2023_Pr42_CEF_MS/01.%20Background%20and%20Resources/01.%20Research/CEF%20Model%20-%20Supply%20and%20Demand/AIA_Liquid%20Fuels%20Model_v0.1-J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Summary"/>
      <sheetName val="Assumptions"/>
      <sheetName val="Jet - DemandSupply"/>
      <sheetName val="Diesel - DemandSupply"/>
      <sheetName val="Gasoline - DemandSupply"/>
      <sheetName val="Deficit Manual "/>
      <sheetName val="Total LF - DemandSupply"/>
      <sheetName val="fSupply"/>
      <sheetName val="fJetFuel"/>
      <sheetName val="fDiesel"/>
      <sheetName val="fGasoline"/>
      <sheetName val="fEV Penetration"/>
      <sheetName val="fImports"/>
      <sheetName val="Market share"/>
      <sheetName val="Deficit Calculations"/>
      <sheetName val="Defecit"/>
      <sheetName val="Cost Analysis "/>
      <sheetName val="RegJetFuel"/>
      <sheetName val="RegDiesel"/>
      <sheetName val="RegGasoline"/>
      <sheetName val="RegEV"/>
      <sheetName val="RegJetFuel-GDP&amp;DepPass"/>
      <sheetName val="RegJetGDP_per_capita&amp;DPassv1"/>
      <sheetName val="RegJetFuel - GDP_Per Capita"/>
      <sheetName val="RegJetFuel - GDP"/>
      <sheetName val="Arrivals_AP"/>
      <sheetName val="Departures_AP"/>
      <sheetName val="Arrivals_pass"/>
      <sheetName val="Departures_pass"/>
      <sheetName val="Airplane Movement - Departures"/>
      <sheetName val="Passenger Movement - Departures"/>
      <sheetName val="Airplane Movement - Arrivals"/>
      <sheetName val="Passenger Movement - Arrivals"/>
      <sheetName val="Airplane Movement"/>
      <sheetName val="Passenger Movement"/>
    </sheetNames>
    <sheetDataSet>
      <sheetData sheetId="0"/>
      <sheetData sheetId="1"/>
      <sheetData sheetId="2">
        <row r="8">
          <cell r="C8" t="str">
            <v>Year</v>
          </cell>
          <cell r="D8" t="str">
            <v>Real GDP growth</v>
          </cell>
          <cell r="E8" t="str">
            <v>Efficiency Improvement Diesel</v>
          </cell>
          <cell r="F8" t="str">
            <v>Efficiency Improvement Gasoline</v>
          </cell>
          <cell r="G8" t="str">
            <v>Year</v>
          </cell>
          <cell r="H8" t="str">
            <v>Real GDP growth</v>
          </cell>
          <cell r="I8" t="str">
            <v>Efficiency Improvement Diesel</v>
          </cell>
          <cell r="J8" t="str">
            <v>Efficiency Improvement Gasoline</v>
          </cell>
          <cell r="Z8" t="str">
            <v>Year</v>
          </cell>
          <cell r="AA8" t="str">
            <v>GDP</v>
          </cell>
          <cell r="AB8" t="str">
            <v>GDP High</v>
          </cell>
          <cell r="AC8" t="str">
            <v>GDP Low</v>
          </cell>
          <cell r="AD8" t="str">
            <v>GDP/capita (constant 2015)</v>
          </cell>
          <cell r="AE8" t="str">
            <v>Population high</v>
          </cell>
          <cell r="AF8" t="str">
            <v>Population low</v>
          </cell>
          <cell r="AG8" t="str">
            <v>GDP/capita high</v>
          </cell>
          <cell r="AH8" t="str">
            <v>GDP/capita low</v>
          </cell>
        </row>
        <row r="9">
          <cell r="C9">
            <v>2020</v>
          </cell>
          <cell r="D9">
            <v>-6.4319748267431809E-2</v>
          </cell>
          <cell r="E9">
            <v>5.0000000000000001E-3</v>
          </cell>
          <cell r="F9">
            <v>0.01</v>
          </cell>
          <cell r="G9">
            <v>2020</v>
          </cell>
          <cell r="I9">
            <v>0.01</v>
          </cell>
          <cell r="J9">
            <v>1.4999999999999999E-2</v>
          </cell>
          <cell r="Z9">
            <v>2005</v>
          </cell>
          <cell r="AA9">
            <v>3411409882751.5645</v>
          </cell>
          <cell r="AB9">
            <v>3411409882751.5645</v>
          </cell>
          <cell r="AC9">
            <v>3411409882751.5645</v>
          </cell>
          <cell r="AD9">
            <v>71248.276734062398</v>
          </cell>
          <cell r="AE9">
            <v>47880595</v>
          </cell>
          <cell r="AF9">
            <v>47880595</v>
          </cell>
          <cell r="AG9">
            <v>71248.276734062398</v>
          </cell>
          <cell r="AH9">
            <v>71248.276734062398</v>
          </cell>
        </row>
        <row r="10">
          <cell r="C10">
            <v>2021</v>
          </cell>
          <cell r="D10">
            <v>4.9000000000000002E-2</v>
          </cell>
          <cell r="E10">
            <v>5.0000000000000001E-3</v>
          </cell>
          <cell r="F10">
            <v>0.01</v>
          </cell>
          <cell r="G10">
            <v>2021</v>
          </cell>
          <cell r="H10">
            <v>4.9000000000000002E-2</v>
          </cell>
          <cell r="I10">
            <v>0.01</v>
          </cell>
          <cell r="J10">
            <v>1.4999999999999999E-2</v>
          </cell>
          <cell r="Z10">
            <v>2006</v>
          </cell>
          <cell r="AA10">
            <v>3602578678405.8828</v>
          </cell>
          <cell r="AB10">
            <v>3602578678405.8828</v>
          </cell>
          <cell r="AC10">
            <v>3602578678405.8828</v>
          </cell>
          <cell r="AD10">
            <v>74296.112623680121</v>
          </cell>
          <cell r="AE10">
            <v>48489464</v>
          </cell>
          <cell r="AF10">
            <v>48489464</v>
          </cell>
          <cell r="AG10">
            <v>74296.112623680121</v>
          </cell>
          <cell r="AH10">
            <v>74296.112623680121</v>
          </cell>
        </row>
        <row r="11">
          <cell r="C11">
            <v>2022</v>
          </cell>
          <cell r="D11">
            <v>1.9E-2</v>
          </cell>
          <cell r="E11">
            <v>5.0000000000000001E-3</v>
          </cell>
          <cell r="F11">
            <v>0.01</v>
          </cell>
          <cell r="G11">
            <v>2022</v>
          </cell>
          <cell r="H11">
            <v>1.6E-2</v>
          </cell>
          <cell r="I11">
            <v>0.01</v>
          </cell>
          <cell r="J11">
            <v>1.4999999999999999E-2</v>
          </cell>
          <cell r="Z11">
            <v>2007</v>
          </cell>
          <cell r="AA11">
            <v>3602578678405.8828</v>
          </cell>
          <cell r="AB11">
            <v>3602578678405.8828</v>
          </cell>
          <cell r="AC11">
            <v>3602578678405.8828</v>
          </cell>
          <cell r="AD11">
            <v>77274.268044621524</v>
          </cell>
          <cell r="AE11">
            <v>49119766</v>
          </cell>
          <cell r="AF11">
            <v>49119766</v>
          </cell>
          <cell r="AG11">
            <v>77274.268044621524</v>
          </cell>
          <cell r="AH11">
            <v>77274.268044621524</v>
          </cell>
        </row>
        <row r="12">
          <cell r="C12">
            <v>2023</v>
          </cell>
          <cell r="D12">
            <v>9.9999999999999985E-3</v>
          </cell>
          <cell r="E12">
            <v>5.0000000000000001E-3</v>
          </cell>
          <cell r="F12">
            <v>0.01</v>
          </cell>
          <cell r="G12">
            <v>2023</v>
          </cell>
          <cell r="H12">
            <v>4.9999999999999992E-3</v>
          </cell>
          <cell r="I12">
            <v>0.01</v>
          </cell>
          <cell r="J12">
            <v>1.4999999999999999E-2</v>
          </cell>
          <cell r="Z12">
            <v>2008</v>
          </cell>
          <cell r="AA12">
            <v>3916816252461.0459</v>
          </cell>
          <cell r="AB12">
            <v>3916816252461.0459</v>
          </cell>
          <cell r="AC12">
            <v>3916816252461.0459</v>
          </cell>
          <cell r="AD12">
            <v>78683.362741594479</v>
          </cell>
          <cell r="AE12">
            <v>49779472</v>
          </cell>
          <cell r="AF12">
            <v>49779472</v>
          </cell>
          <cell r="AG12">
            <v>78683.362741594479</v>
          </cell>
          <cell r="AH12">
            <v>78683.362741594479</v>
          </cell>
        </row>
        <row r="13">
          <cell r="C13">
            <v>2024</v>
          </cell>
          <cell r="D13">
            <v>1.4999999999999999E-2</v>
          </cell>
          <cell r="E13">
            <v>5.0000000000000001E-3</v>
          </cell>
          <cell r="F13">
            <v>0.01</v>
          </cell>
          <cell r="G13">
            <v>2024</v>
          </cell>
          <cell r="H13">
            <v>9.9999999999999985E-3</v>
          </cell>
          <cell r="I13">
            <v>0.01</v>
          </cell>
          <cell r="J13">
            <v>1.4999999999999999E-2</v>
          </cell>
          <cell r="Z13">
            <v>2009</v>
          </cell>
          <cell r="AA13">
            <v>3856572134210.3213</v>
          </cell>
          <cell r="AB13">
            <v>3856572134210.3213</v>
          </cell>
          <cell r="AC13">
            <v>3856572134210.3213</v>
          </cell>
          <cell r="AD13">
            <v>76402.542563489667</v>
          </cell>
          <cell r="AE13">
            <v>50477013</v>
          </cell>
          <cell r="AF13">
            <v>50477013</v>
          </cell>
          <cell r="AG13">
            <v>76402.542563489667</v>
          </cell>
          <cell r="AH13">
            <v>76402.542563489667</v>
          </cell>
        </row>
        <row r="14">
          <cell r="C14">
            <v>2025</v>
          </cell>
          <cell r="D14">
            <v>1.6E-2</v>
          </cell>
          <cell r="E14">
            <v>5.0000000000000001E-3</v>
          </cell>
          <cell r="F14">
            <v>0.01</v>
          </cell>
          <cell r="G14">
            <v>2025</v>
          </cell>
          <cell r="H14">
            <v>9.9999999999999985E-3</v>
          </cell>
          <cell r="I14">
            <v>0.01</v>
          </cell>
          <cell r="J14">
            <v>1.4999999999999999E-2</v>
          </cell>
          <cell r="Z14">
            <v>2010</v>
          </cell>
          <cell r="AA14">
            <v>3973801603311.1958</v>
          </cell>
          <cell r="AB14">
            <v>3973801603311.1958</v>
          </cell>
          <cell r="AC14">
            <v>3973801603311.1958</v>
          </cell>
          <cell r="AD14">
            <v>77587.601064139468</v>
          </cell>
          <cell r="AE14">
            <v>51216967</v>
          </cell>
          <cell r="AF14">
            <v>51216967</v>
          </cell>
          <cell r="AG14">
            <v>77587.601064139468</v>
          </cell>
          <cell r="AH14">
            <v>77587.601064139468</v>
          </cell>
        </row>
        <row r="15">
          <cell r="C15">
            <v>2026</v>
          </cell>
          <cell r="D15">
            <v>1.6E-2</v>
          </cell>
          <cell r="E15">
            <v>5.0000000000000001E-3</v>
          </cell>
          <cell r="F15">
            <v>0.01</v>
          </cell>
          <cell r="G15">
            <v>2026</v>
          </cell>
          <cell r="H15">
            <v>9.9999999999999985E-3</v>
          </cell>
          <cell r="I15">
            <v>0.01</v>
          </cell>
          <cell r="J15">
            <v>1.4999999999999999E-2</v>
          </cell>
          <cell r="Z15">
            <v>2011</v>
          </cell>
          <cell r="AA15">
            <v>4099713743523.5083</v>
          </cell>
          <cell r="AB15">
            <v>4099713743523.5083</v>
          </cell>
          <cell r="AC15">
            <v>4099713743523.5083</v>
          </cell>
          <cell r="AD15">
            <v>78834.950056658563</v>
          </cell>
          <cell r="AE15">
            <v>52003759</v>
          </cell>
          <cell r="AF15">
            <v>52003759</v>
          </cell>
          <cell r="AG15">
            <v>78834.950056658563</v>
          </cell>
          <cell r="AH15">
            <v>78834.950056658563</v>
          </cell>
        </row>
        <row r="16">
          <cell r="C16">
            <v>2027</v>
          </cell>
          <cell r="D16">
            <v>1.6E-2</v>
          </cell>
          <cell r="E16">
            <v>5.0000000000000001E-3</v>
          </cell>
          <cell r="F16">
            <v>0.01</v>
          </cell>
          <cell r="G16">
            <v>2027</v>
          </cell>
          <cell r="H16">
            <v>9.9999999999999985E-3</v>
          </cell>
          <cell r="I16">
            <v>0.01</v>
          </cell>
          <cell r="J16">
            <v>1.4999999999999999E-2</v>
          </cell>
          <cell r="Z16">
            <v>2012</v>
          </cell>
          <cell r="AA16">
            <v>4197952411913.4668</v>
          </cell>
          <cell r="AB16">
            <v>4197952411913.4668</v>
          </cell>
          <cell r="AC16">
            <v>4197952411913.4668</v>
          </cell>
          <cell r="AD16">
            <v>79457.526677078029</v>
          </cell>
          <cell r="AE16">
            <v>52832659</v>
          </cell>
          <cell r="AF16">
            <v>52832659</v>
          </cell>
          <cell r="AG16">
            <v>79457.526677078029</v>
          </cell>
          <cell r="AH16">
            <v>79457.526677078029</v>
          </cell>
        </row>
        <row r="17">
          <cell r="C17">
            <v>2028</v>
          </cell>
          <cell r="D17">
            <v>1.6E-2</v>
          </cell>
          <cell r="E17">
            <v>5.0000000000000001E-3</v>
          </cell>
          <cell r="F17">
            <v>0.01</v>
          </cell>
          <cell r="G17">
            <v>2028</v>
          </cell>
          <cell r="H17">
            <v>9.9999999999999985E-3</v>
          </cell>
          <cell r="I17">
            <v>0.01</v>
          </cell>
          <cell r="J17">
            <v>1.4999999999999999E-2</v>
          </cell>
          <cell r="Z17">
            <v>2013</v>
          </cell>
          <cell r="AA17">
            <v>4302291176143.1406</v>
          </cell>
          <cell r="AB17">
            <v>4302291176143.1406</v>
          </cell>
          <cell r="AC17">
            <v>4302291176143.1406</v>
          </cell>
          <cell r="AD17">
            <v>80136.367446443459</v>
          </cell>
          <cell r="AE17">
            <v>53687125</v>
          </cell>
          <cell r="AF17">
            <v>53687125</v>
          </cell>
          <cell r="AG17">
            <v>80136.367446443459</v>
          </cell>
          <cell r="AH17">
            <v>80136.367446443459</v>
          </cell>
        </row>
        <row r="18">
          <cell r="C18">
            <v>2029</v>
          </cell>
          <cell r="D18">
            <v>1.6E-2</v>
          </cell>
          <cell r="E18">
            <v>5.0000000000000001E-3</v>
          </cell>
          <cell r="F18">
            <v>0.01</v>
          </cell>
          <cell r="G18">
            <v>2029</v>
          </cell>
          <cell r="H18">
            <v>9.9999999999999985E-3</v>
          </cell>
          <cell r="I18">
            <v>0.01</v>
          </cell>
          <cell r="J18">
            <v>1.4999999999999999E-2</v>
          </cell>
          <cell r="Z18">
            <v>2014</v>
          </cell>
          <cell r="AA18">
            <v>4363118106800.5991</v>
          </cell>
          <cell r="AB18">
            <v>4363118106800.5991</v>
          </cell>
          <cell r="AC18">
            <v>4363118106800.5991</v>
          </cell>
          <cell r="AD18">
            <v>79992.361913427827</v>
          </cell>
          <cell r="AE18">
            <v>54544184</v>
          </cell>
          <cell r="AF18">
            <v>54544184</v>
          </cell>
          <cell r="AG18">
            <v>79992.361913427827</v>
          </cell>
          <cell r="AH18">
            <v>79992.361913427827</v>
          </cell>
        </row>
        <row r="19">
          <cell r="C19">
            <v>2030</v>
          </cell>
          <cell r="D19">
            <v>1.6E-2</v>
          </cell>
          <cell r="E19">
            <v>5.0000000000000001E-3</v>
          </cell>
          <cell r="F19">
            <v>0.01</v>
          </cell>
          <cell r="G19">
            <v>2030</v>
          </cell>
          <cell r="H19">
            <v>9.9999999999999985E-3</v>
          </cell>
          <cell r="I19">
            <v>0.01</v>
          </cell>
          <cell r="J19">
            <v>1.4999999999999999E-2</v>
          </cell>
          <cell r="Z19">
            <v>2015</v>
          </cell>
          <cell r="AA19">
            <v>4420792517414.4717</v>
          </cell>
          <cell r="AB19">
            <v>4420792517414.4717</v>
          </cell>
          <cell r="AC19">
            <v>4420792517414.4717</v>
          </cell>
          <cell r="AD19">
            <v>79117.199555191779</v>
          </cell>
          <cell r="AE19">
            <v>55876504</v>
          </cell>
          <cell r="AF19">
            <v>55876504</v>
          </cell>
          <cell r="AG19">
            <v>79117.199555191779</v>
          </cell>
          <cell r="AH19">
            <v>79117.199555191779</v>
          </cell>
        </row>
        <row r="20">
          <cell r="C20">
            <v>2031</v>
          </cell>
          <cell r="D20">
            <v>1.6E-2</v>
          </cell>
          <cell r="E20">
            <v>5.0000000000000001E-3</v>
          </cell>
          <cell r="F20">
            <v>0.01</v>
          </cell>
          <cell r="G20">
            <v>2031</v>
          </cell>
          <cell r="H20">
            <v>9.9999999999999985E-3</v>
          </cell>
          <cell r="I20">
            <v>0.01</v>
          </cell>
          <cell r="J20">
            <v>1.4999999999999999E-2</v>
          </cell>
          <cell r="Z20">
            <v>2016</v>
          </cell>
          <cell r="AA20">
            <v>4450170996114.5146</v>
          </cell>
          <cell r="AB20">
            <v>4450170996114.5146</v>
          </cell>
          <cell r="AC20">
            <v>4450170996114.5146</v>
          </cell>
          <cell r="AD20">
            <v>78872.591985826642</v>
          </cell>
          <cell r="AE20">
            <v>56422274</v>
          </cell>
          <cell r="AF20">
            <v>56422274</v>
          </cell>
          <cell r="AG20">
            <v>78872.591985826642</v>
          </cell>
          <cell r="AH20">
            <v>78872.591985826642</v>
          </cell>
        </row>
        <row r="21">
          <cell r="C21">
            <v>2032</v>
          </cell>
          <cell r="D21">
            <v>1.6E-2</v>
          </cell>
          <cell r="E21">
            <v>5.0000000000000001E-3</v>
          </cell>
          <cell r="F21">
            <v>0.01</v>
          </cell>
          <cell r="G21">
            <v>2032</v>
          </cell>
          <cell r="H21">
            <v>9.9999999999999985E-3</v>
          </cell>
          <cell r="I21">
            <v>0.01</v>
          </cell>
          <cell r="J21">
            <v>1.4999999999999999E-2</v>
          </cell>
          <cell r="Z21">
            <v>2017</v>
          </cell>
          <cell r="AA21">
            <v>4501701615484.8301</v>
          </cell>
          <cell r="AB21">
            <v>4501701615484.8301</v>
          </cell>
          <cell r="AC21">
            <v>4501701615484.8301</v>
          </cell>
          <cell r="AD21">
            <v>79477.49731131857</v>
          </cell>
          <cell r="AE21">
            <v>56641210</v>
          </cell>
          <cell r="AF21">
            <v>56641210</v>
          </cell>
          <cell r="AG21">
            <v>79477.49731131857</v>
          </cell>
          <cell r="AH21">
            <v>79477.49731131857</v>
          </cell>
        </row>
        <row r="22">
          <cell r="C22">
            <v>2033</v>
          </cell>
          <cell r="D22">
            <v>1.6E-2</v>
          </cell>
          <cell r="E22">
            <v>5.0000000000000001E-3</v>
          </cell>
          <cell r="F22">
            <v>0.01</v>
          </cell>
          <cell r="G22">
            <v>2033</v>
          </cell>
          <cell r="H22">
            <v>9.9999999999999985E-3</v>
          </cell>
          <cell r="I22">
            <v>0.01</v>
          </cell>
          <cell r="J22">
            <v>1.4999999999999999E-2</v>
          </cell>
          <cell r="Z22">
            <v>2018</v>
          </cell>
          <cell r="AA22">
            <v>4568669710783.1338</v>
          </cell>
          <cell r="AB22">
            <v>4568669710783.1338</v>
          </cell>
          <cell r="AC22">
            <v>4568669710783.1338</v>
          </cell>
          <cell r="AD22">
            <v>79677.342047662736</v>
          </cell>
          <cell r="AE22">
            <v>57339635</v>
          </cell>
          <cell r="AF22">
            <v>57339635</v>
          </cell>
          <cell r="AG22">
            <v>79677.342047662736</v>
          </cell>
          <cell r="AH22">
            <v>79677.342047662736</v>
          </cell>
        </row>
        <row r="23">
          <cell r="C23">
            <v>2034</v>
          </cell>
          <cell r="D23">
            <v>1.6E-2</v>
          </cell>
          <cell r="E23">
            <v>5.0000000000000001E-3</v>
          </cell>
          <cell r="F23">
            <v>0.01</v>
          </cell>
          <cell r="G23">
            <v>2034</v>
          </cell>
          <cell r="H23">
            <v>9.9999999999999985E-3</v>
          </cell>
          <cell r="I23">
            <v>0.01</v>
          </cell>
          <cell r="J23">
            <v>1.4999999999999999E-2</v>
          </cell>
          <cell r="Z23">
            <v>2019</v>
          </cell>
          <cell r="AA23">
            <v>4573834760819.2813</v>
          </cell>
          <cell r="AB23">
            <v>4573834760819.2813</v>
          </cell>
          <cell r="AC23">
            <v>4573834760819.2813</v>
          </cell>
          <cell r="AD23">
            <v>78741.033795211013</v>
          </cell>
          <cell r="AE23">
            <v>58087055</v>
          </cell>
          <cell r="AF23">
            <v>58087055</v>
          </cell>
          <cell r="AG23">
            <v>78741.033795211013</v>
          </cell>
          <cell r="AH23">
            <v>78741.033795211013</v>
          </cell>
        </row>
        <row r="24">
          <cell r="C24">
            <v>2035</v>
          </cell>
          <cell r="D24">
            <v>1.6E-2</v>
          </cell>
          <cell r="E24">
            <v>5.0000000000000001E-3</v>
          </cell>
          <cell r="F24">
            <v>0.01</v>
          </cell>
          <cell r="G24">
            <v>2035</v>
          </cell>
          <cell r="H24">
            <v>9.9999999999999985E-3</v>
          </cell>
          <cell r="I24">
            <v>0.01</v>
          </cell>
          <cell r="J24">
            <v>1.4999999999999999E-2</v>
          </cell>
          <cell r="Z24">
            <v>2020</v>
          </cell>
          <cell r="AA24">
            <v>4279646860386.5562</v>
          </cell>
          <cell r="AB24">
            <v>4279646860386.5562</v>
          </cell>
          <cell r="AC24">
            <v>4279646860386.5562</v>
          </cell>
          <cell r="AD24">
            <v>72780.724692688324</v>
          </cell>
          <cell r="AE24">
            <v>58801927</v>
          </cell>
          <cell r="AF24">
            <v>58801927</v>
          </cell>
          <cell r="AG24">
            <v>72780.724692688324</v>
          </cell>
          <cell r="AH24">
            <v>72780.724692688324</v>
          </cell>
        </row>
        <row r="25">
          <cell r="C25">
            <v>2036</v>
          </cell>
          <cell r="D25">
            <v>1.6E-2</v>
          </cell>
          <cell r="E25">
            <v>5.0000000000000001E-3</v>
          </cell>
          <cell r="F25">
            <v>0.01</v>
          </cell>
          <cell r="G25">
            <v>2036</v>
          </cell>
          <cell r="H25">
            <v>9.9999999999999985E-3</v>
          </cell>
          <cell r="I25">
            <v>0.01</v>
          </cell>
          <cell r="J25">
            <v>1.4999999999999999E-2</v>
          </cell>
          <cell r="Z25">
            <v>2021</v>
          </cell>
          <cell r="AA25">
            <v>4513043919695.8613</v>
          </cell>
          <cell r="AB25">
            <v>4513043919695.8613</v>
          </cell>
          <cell r="AC25">
            <v>4513043919695.8613</v>
          </cell>
          <cell r="AD25">
            <v>75987.078108010232</v>
          </cell>
          <cell r="AE25">
            <v>59392255</v>
          </cell>
          <cell r="AF25">
            <v>59392255</v>
          </cell>
          <cell r="AG25">
            <v>75987.078108010232</v>
          </cell>
          <cell r="AH25">
            <v>75987.078108010232</v>
          </cell>
        </row>
        <row r="26">
          <cell r="C26">
            <v>2037</v>
          </cell>
          <cell r="D26">
            <v>1.6E-2</v>
          </cell>
          <cell r="E26">
            <v>5.0000000000000001E-3</v>
          </cell>
          <cell r="F26">
            <v>0.01</v>
          </cell>
          <cell r="G26">
            <v>2037</v>
          </cell>
          <cell r="H26">
            <v>9.9999999999999985E-3</v>
          </cell>
          <cell r="I26">
            <v>0.01</v>
          </cell>
          <cell r="J26">
            <v>1.4999999999999999E-2</v>
          </cell>
          <cell r="Z26">
            <v>2022</v>
          </cell>
          <cell r="AA26">
            <v>4599261389164.5967</v>
          </cell>
          <cell r="AB26">
            <v>4599261389164.5967</v>
          </cell>
          <cell r="AC26">
            <v>4599261389164.5967</v>
          </cell>
          <cell r="AD26">
            <v>76790.165012245096</v>
          </cell>
          <cell r="AE26">
            <v>59893886</v>
          </cell>
          <cell r="AF26">
            <v>59893886</v>
          </cell>
          <cell r="AG26">
            <v>76790.165012245096</v>
          </cell>
          <cell r="AH26">
            <v>76790.165012245096</v>
          </cell>
        </row>
        <row r="27">
          <cell r="C27">
            <v>2038</v>
          </cell>
          <cell r="D27">
            <v>1.6E-2</v>
          </cell>
          <cell r="E27">
            <v>5.0000000000000001E-3</v>
          </cell>
          <cell r="F27">
            <v>0.01</v>
          </cell>
          <cell r="G27">
            <v>2038</v>
          </cell>
          <cell r="H27">
            <v>9.9999999999999985E-3</v>
          </cell>
          <cell r="I27">
            <v>0.01</v>
          </cell>
          <cell r="J27">
            <v>1.4999999999999999E-2</v>
          </cell>
          <cell r="Z27">
            <v>2023</v>
          </cell>
          <cell r="AA27">
            <v>4638499639146.3398</v>
          </cell>
          <cell r="AB27">
            <v>4638499639146.3398</v>
          </cell>
          <cell r="AC27">
            <v>4638499639146.3398</v>
          </cell>
          <cell r="AD27">
            <v>76777.92621036293</v>
          </cell>
          <cell r="AE27">
            <v>60414495</v>
          </cell>
          <cell r="AF27">
            <v>60414495</v>
          </cell>
          <cell r="AG27">
            <v>76777.92621036293</v>
          </cell>
          <cell r="AH27">
            <v>76777.92621036293</v>
          </cell>
        </row>
        <row r="28">
          <cell r="C28">
            <v>2039</v>
          </cell>
          <cell r="D28">
            <v>1.6E-2</v>
          </cell>
          <cell r="E28">
            <v>5.0000000000000001E-3</v>
          </cell>
          <cell r="F28">
            <v>0.01</v>
          </cell>
          <cell r="G28">
            <v>2039</v>
          </cell>
          <cell r="H28">
            <v>9.9999999999999985E-3</v>
          </cell>
          <cell r="I28">
            <v>0.01</v>
          </cell>
          <cell r="J28">
            <v>1.4999999999999999E-2</v>
          </cell>
          <cell r="Z28">
            <v>2024</v>
          </cell>
          <cell r="AB28">
            <v>4708077133733.5342</v>
          </cell>
          <cell r="AC28">
            <v>4684884635537.8037</v>
          </cell>
          <cell r="AD28">
            <v>77156.015769486214</v>
          </cell>
          <cell r="AE28">
            <v>61020221</v>
          </cell>
          <cell r="AF28">
            <v>61020221</v>
          </cell>
          <cell r="AG28">
            <v>77156.015769486214</v>
          </cell>
          <cell r="AH28">
            <v>76775.936874070045</v>
          </cell>
        </row>
        <row r="29">
          <cell r="C29">
            <v>2040</v>
          </cell>
          <cell r="D29">
            <v>1.6E-2</v>
          </cell>
          <cell r="E29">
            <v>5.0000000000000001E-3</v>
          </cell>
          <cell r="F29">
            <v>0.01</v>
          </cell>
          <cell r="G29">
            <v>2040</v>
          </cell>
          <cell r="H29">
            <v>9.9999999999999985E-3</v>
          </cell>
          <cell r="I29">
            <v>0.01</v>
          </cell>
          <cell r="J29">
            <v>1.4999999999999999E-2</v>
          </cell>
          <cell r="Z29">
            <v>2025</v>
          </cell>
          <cell r="AB29">
            <v>4783406367873.2705</v>
          </cell>
          <cell r="AC29">
            <v>4731733481893.1816</v>
          </cell>
          <cell r="AD29">
            <v>77560.684342545996</v>
          </cell>
          <cell r="AE29">
            <v>61673081</v>
          </cell>
          <cell r="AF29">
            <v>61673081</v>
          </cell>
          <cell r="AG29">
            <v>77560.684342545996</v>
          </cell>
          <cell r="AH29">
            <v>76722.832801124066</v>
          </cell>
        </row>
        <row r="30">
          <cell r="C30">
            <v>2041</v>
          </cell>
          <cell r="D30">
            <v>1.6E-2</v>
          </cell>
          <cell r="E30">
            <v>5.0000000000000001E-3</v>
          </cell>
          <cell r="F30">
            <v>0.01</v>
          </cell>
          <cell r="G30">
            <v>2041</v>
          </cell>
          <cell r="H30">
            <v>9.9999999999999985E-3</v>
          </cell>
          <cell r="I30">
            <v>0.01</v>
          </cell>
          <cell r="J30">
            <v>1.4999999999999999E-2</v>
          </cell>
          <cell r="Z30">
            <v>2026</v>
          </cell>
          <cell r="AB30">
            <v>4859940869759.2432</v>
          </cell>
          <cell r="AC30">
            <v>4779050816712.1133</v>
          </cell>
          <cell r="AD30">
            <v>78002.372645320764</v>
          </cell>
          <cell r="AE30">
            <v>62305039</v>
          </cell>
          <cell r="AF30">
            <v>62305039</v>
          </cell>
          <cell r="AG30">
            <v>78002.372645320764</v>
          </cell>
          <cell r="AH30">
            <v>76704.081939698546</v>
          </cell>
        </row>
        <row r="31">
          <cell r="C31">
            <v>2042</v>
          </cell>
          <cell r="D31">
            <v>1.6E-2</v>
          </cell>
          <cell r="E31">
            <v>5.0000000000000001E-3</v>
          </cell>
          <cell r="F31">
            <v>0.01</v>
          </cell>
          <cell r="G31">
            <v>2042</v>
          </cell>
          <cell r="H31">
            <v>9.9999999999999985E-3</v>
          </cell>
          <cell r="I31">
            <v>0.01</v>
          </cell>
          <cell r="J31">
            <v>1.4999999999999999E-2</v>
          </cell>
          <cell r="Z31">
            <v>2027</v>
          </cell>
          <cell r="AB31">
            <v>4937699923675.3916</v>
          </cell>
          <cell r="AC31">
            <v>4826841324879.2344</v>
          </cell>
          <cell r="AD31">
            <v>78477.193149281084</v>
          </cell>
          <cell r="AE31">
            <v>62918916</v>
          </cell>
          <cell r="AF31">
            <v>62918916</v>
          </cell>
          <cell r="AG31">
            <v>78477.193149281084</v>
          </cell>
          <cell r="AH31">
            <v>76715.265165713194</v>
          </cell>
        </row>
        <row r="32">
          <cell r="C32">
            <v>2043</v>
          </cell>
          <cell r="D32">
            <v>1.6E-2</v>
          </cell>
          <cell r="E32">
            <v>5.0000000000000001E-3</v>
          </cell>
          <cell r="F32">
            <v>0.01</v>
          </cell>
          <cell r="G32">
            <v>2043</v>
          </cell>
          <cell r="H32">
            <v>9.9999999999999985E-3</v>
          </cell>
          <cell r="I32">
            <v>0.01</v>
          </cell>
          <cell r="J32">
            <v>1.4999999999999999E-2</v>
          </cell>
          <cell r="Z32">
            <v>2028</v>
          </cell>
          <cell r="AB32">
            <v>5016703122454.1982</v>
          </cell>
          <cell r="AC32">
            <v>4875109738128.0264</v>
          </cell>
          <cell r="AD32">
            <v>78985.160309596671</v>
          </cell>
          <cell r="AE32">
            <v>63514502</v>
          </cell>
          <cell r="AF32">
            <v>63514502</v>
          </cell>
          <cell r="AG32">
            <v>78985.160309596671</v>
          </cell>
          <cell r="AH32">
            <v>76755.852358379925</v>
          </cell>
        </row>
        <row r="33">
          <cell r="C33">
            <v>2044</v>
          </cell>
          <cell r="D33">
            <v>1.6E-2</v>
          </cell>
          <cell r="E33">
            <v>5.0000000000000001E-3</v>
          </cell>
          <cell r="F33">
            <v>0.01</v>
          </cell>
          <cell r="G33">
            <v>2044</v>
          </cell>
          <cell r="H33">
            <v>9.9999999999999985E-3</v>
          </cell>
          <cell r="I33">
            <v>0.01</v>
          </cell>
          <cell r="J33">
            <v>1.4999999999999999E-2</v>
          </cell>
          <cell r="Z33">
            <v>2029</v>
          </cell>
          <cell r="AB33">
            <v>5096970372413.4658</v>
          </cell>
          <cell r="AC33">
            <v>4923860835509.3066</v>
          </cell>
          <cell r="AD33">
            <v>79523.694647917611</v>
          </cell>
          <cell r="AE33">
            <v>64093732</v>
          </cell>
          <cell r="AF33">
            <v>64093732</v>
          </cell>
          <cell r="AG33">
            <v>79523.694647917611</v>
          </cell>
          <cell r="AH33">
            <v>76822.813742680897</v>
          </cell>
        </row>
        <row r="34">
          <cell r="C34">
            <v>2045</v>
          </cell>
          <cell r="D34">
            <v>1.6E-2</v>
          </cell>
          <cell r="E34">
            <v>5.0000000000000001E-3</v>
          </cell>
          <cell r="F34">
            <v>0.01</v>
          </cell>
          <cell r="G34">
            <v>2045</v>
          </cell>
          <cell r="H34">
            <v>9.9999999999999985E-3</v>
          </cell>
          <cell r="I34">
            <v>0.01</v>
          </cell>
          <cell r="J34">
            <v>1.4999999999999999E-2</v>
          </cell>
          <cell r="Z34">
            <v>2030</v>
          </cell>
          <cell r="AB34">
            <v>5178521898372.0811</v>
          </cell>
          <cell r="AC34">
            <v>4973099443864.3994</v>
          </cell>
          <cell r="AD34">
            <v>80089.386373477304</v>
          </cell>
          <cell r="AE34">
            <v>64659278</v>
          </cell>
          <cell r="AF34">
            <v>64659278</v>
          </cell>
          <cell r="AG34">
            <v>80089.386373477304</v>
          </cell>
          <cell r="AH34">
            <v>76912.387482340884</v>
          </cell>
        </row>
        <row r="35">
          <cell r="C35">
            <v>2046</v>
          </cell>
          <cell r="D35">
            <v>1.6E-2</v>
          </cell>
          <cell r="E35">
            <v>5.0000000000000001E-3</v>
          </cell>
          <cell r="F35">
            <v>0.01</v>
          </cell>
          <cell r="G35">
            <v>2046</v>
          </cell>
          <cell r="H35">
            <v>9.9999999999999985E-3</v>
          </cell>
          <cell r="I35">
            <v>0.01</v>
          </cell>
          <cell r="J35">
            <v>1.4999999999999999E-2</v>
          </cell>
          <cell r="Z35">
            <v>2031</v>
          </cell>
          <cell r="AB35">
            <v>5261378248746.0342</v>
          </cell>
          <cell r="AC35">
            <v>5022830438303.043</v>
          </cell>
          <cell r="AD35">
            <v>80659.102146583871</v>
          </cell>
          <cell r="AE35">
            <v>65229814.227096096</v>
          </cell>
          <cell r="AF35">
            <v>65229814.227096096</v>
          </cell>
          <cell r="AG35">
            <v>80659.102146583871</v>
          </cell>
          <cell r="AH35">
            <v>77002.065663044428</v>
          </cell>
        </row>
        <row r="36">
          <cell r="C36">
            <v>2047</v>
          </cell>
          <cell r="D36">
            <v>1.6E-2</v>
          </cell>
          <cell r="E36">
            <v>5.0000000000000001E-3</v>
          </cell>
          <cell r="F36">
            <v>0.01</v>
          </cell>
          <cell r="G36">
            <v>2047</v>
          </cell>
          <cell r="H36">
            <v>9.9999999999999985E-3</v>
          </cell>
          <cell r="I36">
            <v>0.01</v>
          </cell>
          <cell r="J36">
            <v>1.4999999999999999E-2</v>
          </cell>
          <cell r="Z36">
            <v>2032</v>
          </cell>
          <cell r="AB36">
            <v>5345560300725.9707</v>
          </cell>
          <cell r="AC36">
            <v>5073058742686.0732</v>
          </cell>
          <cell r="AD36">
            <v>81232.870592295687</v>
          </cell>
          <cell r="AE36">
            <v>65805384.713721491</v>
          </cell>
          <cell r="AF36">
            <v>65805384.713721491</v>
          </cell>
          <cell r="AG36">
            <v>81232.870592295687</v>
          </cell>
          <cell r="AH36">
            <v>77091.848406567529</v>
          </cell>
        </row>
        <row r="37">
          <cell r="C37">
            <v>2048</v>
          </cell>
          <cell r="D37">
            <v>1.6E-2</v>
          </cell>
          <cell r="E37">
            <v>5.0000000000000001E-3</v>
          </cell>
          <cell r="F37">
            <v>0.01</v>
          </cell>
          <cell r="G37">
            <v>2048</v>
          </cell>
          <cell r="H37">
            <v>9.9999999999999985E-3</v>
          </cell>
          <cell r="I37">
            <v>0.01</v>
          </cell>
          <cell r="J37">
            <v>1.4999999999999999E-2</v>
          </cell>
          <cell r="Z37">
            <v>2033</v>
          </cell>
          <cell r="AB37">
            <v>5431089265537.5859</v>
          </cell>
          <cell r="AC37">
            <v>5123789330112.9336</v>
          </cell>
          <cell r="AD37">
            <v>81810.72053929542</v>
          </cell>
          <cell r="AE37">
            <v>66386033.88083984</v>
          </cell>
          <cell r="AF37">
            <v>66386033.88083984</v>
          </cell>
          <cell r="AG37">
            <v>81810.72053929542</v>
          </cell>
          <cell r="AH37">
            <v>77181.73583482817</v>
          </cell>
        </row>
        <row r="38">
          <cell r="C38">
            <v>2049</v>
          </cell>
          <cell r="D38">
            <v>1.6E-2</v>
          </cell>
          <cell r="E38">
            <v>5.0000000000000001E-3</v>
          </cell>
          <cell r="F38">
            <v>0.01</v>
          </cell>
          <cell r="G38">
            <v>2049</v>
          </cell>
          <cell r="H38">
            <v>9.9999999999999985E-3</v>
          </cell>
          <cell r="I38">
            <v>0.01</v>
          </cell>
          <cell r="J38">
            <v>1.4999999999999999E-2</v>
          </cell>
          <cell r="Z38">
            <v>2034</v>
          </cell>
          <cell r="AB38">
            <v>5517986693786.1875</v>
          </cell>
          <cell r="AC38">
            <v>5175027223414.0625</v>
          </cell>
          <cell r="AD38">
            <v>82392.681021338591</v>
          </cell>
          <cell r="AE38">
            <v>66971806.541373536</v>
          </cell>
          <cell r="AF38">
            <v>66971806.541373536</v>
          </cell>
          <cell r="AG38">
            <v>82392.681021338591</v>
          </cell>
          <cell r="AH38">
            <v>77271.728069886507</v>
          </cell>
        </row>
        <row r="39">
          <cell r="C39">
            <v>2050</v>
          </cell>
          <cell r="D39">
            <v>1.6E-2</v>
          </cell>
          <cell r="E39">
            <v>5.0000000000000001E-3</v>
          </cell>
          <cell r="F39">
            <v>0.01</v>
          </cell>
          <cell r="G39">
            <v>2050</v>
          </cell>
          <cell r="H39">
            <v>9.9999999999999985E-3</v>
          </cell>
          <cell r="I39">
            <v>0.01</v>
          </cell>
          <cell r="J39">
            <v>1.4999999999999999E-2</v>
          </cell>
          <cell r="Z39">
            <v>2035</v>
          </cell>
          <cell r="AB39">
            <v>5606274480886.7666</v>
          </cell>
          <cell r="AC39">
            <v>5226777495648.2031</v>
          </cell>
          <cell r="AD39">
            <v>82978.781278712282</v>
          </cell>
          <cell r="AE39">
            <v>67562747.903662249</v>
          </cell>
          <cell r="AF39">
            <v>67562747.903662249</v>
          </cell>
          <cell r="AG39">
            <v>82978.781278712282</v>
          </cell>
          <cell r="AH39">
            <v>77361.825233944997</v>
          </cell>
        </row>
        <row r="40">
          <cell r="Z40">
            <v>2036</v>
          </cell>
          <cell r="AB40">
            <v>5695974872580.9551</v>
          </cell>
          <cell r="AC40">
            <v>5279045270604.6855</v>
          </cell>
          <cell r="AD40">
            <v>83569.050759704318</v>
          </cell>
          <cell r="AE40">
            <v>68158903.574951991</v>
          </cell>
          <cell r="AF40">
            <v>68158903.574951991</v>
          </cell>
          <cell r="AG40">
            <v>83569.050759704318</v>
          </cell>
          <cell r="AH40">
            <v>77452.027449348592</v>
          </cell>
        </row>
        <row r="41">
          <cell r="Z41">
            <v>2037</v>
          </cell>
          <cell r="AB41">
            <v>5787110470542.25</v>
          </cell>
          <cell r="AC41">
            <v>5331835723310.7324</v>
          </cell>
          <cell r="AD41">
            <v>84163.5191220829</v>
          </cell>
          <cell r="AE41">
            <v>68760319.564914942</v>
          </cell>
          <cell r="AF41">
            <v>68760319.564914942</v>
          </cell>
          <cell r="AG41">
            <v>84163.5191220829</v>
          </cell>
          <cell r="AH41">
            <v>77542.334838584866</v>
          </cell>
        </row>
        <row r="42">
          <cell r="Z42">
            <v>2038</v>
          </cell>
          <cell r="AB42">
            <v>5879704238070.9258</v>
          </cell>
          <cell r="AC42">
            <v>5385154080543.8398</v>
          </cell>
          <cell r="AD42">
            <v>84762.216234586769</v>
          </cell>
          <cell r="AE42">
            <v>69367042.289200366</v>
          </cell>
          <cell r="AF42">
            <v>69367042.289200366</v>
          </cell>
          <cell r="AG42">
            <v>84762.216234586769</v>
          </cell>
          <cell r="AH42">
            <v>77632.747524284234</v>
          </cell>
        </row>
        <row r="43">
          <cell r="Z43">
            <v>2039</v>
          </cell>
          <cell r="AB43">
            <v>5973779505880.0605</v>
          </cell>
          <cell r="AC43">
            <v>5439005621349.2783</v>
          </cell>
          <cell r="AD43">
            <v>85365.172178425855</v>
          </cell>
          <cell r="AE43">
            <v>69979118.573016837</v>
          </cell>
          <cell r="AF43">
            <v>69979118.573016837</v>
          </cell>
          <cell r="AG43">
            <v>85365.172178425855</v>
          </cell>
          <cell r="AH43">
            <v>77723.265629220114</v>
          </cell>
        </row>
        <row r="44">
          <cell r="Z44">
            <v>2040</v>
          </cell>
          <cell r="AB44">
            <v>6069359977974.1416</v>
          </cell>
          <cell r="AC44">
            <v>5493395677562.7715</v>
          </cell>
          <cell r="AD44">
            <v>85972.417248792801</v>
          </cell>
          <cell r="AE44">
            <v>70596595.654746071</v>
          </cell>
          <cell r="AF44">
            <v>70596595.654746071</v>
          </cell>
          <cell r="AG44">
            <v>85972.417248792801</v>
          </cell>
          <cell r="AH44">
            <v>77813.889276309055</v>
          </cell>
        </row>
        <row r="45">
          <cell r="Z45">
            <v>2041</v>
          </cell>
          <cell r="AB45">
            <v>6166469737621.7275</v>
          </cell>
          <cell r="AC45">
            <v>5548329634338.3994</v>
          </cell>
          <cell r="AD45">
            <v>86583.981956385003</v>
          </cell>
          <cell r="AE45">
            <v>71219521.189588696</v>
          </cell>
          <cell r="AF45">
            <v>71219521.189588696</v>
          </cell>
          <cell r="AG45">
            <v>86583.981956385003</v>
          </cell>
          <cell r="AH45">
            <v>77904.618588610901</v>
          </cell>
        </row>
        <row r="46">
          <cell r="Z46">
            <v>2042</v>
          </cell>
          <cell r="AB46">
            <v>6265133253423.6748</v>
          </cell>
          <cell r="AC46">
            <v>5603812930681.7832</v>
          </cell>
          <cell r="AD46">
            <v>87199.897028937776</v>
          </cell>
          <cell r="AE46">
            <v>71847943.25324209</v>
          </cell>
          <cell r="AF46">
            <v>71847943.25324209</v>
          </cell>
          <cell r="AG46">
            <v>87199.897028937776</v>
          </cell>
          <cell r="AH46">
            <v>77995.453689329021</v>
          </cell>
        </row>
        <row r="47">
          <cell r="Z47">
            <v>2043</v>
          </cell>
          <cell r="AB47">
            <v>6365375385478.4541</v>
          </cell>
          <cell r="AC47">
            <v>5659851059988.6016</v>
          </cell>
          <cell r="AD47">
            <v>87820.193412768072</v>
          </cell>
          <cell r="AE47">
            <v>72481910.345610783</v>
          </cell>
          <cell r="AF47">
            <v>72481910.345610783</v>
          </cell>
          <cell r="AG47">
            <v>87820.193412768072</v>
          </cell>
          <cell r="AH47">
            <v>78086.394701810452</v>
          </cell>
        </row>
        <row r="48">
          <cell r="Z48">
            <v>2044</v>
          </cell>
          <cell r="AB48">
            <v>6467221391646.1094</v>
          </cell>
          <cell r="AC48">
            <v>5716449570588.4873</v>
          </cell>
          <cell r="AD48">
            <v>88444.902274329448</v>
          </cell>
          <cell r="AE48">
            <v>73121471.394549534</v>
          </cell>
          <cell r="AF48">
            <v>73121471.394549534</v>
          </cell>
          <cell r="AG48">
            <v>88444.902274329448</v>
          </cell>
          <cell r="AH48">
            <v>78177.441749545964</v>
          </cell>
        </row>
        <row r="49">
          <cell r="Z49">
            <v>2045</v>
          </cell>
          <cell r="AB49">
            <v>6570696933912.4473</v>
          </cell>
          <cell r="AC49">
            <v>5773614066294.3721</v>
          </cell>
          <cell r="AD49">
            <v>89074.05500177799</v>
          </cell>
          <cell r="AE49">
            <v>73766675.759639442</v>
          </cell>
          <cell r="AF49">
            <v>73766675.759639442</v>
          </cell>
          <cell r="AG49">
            <v>89074.05500177799</v>
          </cell>
          <cell r="AH49">
            <v>78268.594956170389</v>
          </cell>
        </row>
        <row r="50">
          <cell r="Z50">
            <v>2046</v>
          </cell>
          <cell r="AB50">
            <v>6675828084855.0469</v>
          </cell>
          <cell r="AC50">
            <v>5831350206957.3154</v>
          </cell>
          <cell r="AD50">
            <v>89707.683206549467</v>
          </cell>
          <cell r="AE50">
            <v>74417573.235997379</v>
          </cell>
          <cell r="AF50">
            <v>74417573.235997379</v>
          </cell>
          <cell r="AG50">
            <v>89707.683206549467</v>
          </cell>
          <cell r="AH50">
            <v>78359.854445462697</v>
          </cell>
        </row>
        <row r="51">
          <cell r="Z51">
            <v>2047</v>
          </cell>
          <cell r="AB51">
            <v>6782641334212.7275</v>
          </cell>
          <cell r="AC51">
            <v>5889663709026.8887</v>
          </cell>
          <cell r="AD51">
            <v>90345.818724947487</v>
          </cell>
          <cell r="AE51">
            <v>75074214.058119044</v>
          </cell>
          <cell r="AF51">
            <v>75074214.058119044</v>
          </cell>
          <cell r="AG51">
            <v>90345.818724947487</v>
          </cell>
          <cell r="AH51">
            <v>78451.220341346212</v>
          </cell>
        </row>
        <row r="52">
          <cell r="Z52">
            <v>2048</v>
          </cell>
          <cell r="AB52">
            <v>6891163595560.1309</v>
          </cell>
          <cell r="AC52">
            <v>5948560346117.1572</v>
          </cell>
          <cell r="AD52">
            <v>90988.493619743225</v>
          </cell>
          <cell r="AE52">
            <v>75736648.903755948</v>
          </cell>
          <cell r="AF52">
            <v>75736648.903755948</v>
          </cell>
          <cell r="AG52">
            <v>90988.493619743225</v>
          </cell>
          <cell r="AH52">
            <v>78542.692767888686</v>
          </cell>
        </row>
        <row r="53">
          <cell r="Z53">
            <v>2049</v>
          </cell>
          <cell r="AB53">
            <v>7001422213089.0928</v>
          </cell>
          <cell r="AC53">
            <v>6008045949578.3291</v>
          </cell>
          <cell r="AD53">
            <v>91635.740181786314</v>
          </cell>
          <cell r="AE53">
            <v>76404928.897826567</v>
          </cell>
          <cell r="AF53">
            <v>76404928.897826567</v>
          </cell>
          <cell r="AG53">
            <v>91635.740181786314</v>
          </cell>
          <cell r="AH53">
            <v>78634.27184930259</v>
          </cell>
        </row>
        <row r="54">
          <cell r="C54" t="str">
            <v>Year</v>
          </cell>
          <cell r="D54" t="str">
            <v>GDP_per_Capita Growth</v>
          </cell>
          <cell r="E54" t="str">
            <v>Passenger Growth</v>
          </cell>
          <cell r="G54" t="str">
            <v>Year</v>
          </cell>
          <cell r="H54" t="str">
            <v>GDP_per_Capita Growth</v>
          </cell>
          <cell r="I54" t="str">
            <v>Passenger Growth</v>
          </cell>
          <cell r="Z54">
            <v>2050</v>
          </cell>
          <cell r="AB54">
            <v>7113444968498.5186</v>
          </cell>
          <cell r="AC54">
            <v>6068126409074.1123</v>
          </cell>
          <cell r="AD54">
            <v>92287.590931627346</v>
          </cell>
          <cell r="AE54">
            <v>77079105.61636202</v>
          </cell>
          <cell r="AF54">
            <v>77079105.61636202</v>
          </cell>
          <cell r="AG54">
            <v>92287.590931627346</v>
          </cell>
          <cell r="AH54">
            <v>78725.957709945156</v>
          </cell>
        </row>
        <row r="55">
          <cell r="C55">
            <v>2020</v>
          </cell>
          <cell r="G55">
            <v>2020</v>
          </cell>
        </row>
        <row r="56">
          <cell r="C56">
            <v>2021</v>
          </cell>
          <cell r="D56">
            <v>4.4054980612799888E-2</v>
          </cell>
          <cell r="E56">
            <v>-0.76190476190476186</v>
          </cell>
          <cell r="G56">
            <v>2021</v>
          </cell>
          <cell r="H56">
            <v>4.4054980612799888E-2</v>
          </cell>
          <cell r="I56">
            <v>-0.76190476190476186</v>
          </cell>
        </row>
        <row r="57">
          <cell r="C57">
            <v>2022</v>
          </cell>
          <cell r="D57">
            <v>1.0568729897645568E-2</v>
          </cell>
          <cell r="E57">
            <v>1.2000000000000002</v>
          </cell>
          <cell r="G57">
            <v>2022</v>
          </cell>
          <cell r="H57">
            <v>1.0568729897645568E-2</v>
          </cell>
          <cell r="I57">
            <v>1.2000000000000002</v>
          </cell>
        </row>
        <row r="58">
          <cell r="C58">
            <v>2023</v>
          </cell>
          <cell r="D58">
            <v>-1.5937980964375598E-4</v>
          </cell>
          <cell r="E58">
            <v>0.45454545454545459</v>
          </cell>
          <cell r="G58">
            <v>2023</v>
          </cell>
          <cell r="H58">
            <v>-1.5937980964375598E-4</v>
          </cell>
          <cell r="I58">
            <v>0.45454545454545459</v>
          </cell>
        </row>
        <row r="59">
          <cell r="C59">
            <v>2024</v>
          </cell>
          <cell r="D59">
            <v>4.9244565174548782E-3</v>
          </cell>
          <cell r="E59">
            <v>6.25E-2</v>
          </cell>
          <cell r="G59">
            <v>2024</v>
          </cell>
          <cell r="H59">
            <v>-2.5910263419137713E-5</v>
          </cell>
          <cell r="I59">
            <v>6.25E-2</v>
          </cell>
        </row>
        <row r="60">
          <cell r="C60">
            <v>2025</v>
          </cell>
          <cell r="D60">
            <v>5.244809092641356E-3</v>
          </cell>
          <cell r="E60">
            <v>0.11764705882352944</v>
          </cell>
          <cell r="G60">
            <v>2025</v>
          </cell>
          <cell r="H60">
            <v>-6.9167600042552291E-4</v>
          </cell>
          <cell r="I60">
            <v>0.11764705882352944</v>
          </cell>
        </row>
        <row r="61">
          <cell r="C61">
            <v>2026</v>
          </cell>
          <cell r="D61">
            <v>5.6947447862123468E-3</v>
          </cell>
          <cell r="E61">
            <v>0.10526315789473695</v>
          </cell>
          <cell r="G61">
            <v>2026</v>
          </cell>
          <cell r="H61">
            <v>-2.4439740740711535E-4</v>
          </cell>
          <cell r="I61">
            <v>0.10526315789473695</v>
          </cell>
        </row>
        <row r="62">
          <cell r="C62">
            <v>2027</v>
          </cell>
          <cell r="D62">
            <v>6.0872571930516983E-3</v>
          </cell>
          <cell r="E62">
            <v>7.1996876830501183E-2</v>
          </cell>
          <cell r="G62">
            <v>2027</v>
          </cell>
          <cell r="H62">
            <v>1.4579701277739332E-4</v>
          </cell>
          <cell r="I62">
            <v>4.8843140574331943E-2</v>
          </cell>
        </row>
        <row r="63">
          <cell r="C63">
            <v>2028</v>
          </cell>
          <cell r="D63">
            <v>6.4727998024767253E-3</v>
          </cell>
          <cell r="E63">
            <v>7.0999999999999994E-2</v>
          </cell>
          <cell r="G63">
            <v>2028</v>
          </cell>
          <cell r="H63">
            <v>5.2906279576903081E-4</v>
          </cell>
          <cell r="I63">
            <v>5.5290627957690309E-3</v>
          </cell>
        </row>
        <row r="64">
          <cell r="C64">
            <v>2029</v>
          </cell>
          <cell r="D64">
            <v>6.8181711122703437E-3</v>
          </cell>
          <cell r="E64">
            <v>7.0999999999999994E-2</v>
          </cell>
          <cell r="G64">
            <v>2029</v>
          </cell>
          <cell r="H64">
            <v>8.7239451121368106E-4</v>
          </cell>
          <cell r="I64">
            <v>5.5290627957690309E-3</v>
          </cell>
        </row>
        <row r="65">
          <cell r="C65">
            <v>2030</v>
          </cell>
          <cell r="D65">
            <v>7.1134990403078913E-3</v>
          </cell>
          <cell r="E65">
            <v>7.0999999999999994E-2</v>
          </cell>
          <cell r="G65">
            <v>2030</v>
          </cell>
          <cell r="H65">
            <v>1.1659783766839737E-3</v>
          </cell>
          <cell r="I65">
            <v>5.8723945112136812E-3</v>
          </cell>
        </row>
        <row r="66">
          <cell r="C66">
            <v>2031</v>
          </cell>
          <cell r="D66">
            <v>7.1134990403078913E-3</v>
          </cell>
          <cell r="E66">
            <v>0.02</v>
          </cell>
          <cell r="G66">
            <v>2031</v>
          </cell>
          <cell r="H66">
            <v>1.1659783766839737E-3</v>
          </cell>
          <cell r="I66">
            <v>6.1659783766839739E-3</v>
          </cell>
        </row>
        <row r="67">
          <cell r="C67">
            <v>2032</v>
          </cell>
          <cell r="D67">
            <v>7.1134990403078913E-3</v>
          </cell>
          <cell r="E67">
            <v>0.02</v>
          </cell>
          <cell r="G67">
            <v>2032</v>
          </cell>
          <cell r="H67">
            <v>1.1659783766839737E-3</v>
          </cell>
          <cell r="I67">
            <v>6.1659783766839739E-3</v>
          </cell>
        </row>
        <row r="68">
          <cell r="C68">
            <v>2033</v>
          </cell>
          <cell r="D68">
            <v>7.1134990403078913E-3</v>
          </cell>
          <cell r="E68">
            <v>0.02</v>
          </cell>
          <cell r="G68">
            <v>2033</v>
          </cell>
          <cell r="H68">
            <v>1.1659783766839737E-3</v>
          </cell>
          <cell r="I68">
            <v>6.1659783766839739E-3</v>
          </cell>
        </row>
        <row r="69">
          <cell r="C69">
            <v>2034</v>
          </cell>
          <cell r="D69">
            <v>7.1134990403078913E-3</v>
          </cell>
          <cell r="E69">
            <v>0.02</v>
          </cell>
          <cell r="G69">
            <v>2034</v>
          </cell>
          <cell r="H69">
            <v>1.1659783766839737E-3</v>
          </cell>
          <cell r="I69">
            <v>6.1659783766839739E-3</v>
          </cell>
        </row>
        <row r="70">
          <cell r="C70">
            <v>2035</v>
          </cell>
          <cell r="D70">
            <v>7.1134990403078913E-3</v>
          </cell>
          <cell r="E70">
            <v>0.02</v>
          </cell>
          <cell r="G70">
            <v>2035</v>
          </cell>
          <cell r="H70">
            <v>1.1659783766839737E-3</v>
          </cell>
          <cell r="I70">
            <v>6.1659783766839739E-3</v>
          </cell>
        </row>
        <row r="71">
          <cell r="C71">
            <v>2036</v>
          </cell>
          <cell r="D71">
            <v>7.1134990403078913E-3</v>
          </cell>
          <cell r="E71">
            <v>0.02</v>
          </cell>
          <cell r="G71">
            <v>2036</v>
          </cell>
          <cell r="H71">
            <v>1.1659783766839737E-3</v>
          </cell>
          <cell r="I71">
            <v>6.1659783766839739E-3</v>
          </cell>
        </row>
        <row r="72">
          <cell r="C72">
            <v>2037</v>
          </cell>
          <cell r="D72">
            <v>7.1134990403078913E-3</v>
          </cell>
          <cell r="E72">
            <v>0.02</v>
          </cell>
          <cell r="G72">
            <v>2037</v>
          </cell>
          <cell r="H72">
            <v>1.1659783766839737E-3</v>
          </cell>
          <cell r="I72">
            <v>6.1659783766839739E-3</v>
          </cell>
        </row>
        <row r="73">
          <cell r="C73">
            <v>2038</v>
          </cell>
          <cell r="D73">
            <v>7.1134990403078913E-3</v>
          </cell>
          <cell r="E73">
            <v>0.02</v>
          </cell>
          <cell r="G73">
            <v>2038</v>
          </cell>
          <cell r="H73">
            <v>1.1659783766839737E-3</v>
          </cell>
          <cell r="I73">
            <v>6.1659783766839739E-3</v>
          </cell>
        </row>
        <row r="74">
          <cell r="C74">
            <v>2039</v>
          </cell>
          <cell r="D74">
            <v>7.1134990403078913E-3</v>
          </cell>
          <cell r="E74">
            <v>0.02</v>
          </cell>
          <cell r="G74">
            <v>2039</v>
          </cell>
          <cell r="H74">
            <v>1.1659783766839737E-3</v>
          </cell>
          <cell r="I74">
            <v>6.1659783766839739E-3</v>
          </cell>
        </row>
        <row r="75">
          <cell r="C75">
            <v>2040</v>
          </cell>
          <cell r="D75">
            <v>7.1134990403078913E-3</v>
          </cell>
          <cell r="E75">
            <v>0.02</v>
          </cell>
          <cell r="G75">
            <v>2040</v>
          </cell>
          <cell r="H75">
            <v>1.1659783766839737E-3</v>
          </cell>
          <cell r="I75">
            <v>6.1659783766839739E-3</v>
          </cell>
        </row>
        <row r="76">
          <cell r="C76">
            <v>2041</v>
          </cell>
          <cell r="D76">
            <v>7.1134990403078913E-3</v>
          </cell>
          <cell r="E76">
            <v>0.02</v>
          </cell>
          <cell r="G76">
            <v>2041</v>
          </cell>
          <cell r="H76">
            <v>1.1659783766839737E-3</v>
          </cell>
          <cell r="I76">
            <v>6.1659783766839739E-3</v>
          </cell>
        </row>
        <row r="77">
          <cell r="C77">
            <v>2042</v>
          </cell>
          <cell r="D77">
            <v>7.1134990403078913E-3</v>
          </cell>
          <cell r="E77">
            <v>0.02</v>
          </cell>
          <cell r="G77">
            <v>2042</v>
          </cell>
          <cell r="H77">
            <v>1.1659783766839737E-3</v>
          </cell>
          <cell r="I77">
            <v>6.1659783766839739E-3</v>
          </cell>
        </row>
        <row r="78">
          <cell r="C78">
            <v>2043</v>
          </cell>
          <cell r="D78">
            <v>7.1134990403078913E-3</v>
          </cell>
          <cell r="E78">
            <v>0.02</v>
          </cell>
          <cell r="G78">
            <v>2043</v>
          </cell>
          <cell r="H78">
            <v>1.1659783766839737E-3</v>
          </cell>
          <cell r="I78">
            <v>6.1659783766839739E-3</v>
          </cell>
        </row>
        <row r="79">
          <cell r="C79">
            <v>2044</v>
          </cell>
          <cell r="D79">
            <v>7.1134990403078913E-3</v>
          </cell>
          <cell r="E79">
            <v>0.02</v>
          </cell>
          <cell r="G79">
            <v>2044</v>
          </cell>
          <cell r="H79">
            <v>1.1659783766839737E-3</v>
          </cell>
          <cell r="I79">
            <v>6.1659783766839739E-3</v>
          </cell>
        </row>
        <row r="80">
          <cell r="C80">
            <v>2045</v>
          </cell>
          <cell r="D80">
            <v>7.1134990403078913E-3</v>
          </cell>
          <cell r="E80">
            <v>0.02</v>
          </cell>
          <cell r="G80">
            <v>2045</v>
          </cell>
          <cell r="H80">
            <v>1.1659783766839737E-3</v>
          </cell>
          <cell r="I80">
            <v>6.1659783766839739E-3</v>
          </cell>
        </row>
        <row r="81">
          <cell r="C81">
            <v>2046</v>
          </cell>
          <cell r="D81">
            <v>7.1134990403078913E-3</v>
          </cell>
          <cell r="E81">
            <v>0.02</v>
          </cell>
          <cell r="G81">
            <v>2046</v>
          </cell>
          <cell r="H81">
            <v>1.1659783766839737E-3</v>
          </cell>
          <cell r="I81">
            <v>6.1659783766839739E-3</v>
          </cell>
        </row>
        <row r="82">
          <cell r="C82">
            <v>2047</v>
          </cell>
          <cell r="D82">
            <v>7.1134990403078913E-3</v>
          </cell>
          <cell r="E82">
            <v>0.02</v>
          </cell>
          <cell r="G82">
            <v>2047</v>
          </cell>
          <cell r="H82">
            <v>1.1659783766839737E-3</v>
          </cell>
          <cell r="I82">
            <v>6.1659783766839739E-3</v>
          </cell>
        </row>
        <row r="83">
          <cell r="C83">
            <v>2048</v>
          </cell>
          <cell r="D83">
            <v>7.1134990403078913E-3</v>
          </cell>
          <cell r="E83">
            <v>0.02</v>
          </cell>
          <cell r="G83">
            <v>2048</v>
          </cell>
          <cell r="H83">
            <v>1.1659783766839737E-3</v>
          </cell>
          <cell r="I83">
            <v>6.1659783766839739E-3</v>
          </cell>
        </row>
        <row r="84">
          <cell r="C84">
            <v>2049</v>
          </cell>
          <cell r="D84">
            <v>7.1134990403078913E-3</v>
          </cell>
          <cell r="E84">
            <v>0.02</v>
          </cell>
          <cell r="G84">
            <v>2049</v>
          </cell>
          <cell r="H84">
            <v>1.1659783766839737E-3</v>
          </cell>
          <cell r="I84">
            <v>6.1659783766839739E-3</v>
          </cell>
        </row>
        <row r="85">
          <cell r="C85">
            <v>2050</v>
          </cell>
          <cell r="D85">
            <v>7.1134990403078913E-3</v>
          </cell>
          <cell r="E85">
            <v>0.02</v>
          </cell>
          <cell r="G85">
            <v>2050</v>
          </cell>
          <cell r="H85">
            <v>1.1659783766839737E-3</v>
          </cell>
          <cell r="I85">
            <v>6.1659783766839739E-3</v>
          </cell>
        </row>
        <row r="91">
          <cell r="G91">
            <v>158.98699999999999</v>
          </cell>
        </row>
        <row r="92">
          <cell r="G92">
            <v>0.9</v>
          </cell>
        </row>
        <row r="93">
          <cell r="G93">
            <v>365</v>
          </cell>
          <cell r="L93" t="str">
            <v>Refinery</v>
          </cell>
          <cell r="M93" t="str">
            <v>Enref</v>
          </cell>
          <cell r="N93" t="str">
            <v>SAPREF</v>
          </cell>
          <cell r="O93" t="str">
            <v>Natref</v>
          </cell>
          <cell r="P93" t="str">
            <v>Sasol</v>
          </cell>
          <cell r="Q93" t="str">
            <v>Astron</v>
          </cell>
          <cell r="R93" t="str">
            <v>PetroSA</v>
          </cell>
        </row>
        <row r="94">
          <cell r="L94" t="str">
            <v>Capacity (kbpd)</v>
          </cell>
          <cell r="M94">
            <v>120</v>
          </cell>
          <cell r="N94">
            <v>180</v>
          </cell>
          <cell r="O94">
            <v>108.5</v>
          </cell>
          <cell r="P94">
            <v>75</v>
          </cell>
          <cell r="Q94">
            <v>100</v>
          </cell>
          <cell r="R94">
            <v>45</v>
          </cell>
        </row>
        <row r="95">
          <cell r="L95" t="str">
            <v>Gasoline</v>
          </cell>
          <cell r="M95">
            <v>0.45</v>
          </cell>
          <cell r="N95">
            <v>0.45</v>
          </cell>
          <cell r="O95">
            <v>0.45</v>
          </cell>
          <cell r="P95">
            <v>0.85</v>
          </cell>
          <cell r="Q95">
            <v>0.45</v>
          </cell>
          <cell r="R95">
            <v>0.30792919797345031</v>
          </cell>
        </row>
        <row r="96">
          <cell r="L96" t="str">
            <v>Diesel</v>
          </cell>
          <cell r="M96">
            <v>0.25</v>
          </cell>
          <cell r="N96">
            <v>0.25</v>
          </cell>
          <cell r="O96">
            <v>0.25</v>
          </cell>
          <cell r="P96">
            <v>0.15000000000000002</v>
          </cell>
          <cell r="Q96">
            <v>0.25</v>
          </cell>
          <cell r="R96">
            <v>0.66546725628065706</v>
          </cell>
        </row>
        <row r="97">
          <cell r="L97" t="str">
            <v>Jet Fuel</v>
          </cell>
          <cell r="M97">
            <v>0</v>
          </cell>
          <cell r="N97">
            <v>0.1</v>
          </cell>
          <cell r="O97">
            <v>0.1</v>
          </cell>
          <cell r="P97">
            <v>0</v>
          </cell>
          <cell r="Q97">
            <v>0.1</v>
          </cell>
          <cell r="R97">
            <v>0</v>
          </cell>
        </row>
        <row r="98">
          <cell r="L98" t="str">
            <v>Total</v>
          </cell>
          <cell r="M98">
            <v>0.7</v>
          </cell>
          <cell r="N98">
            <v>0.79999999999999993</v>
          </cell>
          <cell r="O98">
            <v>0.79999999999999993</v>
          </cell>
          <cell r="P98">
            <v>1</v>
          </cell>
          <cell r="Q98">
            <v>0.79999999999999993</v>
          </cell>
          <cell r="R98">
            <v>0.97339645425410737</v>
          </cell>
        </row>
        <row r="102">
          <cell r="L102" t="str">
            <v>Production</v>
          </cell>
          <cell r="M102" t="str">
            <v>Enref</v>
          </cell>
          <cell r="N102" t="str">
            <v>SAPREF</v>
          </cell>
          <cell r="O102" t="str">
            <v>Natref</v>
          </cell>
          <cell r="P102" t="str">
            <v>Sasol</v>
          </cell>
          <cell r="Q102" t="str">
            <v>Astron</v>
          </cell>
          <cell r="R102" t="str">
            <v>PetroSA</v>
          </cell>
        </row>
        <row r="103">
          <cell r="L103">
            <v>2022</v>
          </cell>
          <cell r="M103">
            <v>0</v>
          </cell>
          <cell r="N103">
            <v>0</v>
          </cell>
          <cell r="O103">
            <v>0.873</v>
          </cell>
          <cell r="P103">
            <v>0.9</v>
          </cell>
          <cell r="Q103">
            <v>0</v>
          </cell>
          <cell r="R103">
            <v>0</v>
          </cell>
        </row>
        <row r="104">
          <cell r="L104">
            <v>2023</v>
          </cell>
          <cell r="M104">
            <v>0</v>
          </cell>
          <cell r="N104">
            <v>0</v>
          </cell>
          <cell r="O104">
            <v>0.875</v>
          </cell>
          <cell r="P104">
            <v>0.8</v>
          </cell>
          <cell r="Q104">
            <v>0.5</v>
          </cell>
          <cell r="R104">
            <v>0</v>
          </cell>
        </row>
        <row r="105">
          <cell r="L105">
            <v>2024</v>
          </cell>
          <cell r="M105">
            <v>0</v>
          </cell>
          <cell r="N105">
            <v>0</v>
          </cell>
          <cell r="O105">
            <v>0.88</v>
          </cell>
          <cell r="P105">
            <v>0.84</v>
          </cell>
          <cell r="Q105">
            <v>0.9</v>
          </cell>
          <cell r="R105">
            <v>0</v>
          </cell>
        </row>
        <row r="106">
          <cell r="L106">
            <v>2025</v>
          </cell>
          <cell r="M106">
            <v>0</v>
          </cell>
          <cell r="N106">
            <v>0</v>
          </cell>
          <cell r="O106">
            <v>0.85</v>
          </cell>
          <cell r="P106">
            <v>0.88</v>
          </cell>
          <cell r="Q106">
            <v>0.9</v>
          </cell>
          <cell r="R106">
            <v>0</v>
          </cell>
        </row>
        <row r="107">
          <cell r="L107">
            <v>2026</v>
          </cell>
          <cell r="M107">
            <v>0</v>
          </cell>
          <cell r="N107">
            <v>0</v>
          </cell>
          <cell r="O107">
            <v>0.85</v>
          </cell>
          <cell r="P107">
            <v>0.9</v>
          </cell>
          <cell r="Q107">
            <v>0.9</v>
          </cell>
          <cell r="R107">
            <v>0</v>
          </cell>
        </row>
        <row r="108">
          <cell r="L108">
            <v>2027</v>
          </cell>
          <cell r="M108">
            <v>0</v>
          </cell>
          <cell r="N108">
            <v>0</v>
          </cell>
          <cell r="O108">
            <v>0.75</v>
          </cell>
          <cell r="P108">
            <v>0.9</v>
          </cell>
          <cell r="Q108">
            <v>0.9</v>
          </cell>
          <cell r="R108">
            <v>0</v>
          </cell>
        </row>
        <row r="109">
          <cell r="L109">
            <v>2028</v>
          </cell>
          <cell r="M109">
            <v>0</v>
          </cell>
          <cell r="N109">
            <v>0</v>
          </cell>
          <cell r="O109">
            <v>0.7</v>
          </cell>
          <cell r="P109">
            <v>0.9</v>
          </cell>
          <cell r="Q109">
            <v>0.9</v>
          </cell>
          <cell r="R109">
            <v>0</v>
          </cell>
        </row>
        <row r="110">
          <cell r="L110">
            <v>2029</v>
          </cell>
          <cell r="M110">
            <v>0</v>
          </cell>
          <cell r="N110">
            <v>0</v>
          </cell>
          <cell r="O110">
            <v>0.7</v>
          </cell>
          <cell r="P110">
            <v>0.9</v>
          </cell>
          <cell r="Q110">
            <v>0.9</v>
          </cell>
          <cell r="R110">
            <v>0</v>
          </cell>
        </row>
        <row r="111">
          <cell r="L111">
            <v>2030</v>
          </cell>
          <cell r="M111">
            <v>0</v>
          </cell>
          <cell r="N111">
            <v>0</v>
          </cell>
          <cell r="O111">
            <v>0.7</v>
          </cell>
          <cell r="P111">
            <v>0.9</v>
          </cell>
          <cell r="Q111">
            <v>0.9</v>
          </cell>
          <cell r="R111">
            <v>0</v>
          </cell>
        </row>
        <row r="112">
          <cell r="L112">
            <v>2031</v>
          </cell>
          <cell r="M112">
            <v>0</v>
          </cell>
          <cell r="N112">
            <v>0</v>
          </cell>
          <cell r="O112">
            <v>0.7</v>
          </cell>
          <cell r="P112">
            <v>0.9</v>
          </cell>
          <cell r="Q112">
            <v>0.9</v>
          </cell>
          <cell r="R112">
            <v>1</v>
          </cell>
        </row>
        <row r="113">
          <cell r="L113">
            <v>2032</v>
          </cell>
          <cell r="M113">
            <v>0</v>
          </cell>
          <cell r="N113">
            <v>0</v>
          </cell>
          <cell r="O113">
            <v>0.7</v>
          </cell>
          <cell r="P113">
            <v>0.9</v>
          </cell>
          <cell r="Q113">
            <v>0.9</v>
          </cell>
          <cell r="R113">
            <v>1</v>
          </cell>
        </row>
        <row r="114">
          <cell r="L114">
            <v>2033</v>
          </cell>
          <cell r="M114">
            <v>0</v>
          </cell>
          <cell r="N114">
            <v>0</v>
          </cell>
          <cell r="O114">
            <v>0.7</v>
          </cell>
          <cell r="P114">
            <v>0.9</v>
          </cell>
          <cell r="Q114">
            <v>0.9</v>
          </cell>
          <cell r="R114">
            <v>1</v>
          </cell>
        </row>
        <row r="115">
          <cell r="L115">
            <v>2034</v>
          </cell>
          <cell r="M115">
            <v>0</v>
          </cell>
          <cell r="N115">
            <v>0</v>
          </cell>
          <cell r="O115">
            <v>0.7</v>
          </cell>
          <cell r="P115">
            <v>0.9</v>
          </cell>
          <cell r="Q115">
            <v>0.9</v>
          </cell>
          <cell r="R115">
            <v>1</v>
          </cell>
        </row>
        <row r="116">
          <cell r="L116">
            <v>2035</v>
          </cell>
          <cell r="M116">
            <v>0</v>
          </cell>
          <cell r="N116">
            <v>0</v>
          </cell>
          <cell r="O116">
            <v>0.7</v>
          </cell>
          <cell r="P116">
            <v>0.9</v>
          </cell>
          <cell r="Q116">
            <v>0.9</v>
          </cell>
          <cell r="R116">
            <v>1</v>
          </cell>
        </row>
        <row r="117">
          <cell r="L117">
            <v>2036</v>
          </cell>
          <cell r="M117">
            <v>0</v>
          </cell>
          <cell r="N117">
            <v>0</v>
          </cell>
          <cell r="O117">
            <v>0.7</v>
          </cell>
          <cell r="P117">
            <v>0.9</v>
          </cell>
          <cell r="Q117">
            <v>0.9</v>
          </cell>
          <cell r="R117">
            <v>1</v>
          </cell>
        </row>
        <row r="118">
          <cell r="L118">
            <v>2037</v>
          </cell>
          <cell r="M118">
            <v>0</v>
          </cell>
          <cell r="N118">
            <v>0</v>
          </cell>
          <cell r="O118">
            <v>0.7</v>
          </cell>
          <cell r="P118">
            <v>0.9</v>
          </cell>
          <cell r="Q118">
            <v>0.9</v>
          </cell>
          <cell r="R118">
            <v>1</v>
          </cell>
        </row>
        <row r="119">
          <cell r="L119">
            <v>2038</v>
          </cell>
          <cell r="M119">
            <v>0</v>
          </cell>
          <cell r="N119">
            <v>0</v>
          </cell>
          <cell r="O119">
            <v>0.7</v>
          </cell>
          <cell r="P119">
            <v>0.9</v>
          </cell>
          <cell r="Q119">
            <v>0.9</v>
          </cell>
          <cell r="R119">
            <v>1</v>
          </cell>
        </row>
        <row r="120">
          <cell r="L120">
            <v>2039</v>
          </cell>
          <cell r="M120">
            <v>0</v>
          </cell>
          <cell r="N120">
            <v>0</v>
          </cell>
          <cell r="O120">
            <v>0.7</v>
          </cell>
          <cell r="P120">
            <v>0.9</v>
          </cell>
          <cell r="Q120">
            <v>0.9</v>
          </cell>
          <cell r="R120">
            <v>1</v>
          </cell>
        </row>
        <row r="121">
          <cell r="L121">
            <v>2040</v>
          </cell>
          <cell r="M121">
            <v>0</v>
          </cell>
          <cell r="N121">
            <v>0</v>
          </cell>
          <cell r="O121">
            <v>0.7</v>
          </cell>
          <cell r="P121">
            <v>0.9</v>
          </cell>
          <cell r="Q121">
            <v>0.9</v>
          </cell>
          <cell r="R121">
            <v>1</v>
          </cell>
        </row>
        <row r="122">
          <cell r="L122">
            <v>2041</v>
          </cell>
          <cell r="M122">
            <v>0</v>
          </cell>
          <cell r="N122">
            <v>0</v>
          </cell>
          <cell r="O122">
            <v>0.7</v>
          </cell>
          <cell r="P122">
            <v>0.9</v>
          </cell>
          <cell r="Q122">
            <v>0.9</v>
          </cell>
          <cell r="R122">
            <v>1</v>
          </cell>
        </row>
        <row r="123">
          <cell r="L123">
            <v>2042</v>
          </cell>
          <cell r="M123">
            <v>0</v>
          </cell>
          <cell r="N123">
            <v>0</v>
          </cell>
          <cell r="O123">
            <v>0.7</v>
          </cell>
          <cell r="P123">
            <v>0.9</v>
          </cell>
          <cell r="Q123">
            <v>0.9</v>
          </cell>
          <cell r="R123">
            <v>1</v>
          </cell>
        </row>
        <row r="124">
          <cell r="L124">
            <v>2043</v>
          </cell>
          <cell r="M124">
            <v>0</v>
          </cell>
          <cell r="N124">
            <v>0</v>
          </cell>
          <cell r="O124">
            <v>0.7</v>
          </cell>
          <cell r="P124">
            <v>0.9</v>
          </cell>
          <cell r="Q124">
            <v>0.9</v>
          </cell>
          <cell r="R124">
            <v>1</v>
          </cell>
        </row>
        <row r="125">
          <cell r="L125">
            <v>2044</v>
          </cell>
          <cell r="M125">
            <v>0</v>
          </cell>
          <cell r="N125">
            <v>0</v>
          </cell>
          <cell r="O125">
            <v>0.7</v>
          </cell>
          <cell r="P125">
            <v>0.9</v>
          </cell>
          <cell r="Q125">
            <v>0.9</v>
          </cell>
          <cell r="R125">
            <v>1</v>
          </cell>
        </row>
        <row r="126">
          <cell r="L126">
            <v>2045</v>
          </cell>
          <cell r="M126">
            <v>0</v>
          </cell>
          <cell r="N126">
            <v>0</v>
          </cell>
          <cell r="O126">
            <v>0.7</v>
          </cell>
          <cell r="P126">
            <v>0.9</v>
          </cell>
          <cell r="Q126">
            <v>0.9</v>
          </cell>
          <cell r="R126">
            <v>1</v>
          </cell>
        </row>
        <row r="127">
          <cell r="L127">
            <v>2046</v>
          </cell>
          <cell r="M127">
            <v>0</v>
          </cell>
          <cell r="N127">
            <v>0</v>
          </cell>
          <cell r="O127">
            <v>0.7</v>
          </cell>
          <cell r="P127">
            <v>0.9</v>
          </cell>
          <cell r="Q127">
            <v>0.9</v>
          </cell>
          <cell r="R127">
            <v>1</v>
          </cell>
        </row>
        <row r="128">
          <cell r="L128">
            <v>2047</v>
          </cell>
          <cell r="M128">
            <v>0</v>
          </cell>
          <cell r="N128">
            <v>0</v>
          </cell>
          <cell r="O128">
            <v>0.7</v>
          </cell>
          <cell r="P128">
            <v>0.9</v>
          </cell>
          <cell r="Q128">
            <v>0.9</v>
          </cell>
          <cell r="R128">
            <v>1</v>
          </cell>
        </row>
        <row r="129">
          <cell r="L129">
            <v>2048</v>
          </cell>
          <cell r="M129">
            <v>0</v>
          </cell>
          <cell r="N129">
            <v>0</v>
          </cell>
          <cell r="O129">
            <v>0.7</v>
          </cell>
          <cell r="P129">
            <v>0.9</v>
          </cell>
          <cell r="Q129">
            <v>0.9</v>
          </cell>
          <cell r="R129">
            <v>1</v>
          </cell>
        </row>
        <row r="130">
          <cell r="L130">
            <v>2049</v>
          </cell>
          <cell r="M130">
            <v>0</v>
          </cell>
          <cell r="N130">
            <v>0</v>
          </cell>
          <cell r="O130">
            <v>0.7</v>
          </cell>
          <cell r="P130">
            <v>0.9</v>
          </cell>
          <cell r="Q130">
            <v>0.9</v>
          </cell>
          <cell r="R130">
            <v>1</v>
          </cell>
        </row>
        <row r="131">
          <cell r="L131">
            <v>2050</v>
          </cell>
          <cell r="M131">
            <v>0</v>
          </cell>
          <cell r="N131">
            <v>0</v>
          </cell>
          <cell r="O131">
            <v>0.7</v>
          </cell>
          <cell r="P131">
            <v>0.9</v>
          </cell>
          <cell r="Q131">
            <v>0.9</v>
          </cell>
          <cell r="R131">
            <v>1</v>
          </cell>
        </row>
        <row r="134">
          <cell r="L134" t="str">
            <v>Low production scenario (high imports)</v>
          </cell>
        </row>
        <row r="135">
          <cell r="L135" t="str">
            <v>Production</v>
          </cell>
          <cell r="M135" t="str">
            <v>Enref</v>
          </cell>
          <cell r="N135" t="str">
            <v>SAPREF</v>
          </cell>
          <cell r="O135" t="str">
            <v>Natref</v>
          </cell>
          <cell r="P135" t="str">
            <v>Sasol</v>
          </cell>
          <cell r="Q135" t="str">
            <v>Astron</v>
          </cell>
          <cell r="R135" t="str">
            <v>PetroSA</v>
          </cell>
        </row>
        <row r="136">
          <cell r="L136">
            <v>2022</v>
          </cell>
          <cell r="M136">
            <v>0</v>
          </cell>
          <cell r="N136">
            <v>0</v>
          </cell>
          <cell r="O136">
            <v>0.873</v>
          </cell>
          <cell r="P136">
            <v>0.9</v>
          </cell>
          <cell r="Q136">
            <v>0</v>
          </cell>
          <cell r="R136">
            <v>0</v>
          </cell>
        </row>
        <row r="137">
          <cell r="L137">
            <v>2023</v>
          </cell>
          <cell r="M137">
            <v>0</v>
          </cell>
          <cell r="N137">
            <v>0</v>
          </cell>
          <cell r="O137">
            <v>0.875</v>
          </cell>
          <cell r="P137">
            <v>0.8</v>
          </cell>
          <cell r="Q137">
            <v>0.5</v>
          </cell>
          <cell r="R137">
            <v>0</v>
          </cell>
        </row>
        <row r="138">
          <cell r="L138">
            <v>2024</v>
          </cell>
          <cell r="M138">
            <v>0</v>
          </cell>
          <cell r="N138">
            <v>0</v>
          </cell>
          <cell r="O138">
            <v>0.88</v>
          </cell>
          <cell r="P138">
            <v>0.8</v>
          </cell>
          <cell r="Q138">
            <v>0.8</v>
          </cell>
          <cell r="R138">
            <v>0</v>
          </cell>
        </row>
        <row r="139">
          <cell r="L139">
            <v>2025</v>
          </cell>
          <cell r="M139">
            <v>0</v>
          </cell>
          <cell r="N139">
            <v>0</v>
          </cell>
          <cell r="O139">
            <v>0.85</v>
          </cell>
          <cell r="P139">
            <v>0.8</v>
          </cell>
          <cell r="Q139">
            <v>0.8</v>
          </cell>
          <cell r="R139">
            <v>0</v>
          </cell>
        </row>
        <row r="140">
          <cell r="L140">
            <v>2026</v>
          </cell>
          <cell r="M140">
            <v>0</v>
          </cell>
          <cell r="N140">
            <v>0</v>
          </cell>
          <cell r="O140">
            <v>0.85</v>
          </cell>
          <cell r="P140">
            <v>0.8</v>
          </cell>
          <cell r="Q140">
            <v>0.8</v>
          </cell>
          <cell r="R140">
            <v>0</v>
          </cell>
        </row>
        <row r="141">
          <cell r="L141">
            <v>2027</v>
          </cell>
          <cell r="M141">
            <v>0</v>
          </cell>
          <cell r="N141">
            <v>0</v>
          </cell>
          <cell r="O141">
            <v>0.75</v>
          </cell>
          <cell r="P141">
            <v>0.8</v>
          </cell>
          <cell r="Q141">
            <v>0.8</v>
          </cell>
          <cell r="R141">
            <v>0</v>
          </cell>
        </row>
        <row r="142">
          <cell r="L142">
            <v>2028</v>
          </cell>
          <cell r="M142">
            <v>0</v>
          </cell>
          <cell r="N142">
            <v>0</v>
          </cell>
          <cell r="O142">
            <v>0.7</v>
          </cell>
          <cell r="P142">
            <v>0.8</v>
          </cell>
          <cell r="Q142">
            <v>0.8</v>
          </cell>
          <cell r="R142">
            <v>0</v>
          </cell>
        </row>
        <row r="143">
          <cell r="L143">
            <v>2029</v>
          </cell>
          <cell r="M143">
            <v>0</v>
          </cell>
          <cell r="N143">
            <v>0</v>
          </cell>
          <cell r="O143">
            <v>0</v>
          </cell>
          <cell r="P143">
            <v>0.8</v>
          </cell>
          <cell r="Q143">
            <v>0.8</v>
          </cell>
          <cell r="R143">
            <v>0</v>
          </cell>
        </row>
        <row r="144">
          <cell r="L144">
            <v>2030</v>
          </cell>
          <cell r="M144">
            <v>0</v>
          </cell>
          <cell r="N144">
            <v>0</v>
          </cell>
          <cell r="O144">
            <v>0</v>
          </cell>
          <cell r="P144">
            <v>0.8</v>
          </cell>
          <cell r="Q144">
            <v>0.8</v>
          </cell>
          <cell r="R144">
            <v>0</v>
          </cell>
        </row>
        <row r="145">
          <cell r="L145">
            <v>2031</v>
          </cell>
          <cell r="M145">
            <v>0</v>
          </cell>
          <cell r="N145">
            <v>0</v>
          </cell>
          <cell r="O145">
            <v>0</v>
          </cell>
          <cell r="P145">
            <v>0.76</v>
          </cell>
          <cell r="Q145">
            <v>0.8</v>
          </cell>
          <cell r="R145">
            <v>0</v>
          </cell>
        </row>
        <row r="146">
          <cell r="L146">
            <v>2032</v>
          </cell>
          <cell r="M146">
            <v>0</v>
          </cell>
          <cell r="N146">
            <v>0</v>
          </cell>
          <cell r="O146">
            <v>0</v>
          </cell>
          <cell r="P146">
            <v>0.73</v>
          </cell>
          <cell r="Q146">
            <v>0.8</v>
          </cell>
          <cell r="R146">
            <v>0</v>
          </cell>
        </row>
        <row r="147">
          <cell r="L147">
            <v>2033</v>
          </cell>
          <cell r="M147">
            <v>0</v>
          </cell>
          <cell r="N147">
            <v>0</v>
          </cell>
          <cell r="O147">
            <v>0</v>
          </cell>
          <cell r="P147">
            <v>0.7</v>
          </cell>
          <cell r="Q147">
            <v>0.8</v>
          </cell>
          <cell r="R147">
            <v>0</v>
          </cell>
        </row>
        <row r="148">
          <cell r="L148">
            <v>2034</v>
          </cell>
          <cell r="M148">
            <v>0</v>
          </cell>
          <cell r="N148">
            <v>0</v>
          </cell>
          <cell r="O148">
            <v>0</v>
          </cell>
          <cell r="P148">
            <v>0.67</v>
          </cell>
          <cell r="Q148">
            <v>0.8</v>
          </cell>
          <cell r="R148">
            <v>0</v>
          </cell>
        </row>
        <row r="149">
          <cell r="L149">
            <v>2035</v>
          </cell>
          <cell r="M149">
            <v>0</v>
          </cell>
          <cell r="N149">
            <v>0</v>
          </cell>
          <cell r="O149">
            <v>0</v>
          </cell>
          <cell r="P149">
            <v>0.67</v>
          </cell>
          <cell r="Q149">
            <v>0.8</v>
          </cell>
          <cell r="R149">
            <v>0</v>
          </cell>
        </row>
        <row r="150">
          <cell r="L150">
            <v>2036</v>
          </cell>
          <cell r="M150">
            <v>0</v>
          </cell>
          <cell r="N150">
            <v>0</v>
          </cell>
          <cell r="O150">
            <v>0</v>
          </cell>
          <cell r="P150">
            <v>0.67</v>
          </cell>
          <cell r="Q150">
            <v>0.8</v>
          </cell>
          <cell r="R150">
            <v>0</v>
          </cell>
        </row>
        <row r="151">
          <cell r="L151">
            <v>2037</v>
          </cell>
          <cell r="M151">
            <v>0</v>
          </cell>
          <cell r="N151">
            <v>0</v>
          </cell>
          <cell r="O151">
            <v>0</v>
          </cell>
          <cell r="P151">
            <v>0.67</v>
          </cell>
          <cell r="Q151">
            <v>0.8</v>
          </cell>
          <cell r="R151">
            <v>0</v>
          </cell>
        </row>
        <row r="152">
          <cell r="L152">
            <v>2038</v>
          </cell>
          <cell r="M152">
            <v>0</v>
          </cell>
          <cell r="N152">
            <v>0</v>
          </cell>
          <cell r="O152">
            <v>0</v>
          </cell>
          <cell r="P152">
            <v>0.67</v>
          </cell>
          <cell r="Q152">
            <v>0.8</v>
          </cell>
          <cell r="R152">
            <v>0</v>
          </cell>
        </row>
        <row r="153">
          <cell r="L153">
            <v>2039</v>
          </cell>
          <cell r="M153">
            <v>0</v>
          </cell>
          <cell r="N153">
            <v>0</v>
          </cell>
          <cell r="O153">
            <v>0</v>
          </cell>
          <cell r="P153">
            <v>0.67</v>
          </cell>
          <cell r="Q153">
            <v>0.8</v>
          </cell>
          <cell r="R153">
            <v>0</v>
          </cell>
        </row>
        <row r="154">
          <cell r="L154">
            <v>2040</v>
          </cell>
          <cell r="M154">
            <v>0</v>
          </cell>
          <cell r="N154">
            <v>0</v>
          </cell>
          <cell r="O154">
            <v>0</v>
          </cell>
          <cell r="P154">
            <v>0.67</v>
          </cell>
          <cell r="Q154">
            <v>0.8</v>
          </cell>
          <cell r="R154">
            <v>0</v>
          </cell>
        </row>
        <row r="155">
          <cell r="L155">
            <v>2041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0.8</v>
          </cell>
          <cell r="R155">
            <v>0</v>
          </cell>
        </row>
        <row r="156">
          <cell r="L156">
            <v>2042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0.8</v>
          </cell>
          <cell r="R156">
            <v>0</v>
          </cell>
        </row>
        <row r="157">
          <cell r="L157">
            <v>2043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0.8</v>
          </cell>
          <cell r="R157">
            <v>0</v>
          </cell>
        </row>
        <row r="158">
          <cell r="L158">
            <v>2044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0.8</v>
          </cell>
          <cell r="R158">
            <v>0</v>
          </cell>
        </row>
        <row r="159">
          <cell r="L159">
            <v>2045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0.8</v>
          </cell>
          <cell r="R159">
            <v>0</v>
          </cell>
        </row>
        <row r="160">
          <cell r="L160">
            <v>2046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0.8</v>
          </cell>
          <cell r="R160">
            <v>0</v>
          </cell>
        </row>
        <row r="161">
          <cell r="L161">
            <v>2047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0.8</v>
          </cell>
          <cell r="R161">
            <v>0</v>
          </cell>
        </row>
        <row r="162">
          <cell r="L162">
            <v>2048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0.8</v>
          </cell>
          <cell r="R162">
            <v>0</v>
          </cell>
        </row>
        <row r="163">
          <cell r="L163">
            <v>2049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0.8</v>
          </cell>
          <cell r="R163">
            <v>0</v>
          </cell>
        </row>
        <row r="164">
          <cell r="L164">
            <v>2050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0.8</v>
          </cell>
          <cell r="R164">
            <v>0</v>
          </cell>
        </row>
        <row r="171">
          <cell r="C171" t="str">
            <v>Power Station</v>
          </cell>
          <cell r="D171" t="str">
            <v>MW</v>
          </cell>
          <cell r="L171" t="str">
            <v>Year</v>
          </cell>
          <cell r="M171" t="str">
            <v>High EAF Load Factor</v>
          </cell>
          <cell r="O171" t="str">
            <v>Year</v>
          </cell>
          <cell r="P171" t="str">
            <v>High demand (Diesel %)</v>
          </cell>
        </row>
        <row r="172">
          <cell r="C172" t="str">
            <v xml:space="preserve">Total </v>
          </cell>
          <cell r="D172">
            <v>3072</v>
          </cell>
          <cell r="L172">
            <v>2022</v>
          </cell>
          <cell r="M172">
            <v>0.45</v>
          </cell>
          <cell r="O172">
            <v>2022</v>
          </cell>
          <cell r="P172">
            <v>1</v>
          </cell>
        </row>
        <row r="173">
          <cell r="C173" t="str">
            <v>Ankerlig</v>
          </cell>
          <cell r="D173">
            <v>1327</v>
          </cell>
          <cell r="L173">
            <v>2023</v>
          </cell>
          <cell r="M173">
            <v>0.6</v>
          </cell>
          <cell r="O173">
            <v>2023</v>
          </cell>
          <cell r="P173">
            <v>1</v>
          </cell>
        </row>
        <row r="174">
          <cell r="C174" t="str">
            <v>Gourikwa</v>
          </cell>
          <cell r="D174">
            <v>740</v>
          </cell>
          <cell r="L174">
            <v>2024</v>
          </cell>
          <cell r="M174">
            <v>0.13175980096820566</v>
          </cell>
          <cell r="O174">
            <v>2024</v>
          </cell>
          <cell r="P174">
            <v>1</v>
          </cell>
        </row>
        <row r="175">
          <cell r="C175" t="str">
            <v>Avon</v>
          </cell>
          <cell r="D175">
            <v>670</v>
          </cell>
          <cell r="L175">
            <v>2025</v>
          </cell>
          <cell r="M175">
            <v>0.13654880533358704</v>
          </cell>
          <cell r="O175">
            <v>2025</v>
          </cell>
          <cell r="P175">
            <v>1</v>
          </cell>
        </row>
        <row r="176">
          <cell r="C176" t="str">
            <v>Dedisa</v>
          </cell>
          <cell r="D176">
            <v>335</v>
          </cell>
          <cell r="L176">
            <v>2026</v>
          </cell>
          <cell r="M176">
            <v>0.14133780969896842</v>
          </cell>
          <cell r="O176">
            <v>2026</v>
          </cell>
          <cell r="P176">
            <v>1</v>
          </cell>
        </row>
        <row r="177">
          <cell r="C177" t="str">
            <v>New 1</v>
          </cell>
          <cell r="D177">
            <v>1000</v>
          </cell>
          <cell r="L177">
            <v>2027</v>
          </cell>
          <cell r="M177">
            <v>0.1461268140643498</v>
          </cell>
          <cell r="O177">
            <v>2027</v>
          </cell>
          <cell r="P177">
            <v>1</v>
          </cell>
        </row>
        <row r="178">
          <cell r="C178" t="str">
            <v>New 2</v>
          </cell>
          <cell r="D178">
            <v>2000</v>
          </cell>
          <cell r="L178">
            <v>2028</v>
          </cell>
          <cell r="M178">
            <v>0.15091581842973117</v>
          </cell>
          <cell r="O178">
            <v>2028</v>
          </cell>
          <cell r="P178">
            <v>1</v>
          </cell>
        </row>
        <row r="179">
          <cell r="L179">
            <v>2029</v>
          </cell>
          <cell r="M179">
            <v>0.15570482279511255</v>
          </cell>
          <cell r="O179">
            <v>2029</v>
          </cell>
          <cell r="P179">
            <v>1</v>
          </cell>
        </row>
        <row r="180">
          <cell r="L180">
            <v>2030</v>
          </cell>
          <cell r="M180">
            <v>0.16049382716049385</v>
          </cell>
          <cell r="O180">
            <v>2030</v>
          </cell>
          <cell r="P180">
            <v>1</v>
          </cell>
        </row>
        <row r="181">
          <cell r="D181">
            <v>3.6</v>
          </cell>
          <cell r="L181">
            <v>2031</v>
          </cell>
          <cell r="M181">
            <v>0.16049382716049385</v>
          </cell>
          <cell r="O181">
            <v>2031</v>
          </cell>
          <cell r="P181">
            <v>1</v>
          </cell>
        </row>
        <row r="182">
          <cell r="D182">
            <v>0.4</v>
          </cell>
          <cell r="L182">
            <v>2032</v>
          </cell>
          <cell r="M182">
            <v>0.16049382716049385</v>
          </cell>
          <cell r="O182">
            <v>2032</v>
          </cell>
          <cell r="P182">
            <v>1</v>
          </cell>
        </row>
        <row r="183">
          <cell r="D183">
            <v>36.9</v>
          </cell>
          <cell r="L183">
            <v>2033</v>
          </cell>
          <cell r="M183">
            <v>0.16049382716049385</v>
          </cell>
          <cell r="O183">
            <v>2033</v>
          </cell>
          <cell r="P183">
            <v>1</v>
          </cell>
        </row>
        <row r="184">
          <cell r="L184">
            <v>2034</v>
          </cell>
          <cell r="M184">
            <v>0.16049382716049385</v>
          </cell>
          <cell r="O184">
            <v>2034</v>
          </cell>
          <cell r="P184">
            <v>1</v>
          </cell>
        </row>
        <row r="185">
          <cell r="L185">
            <v>2035</v>
          </cell>
          <cell r="M185">
            <v>0.16049382716049385</v>
          </cell>
          <cell r="O185">
            <v>2035</v>
          </cell>
          <cell r="P185">
            <v>1</v>
          </cell>
        </row>
        <row r="186">
          <cell r="L186">
            <v>2036</v>
          </cell>
          <cell r="M186">
            <v>0.16049382716049385</v>
          </cell>
          <cell r="O186">
            <v>2036</v>
          </cell>
          <cell r="P186">
            <v>1</v>
          </cell>
        </row>
        <row r="187">
          <cell r="L187">
            <v>2037</v>
          </cell>
          <cell r="M187">
            <v>0.16049382716049385</v>
          </cell>
          <cell r="O187">
            <v>2037</v>
          </cell>
          <cell r="P187">
            <v>1</v>
          </cell>
        </row>
        <row r="188">
          <cell r="L188">
            <v>2038</v>
          </cell>
          <cell r="M188">
            <v>0.16049382716049385</v>
          </cell>
          <cell r="O188">
            <v>2038</v>
          </cell>
          <cell r="P188">
            <v>1</v>
          </cell>
        </row>
        <row r="189">
          <cell r="C189" t="str">
            <v>Year</v>
          </cell>
          <cell r="D189" t="str">
            <v>Eskom</v>
          </cell>
          <cell r="E189" t="str">
            <v>IPP</v>
          </cell>
          <cell r="G189" t="str">
            <v>Total</v>
          </cell>
          <cell r="H189" t="str">
            <v>Total GWh</v>
          </cell>
          <cell r="L189">
            <v>2039</v>
          </cell>
          <cell r="M189">
            <v>0.16049382716049385</v>
          </cell>
          <cell r="O189">
            <v>2039</v>
          </cell>
          <cell r="P189">
            <v>1</v>
          </cell>
        </row>
        <row r="190">
          <cell r="C190">
            <v>2008</v>
          </cell>
          <cell r="G190">
            <v>0</v>
          </cell>
          <cell r="H190">
            <v>0</v>
          </cell>
          <cell r="L190">
            <v>2040</v>
          </cell>
          <cell r="M190">
            <v>0.16049382716049385</v>
          </cell>
          <cell r="O190">
            <v>2040</v>
          </cell>
          <cell r="P190">
            <v>1</v>
          </cell>
        </row>
        <row r="191">
          <cell r="C191">
            <v>2009</v>
          </cell>
          <cell r="G191">
            <v>0</v>
          </cell>
          <cell r="H191">
            <v>0</v>
          </cell>
          <cell r="L191">
            <v>2041</v>
          </cell>
          <cell r="M191">
            <v>0.16049382716049385</v>
          </cell>
          <cell r="O191">
            <v>2041</v>
          </cell>
          <cell r="P191">
            <v>1</v>
          </cell>
        </row>
        <row r="192">
          <cell r="C192">
            <v>2010</v>
          </cell>
          <cell r="G192">
            <v>0</v>
          </cell>
          <cell r="H192">
            <v>0</v>
          </cell>
          <cell r="L192">
            <v>2042</v>
          </cell>
          <cell r="M192">
            <v>0.16049382716049385</v>
          </cell>
          <cell r="O192">
            <v>2042</v>
          </cell>
          <cell r="P192">
            <v>1</v>
          </cell>
        </row>
        <row r="193">
          <cell r="C193">
            <v>2011</v>
          </cell>
          <cell r="G193">
            <v>0</v>
          </cell>
          <cell r="H193">
            <v>0</v>
          </cell>
          <cell r="L193">
            <v>2043</v>
          </cell>
          <cell r="M193">
            <v>0.16049382716049385</v>
          </cell>
          <cell r="O193">
            <v>2043</v>
          </cell>
          <cell r="P193">
            <v>1</v>
          </cell>
        </row>
        <row r="194">
          <cell r="C194">
            <v>2012</v>
          </cell>
          <cell r="G194">
            <v>0</v>
          </cell>
          <cell r="H194">
            <v>1905</v>
          </cell>
          <cell r="L194">
            <v>2044</v>
          </cell>
          <cell r="M194">
            <v>0.16049382716049385</v>
          </cell>
          <cell r="O194">
            <v>2044</v>
          </cell>
          <cell r="P194">
            <v>1</v>
          </cell>
        </row>
        <row r="195">
          <cell r="C195">
            <v>2013</v>
          </cell>
          <cell r="D195">
            <v>1905</v>
          </cell>
          <cell r="G195">
            <v>1905</v>
          </cell>
          <cell r="H195">
            <v>3192</v>
          </cell>
          <cell r="L195">
            <v>2045</v>
          </cell>
          <cell r="M195">
            <v>0.16049382716049385</v>
          </cell>
          <cell r="O195">
            <v>2045</v>
          </cell>
          <cell r="P195">
            <v>1</v>
          </cell>
        </row>
        <row r="196">
          <cell r="C196">
            <v>2014</v>
          </cell>
          <cell r="D196">
            <v>3621</v>
          </cell>
          <cell r="G196">
            <v>3621</v>
          </cell>
          <cell r="H196">
            <v>3687</v>
          </cell>
          <cell r="L196">
            <v>2046</v>
          </cell>
          <cell r="M196">
            <v>0.16049382716049385</v>
          </cell>
          <cell r="O196">
            <v>2046</v>
          </cell>
          <cell r="P196">
            <v>1</v>
          </cell>
        </row>
        <row r="197">
          <cell r="C197">
            <v>2015</v>
          </cell>
          <cell r="D197">
            <v>3709</v>
          </cell>
          <cell r="G197">
            <v>3709</v>
          </cell>
          <cell r="H197">
            <v>3879.25</v>
          </cell>
          <cell r="L197">
            <v>2047</v>
          </cell>
          <cell r="M197">
            <v>0.16049382716049385</v>
          </cell>
          <cell r="O197">
            <v>2047</v>
          </cell>
          <cell r="P197">
            <v>1</v>
          </cell>
        </row>
        <row r="198">
          <cell r="C198">
            <v>2016</v>
          </cell>
          <cell r="D198">
            <v>3936</v>
          </cell>
          <cell r="G198">
            <v>3936</v>
          </cell>
          <cell r="H198">
            <v>1005.75</v>
          </cell>
          <cell r="L198">
            <v>2048</v>
          </cell>
          <cell r="M198">
            <v>0.16049382716049385</v>
          </cell>
          <cell r="O198">
            <v>2048</v>
          </cell>
          <cell r="P198">
            <v>1</v>
          </cell>
        </row>
        <row r="199">
          <cell r="C199">
            <v>2017</v>
          </cell>
          <cell r="D199">
            <v>33.378999999999998</v>
          </cell>
          <cell r="E199">
            <v>93.931684999999845</v>
          </cell>
          <cell r="G199">
            <v>127.31068499999984</v>
          </cell>
          <cell r="H199">
            <v>127.31068499999984</v>
          </cell>
          <cell r="L199">
            <v>2049</v>
          </cell>
          <cell r="M199">
            <v>0.16049382716049385</v>
          </cell>
          <cell r="O199">
            <v>2049</v>
          </cell>
          <cell r="P199">
            <v>1</v>
          </cell>
        </row>
        <row r="200">
          <cell r="C200">
            <v>2018</v>
          </cell>
          <cell r="D200">
            <v>510.22641600000003</v>
          </cell>
          <cell r="E200">
            <v>388.64481199999972</v>
          </cell>
          <cell r="G200">
            <v>898.87122799999975</v>
          </cell>
          <cell r="H200">
            <v>898.87122799999975</v>
          </cell>
          <cell r="L200">
            <v>2050</v>
          </cell>
          <cell r="M200">
            <v>0.16049382716049385</v>
          </cell>
          <cell r="O200">
            <v>2050</v>
          </cell>
          <cell r="P200">
            <v>1</v>
          </cell>
        </row>
        <row r="201">
          <cell r="C201">
            <v>2019</v>
          </cell>
          <cell r="D201">
            <v>1537.9800999999995</v>
          </cell>
          <cell r="E201">
            <v>610.7705749999991</v>
          </cell>
          <cell r="G201">
            <v>2148.7506749999984</v>
          </cell>
          <cell r="H201">
            <v>2148.7506749999984</v>
          </cell>
        </row>
        <row r="202">
          <cell r="C202">
            <v>2020</v>
          </cell>
          <cell r="D202">
            <v>1250.98224</v>
          </cell>
          <cell r="E202">
            <v>661.40503200000057</v>
          </cell>
          <cell r="G202">
            <v>1912.3872720000006</v>
          </cell>
          <cell r="H202">
            <v>1912.3872720000006</v>
          </cell>
        </row>
        <row r="203">
          <cell r="C203">
            <v>2021</v>
          </cell>
          <cell r="D203">
            <v>2235.4810000000002</v>
          </cell>
          <cell r="E203">
            <v>976.05205199999921</v>
          </cell>
          <cell r="G203">
            <v>3211.5330519999993</v>
          </cell>
          <cell r="H203">
            <v>3211.5330519999993</v>
          </cell>
          <cell r="L203" t="str">
            <v>Year</v>
          </cell>
          <cell r="M203" t="str">
            <v>Low EAF Load Factor</v>
          </cell>
          <cell r="O203" t="str">
            <v>Year</v>
          </cell>
          <cell r="P203" t="str">
            <v>Low demand (Diesel %)</v>
          </cell>
        </row>
        <row r="204">
          <cell r="C204">
            <v>2022</v>
          </cell>
          <cell r="D204">
            <v>2628.4164799999999</v>
          </cell>
          <cell r="E204">
            <v>991.31039099999873</v>
          </cell>
          <cell r="G204">
            <v>3619.7268709999985</v>
          </cell>
          <cell r="H204">
            <v>3619.7268709999985</v>
          </cell>
          <cell r="L204">
            <v>2022</v>
          </cell>
          <cell r="M204">
            <v>0.45</v>
          </cell>
          <cell r="O204">
            <v>2022</v>
          </cell>
          <cell r="P204">
            <v>1</v>
          </cell>
        </row>
        <row r="205">
          <cell r="C205">
            <v>2023</v>
          </cell>
          <cell r="D205">
            <v>2903.7064254545344</v>
          </cell>
          <cell r="E205">
            <v>1324.5970832727271</v>
          </cell>
          <cell r="G205">
            <v>4228.3035087272619</v>
          </cell>
          <cell r="H205">
            <v>4228.3035087272619</v>
          </cell>
          <cell r="L205">
            <v>2023</v>
          </cell>
          <cell r="M205">
            <v>0.6</v>
          </cell>
          <cell r="O205">
            <v>2023</v>
          </cell>
          <cell r="P205">
            <v>1</v>
          </cell>
        </row>
        <row r="206">
          <cell r="C206">
            <v>2024</v>
          </cell>
          <cell r="G206">
            <v>0</v>
          </cell>
          <cell r="H206">
            <v>0</v>
          </cell>
          <cell r="L206">
            <v>2024</v>
          </cell>
          <cell r="M206">
            <v>0.64</v>
          </cell>
          <cell r="O206">
            <v>2024</v>
          </cell>
          <cell r="P206">
            <v>1</v>
          </cell>
        </row>
        <row r="207">
          <cell r="C207">
            <v>2025</v>
          </cell>
          <cell r="G207">
            <v>0</v>
          </cell>
          <cell r="H207">
            <v>0</v>
          </cell>
          <cell r="L207">
            <v>2025</v>
          </cell>
          <cell r="M207">
            <v>0.61</v>
          </cell>
          <cell r="O207">
            <v>2025</v>
          </cell>
          <cell r="P207">
            <v>1</v>
          </cell>
        </row>
        <row r="208">
          <cell r="C208">
            <v>2026</v>
          </cell>
          <cell r="G208">
            <v>0</v>
          </cell>
          <cell r="H208">
            <v>0</v>
          </cell>
          <cell r="L208">
            <v>2026</v>
          </cell>
          <cell r="M208">
            <v>0.7</v>
          </cell>
          <cell r="O208">
            <v>2026</v>
          </cell>
          <cell r="P208">
            <v>1</v>
          </cell>
        </row>
        <row r="209">
          <cell r="C209">
            <v>2027</v>
          </cell>
          <cell r="G209">
            <v>0</v>
          </cell>
          <cell r="H209">
            <v>0</v>
          </cell>
          <cell r="L209">
            <v>2027</v>
          </cell>
          <cell r="M209">
            <v>0.71</v>
          </cell>
          <cell r="O209">
            <v>2027</v>
          </cell>
          <cell r="P209">
            <v>1</v>
          </cell>
        </row>
        <row r="210">
          <cell r="C210">
            <v>2028</v>
          </cell>
          <cell r="G210">
            <v>0</v>
          </cell>
          <cell r="H210">
            <v>0</v>
          </cell>
          <cell r="L210">
            <v>2028</v>
          </cell>
          <cell r="M210">
            <v>0.7</v>
          </cell>
          <cell r="O210">
            <v>2028</v>
          </cell>
          <cell r="P210">
            <v>1</v>
          </cell>
        </row>
        <row r="211">
          <cell r="C211">
            <v>2029</v>
          </cell>
          <cell r="G211">
            <v>0</v>
          </cell>
          <cell r="H211">
            <v>0</v>
          </cell>
          <cell r="L211">
            <v>2029</v>
          </cell>
          <cell r="M211">
            <v>0.7</v>
          </cell>
          <cell r="O211">
            <v>2029</v>
          </cell>
          <cell r="P211">
            <v>1</v>
          </cell>
        </row>
        <row r="212">
          <cell r="C212">
            <v>2030</v>
          </cell>
          <cell r="G212">
            <v>0</v>
          </cell>
          <cell r="H212">
            <v>0</v>
          </cell>
          <cell r="L212">
            <v>2030</v>
          </cell>
          <cell r="M212">
            <v>0.7</v>
          </cell>
          <cell r="O212">
            <v>2030</v>
          </cell>
          <cell r="P212">
            <v>1</v>
          </cell>
        </row>
        <row r="213">
          <cell r="C213">
            <v>2031</v>
          </cell>
          <cell r="G213">
            <v>0</v>
          </cell>
          <cell r="H213">
            <v>0</v>
          </cell>
          <cell r="L213">
            <v>2031</v>
          </cell>
          <cell r="M213">
            <v>0.7</v>
          </cell>
          <cell r="O213">
            <v>2031</v>
          </cell>
          <cell r="P213">
            <v>1</v>
          </cell>
        </row>
        <row r="214">
          <cell r="C214">
            <v>2032</v>
          </cell>
          <cell r="G214">
            <v>0</v>
          </cell>
          <cell r="H214">
            <v>0</v>
          </cell>
          <cell r="L214">
            <v>2032</v>
          </cell>
          <cell r="M214">
            <v>0.7</v>
          </cell>
          <cell r="O214">
            <v>2032</v>
          </cell>
          <cell r="P214">
            <v>1</v>
          </cell>
        </row>
        <row r="215">
          <cell r="C215">
            <v>2033</v>
          </cell>
          <cell r="G215">
            <v>0</v>
          </cell>
          <cell r="H215">
            <v>0</v>
          </cell>
          <cell r="L215">
            <v>2033</v>
          </cell>
          <cell r="M215">
            <v>0.7</v>
          </cell>
          <cell r="O215">
            <v>2033</v>
          </cell>
          <cell r="P215">
            <v>1</v>
          </cell>
        </row>
        <row r="216">
          <cell r="C216">
            <v>2034</v>
          </cell>
          <cell r="G216">
            <v>0</v>
          </cell>
          <cell r="H216">
            <v>0</v>
          </cell>
          <cell r="L216">
            <v>2034</v>
          </cell>
          <cell r="M216">
            <v>0.7</v>
          </cell>
          <cell r="O216">
            <v>2034</v>
          </cell>
          <cell r="P216">
            <v>1</v>
          </cell>
        </row>
        <row r="217">
          <cell r="C217">
            <v>2035</v>
          </cell>
          <cell r="G217">
            <v>0</v>
          </cell>
          <cell r="H217">
            <v>0</v>
          </cell>
          <cell r="L217">
            <v>2035</v>
          </cell>
          <cell r="M217">
            <v>0.7</v>
          </cell>
          <cell r="O217">
            <v>2035</v>
          </cell>
          <cell r="P217">
            <v>1</v>
          </cell>
        </row>
        <row r="218">
          <cell r="C218">
            <v>2036</v>
          </cell>
          <cell r="G218">
            <v>0</v>
          </cell>
          <cell r="H218">
            <v>0</v>
          </cell>
          <cell r="L218">
            <v>2036</v>
          </cell>
          <cell r="M218">
            <v>0.7</v>
          </cell>
          <cell r="O218">
            <v>2036</v>
          </cell>
          <cell r="P218">
            <v>1</v>
          </cell>
        </row>
        <row r="219">
          <cell r="C219">
            <v>2037</v>
          </cell>
          <cell r="G219">
            <v>0</v>
          </cell>
          <cell r="H219">
            <v>0</v>
          </cell>
          <cell r="L219">
            <v>2037</v>
          </cell>
          <cell r="M219">
            <v>0.7</v>
          </cell>
          <cell r="O219">
            <v>2037</v>
          </cell>
          <cell r="P219">
            <v>1</v>
          </cell>
        </row>
        <row r="220">
          <cell r="C220">
            <v>2038</v>
          </cell>
          <cell r="G220">
            <v>0</v>
          </cell>
          <cell r="H220">
            <v>0</v>
          </cell>
          <cell r="L220">
            <v>2038</v>
          </cell>
          <cell r="M220">
            <v>0.7</v>
          </cell>
          <cell r="O220">
            <v>2038</v>
          </cell>
          <cell r="P220">
            <v>1</v>
          </cell>
        </row>
        <row r="221">
          <cell r="C221">
            <v>2039</v>
          </cell>
          <cell r="G221">
            <v>0</v>
          </cell>
          <cell r="H221">
            <v>0</v>
          </cell>
          <cell r="L221">
            <v>2039</v>
          </cell>
          <cell r="M221">
            <v>0.7</v>
          </cell>
          <cell r="O221">
            <v>2039</v>
          </cell>
          <cell r="P221">
            <v>1</v>
          </cell>
        </row>
        <row r="222">
          <cell r="C222">
            <v>2040</v>
          </cell>
          <cell r="G222">
            <v>0</v>
          </cell>
          <cell r="H222">
            <v>0</v>
          </cell>
          <cell r="L222">
            <v>2040</v>
          </cell>
          <cell r="M222">
            <v>0.7</v>
          </cell>
          <cell r="O222">
            <v>2040</v>
          </cell>
          <cell r="P222">
            <v>1</v>
          </cell>
        </row>
        <row r="223">
          <cell r="C223">
            <v>2041</v>
          </cell>
          <cell r="G223">
            <v>0</v>
          </cell>
          <cell r="H223">
            <v>0</v>
          </cell>
          <cell r="L223">
            <v>2041</v>
          </cell>
          <cell r="M223">
            <v>0.7</v>
          </cell>
          <cell r="O223">
            <v>2041</v>
          </cell>
          <cell r="P223">
            <v>1</v>
          </cell>
        </row>
        <row r="224">
          <cell r="C224">
            <v>2042</v>
          </cell>
          <cell r="G224">
            <v>0</v>
          </cell>
          <cell r="H224">
            <v>0</v>
          </cell>
          <cell r="L224">
            <v>2042</v>
          </cell>
          <cell r="M224">
            <v>0.7</v>
          </cell>
          <cell r="O224">
            <v>2042</v>
          </cell>
          <cell r="P224">
            <v>1</v>
          </cell>
        </row>
        <row r="225">
          <cell r="C225">
            <v>2043</v>
          </cell>
          <cell r="G225">
            <v>0</v>
          </cell>
          <cell r="H225">
            <v>0</v>
          </cell>
          <cell r="L225">
            <v>2043</v>
          </cell>
          <cell r="M225">
            <v>0.7</v>
          </cell>
          <cell r="O225">
            <v>2043</v>
          </cell>
          <cell r="P225">
            <v>1</v>
          </cell>
        </row>
        <row r="226">
          <cell r="C226">
            <v>2044</v>
          </cell>
          <cell r="G226">
            <v>0</v>
          </cell>
          <cell r="H226">
            <v>0</v>
          </cell>
          <cell r="L226">
            <v>2044</v>
          </cell>
          <cell r="M226">
            <v>0.7</v>
          </cell>
          <cell r="O226">
            <v>2044</v>
          </cell>
          <cell r="P226">
            <v>1</v>
          </cell>
        </row>
        <row r="227">
          <cell r="C227">
            <v>2045</v>
          </cell>
          <cell r="G227">
            <v>0</v>
          </cell>
          <cell r="H227">
            <v>0</v>
          </cell>
          <cell r="L227">
            <v>2045</v>
          </cell>
          <cell r="M227">
            <v>0.7</v>
          </cell>
          <cell r="O227">
            <v>2045</v>
          </cell>
          <cell r="P227">
            <v>1</v>
          </cell>
        </row>
        <row r="228">
          <cell r="C228">
            <v>2046</v>
          </cell>
          <cell r="G228">
            <v>0</v>
          </cell>
          <cell r="H228">
            <v>0</v>
          </cell>
          <cell r="L228">
            <v>2046</v>
          </cell>
          <cell r="M228">
            <v>0.7</v>
          </cell>
          <cell r="O228">
            <v>2046</v>
          </cell>
          <cell r="P228">
            <v>1</v>
          </cell>
        </row>
        <row r="229">
          <cell r="C229">
            <v>2047</v>
          </cell>
          <cell r="G229">
            <v>0</v>
          </cell>
          <cell r="H229">
            <v>0</v>
          </cell>
          <cell r="L229">
            <v>2047</v>
          </cell>
          <cell r="M229">
            <v>0.7</v>
          </cell>
          <cell r="O229">
            <v>2047</v>
          </cell>
          <cell r="P229">
            <v>1</v>
          </cell>
        </row>
        <row r="230">
          <cell r="C230">
            <v>2048</v>
          </cell>
          <cell r="G230">
            <v>0</v>
          </cell>
          <cell r="H230">
            <v>0</v>
          </cell>
          <cell r="L230">
            <v>2048</v>
          </cell>
          <cell r="M230">
            <v>0.7</v>
          </cell>
          <cell r="O230">
            <v>2048</v>
          </cell>
          <cell r="P230">
            <v>1</v>
          </cell>
        </row>
        <row r="231">
          <cell r="C231">
            <v>2049</v>
          </cell>
          <cell r="G231">
            <v>0</v>
          </cell>
          <cell r="H231">
            <v>0</v>
          </cell>
          <cell r="L231">
            <v>2049</v>
          </cell>
          <cell r="M231">
            <v>0.7</v>
          </cell>
          <cell r="O231">
            <v>2049</v>
          </cell>
          <cell r="P231">
            <v>1</v>
          </cell>
        </row>
        <row r="232">
          <cell r="C232">
            <v>2050</v>
          </cell>
          <cell r="G232">
            <v>0</v>
          </cell>
          <cell r="H232">
            <v>0</v>
          </cell>
          <cell r="L232">
            <v>2050</v>
          </cell>
          <cell r="M232">
            <v>0.7</v>
          </cell>
          <cell r="O232">
            <v>2050</v>
          </cell>
          <cell r="P232">
            <v>1</v>
          </cell>
        </row>
        <row r="234">
          <cell r="L234" t="str">
            <v>Power Gen</v>
          </cell>
          <cell r="O234" t="str">
            <v>Loadshedding</v>
          </cell>
        </row>
        <row r="235">
          <cell r="L235" t="str">
            <v>OCGT Capacity Factor (%)</v>
          </cell>
          <cell r="O235" t="str">
            <v>Energy Gap Results, GWh</v>
          </cell>
        </row>
        <row r="236">
          <cell r="L236" t="str">
            <v>Year</v>
          </cell>
          <cell r="M236" t="str">
            <v>High EAF</v>
          </cell>
          <cell r="O236" t="str">
            <v>Year</v>
          </cell>
          <cell r="P236" t="str">
            <v>High EAF</v>
          </cell>
        </row>
        <row r="237">
          <cell r="L237">
            <v>2024</v>
          </cell>
          <cell r="M237">
            <v>0.02</v>
          </cell>
          <cell r="O237">
            <v>2024</v>
          </cell>
          <cell r="P237">
            <v>34</v>
          </cell>
        </row>
        <row r="238">
          <cell r="C238" t="str">
            <v>Year</v>
          </cell>
          <cell r="D238" t="str">
            <v>RSA Demand Vol</v>
          </cell>
          <cell r="E238" t="str">
            <v xml:space="preserve"> Specified Market Vol</v>
          </cell>
          <cell r="F238" t="str">
            <v>Trucks (HGVs)</v>
          </cell>
          <cell r="L238">
            <v>2025</v>
          </cell>
          <cell r="M238">
            <v>0.01</v>
          </cell>
          <cell r="O238">
            <v>2025</v>
          </cell>
          <cell r="P238">
            <v>25</v>
          </cell>
        </row>
        <row r="239">
          <cell r="C239">
            <v>2010</v>
          </cell>
          <cell r="D239">
            <v>1923070.9</v>
          </cell>
          <cell r="E239">
            <v>1456111.4500000002</v>
          </cell>
          <cell r="F239">
            <v>257622</v>
          </cell>
          <cell r="L239">
            <v>2026</v>
          </cell>
          <cell r="M239">
            <v>0.02</v>
          </cell>
          <cell r="O239">
            <v>2026</v>
          </cell>
          <cell r="P239">
            <v>84</v>
          </cell>
        </row>
        <row r="240">
          <cell r="C240">
            <v>2011</v>
          </cell>
          <cell r="D240">
            <v>1990199.9999999998</v>
          </cell>
          <cell r="E240">
            <v>1513803.7</v>
          </cell>
          <cell r="F240">
            <v>265405</v>
          </cell>
          <cell r="L240">
            <v>2027</v>
          </cell>
          <cell r="M240">
            <v>0.03</v>
          </cell>
          <cell r="O240">
            <v>2027</v>
          </cell>
          <cell r="P240">
            <v>235</v>
          </cell>
        </row>
        <row r="241">
          <cell r="C241">
            <v>2012</v>
          </cell>
          <cell r="D241">
            <v>2062221.7250000001</v>
          </cell>
          <cell r="E241">
            <v>1573520.4</v>
          </cell>
          <cell r="F241">
            <v>273220</v>
          </cell>
          <cell r="L241">
            <v>2028</v>
          </cell>
          <cell r="M241">
            <v>0.04</v>
          </cell>
          <cell r="O241">
            <v>2028</v>
          </cell>
          <cell r="P241">
            <v>323</v>
          </cell>
        </row>
        <row r="242">
          <cell r="C242">
            <v>2013</v>
          </cell>
          <cell r="D242">
            <v>2132132.5499999998</v>
          </cell>
          <cell r="E242">
            <v>1632529.2999999998</v>
          </cell>
          <cell r="F242">
            <v>280880</v>
          </cell>
          <cell r="L242">
            <v>2029</v>
          </cell>
          <cell r="M242">
            <v>0.04</v>
          </cell>
          <cell r="O242">
            <v>2029</v>
          </cell>
          <cell r="P242">
            <v>323</v>
          </cell>
        </row>
        <row r="243">
          <cell r="C243">
            <v>2014</v>
          </cell>
          <cell r="D243">
            <v>2201490.1250000005</v>
          </cell>
          <cell r="E243">
            <v>1687509.2750000004</v>
          </cell>
          <cell r="F243">
            <v>288262</v>
          </cell>
          <cell r="L243">
            <v>2030</v>
          </cell>
          <cell r="M243">
            <v>0.04</v>
          </cell>
          <cell r="O243">
            <v>2030</v>
          </cell>
          <cell r="P243">
            <v>323</v>
          </cell>
        </row>
        <row r="244">
          <cell r="C244">
            <v>2015</v>
          </cell>
          <cell r="D244">
            <v>2222399</v>
          </cell>
          <cell r="E244">
            <v>1685294</v>
          </cell>
          <cell r="F244">
            <v>293088</v>
          </cell>
          <cell r="L244">
            <v>2031</v>
          </cell>
          <cell r="M244">
            <v>0.04</v>
          </cell>
          <cell r="O244">
            <v>2031</v>
          </cell>
          <cell r="P244">
            <v>323</v>
          </cell>
        </row>
        <row r="245">
          <cell r="C245">
            <v>2016</v>
          </cell>
          <cell r="D245">
            <v>2357700</v>
          </cell>
          <cell r="E245">
            <v>1781777</v>
          </cell>
          <cell r="F245">
            <v>295995</v>
          </cell>
          <cell r="L245">
            <v>2032</v>
          </cell>
          <cell r="M245">
            <v>0.04</v>
          </cell>
          <cell r="O245">
            <v>2032</v>
          </cell>
          <cell r="P245">
            <v>323</v>
          </cell>
        </row>
        <row r="246">
          <cell r="C246">
            <v>2017</v>
          </cell>
          <cell r="D246">
            <v>2400630</v>
          </cell>
          <cell r="E246">
            <v>1813227</v>
          </cell>
          <cell r="F246">
            <v>296241</v>
          </cell>
          <cell r="L246">
            <v>2033</v>
          </cell>
          <cell r="M246">
            <v>0.04</v>
          </cell>
          <cell r="O246">
            <v>2033</v>
          </cell>
          <cell r="P246">
            <v>323</v>
          </cell>
        </row>
        <row r="247">
          <cell r="C247">
            <v>2018</v>
          </cell>
          <cell r="D247">
            <v>2424097.6749999998</v>
          </cell>
          <cell r="E247">
            <v>1854946.075</v>
          </cell>
          <cell r="F247">
            <v>300880</v>
          </cell>
          <cell r="L247">
            <v>2034</v>
          </cell>
          <cell r="M247">
            <v>0.04</v>
          </cell>
          <cell r="O247">
            <v>2034</v>
          </cell>
          <cell r="P247">
            <v>323</v>
          </cell>
        </row>
        <row r="248">
          <cell r="C248">
            <v>2019</v>
          </cell>
          <cell r="D248">
            <v>2468511.75</v>
          </cell>
          <cell r="E248">
            <v>1888297.75</v>
          </cell>
          <cell r="F248">
            <v>302580</v>
          </cell>
          <cell r="L248">
            <v>2035</v>
          </cell>
          <cell r="M248">
            <v>0.04</v>
          </cell>
          <cell r="O248">
            <v>2035</v>
          </cell>
          <cell r="P248">
            <v>323</v>
          </cell>
        </row>
        <row r="249">
          <cell r="C249">
            <v>2020</v>
          </cell>
          <cell r="D249">
            <v>2470356.7750000004</v>
          </cell>
          <cell r="E249">
            <v>1890171.35</v>
          </cell>
          <cell r="F249">
            <v>300071</v>
          </cell>
          <cell r="L249">
            <v>2036</v>
          </cell>
          <cell r="M249">
            <v>0.04</v>
          </cell>
          <cell r="O249">
            <v>2036</v>
          </cell>
          <cell r="P249">
            <v>323</v>
          </cell>
        </row>
        <row r="250">
          <cell r="C250">
            <v>2021</v>
          </cell>
          <cell r="D250">
            <v>2523720.3500000006</v>
          </cell>
          <cell r="E250">
            <v>1934731.8500000003</v>
          </cell>
          <cell r="F250">
            <v>309916</v>
          </cell>
          <cell r="L250">
            <v>2037</v>
          </cell>
          <cell r="M250">
            <v>0.04</v>
          </cell>
          <cell r="O250">
            <v>2037</v>
          </cell>
          <cell r="P250">
            <v>323</v>
          </cell>
        </row>
        <row r="251">
          <cell r="C251">
            <v>2022</v>
          </cell>
          <cell r="D251">
            <v>2743752.5750000002</v>
          </cell>
          <cell r="E251">
            <v>2158152.9500000002</v>
          </cell>
          <cell r="F251">
            <v>307233</v>
          </cell>
          <cell r="L251">
            <v>2038</v>
          </cell>
          <cell r="M251">
            <v>0.04</v>
          </cell>
          <cell r="O251">
            <v>2038</v>
          </cell>
          <cell r="P251">
            <v>323</v>
          </cell>
        </row>
        <row r="252">
          <cell r="C252">
            <v>2023</v>
          </cell>
          <cell r="D252">
            <v>3335546</v>
          </cell>
          <cell r="E252">
            <v>2732347</v>
          </cell>
          <cell r="F252">
            <v>392349</v>
          </cell>
          <cell r="L252">
            <v>2039</v>
          </cell>
          <cell r="M252">
            <v>0.04</v>
          </cell>
          <cell r="O252">
            <v>2039</v>
          </cell>
          <cell r="P252">
            <v>323</v>
          </cell>
        </row>
        <row r="253">
          <cell r="C253">
            <v>2024</v>
          </cell>
          <cell r="L253">
            <v>2040</v>
          </cell>
          <cell r="M253">
            <v>0.04</v>
          </cell>
          <cell r="O253">
            <v>2040</v>
          </cell>
          <cell r="P253">
            <v>323</v>
          </cell>
        </row>
        <row r="254">
          <cell r="C254">
            <v>2025</v>
          </cell>
          <cell r="L254">
            <v>2041</v>
          </cell>
          <cell r="M254">
            <v>0.04</v>
          </cell>
          <cell r="O254">
            <v>2041</v>
          </cell>
          <cell r="P254">
            <v>323</v>
          </cell>
        </row>
        <row r="255">
          <cell r="C255">
            <v>2026</v>
          </cell>
          <cell r="L255">
            <v>2042</v>
          </cell>
          <cell r="M255">
            <v>0.04</v>
          </cell>
          <cell r="O255">
            <v>2042</v>
          </cell>
          <cell r="P255">
            <v>323</v>
          </cell>
        </row>
        <row r="256">
          <cell r="C256">
            <v>2027</v>
          </cell>
          <cell r="L256">
            <v>2043</v>
          </cell>
          <cell r="M256">
            <v>0.04</v>
          </cell>
          <cell r="O256">
            <v>2043</v>
          </cell>
          <cell r="P256">
            <v>323</v>
          </cell>
        </row>
        <row r="257">
          <cell r="C257">
            <v>2028</v>
          </cell>
          <cell r="L257">
            <v>2044</v>
          </cell>
          <cell r="M257">
            <v>0.04</v>
          </cell>
          <cell r="O257">
            <v>2044</v>
          </cell>
          <cell r="P257">
            <v>323</v>
          </cell>
        </row>
        <row r="258">
          <cell r="C258">
            <v>2029</v>
          </cell>
          <cell r="L258">
            <v>2045</v>
          </cell>
          <cell r="M258">
            <v>0.04</v>
          </cell>
          <cell r="O258">
            <v>2045</v>
          </cell>
          <cell r="P258">
            <v>323</v>
          </cell>
        </row>
        <row r="259">
          <cell r="C259">
            <v>2030</v>
          </cell>
          <cell r="L259">
            <v>2046</v>
          </cell>
          <cell r="M259">
            <v>0.04</v>
          </cell>
          <cell r="O259">
            <v>2046</v>
          </cell>
          <cell r="P259">
            <v>323</v>
          </cell>
        </row>
        <row r="260">
          <cell r="C260">
            <v>2031</v>
          </cell>
          <cell r="L260">
            <v>2047</v>
          </cell>
          <cell r="M260">
            <v>0.04</v>
          </cell>
          <cell r="O260">
            <v>2047</v>
          </cell>
          <cell r="P260">
            <v>323</v>
          </cell>
        </row>
        <row r="261">
          <cell r="C261">
            <v>2032</v>
          </cell>
          <cell r="L261">
            <v>2048</v>
          </cell>
          <cell r="M261">
            <v>0.04</v>
          </cell>
          <cell r="O261">
            <v>2048</v>
          </cell>
          <cell r="P261">
            <v>323</v>
          </cell>
        </row>
        <row r="262">
          <cell r="C262">
            <v>2033</v>
          </cell>
          <cell r="L262">
            <v>2049</v>
          </cell>
          <cell r="M262">
            <v>0.04</v>
          </cell>
          <cell r="O262">
            <v>2049</v>
          </cell>
          <cell r="P262">
            <v>323</v>
          </cell>
        </row>
        <row r="263">
          <cell r="C263">
            <v>2034</v>
          </cell>
          <cell r="L263">
            <v>2050</v>
          </cell>
          <cell r="M263">
            <v>0.04</v>
          </cell>
          <cell r="O263">
            <v>2050</v>
          </cell>
          <cell r="P263">
            <v>323</v>
          </cell>
        </row>
        <row r="264">
          <cell r="C264">
            <v>2035</v>
          </cell>
        </row>
        <row r="265">
          <cell r="C265">
            <v>2036</v>
          </cell>
        </row>
        <row r="266">
          <cell r="C266">
            <v>2037</v>
          </cell>
          <cell r="L266" t="str">
            <v>Year</v>
          </cell>
          <cell r="M266" t="str">
            <v>Low EAF</v>
          </cell>
          <cell r="O266" t="str">
            <v>Year</v>
          </cell>
          <cell r="P266" t="str">
            <v>Low EAF</v>
          </cell>
        </row>
        <row r="267">
          <cell r="C267">
            <v>2038</v>
          </cell>
          <cell r="L267">
            <v>2024</v>
          </cell>
          <cell r="M267">
            <v>0.64</v>
          </cell>
          <cell r="O267">
            <v>2024</v>
          </cell>
          <cell r="P267">
            <v>31578</v>
          </cell>
        </row>
        <row r="268">
          <cell r="C268">
            <v>2039</v>
          </cell>
          <cell r="L268">
            <v>2025</v>
          </cell>
          <cell r="M268">
            <v>0.61</v>
          </cell>
          <cell r="O268">
            <v>2025</v>
          </cell>
          <cell r="P268">
            <v>29341</v>
          </cell>
        </row>
        <row r="269">
          <cell r="C269">
            <v>2040</v>
          </cell>
          <cell r="L269">
            <v>2026</v>
          </cell>
          <cell r="M269">
            <v>0.7</v>
          </cell>
          <cell r="O269">
            <v>2026</v>
          </cell>
          <cell r="P269">
            <v>39587</v>
          </cell>
        </row>
        <row r="270">
          <cell r="C270">
            <v>2041</v>
          </cell>
          <cell r="L270">
            <v>2027</v>
          </cell>
          <cell r="M270">
            <v>0.71</v>
          </cell>
          <cell r="O270">
            <v>2027</v>
          </cell>
          <cell r="P270">
            <v>41103</v>
          </cell>
        </row>
        <row r="271">
          <cell r="C271">
            <v>2042</v>
          </cell>
          <cell r="L271">
            <v>2028</v>
          </cell>
          <cell r="M271">
            <v>0.7</v>
          </cell>
          <cell r="O271">
            <v>2028</v>
          </cell>
          <cell r="P271">
            <v>40743</v>
          </cell>
        </row>
        <row r="272">
          <cell r="C272">
            <v>2043</v>
          </cell>
          <cell r="L272">
            <v>2029</v>
          </cell>
          <cell r="M272">
            <v>0.7</v>
          </cell>
          <cell r="O272">
            <v>2029</v>
          </cell>
          <cell r="P272">
            <v>40743</v>
          </cell>
        </row>
        <row r="273">
          <cell r="C273">
            <v>2044</v>
          </cell>
          <cell r="L273">
            <v>2030</v>
          </cell>
          <cell r="M273">
            <v>0.7</v>
          </cell>
          <cell r="O273">
            <v>2030</v>
          </cell>
          <cell r="P273">
            <v>40743</v>
          </cell>
        </row>
        <row r="274">
          <cell r="C274">
            <v>2045</v>
          </cell>
          <cell r="L274">
            <v>2031</v>
          </cell>
          <cell r="M274">
            <v>0.7</v>
          </cell>
          <cell r="O274">
            <v>2031</v>
          </cell>
          <cell r="P274">
            <v>40743</v>
          </cell>
        </row>
        <row r="275">
          <cell r="C275">
            <v>2046</v>
          </cell>
          <cell r="L275">
            <v>2032</v>
          </cell>
          <cell r="M275">
            <v>0.7</v>
          </cell>
          <cell r="O275">
            <v>2032</v>
          </cell>
          <cell r="P275">
            <v>40743</v>
          </cell>
        </row>
        <row r="276">
          <cell r="C276">
            <v>2047</v>
          </cell>
          <cell r="L276">
            <v>2033</v>
          </cell>
          <cell r="M276">
            <v>0.7</v>
          </cell>
          <cell r="O276">
            <v>2033</v>
          </cell>
          <cell r="P276">
            <v>40743</v>
          </cell>
        </row>
        <row r="277">
          <cell r="C277">
            <v>2048</v>
          </cell>
          <cell r="L277">
            <v>2034</v>
          </cell>
          <cell r="M277">
            <v>0.7</v>
          </cell>
          <cell r="O277">
            <v>2034</v>
          </cell>
          <cell r="P277">
            <v>40743</v>
          </cell>
        </row>
        <row r="278">
          <cell r="C278">
            <v>2049</v>
          </cell>
          <cell r="L278">
            <v>2035</v>
          </cell>
          <cell r="M278">
            <v>0.7</v>
          </cell>
          <cell r="O278">
            <v>2035</v>
          </cell>
          <cell r="P278">
            <v>40743</v>
          </cell>
        </row>
        <row r="279">
          <cell r="C279">
            <v>2050</v>
          </cell>
          <cell r="L279">
            <v>2036</v>
          </cell>
          <cell r="M279">
            <v>0.7</v>
          </cell>
          <cell r="O279">
            <v>2036</v>
          </cell>
          <cell r="P279">
            <v>40743</v>
          </cell>
        </row>
        <row r="280">
          <cell r="L280">
            <v>2037</v>
          </cell>
          <cell r="M280">
            <v>0.7</v>
          </cell>
          <cell r="O280">
            <v>2037</v>
          </cell>
          <cell r="P280">
            <v>40743</v>
          </cell>
        </row>
        <row r="281">
          <cell r="L281">
            <v>2038</v>
          </cell>
          <cell r="M281">
            <v>0.7</v>
          </cell>
          <cell r="O281">
            <v>2038</v>
          </cell>
          <cell r="P281">
            <v>40743</v>
          </cell>
        </row>
        <row r="282">
          <cell r="L282">
            <v>2039</v>
          </cell>
          <cell r="M282">
            <v>0.7</v>
          </cell>
          <cell r="O282">
            <v>2039</v>
          </cell>
          <cell r="P282">
            <v>40743</v>
          </cell>
        </row>
        <row r="283">
          <cell r="C283" t="str">
            <v>Electric Vehicle Sales</v>
          </cell>
          <cell r="L283">
            <v>2040</v>
          </cell>
          <cell r="M283">
            <v>0.7</v>
          </cell>
          <cell r="O283">
            <v>2040</v>
          </cell>
          <cell r="P283">
            <v>40743</v>
          </cell>
        </row>
        <row r="284">
          <cell r="L284">
            <v>2041</v>
          </cell>
          <cell r="M284">
            <v>0.7</v>
          </cell>
          <cell r="O284">
            <v>2041</v>
          </cell>
          <cell r="P284">
            <v>40743</v>
          </cell>
        </row>
        <row r="285">
          <cell r="L285">
            <v>2042</v>
          </cell>
          <cell r="M285">
            <v>0.7</v>
          </cell>
          <cell r="O285">
            <v>2042</v>
          </cell>
          <cell r="P285">
            <v>40743</v>
          </cell>
        </row>
        <row r="286">
          <cell r="C286" t="str">
            <v>Asseumption</v>
          </cell>
          <cell r="D286" t="str">
            <v>EV Low Penetration</v>
          </cell>
          <cell r="E286" t="str">
            <v>EV High Penetration</v>
          </cell>
          <cell r="L286">
            <v>2043</v>
          </cell>
          <cell r="M286">
            <v>0.7</v>
          </cell>
          <cell r="O286">
            <v>2043</v>
          </cell>
          <cell r="P286">
            <v>40743</v>
          </cell>
        </row>
        <row r="287">
          <cell r="C287" t="str">
            <v>Penetration -&gt;</v>
          </cell>
          <cell r="D287">
            <v>0.3</v>
          </cell>
          <cell r="E287">
            <v>0.9</v>
          </cell>
          <cell r="L287">
            <v>2044</v>
          </cell>
          <cell r="M287">
            <v>0.7</v>
          </cell>
          <cell r="O287">
            <v>2044</v>
          </cell>
          <cell r="P287">
            <v>40743</v>
          </cell>
        </row>
        <row r="288">
          <cell r="C288" t="str">
            <v>Half value -&gt;</v>
          </cell>
          <cell r="D288">
            <v>2040</v>
          </cell>
          <cell r="E288">
            <v>2036</v>
          </cell>
          <cell r="L288">
            <v>2045</v>
          </cell>
          <cell r="M288">
            <v>0.7</v>
          </cell>
          <cell r="O288">
            <v>2045</v>
          </cell>
          <cell r="P288">
            <v>40743</v>
          </cell>
        </row>
        <row r="289">
          <cell r="C289" t="str">
            <v>Slope -&gt;</v>
          </cell>
          <cell r="D289">
            <v>3</v>
          </cell>
          <cell r="E289">
            <v>2</v>
          </cell>
          <cell r="L289">
            <v>2046</v>
          </cell>
          <cell r="M289">
            <v>0.7</v>
          </cell>
          <cell r="O289">
            <v>2046</v>
          </cell>
          <cell r="P289">
            <v>40743</v>
          </cell>
        </row>
        <row r="290">
          <cell r="L290">
            <v>2047</v>
          </cell>
          <cell r="M290">
            <v>0.7</v>
          </cell>
          <cell r="O290">
            <v>2047</v>
          </cell>
          <cell r="P290">
            <v>40743</v>
          </cell>
        </row>
        <row r="291">
          <cell r="L291">
            <v>2048</v>
          </cell>
          <cell r="M291">
            <v>0.7</v>
          </cell>
          <cell r="O291">
            <v>2048</v>
          </cell>
          <cell r="P291">
            <v>40743</v>
          </cell>
        </row>
        <row r="292">
          <cell r="L292">
            <v>2049</v>
          </cell>
          <cell r="M292">
            <v>0.7</v>
          </cell>
          <cell r="O292">
            <v>2049</v>
          </cell>
          <cell r="P292">
            <v>40743</v>
          </cell>
        </row>
        <row r="293">
          <cell r="L293">
            <v>2050</v>
          </cell>
          <cell r="M293">
            <v>0.7</v>
          </cell>
          <cell r="O293">
            <v>2050</v>
          </cell>
          <cell r="P293">
            <v>40743</v>
          </cell>
        </row>
        <row r="297">
          <cell r="L297" t="str">
            <v>Source:</v>
          </cell>
          <cell r="M297" t="str">
            <v>Stats SA Land Transport Survey</v>
          </cell>
        </row>
        <row r="299">
          <cell r="L299" t="str">
            <v>Year</v>
          </cell>
          <cell r="M299" t="str">
            <v>Payload for freight transportation (tons)</v>
          </cell>
          <cell r="N299" t="str">
            <v>Payload for Road (tons)</v>
          </cell>
        </row>
        <row r="300">
          <cell r="L300">
            <v>2008</v>
          </cell>
          <cell r="M300">
            <v>725799000</v>
          </cell>
          <cell r="N300">
            <v>545824000</v>
          </cell>
        </row>
        <row r="301">
          <cell r="L301">
            <v>2009</v>
          </cell>
          <cell r="M301">
            <v>666873000</v>
          </cell>
          <cell r="N301">
            <v>486528000</v>
          </cell>
        </row>
        <row r="302">
          <cell r="L302">
            <v>2010</v>
          </cell>
          <cell r="M302">
            <v>698802000</v>
          </cell>
          <cell r="N302">
            <v>516022000</v>
          </cell>
        </row>
        <row r="303">
          <cell r="L303">
            <v>2011</v>
          </cell>
          <cell r="M303">
            <v>754153000</v>
          </cell>
          <cell r="N303">
            <v>558637000</v>
          </cell>
        </row>
        <row r="304">
          <cell r="L304">
            <v>2012</v>
          </cell>
          <cell r="M304">
            <v>766291000</v>
          </cell>
          <cell r="N304">
            <v>559027000</v>
          </cell>
        </row>
        <row r="305">
          <cell r="L305">
            <v>2013</v>
          </cell>
          <cell r="M305">
            <v>781418000</v>
          </cell>
          <cell r="N305">
            <v>568128000</v>
          </cell>
        </row>
        <row r="306">
          <cell r="L306">
            <v>2014</v>
          </cell>
          <cell r="M306">
            <v>830645000</v>
          </cell>
          <cell r="N306">
            <v>608701000</v>
          </cell>
        </row>
        <row r="307">
          <cell r="L307">
            <v>2015</v>
          </cell>
          <cell r="M307">
            <v>805722000</v>
          </cell>
          <cell r="N307">
            <v>584740000</v>
          </cell>
        </row>
        <row r="308">
          <cell r="L308">
            <v>2016</v>
          </cell>
          <cell r="M308">
            <v>823300000</v>
          </cell>
          <cell r="N308">
            <v>606365000</v>
          </cell>
        </row>
        <row r="309">
          <cell r="L309">
            <v>2017</v>
          </cell>
          <cell r="M309">
            <v>895150000</v>
          </cell>
          <cell r="N309">
            <v>667908000</v>
          </cell>
        </row>
        <row r="310">
          <cell r="L310">
            <v>2018</v>
          </cell>
          <cell r="M310">
            <v>946454000</v>
          </cell>
          <cell r="N310">
            <v>727979000</v>
          </cell>
        </row>
        <row r="311">
          <cell r="L311">
            <v>2019</v>
          </cell>
          <cell r="M311">
            <v>923684000</v>
          </cell>
          <cell r="N311">
            <v>707740000</v>
          </cell>
        </row>
        <row r="312">
          <cell r="L312">
            <v>2020</v>
          </cell>
          <cell r="M312">
            <v>815622000</v>
          </cell>
          <cell r="N312">
            <v>623654000</v>
          </cell>
        </row>
        <row r="313">
          <cell r="L313">
            <v>2021</v>
          </cell>
          <cell r="M313">
            <v>852442000</v>
          </cell>
          <cell r="N313">
            <v>674535000</v>
          </cell>
        </row>
        <row r="314">
          <cell r="L314">
            <v>2022</v>
          </cell>
          <cell r="M314">
            <v>993897000</v>
          </cell>
          <cell r="N314">
            <v>839218000</v>
          </cell>
        </row>
        <row r="315">
          <cell r="L315">
            <v>2023</v>
          </cell>
          <cell r="M315">
            <v>989792000</v>
          </cell>
          <cell r="N315">
            <v>837112000</v>
          </cell>
        </row>
        <row r="316">
          <cell r="L316">
            <v>2024</v>
          </cell>
        </row>
        <row r="317">
          <cell r="L317">
            <v>2025</v>
          </cell>
        </row>
        <row r="318">
          <cell r="L318">
            <v>2026</v>
          </cell>
        </row>
        <row r="319">
          <cell r="L319">
            <v>2027</v>
          </cell>
        </row>
        <row r="320">
          <cell r="L320">
            <v>2028</v>
          </cell>
        </row>
        <row r="321">
          <cell r="L321">
            <v>2029</v>
          </cell>
        </row>
        <row r="322">
          <cell r="L322">
            <v>2030</v>
          </cell>
        </row>
        <row r="323">
          <cell r="L323">
            <v>2031</v>
          </cell>
        </row>
        <row r="324">
          <cell r="L324">
            <v>2032</v>
          </cell>
        </row>
        <row r="325">
          <cell r="L325">
            <v>2033</v>
          </cell>
        </row>
        <row r="326">
          <cell r="L326">
            <v>2034</v>
          </cell>
        </row>
        <row r="327">
          <cell r="L327">
            <v>2035</v>
          </cell>
        </row>
        <row r="328">
          <cell r="L328">
            <v>2036</v>
          </cell>
        </row>
        <row r="329">
          <cell r="L329">
            <v>2037</v>
          </cell>
        </row>
        <row r="330">
          <cell r="L330">
            <v>2038</v>
          </cell>
        </row>
        <row r="331">
          <cell r="L331">
            <v>2039</v>
          </cell>
        </row>
        <row r="332">
          <cell r="L332">
            <v>2040</v>
          </cell>
        </row>
        <row r="333">
          <cell r="L333">
            <v>2041</v>
          </cell>
        </row>
        <row r="334">
          <cell r="L334">
            <v>2042</v>
          </cell>
        </row>
        <row r="335">
          <cell r="L335">
            <v>2043</v>
          </cell>
        </row>
        <row r="336">
          <cell r="L336">
            <v>2044</v>
          </cell>
        </row>
        <row r="337">
          <cell r="L337">
            <v>2045</v>
          </cell>
        </row>
        <row r="338">
          <cell r="L338">
            <v>2046</v>
          </cell>
        </row>
        <row r="339">
          <cell r="L339">
            <v>2047</v>
          </cell>
        </row>
        <row r="340">
          <cell r="L340">
            <v>2048</v>
          </cell>
        </row>
        <row r="341">
          <cell r="L341">
            <v>2049</v>
          </cell>
        </row>
        <row r="342">
          <cell r="L342">
            <v>2050</v>
          </cell>
        </row>
        <row r="346">
          <cell r="L346" t="str">
            <v>Source:</v>
          </cell>
          <cell r="M346" t="str">
            <v>https://data.oecd.org/price/inflation-cpi.htm</v>
          </cell>
        </row>
        <row r="347">
          <cell r="L347" t="str">
            <v>Source:</v>
          </cell>
          <cell r="M347" t="str">
            <v>AA – Fuel Pricing</v>
          </cell>
        </row>
        <row r="349">
          <cell r="L349" t="str">
            <v>Year</v>
          </cell>
          <cell r="M349" t="str">
            <v>Annual avg</v>
          </cell>
          <cell r="N349" t="str">
            <v>CPI index (2015 base)</v>
          </cell>
          <cell r="O349" t="str">
            <v>ULP (constant 2015)</v>
          </cell>
        </row>
        <row r="350">
          <cell r="L350">
            <v>2008</v>
          </cell>
          <cell r="M350">
            <v>8.8933333333333309</v>
          </cell>
          <cell r="N350">
            <v>0.64839110099925001</v>
          </cell>
          <cell r="O350">
            <v>13.716001529983394</v>
          </cell>
        </row>
        <row r="351">
          <cell r="L351">
            <v>2009</v>
          </cell>
          <cell r="M351">
            <v>7.2799999999999985</v>
          </cell>
          <cell r="N351">
            <v>0.71962334735502809</v>
          </cell>
          <cell r="O351">
            <v>10.11640329174644</v>
          </cell>
        </row>
        <row r="352">
          <cell r="L352">
            <v>2010</v>
          </cell>
          <cell r="M352">
            <v>8.1474999999999991</v>
          </cell>
          <cell r="N352">
            <v>0.7708677259201796</v>
          </cell>
          <cell r="O352">
            <v>10.569258156805544</v>
          </cell>
        </row>
        <row r="353">
          <cell r="L353">
            <v>2011</v>
          </cell>
          <cell r="M353">
            <v>9.8616666666666681</v>
          </cell>
          <cell r="N353">
            <v>0.80373752575341606</v>
          </cell>
          <cell r="O353">
            <v>12.269760152634946</v>
          </cell>
        </row>
        <row r="354">
          <cell r="L354">
            <v>2012</v>
          </cell>
          <cell r="M354">
            <v>11.434166666666664</v>
          </cell>
          <cell r="N354">
            <v>0.84380384141222375</v>
          </cell>
          <cell r="O354">
            <v>13.550740237837728</v>
          </cell>
        </row>
        <row r="355">
          <cell r="L355">
            <v>2013</v>
          </cell>
          <cell r="M355">
            <v>12.739166666666664</v>
          </cell>
          <cell r="N355">
            <v>0.89125936945324724</v>
          </cell>
          <cell r="O355">
            <v>14.293444875066665</v>
          </cell>
        </row>
        <row r="356">
          <cell r="L356">
            <v>2014</v>
          </cell>
          <cell r="M356">
            <v>13.695833333333335</v>
          </cell>
          <cell r="N356">
            <v>0.94259590913375435</v>
          </cell>
          <cell r="O356">
            <v>14.529909583333335</v>
          </cell>
        </row>
        <row r="357">
          <cell r="L357">
            <v>2015</v>
          </cell>
          <cell r="M357">
            <v>12.244166666666667</v>
          </cell>
          <cell r="N357">
            <v>1</v>
          </cell>
          <cell r="O357">
            <v>12.244166666666667</v>
          </cell>
        </row>
        <row r="358">
          <cell r="L358">
            <v>2016</v>
          </cell>
          <cell r="M358">
            <v>12.392916666666665</v>
          </cell>
          <cell r="N358">
            <v>1.06341</v>
          </cell>
          <cell r="O358">
            <v>11.653940311513589</v>
          </cell>
        </row>
        <row r="359">
          <cell r="L359">
            <v>2017</v>
          </cell>
          <cell r="M359">
            <v>13.416153846153843</v>
          </cell>
          <cell r="N359">
            <v>1.1194836093</v>
          </cell>
          <cell r="O359">
            <v>11.984234279716526</v>
          </cell>
        </row>
        <row r="360">
          <cell r="L360">
            <v>2018</v>
          </cell>
          <cell r="M360">
            <v>15.139999999999999</v>
          </cell>
          <cell r="N360">
            <v>1.1712037520496601</v>
          </cell>
          <cell r="O360">
            <v>12.926871155855082</v>
          </cell>
        </row>
        <row r="361">
          <cell r="L361">
            <v>2019</v>
          </cell>
          <cell r="M361">
            <v>15.421249999999999</v>
          </cell>
          <cell r="N361">
            <v>1.2195744670093109</v>
          </cell>
          <cell r="O361">
            <v>12.644779320295711</v>
          </cell>
        </row>
        <row r="362">
          <cell r="L362">
            <v>2020</v>
          </cell>
          <cell r="M362">
            <v>14.406666666666666</v>
          </cell>
          <cell r="N362">
            <v>1.2594301605911753</v>
          </cell>
          <cell r="O362">
            <v>11.439035777818907</v>
          </cell>
        </row>
        <row r="363">
          <cell r="L363">
            <v>2021</v>
          </cell>
          <cell r="M363">
            <v>17.559999999999999</v>
          </cell>
          <cell r="N363">
            <v>1.3150214078796698</v>
          </cell>
          <cell r="O363">
            <v>13.353394777286253</v>
          </cell>
        </row>
        <row r="364">
          <cell r="L364">
            <v>2022</v>
          </cell>
          <cell r="M364">
            <v>22.68</v>
          </cell>
          <cell r="N364">
            <v>1.41</v>
          </cell>
          <cell r="O364">
            <v>12.5</v>
          </cell>
        </row>
        <row r="365">
          <cell r="L365">
            <v>2023</v>
          </cell>
          <cell r="M365">
            <v>23.13</v>
          </cell>
          <cell r="N365">
            <v>1.41</v>
          </cell>
          <cell r="O365">
            <v>11.49</v>
          </cell>
        </row>
        <row r="366">
          <cell r="L366">
            <v>2024</v>
          </cell>
        </row>
        <row r="367">
          <cell r="L367">
            <v>2025</v>
          </cell>
        </row>
        <row r="368">
          <cell r="L368">
            <v>2026</v>
          </cell>
        </row>
        <row r="369">
          <cell r="L369">
            <v>2027</v>
          </cell>
        </row>
        <row r="370">
          <cell r="L370">
            <v>2028</v>
          </cell>
        </row>
        <row r="371">
          <cell r="L371">
            <v>2029</v>
          </cell>
        </row>
        <row r="372">
          <cell r="L372">
            <v>2030</v>
          </cell>
        </row>
        <row r="373">
          <cell r="L373">
            <v>2031</v>
          </cell>
        </row>
        <row r="374">
          <cell r="L374">
            <v>2032</v>
          </cell>
        </row>
        <row r="375">
          <cell r="L375">
            <v>2033</v>
          </cell>
        </row>
        <row r="376">
          <cell r="L376">
            <v>2034</v>
          </cell>
        </row>
        <row r="377">
          <cell r="L377">
            <v>2035</v>
          </cell>
        </row>
        <row r="378">
          <cell r="L378">
            <v>2036</v>
          </cell>
        </row>
        <row r="379">
          <cell r="L379">
            <v>2037</v>
          </cell>
        </row>
        <row r="380">
          <cell r="L380">
            <v>2038</v>
          </cell>
        </row>
        <row r="381">
          <cell r="L381">
            <v>2039</v>
          </cell>
        </row>
        <row r="382">
          <cell r="L382">
            <v>2040</v>
          </cell>
        </row>
        <row r="383">
          <cell r="L383">
            <v>2041</v>
          </cell>
        </row>
        <row r="384">
          <cell r="L384">
            <v>2042</v>
          </cell>
        </row>
        <row r="385">
          <cell r="L385">
            <v>2043</v>
          </cell>
        </row>
        <row r="386">
          <cell r="L386">
            <v>2044</v>
          </cell>
        </row>
        <row r="387">
          <cell r="L387">
            <v>2045</v>
          </cell>
        </row>
        <row r="388">
          <cell r="L388">
            <v>2046</v>
          </cell>
        </row>
        <row r="389">
          <cell r="L389">
            <v>2047</v>
          </cell>
        </row>
        <row r="390">
          <cell r="L390">
            <v>2048</v>
          </cell>
        </row>
        <row r="391">
          <cell r="L391">
            <v>2049</v>
          </cell>
        </row>
        <row r="392">
          <cell r="L392">
            <v>2050</v>
          </cell>
        </row>
      </sheetData>
      <sheetData sheetId="3">
        <row r="6">
          <cell r="E6" t="str">
            <v>Source: DMRE</v>
          </cell>
          <cell r="K6" t="str">
            <v>Total Passengers Depatures</v>
          </cell>
          <cell r="L6" t="str">
            <v>GDP Per Capita</v>
          </cell>
        </row>
        <row r="7">
          <cell r="E7" t="str">
            <v>N.B: Looked at Jet Fuel without Paraffin</v>
          </cell>
          <cell r="J7" t="str">
            <v>Select PAX Size, Macro Measure</v>
          </cell>
          <cell r="K7" t="str">
            <v>Total</v>
          </cell>
          <cell r="L7" t="str">
            <v>GDP/capita (constant 2015)</v>
          </cell>
        </row>
        <row r="8">
          <cell r="D8" t="str">
            <v>Year</v>
          </cell>
          <cell r="E8" t="str">
            <v>Year</v>
          </cell>
          <cell r="F8" t="str">
            <v>Jet Fuel</v>
          </cell>
          <cell r="G8" t="str">
            <v>Paraffin</v>
          </cell>
          <cell r="H8" t="str">
            <v>Aviation Gasoline</v>
          </cell>
          <cell r="I8" t="str">
            <v>Specified Market Demand</v>
          </cell>
          <cell r="J8" t="str">
            <v>RSA Demand</v>
          </cell>
          <cell r="K8" t="str">
            <v>Departures_Pass</v>
          </cell>
          <cell r="L8" t="str">
            <v>Macros</v>
          </cell>
        </row>
        <row r="9">
          <cell r="D9">
            <v>2010</v>
          </cell>
          <cell r="E9">
            <v>2010</v>
          </cell>
          <cell r="F9">
            <v>2442388979</v>
          </cell>
          <cell r="G9">
            <v>595096689</v>
          </cell>
          <cell r="H9">
            <v>18071667</v>
          </cell>
          <cell r="I9">
            <v>3055557335</v>
          </cell>
          <cell r="J9">
            <v>2460460646</v>
          </cell>
          <cell r="K9" t="str">
            <v/>
          </cell>
          <cell r="L9">
            <v>77587.601064139468</v>
          </cell>
          <cell r="Y9">
            <v>2002</v>
          </cell>
          <cell r="Z9">
            <v>231068993.71069184</v>
          </cell>
          <cell r="AA9">
            <v>254537967.29559746</v>
          </cell>
          <cell r="AB9" t="e">
            <v>#N/A</v>
          </cell>
        </row>
        <row r="10">
          <cell r="D10">
            <v>2011</v>
          </cell>
          <cell r="E10">
            <v>2011</v>
          </cell>
          <cell r="F10">
            <v>2540993998</v>
          </cell>
          <cell r="G10">
            <v>597461099</v>
          </cell>
          <cell r="H10">
            <v>21524281</v>
          </cell>
          <cell r="I10">
            <v>3159979378</v>
          </cell>
          <cell r="J10">
            <v>2562518279</v>
          </cell>
          <cell r="K10" t="str">
            <v/>
          </cell>
          <cell r="L10">
            <v>78834.950056658563</v>
          </cell>
          <cell r="Y10">
            <v>2003</v>
          </cell>
          <cell r="Z10">
            <v>13566296.85534591</v>
          </cell>
          <cell r="AA10">
            <v>304762401.25786161</v>
          </cell>
          <cell r="AB10" t="e">
            <v>#N/A</v>
          </cell>
          <cell r="AT10" t="str">
            <v>FS, LP, MP, NW</v>
          </cell>
          <cell r="AU10" t="str">
            <v>GP</v>
          </cell>
          <cell r="AV10" t="str">
            <v>KZN</v>
          </cell>
          <cell r="AW10" t="str">
            <v>EC</v>
          </cell>
          <cell r="AX10" t="str">
            <v>NC, WC</v>
          </cell>
          <cell r="BB10" t="str">
            <v>FS, LP, MP, NW</v>
          </cell>
          <cell r="BC10" t="str">
            <v>GP</v>
          </cell>
          <cell r="BD10" t="str">
            <v>KZN</v>
          </cell>
          <cell r="BE10" t="str">
            <v>EC</v>
          </cell>
          <cell r="BF10" t="str">
            <v>NC, WC</v>
          </cell>
        </row>
        <row r="11">
          <cell r="D11">
            <v>2012</v>
          </cell>
          <cell r="E11">
            <v>2012</v>
          </cell>
          <cell r="F11">
            <v>2431085480</v>
          </cell>
          <cell r="G11">
            <v>558120300</v>
          </cell>
          <cell r="H11">
            <v>30290145</v>
          </cell>
          <cell r="I11">
            <v>3019495925</v>
          </cell>
          <cell r="J11">
            <v>2461375625</v>
          </cell>
          <cell r="K11" t="str">
            <v/>
          </cell>
          <cell r="L11">
            <v>79457.526677078029</v>
          </cell>
          <cell r="Y11">
            <v>2004</v>
          </cell>
          <cell r="Z11">
            <v>173303016.35220125</v>
          </cell>
          <cell r="AA11">
            <v>351999298.11320752</v>
          </cell>
          <cell r="AB11" t="e">
            <v>#N/A</v>
          </cell>
        </row>
        <row r="12">
          <cell r="D12">
            <v>2013</v>
          </cell>
          <cell r="E12">
            <v>2013</v>
          </cell>
          <cell r="F12">
            <v>2305651372</v>
          </cell>
          <cell r="G12">
            <v>538617919</v>
          </cell>
          <cell r="H12">
            <v>29542366</v>
          </cell>
          <cell r="I12">
            <v>2873811657</v>
          </cell>
          <cell r="J12">
            <v>2335193738</v>
          </cell>
          <cell r="K12" t="str">
            <v/>
          </cell>
          <cell r="L12">
            <v>80136.367446443459</v>
          </cell>
          <cell r="Y12">
            <v>2005</v>
          </cell>
          <cell r="Z12">
            <v>126010549.68553458</v>
          </cell>
          <cell r="AA12">
            <v>6730406.2893081754</v>
          </cell>
          <cell r="AB12" t="e">
            <v>#N/A</v>
          </cell>
          <cell r="AS12">
            <v>2022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BA12">
            <v>2022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</row>
        <row r="13">
          <cell r="D13">
            <v>2014</v>
          </cell>
          <cell r="E13">
            <v>2014</v>
          </cell>
          <cell r="F13">
            <v>2293018714</v>
          </cell>
          <cell r="G13">
            <v>517404551</v>
          </cell>
          <cell r="H13">
            <v>22215243</v>
          </cell>
          <cell r="I13">
            <v>2832638508</v>
          </cell>
          <cell r="J13">
            <v>2315233957</v>
          </cell>
          <cell r="K13" t="str">
            <v/>
          </cell>
          <cell r="L13">
            <v>79992.361913427827</v>
          </cell>
          <cell r="Y13">
            <v>2006</v>
          </cell>
          <cell r="Z13">
            <v>276937841.50943393</v>
          </cell>
          <cell r="AA13">
            <v>146927052.83018866</v>
          </cell>
          <cell r="AB13" t="e">
            <v>#N/A</v>
          </cell>
          <cell r="AS13">
            <v>2023</v>
          </cell>
          <cell r="AT13">
            <v>77629042.46326068</v>
          </cell>
          <cell r="AU13">
            <v>915098529.78990722</v>
          </cell>
          <cell r="AV13">
            <v>102298751.32775161</v>
          </cell>
          <cell r="AW13">
            <v>446062531.16496342</v>
          </cell>
          <cell r="AX13">
            <v>309428783.31211698</v>
          </cell>
          <cell r="BA13">
            <v>2023</v>
          </cell>
          <cell r="BB13">
            <v>77629042.46326068</v>
          </cell>
          <cell r="BC13">
            <v>915098529.78990722</v>
          </cell>
          <cell r="BD13">
            <v>102298751.32775161</v>
          </cell>
          <cell r="BE13">
            <v>446062531.16496342</v>
          </cell>
          <cell r="BF13">
            <v>309428783.31211698</v>
          </cell>
        </row>
        <row r="14">
          <cell r="D14">
            <v>2015</v>
          </cell>
          <cell r="E14">
            <v>2015</v>
          </cell>
          <cell r="F14">
            <v>2457951297</v>
          </cell>
          <cell r="G14">
            <v>583343264</v>
          </cell>
          <cell r="H14">
            <v>19703724</v>
          </cell>
          <cell r="I14">
            <v>3060998285</v>
          </cell>
          <cell r="J14">
            <v>2477655021</v>
          </cell>
          <cell r="K14" t="str">
            <v/>
          </cell>
          <cell r="L14">
            <v>79117.199555191779</v>
          </cell>
          <cell r="Y14">
            <v>2007</v>
          </cell>
          <cell r="Z14">
            <v>288000552.20125782</v>
          </cell>
          <cell r="AA14">
            <v>81601477.987421378</v>
          </cell>
          <cell r="AB14" t="e">
            <v>#N/A</v>
          </cell>
          <cell r="AS14">
            <v>2024</v>
          </cell>
          <cell r="AT14">
            <v>73764974.920916259</v>
          </cell>
          <cell r="AU14">
            <v>869548534.39119089</v>
          </cell>
          <cell r="AV14">
            <v>97206722.982625425</v>
          </cell>
          <cell r="AW14">
            <v>423859297.76367211</v>
          </cell>
          <cell r="AX14">
            <v>294026638.95577842</v>
          </cell>
          <cell r="BA14">
            <v>2024</v>
          </cell>
          <cell r="BB14">
            <v>70634556.89240706</v>
          </cell>
          <cell r="BC14">
            <v>832646869.18164861</v>
          </cell>
          <cell r="BD14">
            <v>93081490.398416609</v>
          </cell>
          <cell r="BE14">
            <v>405871671.67563814</v>
          </cell>
          <cell r="BF14">
            <v>281548816.08068186</v>
          </cell>
        </row>
        <row r="15">
          <cell r="D15">
            <v>2016</v>
          </cell>
          <cell r="E15">
            <v>2016</v>
          </cell>
          <cell r="F15">
            <v>2598760124</v>
          </cell>
          <cell r="G15">
            <v>582414312</v>
          </cell>
          <cell r="H15">
            <v>17614831</v>
          </cell>
          <cell r="I15">
            <v>3198789267</v>
          </cell>
          <cell r="J15">
            <v>2616374955</v>
          </cell>
          <cell r="K15" t="str">
            <v/>
          </cell>
          <cell r="L15">
            <v>78872.591985826642</v>
          </cell>
          <cell r="Y15">
            <v>2008</v>
          </cell>
          <cell r="Z15">
            <v>75746098.113207549</v>
          </cell>
          <cell r="AA15">
            <v>105360883.01886792</v>
          </cell>
          <cell r="AB15" t="e">
            <v>#N/A</v>
          </cell>
          <cell r="AS15">
            <v>2025</v>
          </cell>
          <cell r="AT15">
            <v>83792106.2872013</v>
          </cell>
          <cell r="AU15">
            <v>987749311.83399284</v>
          </cell>
          <cell r="AV15">
            <v>110420373.2560492</v>
          </cell>
          <cell r="AW15">
            <v>481475976.46591812</v>
          </cell>
          <cell r="AX15">
            <v>333994709.67169303</v>
          </cell>
          <cell r="BA15">
            <v>2025</v>
          </cell>
          <cell r="BB15">
            <v>76891366.461567238</v>
          </cell>
          <cell r="BC15">
            <v>906402734.97921562</v>
          </cell>
          <cell r="BD15">
            <v>101326649.50267239</v>
          </cell>
          <cell r="BE15">
            <v>441823787.33850491</v>
          </cell>
          <cell r="BF15">
            <v>306488412.28035289</v>
          </cell>
        </row>
        <row r="16">
          <cell r="D16">
            <v>2017</v>
          </cell>
          <cell r="E16">
            <v>2017</v>
          </cell>
          <cell r="F16">
            <v>2712662669</v>
          </cell>
          <cell r="G16">
            <v>648308290</v>
          </cell>
          <cell r="H16">
            <v>13761048</v>
          </cell>
          <cell r="I16">
            <v>3374732007</v>
          </cell>
          <cell r="J16">
            <v>2726423717</v>
          </cell>
          <cell r="K16">
            <v>20836846</v>
          </cell>
          <cell r="L16">
            <v>79477.49731131857</v>
          </cell>
          <cell r="Y16">
            <v>2009</v>
          </cell>
          <cell r="Z16">
            <v>107245235.22012578</v>
          </cell>
          <cell r="AA16">
            <v>55894800</v>
          </cell>
          <cell r="AB16" t="e">
            <v>#N/A</v>
          </cell>
          <cell r="AS16">
            <v>2026</v>
          </cell>
          <cell r="AT16">
            <v>94124140.742576659</v>
          </cell>
          <cell r="AU16">
            <v>1109544315.8665018</v>
          </cell>
          <cell r="AV16">
            <v>124035821.67486008</v>
          </cell>
          <cell r="AW16">
            <v>540844652.09307802</v>
          </cell>
          <cell r="AX16">
            <v>375178121.82286978</v>
          </cell>
          <cell r="BA16">
            <v>2026</v>
          </cell>
          <cell r="BB16">
            <v>83431117.056861058</v>
          </cell>
          <cell r="BC16">
            <v>983493936.48126078</v>
          </cell>
          <cell r="BD16">
            <v>109944665.37231418</v>
          </cell>
          <cell r="BE16">
            <v>479401704.20003164</v>
          </cell>
          <cell r="BF16">
            <v>332555809.29641372</v>
          </cell>
        </row>
        <row r="17">
          <cell r="D17">
            <v>2018</v>
          </cell>
          <cell r="E17">
            <v>2018</v>
          </cell>
          <cell r="F17">
            <v>2346059527</v>
          </cell>
          <cell r="G17">
            <v>702105113</v>
          </cell>
          <cell r="H17">
            <v>10664915</v>
          </cell>
          <cell r="I17">
            <v>3058829555</v>
          </cell>
          <cell r="J17">
            <v>2356724442</v>
          </cell>
          <cell r="K17">
            <v>21118264</v>
          </cell>
          <cell r="L17">
            <v>79677.342047662736</v>
          </cell>
          <cell r="Y17">
            <v>2010</v>
          </cell>
          <cell r="Z17">
            <v>268471772.32704401</v>
          </cell>
          <cell r="AA17">
            <v>68894818.867924526</v>
          </cell>
          <cell r="AB17">
            <v>8.5926030902629957E-2</v>
          </cell>
          <cell r="AS17">
            <v>2027</v>
          </cell>
          <cell r="AT17">
            <v>103095458.53650697</v>
          </cell>
          <cell r="AU17">
            <v>1215299062.5824494</v>
          </cell>
          <cell r="AV17">
            <v>135858131.71453181</v>
          </cell>
          <cell r="AW17">
            <v>592394543.68087828</v>
          </cell>
          <cell r="AX17">
            <v>410937727.52708787</v>
          </cell>
          <cell r="BA17">
            <v>2027</v>
          </cell>
          <cell r="BB17">
            <v>86956358.450191632</v>
          </cell>
          <cell r="BC17">
            <v>1025049817.0361197</v>
          </cell>
          <cell r="BD17">
            <v>114590192.11364034</v>
          </cell>
          <cell r="BE17">
            <v>499658016.12891757</v>
          </cell>
          <cell r="BF17">
            <v>346607395.15406537</v>
          </cell>
        </row>
        <row r="18">
          <cell r="D18">
            <v>2019</v>
          </cell>
          <cell r="E18">
            <v>2019</v>
          </cell>
          <cell r="F18">
            <v>2438852597</v>
          </cell>
          <cell r="G18">
            <v>619853847</v>
          </cell>
          <cell r="H18">
            <v>10652540</v>
          </cell>
          <cell r="I18">
            <v>3069358984</v>
          </cell>
          <cell r="J18">
            <v>2449505137</v>
          </cell>
          <cell r="K18">
            <v>20924465</v>
          </cell>
          <cell r="L18">
            <v>78741.033795211013</v>
          </cell>
          <cell r="Y18">
            <v>2011</v>
          </cell>
          <cell r="Z18">
            <v>250648096.8553459</v>
          </cell>
          <cell r="AA18">
            <v>160413699.37106916</v>
          </cell>
          <cell r="AB18">
            <v>7.5487477239832484E-2</v>
          </cell>
          <cell r="AS18">
            <v>2028</v>
          </cell>
          <cell r="AT18">
            <v>112629012.04600596</v>
          </cell>
          <cell r="AU18">
            <v>1327681497.3438313</v>
          </cell>
          <cell r="AV18">
            <v>148421350.18009019</v>
          </cell>
          <cell r="AW18">
            <v>647175085.53100276</v>
          </cell>
          <cell r="AX18">
            <v>448938400.59324551</v>
          </cell>
          <cell r="BA18">
            <v>2028</v>
          </cell>
          <cell r="BB18">
            <v>87698258.100081205</v>
          </cell>
          <cell r="BC18">
            <v>1033795400.6131283</v>
          </cell>
          <cell r="BD18">
            <v>115567859.81874077</v>
          </cell>
          <cell r="BE18">
            <v>503921029.36725253</v>
          </cell>
          <cell r="BF18">
            <v>349564601.61598539</v>
          </cell>
        </row>
        <row r="19">
          <cell r="D19">
            <v>2020</v>
          </cell>
          <cell r="E19">
            <v>2020</v>
          </cell>
          <cell r="F19">
            <v>1090817659</v>
          </cell>
          <cell r="G19">
            <v>701513322</v>
          </cell>
          <cell r="H19">
            <v>7551435</v>
          </cell>
          <cell r="I19">
            <v>1799882416</v>
          </cell>
          <cell r="J19">
            <v>1098369094</v>
          </cell>
          <cell r="K19">
            <v>4569737</v>
          </cell>
          <cell r="L19">
            <v>72780.724692688324</v>
          </cell>
          <cell r="Y19">
            <v>2012</v>
          </cell>
          <cell r="Z19">
            <v>230988941.75999999</v>
          </cell>
          <cell r="AA19">
            <v>145165516.0754717</v>
          </cell>
          <cell r="AB19">
            <v>7.2990095800421928E-2</v>
          </cell>
          <cell r="AS19">
            <v>2029</v>
          </cell>
          <cell r="AT19">
            <v>122794161.01130691</v>
          </cell>
          <cell r="AU19">
            <v>1447509239.3599033</v>
          </cell>
          <cell r="AV19">
            <v>161816878.62169138</v>
          </cell>
          <cell r="AW19">
            <v>705584824.11919916</v>
          </cell>
          <cell r="AX19">
            <v>489456608.42774391</v>
          </cell>
          <cell r="BA19">
            <v>2029</v>
          </cell>
          <cell r="BB19">
            <v>88659635.439768478</v>
          </cell>
          <cell r="BC19">
            <v>1045128208.0548472</v>
          </cell>
          <cell r="BD19">
            <v>116834752.95929894</v>
          </cell>
          <cell r="BE19">
            <v>509445178.52506924</v>
          </cell>
          <cell r="BF19">
            <v>353396644.50977808</v>
          </cell>
        </row>
        <row r="20">
          <cell r="D20">
            <v>2021</v>
          </cell>
          <cell r="E20">
            <v>2021</v>
          </cell>
          <cell r="F20">
            <v>1047881004</v>
          </cell>
          <cell r="G20">
            <v>1078419705</v>
          </cell>
          <cell r="H20">
            <v>7064935</v>
          </cell>
          <cell r="I20">
            <v>2133365644</v>
          </cell>
          <cell r="J20">
            <v>1054945939</v>
          </cell>
          <cell r="K20">
            <v>10538202</v>
          </cell>
          <cell r="L20">
            <v>75987.078108010232</v>
          </cell>
          <cell r="Y20">
            <v>2013</v>
          </cell>
          <cell r="Z20">
            <v>182636168.09</v>
          </cell>
          <cell r="AA20">
            <v>81214557.943396226</v>
          </cell>
          <cell r="AB20">
            <v>6.1805261546046361E-2</v>
          </cell>
          <cell r="AS20">
            <v>2030</v>
          </cell>
          <cell r="AT20">
            <v>133589790.03671075</v>
          </cell>
          <cell r="AU20">
            <v>1574769140.2401664</v>
          </cell>
          <cell r="AV20">
            <v>176043247.18238965</v>
          </cell>
          <cell r="AW20">
            <v>767617350.29480684</v>
          </cell>
          <cell r="AX20">
            <v>532487905.07165945</v>
          </cell>
          <cell r="BA20">
            <v>2030</v>
          </cell>
          <cell r="BB20">
            <v>89835111.375004947</v>
          </cell>
          <cell r="BC20">
            <v>1058984830.0870899</v>
          </cell>
          <cell r="BD20">
            <v>118383783.02040556</v>
          </cell>
          <cell r="BE20">
            <v>516199554.90737796</v>
          </cell>
          <cell r="BF20">
            <v>358082082.80595487</v>
          </cell>
        </row>
        <row r="21">
          <cell r="D21">
            <v>2022</v>
          </cell>
          <cell r="E21">
            <v>2022</v>
          </cell>
          <cell r="F21">
            <v>1478149852.6029999</v>
          </cell>
          <cell r="G21">
            <v>1177899631.5040002</v>
          </cell>
          <cell r="H21">
            <v>4696431.3169999998</v>
          </cell>
          <cell r="I21">
            <v>2660745915.4240003</v>
          </cell>
          <cell r="J21">
            <v>1482846283.9199998</v>
          </cell>
          <cell r="K21">
            <v>15813215</v>
          </cell>
          <cell r="L21">
            <v>76790.165012245096</v>
          </cell>
          <cell r="Y21">
            <v>2014</v>
          </cell>
          <cell r="Z21">
            <v>287722211.38</v>
          </cell>
          <cell r="AA21">
            <v>155350204</v>
          </cell>
          <cell r="AB21">
            <v>9.629293786301292E-2</v>
          </cell>
          <cell r="AS21">
            <v>2031</v>
          </cell>
          <cell r="AT21">
            <v>140133411.0918996</v>
          </cell>
          <cell r="AU21">
            <v>1651905967.0912712</v>
          </cell>
          <cell r="AV21">
            <v>184666363.50415301</v>
          </cell>
          <cell r="AW21">
            <v>805217507.1206919</v>
          </cell>
          <cell r="AX21">
            <v>558570729.71194661</v>
          </cell>
          <cell r="BA21">
            <v>2031</v>
          </cell>
          <cell r="BB21">
            <v>91036030.136778444</v>
          </cell>
          <cell r="BC21">
            <v>1073141374.5764301</v>
          </cell>
          <cell r="BD21">
            <v>119966341.37585145</v>
          </cell>
          <cell r="BE21">
            <v>523100127.75488794</v>
          </cell>
          <cell r="BF21">
            <v>362868936.01863146</v>
          </cell>
        </row>
        <row r="22">
          <cell r="D22">
            <v>2023</v>
          </cell>
          <cell r="E22" t="str">
            <v>2023*</v>
          </cell>
          <cell r="F22">
            <v>1843971762.4649999</v>
          </cell>
          <cell r="G22">
            <v>1298209530.779</v>
          </cell>
          <cell r="H22">
            <v>6545875.5930000003</v>
          </cell>
          <cell r="I22">
            <v>3148727168.8369999</v>
          </cell>
          <cell r="J22">
            <v>1850517638.0579998</v>
          </cell>
          <cell r="K22">
            <v>17730490.285714291</v>
          </cell>
          <cell r="L22">
            <v>76777.92621036293</v>
          </cell>
          <cell r="Y22">
            <v>2015</v>
          </cell>
          <cell r="Z22">
            <v>275033735.25</v>
          </cell>
          <cell r="AA22">
            <v>886561395.04999995</v>
          </cell>
          <cell r="AB22">
            <v>6.9671837170683731E-2</v>
          </cell>
          <cell r="AS22">
            <v>2032</v>
          </cell>
          <cell r="AT22">
            <v>146747437.09305665</v>
          </cell>
          <cell r="AU22">
            <v>1729872734.1361625</v>
          </cell>
          <cell r="AV22">
            <v>193382258.73740754</v>
          </cell>
          <cell r="AW22">
            <v>843222216.25597787</v>
          </cell>
          <cell r="AX22">
            <v>584934187.9408859</v>
          </cell>
          <cell r="BA22">
            <v>2032</v>
          </cell>
          <cell r="BB22">
            <v>92240660.686081365</v>
          </cell>
          <cell r="BC22">
            <v>1087341673.9699056</v>
          </cell>
          <cell r="BD22">
            <v>121553791.0866124</v>
          </cell>
          <cell r="BE22">
            <v>530022028.82297093</v>
          </cell>
          <cell r="BF22">
            <v>367670584.38867056</v>
          </cell>
        </row>
        <row r="23">
          <cell r="D23">
            <v>2024</v>
          </cell>
          <cell r="E23" t="str">
            <v>2024*</v>
          </cell>
          <cell r="F23">
            <v>1858353189.6600001</v>
          </cell>
          <cell r="G23">
            <v>1192556494.26</v>
          </cell>
          <cell r="H23">
            <v>7690424</v>
          </cell>
          <cell r="I23">
            <v>3058600107.9200001</v>
          </cell>
          <cell r="J23">
            <v>1866043613.6600001</v>
          </cell>
          <cell r="K23" t="str">
            <v/>
          </cell>
          <cell r="Y23">
            <v>2016</v>
          </cell>
          <cell r="Z23">
            <v>108419489.34</v>
          </cell>
          <cell r="AA23">
            <v>380562430.69999999</v>
          </cell>
          <cell r="AB23">
            <v>3.0290258822475481E-2</v>
          </cell>
          <cell r="AS23">
            <v>2033</v>
          </cell>
          <cell r="AT23">
            <v>153432846.00377527</v>
          </cell>
          <cell r="AU23">
            <v>1808680969.7026172</v>
          </cell>
          <cell r="AV23">
            <v>202192221.63248783</v>
          </cell>
          <cell r="AW23">
            <v>881637097.15572989</v>
          </cell>
          <cell r="AX23">
            <v>611582177.91405451</v>
          </cell>
          <cell r="BA23">
            <v>2033</v>
          </cell>
          <cell r="BB23">
            <v>93449021.60369724</v>
          </cell>
          <cell r="BC23">
            <v>1101585947.2995579</v>
          </cell>
          <cell r="BD23">
            <v>123146156.63825324</v>
          </cell>
          <cell r="BE23">
            <v>536965364.87825787</v>
          </cell>
          <cell r="BF23">
            <v>372487101.97893643</v>
          </cell>
        </row>
        <row r="24">
          <cell r="Y24">
            <v>2017</v>
          </cell>
          <cell r="Z24">
            <v>421007012</v>
          </cell>
          <cell r="AA24">
            <v>394664682.16000003</v>
          </cell>
          <cell r="AB24">
            <v>0.11169082129528275</v>
          </cell>
          <cell r="AS24">
            <v>2034</v>
          </cell>
          <cell r="AT24">
            <v>160190632.2871528</v>
          </cell>
          <cell r="AU24">
            <v>1888342396.616132</v>
          </cell>
          <cell r="AV24">
            <v>211097562.68260455</v>
          </cell>
          <cell r="AW24">
            <v>920467864.08244896</v>
          </cell>
          <cell r="AX24">
            <v>638518663.55392885</v>
          </cell>
          <cell r="BA24">
            <v>2034</v>
          </cell>
          <cell r="BB24">
            <v>94661131.579957262</v>
          </cell>
          <cell r="BC24">
            <v>1115874414.8887873</v>
          </cell>
          <cell r="BD24">
            <v>124743462.66069959</v>
          </cell>
          <cell r="BE24">
            <v>543930243.31684899</v>
          </cell>
          <cell r="BF24">
            <v>377318563.28894967</v>
          </cell>
        </row>
        <row r="25">
          <cell r="E25" t="str">
            <v>Jet Fuel</v>
          </cell>
          <cell r="Y25">
            <v>2018</v>
          </cell>
          <cell r="Z25">
            <v>395028362.75</v>
          </cell>
          <cell r="AA25">
            <v>440690509</v>
          </cell>
          <cell r="AB25">
            <v>0.11288072522106848</v>
          </cell>
          <cell r="AS25">
            <v>2035</v>
          </cell>
          <cell r="AT25">
            <v>167021807.21401617</v>
          </cell>
          <cell r="AU25">
            <v>1968868935.833318</v>
          </cell>
          <cell r="AV25">
            <v>220099614.53002101</v>
          </cell>
          <cell r="AW25">
            <v>959720327.87716103</v>
          </cell>
          <cell r="AX25">
            <v>665747675.7784704</v>
          </cell>
          <cell r="BA25">
            <v>2035</v>
          </cell>
          <cell r="BB25">
            <v>95877009.415410325</v>
          </cell>
          <cell r="BC25">
            <v>1130207298.3602512</v>
          </cell>
          <cell r="BD25">
            <v>126345733.92912088</v>
          </cell>
          <cell r="BE25">
            <v>550916772.16816461</v>
          </cell>
          <cell r="BF25">
            <v>382165043.25755763</v>
          </cell>
        </row>
        <row r="26">
          <cell r="E26" t="str">
            <v>Year</v>
          </cell>
          <cell r="F26" t="str">
            <v>FS, LP, MP, NW</v>
          </cell>
          <cell r="G26" t="str">
            <v>GP</v>
          </cell>
          <cell r="H26" t="str">
            <v>KZN</v>
          </cell>
          <cell r="I26" t="str">
            <v>EC</v>
          </cell>
          <cell r="J26" t="str">
            <v>NC, WC</v>
          </cell>
          <cell r="K26" t="str">
            <v>Total</v>
          </cell>
          <cell r="Y26">
            <v>2019</v>
          </cell>
          <cell r="Z26">
            <v>461709651</v>
          </cell>
          <cell r="AA26">
            <v>330975686.13</v>
          </cell>
          <cell r="AB26">
            <v>0.13578359067295812</v>
          </cell>
          <cell r="AS26">
            <v>2036</v>
          </cell>
          <cell r="AT26">
            <v>173927399.1771549</v>
          </cell>
          <cell r="AU26">
            <v>2050272710.1461074</v>
          </cell>
          <cell r="AV26">
            <v>229199732.38014624</v>
          </cell>
          <cell r="AW26">
            <v>999400397.7650243</v>
          </cell>
          <cell r="AX26">
            <v>693273313.75365496</v>
          </cell>
          <cell r="BA26">
            <v>2036</v>
          </cell>
          <cell r="BB26">
            <v>97096674.021496788</v>
          </cell>
          <cell r="BC26">
            <v>1144584820.6438055</v>
          </cell>
          <cell r="BD26">
            <v>127952995.36481808</v>
          </cell>
          <cell r="BE26">
            <v>557925060.09881532</v>
          </cell>
          <cell r="BF26">
            <v>387026617.26562041</v>
          </cell>
        </row>
        <row r="27">
          <cell r="E27">
            <v>2019</v>
          </cell>
          <cell r="F27">
            <v>84004170.855000004</v>
          </cell>
          <cell r="G27">
            <v>1391244868.4229999</v>
          </cell>
          <cell r="H27">
            <v>83672909.25</v>
          </cell>
          <cell r="I27">
            <v>497570454.31599998</v>
          </cell>
          <cell r="J27">
            <v>382360195.17146802</v>
          </cell>
          <cell r="K27">
            <v>2438852598.0154676</v>
          </cell>
          <cell r="Y27">
            <v>2020</v>
          </cell>
          <cell r="Z27">
            <v>671350193</v>
          </cell>
          <cell r="AA27">
            <v>624370881</v>
          </cell>
          <cell r="AB27">
            <v>0.27693071257479246</v>
          </cell>
          <cell r="AS27">
            <v>2037</v>
          </cell>
          <cell r="AT27">
            <v>180908454.01168543</v>
          </cell>
          <cell r="AU27">
            <v>2132566047.9582417</v>
          </cell>
          <cell r="AV27">
            <v>238399294.42370775</v>
          </cell>
          <cell r="AW27">
            <v>1039514083.1961675</v>
          </cell>
          <cell r="AX27">
            <v>721099746.17044389</v>
          </cell>
          <cell r="BA27">
            <v>2037</v>
          </cell>
          <cell r="BB27">
            <v>98320144.421226069</v>
          </cell>
          <cell r="BC27">
            <v>1159007205.9844928</v>
          </cell>
          <cell r="BD27">
            <v>129565272.03611676</v>
          </cell>
          <cell r="BE27">
            <v>564955216.41649675</v>
          </cell>
          <cell r="BF27">
            <v>391903361.13871127</v>
          </cell>
        </row>
        <row r="28">
          <cell r="E28">
            <v>2020</v>
          </cell>
          <cell r="F28">
            <v>71998346.948000014</v>
          </cell>
          <cell r="G28">
            <v>530249069.734999</v>
          </cell>
          <cell r="H28">
            <v>44843064.164000005</v>
          </cell>
          <cell r="I28">
            <v>321572570.96800005</v>
          </cell>
          <cell r="J28">
            <v>122154607.43785501</v>
          </cell>
          <cell r="K28">
            <v>1090817659.2528541</v>
          </cell>
          <cell r="Y28">
            <v>2021</v>
          </cell>
          <cell r="Z28">
            <v>703501144</v>
          </cell>
          <cell r="AA28">
            <v>147368904</v>
          </cell>
          <cell r="AB28">
            <v>0.308453758731768</v>
          </cell>
          <cell r="AS28">
            <v>2038</v>
          </cell>
          <cell r="AT28">
            <v>187966035.32166234</v>
          </cell>
          <cell r="AU28">
            <v>2215761487.1353917</v>
          </cell>
          <cell r="AV28">
            <v>247699702.26715636</v>
          </cell>
          <cell r="AW28">
            <v>1080067495.7224233</v>
          </cell>
          <cell r="AX28">
            <v>749231212.54665244</v>
          </cell>
          <cell r="BA28">
            <v>2038</v>
          </cell>
          <cell r="BB28">
            <v>99547439.749859199</v>
          </cell>
          <cell r="BC28">
            <v>1173474679.9505892</v>
          </cell>
          <cell r="BD28">
            <v>131182589.15926655</v>
          </cell>
          <cell r="BE28">
            <v>572007351.07391095</v>
          </cell>
          <cell r="BF28">
            <v>396795351.14983791</v>
          </cell>
        </row>
        <row r="29">
          <cell r="E29">
            <v>2021</v>
          </cell>
          <cell r="F29">
            <v>68141331.618999988</v>
          </cell>
          <cell r="G29">
            <v>504497153.993999</v>
          </cell>
          <cell r="H29">
            <v>64579892.925999999</v>
          </cell>
          <cell r="I29">
            <v>254729204.57700002</v>
          </cell>
          <cell r="J29">
            <v>155933421.06200001</v>
          </cell>
          <cell r="K29">
            <v>1047881004.177999</v>
          </cell>
          <cell r="Y29">
            <v>2022</v>
          </cell>
          <cell r="Z29">
            <v>1063826506</v>
          </cell>
          <cell r="AA29">
            <v>418774780</v>
          </cell>
          <cell r="AB29">
            <v>0.34545197490661067</v>
          </cell>
          <cell r="AS29">
            <v>2039</v>
          </cell>
          <cell r="AT29">
            <v>195101224.81306708</v>
          </cell>
          <cell r="AU29">
            <v>2299871778.9304638</v>
          </cell>
          <cell r="AV29">
            <v>257102381.37147549</v>
          </cell>
          <cell r="AW29">
            <v>1121066850.910708</v>
          </cell>
          <cell r="AX29">
            <v>777672024.5542419</v>
          </cell>
          <cell r="BA29">
            <v>2039</v>
          </cell>
          <cell r="BB29">
            <v>100778579.25559416</v>
          </cell>
          <cell r="BC29">
            <v>1187987469.4416811</v>
          </cell>
          <cell r="BD29">
            <v>132804972.09934412</v>
          </cell>
          <cell r="BE29">
            <v>579081574.6727041</v>
          </cell>
          <cell r="BF29">
            <v>401702664.02217358</v>
          </cell>
        </row>
        <row r="30">
          <cell r="E30">
            <v>2022</v>
          </cell>
          <cell r="F30">
            <v>38795887.325000003</v>
          </cell>
          <cell r="G30">
            <v>857734056.31100011</v>
          </cell>
          <cell r="H30">
            <v>126994503.84199999</v>
          </cell>
          <cell r="I30">
            <v>460584979.88800007</v>
          </cell>
          <cell r="J30">
            <v>360986693.648</v>
          </cell>
          <cell r="K30">
            <v>1845096121.0140002</v>
          </cell>
          <cell r="Y30">
            <v>2023</v>
          </cell>
          <cell r="Z30">
            <v>1888276697.8199999</v>
          </cell>
          <cell r="AB30">
            <v>0.59969524082883485</v>
          </cell>
          <cell r="AS30">
            <v>2040</v>
          </cell>
          <cell r="AT30">
            <v>202315122.63329476</v>
          </cell>
          <cell r="AU30">
            <v>2384909891.9854999</v>
          </cell>
          <cell r="AV30">
            <v>266608781.49955302</v>
          </cell>
          <cell r="AW30">
            <v>1162518470.2937381</v>
          </cell>
          <cell r="AX30">
            <v>806426567.37250996</v>
          </cell>
          <cell r="BA30">
            <v>2040</v>
          </cell>
          <cell r="BB30">
            <v>102013582.3002575</v>
          </cell>
          <cell r="BC30">
            <v>1202545802.69682</v>
          </cell>
          <cell r="BD30">
            <v>134432446.3711648</v>
          </cell>
          <cell r="BE30">
            <v>586177998.46744156</v>
          </cell>
          <cell r="BF30">
            <v>406625376.93181425</v>
          </cell>
        </row>
        <row r="31">
          <cell r="E31">
            <v>2023</v>
          </cell>
          <cell r="F31">
            <v>34696000.689999998</v>
          </cell>
          <cell r="G31">
            <v>878871910.102</v>
          </cell>
          <cell r="H31">
            <v>109823225.49200001</v>
          </cell>
          <cell r="I31">
            <v>402625905.28400004</v>
          </cell>
          <cell r="J31">
            <v>408876001.14199996</v>
          </cell>
          <cell r="K31">
            <v>1834893042.71</v>
          </cell>
          <cell r="Y31">
            <v>2024</v>
          </cell>
          <cell r="AB31">
            <v>0.44909733039148225</v>
          </cell>
          <cell r="AC31">
            <v>0.45569993090306737</v>
          </cell>
          <cell r="AS31">
            <v>2041</v>
          </cell>
          <cell r="AT31">
            <v>209608847.71727157</v>
          </cell>
          <cell r="AU31">
            <v>2470889016.4117446</v>
          </cell>
          <cell r="AV31">
            <v>276220377.17229176</v>
          </cell>
          <cell r="AW31">
            <v>1204428783.3588495</v>
          </cell>
          <cell r="AX31">
            <v>835499301.06771338</v>
          </cell>
          <cell r="BA31">
            <v>2041</v>
          </cell>
          <cell r="BB31">
            <v>103252468.35999832</v>
          </cell>
          <cell r="BC31">
            <v>1217149909.3027024</v>
          </cell>
          <cell r="BD31">
            <v>136065037.64019692</v>
          </cell>
          <cell r="BE31">
            <v>593296734.36959457</v>
          </cell>
          <cell r="BF31">
            <v>411563567.51054472</v>
          </cell>
        </row>
        <row r="32">
          <cell r="Y32">
            <v>2025</v>
          </cell>
          <cell r="AB32">
            <v>0.52353298533132908</v>
          </cell>
          <cell r="AC32">
            <v>0.50926548634100144</v>
          </cell>
          <cell r="AS32">
            <v>2042</v>
          </cell>
          <cell r="AT32">
            <v>216983538.14033192</v>
          </cell>
          <cell r="AU32">
            <v>2557822567.9493942</v>
          </cell>
          <cell r="AV32">
            <v>285938668.13362688</v>
          </cell>
          <cell r="AW32">
            <v>1246804329.5756557</v>
          </cell>
          <cell r="AX32">
            <v>864894761.99963272</v>
          </cell>
          <cell r="BA32">
            <v>2042</v>
          </cell>
          <cell r="BB32">
            <v>104495257.02598749</v>
          </cell>
          <cell r="BC32">
            <v>1231800020.2019124</v>
          </cell>
          <cell r="BD32">
            <v>137702771.72348338</v>
          </cell>
          <cell r="BE32">
            <v>600437894.95155871</v>
          </cell>
          <cell r="BF32">
            <v>416517313.84862584</v>
          </cell>
        </row>
        <row r="33">
          <cell r="Y33">
            <v>2026</v>
          </cell>
          <cell r="AB33">
            <v>0.57583490887154265</v>
          </cell>
          <cell r="AC33">
            <v>0.54773172580948926</v>
          </cell>
          <cell r="AS33">
            <v>2043</v>
          </cell>
          <cell r="AT33">
            <v>224440351.47799149</v>
          </cell>
          <cell r="AU33">
            <v>2645724192.2086329</v>
          </cell>
          <cell r="AV33">
            <v>295765179.82463109</v>
          </cell>
          <cell r="AW33">
            <v>1289651760.4633324</v>
          </cell>
          <cell r="AX33">
            <v>894617564.25562549</v>
          </cell>
          <cell r="BA33">
            <v>2043</v>
          </cell>
          <cell r="BB33">
            <v>105741968.0051208</v>
          </cell>
          <cell r="BC33">
            <v>1246496367.7012103</v>
          </cell>
          <cell r="BD33">
            <v>139345674.59056816</v>
          </cell>
          <cell r="BE33">
            <v>607601593.45069373</v>
          </cell>
          <cell r="BF33">
            <v>421486694.4975968</v>
          </cell>
        </row>
        <row r="34">
          <cell r="E34" t="str">
            <v>Av Gas</v>
          </cell>
          <cell r="K34" t="str">
            <v>Total</v>
          </cell>
          <cell r="Y34">
            <v>2027</v>
          </cell>
          <cell r="AB34">
            <v>0.63580337069924497</v>
          </cell>
          <cell r="AC34">
            <v>0.59340418900943592</v>
          </cell>
          <cell r="AS34">
            <v>2044</v>
          </cell>
          <cell r="AT34">
            <v>231980465.17275202</v>
          </cell>
          <cell r="AU34">
            <v>2734607768.9935665</v>
          </cell>
          <cell r="AV34">
            <v>305701463.86688673</v>
          </cell>
          <cell r="AW34">
            <v>1332977841.6983066</v>
          </cell>
          <cell r="AX34">
            <v>924672401.11270738</v>
          </cell>
          <cell r="BA34">
            <v>2044</v>
          </cell>
          <cell r="BB34">
            <v>106992621.12072712</v>
          </cell>
          <cell r="BC34">
            <v>1261239185.4798803</v>
          </cell>
          <cell r="BD34">
            <v>140993772.3644295</v>
          </cell>
          <cell r="BE34">
            <v>614787943.77339315</v>
          </cell>
          <cell r="BF34">
            <v>426471788.47309858</v>
          </cell>
        </row>
        <row r="35">
          <cell r="E35">
            <v>2019</v>
          </cell>
          <cell r="F35">
            <v>2586374.0079999999</v>
          </cell>
          <cell r="G35">
            <v>2023786.1999999997</v>
          </cell>
          <cell r="H35">
            <v>3851150.2069999999</v>
          </cell>
          <cell r="I35">
            <v>106881</v>
          </cell>
          <cell r="J35">
            <v>2084348.915</v>
          </cell>
          <cell r="K35">
            <v>10652540.329999998</v>
          </cell>
          <cell r="Y35">
            <v>2028</v>
          </cell>
          <cell r="AB35">
            <v>0.67718406017594701</v>
          </cell>
          <cell r="AC35">
            <v>0.61039690291539983</v>
          </cell>
          <cell r="AS35">
            <v>2045</v>
          </cell>
          <cell r="AT35">
            <v>239605076.908075</v>
          </cell>
          <cell r="AU35">
            <v>2824487416.7106571</v>
          </cell>
          <cell r="AV35">
            <v>315749098.55530381</v>
          </cell>
          <cell r="AW35">
            <v>1376789455.2631376</v>
          </cell>
          <cell r="AX35">
            <v>955064046.52820826</v>
          </cell>
          <cell r="BA35">
            <v>2045</v>
          </cell>
          <cell r="BB35">
            <v>108247236.31327964</v>
          </cell>
          <cell r="BC35">
            <v>1276028708.5981162</v>
          </cell>
          <cell r="BD35">
            <v>142647091.32241732</v>
          </cell>
          <cell r="BE35">
            <v>621997060.4991709</v>
          </cell>
          <cell r="BF35">
            <v>431472675.25770825</v>
          </cell>
        </row>
        <row r="36">
          <cell r="E36">
            <v>2020</v>
          </cell>
          <cell r="F36">
            <v>2066016.3920000002</v>
          </cell>
          <cell r="G36">
            <v>728798.01699999999</v>
          </cell>
          <cell r="H36">
            <v>3580917.62</v>
          </cell>
          <cell r="I36">
            <v>59592</v>
          </cell>
          <cell r="J36">
            <v>1116111.3939999999</v>
          </cell>
          <cell r="K36">
            <v>7551435.4230000004</v>
          </cell>
          <cell r="Y36">
            <v>2029</v>
          </cell>
          <cell r="AB36">
            <v>0.70390741647937061</v>
          </cell>
          <cell r="AC36">
            <v>0.80230666192096656</v>
          </cell>
          <cell r="AS36">
            <v>2046</v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BA36">
            <v>2046</v>
          </cell>
        </row>
        <row r="37">
          <cell r="E37">
            <v>2021</v>
          </cell>
          <cell r="F37">
            <v>1560487.4370000002</v>
          </cell>
          <cell r="G37">
            <v>1045164.356</v>
          </cell>
          <cell r="H37">
            <v>3469217.1899999995</v>
          </cell>
          <cell r="I37">
            <v>85076</v>
          </cell>
          <cell r="J37">
            <v>904990.27599999995</v>
          </cell>
          <cell r="K37">
            <v>7064935.2589999987</v>
          </cell>
          <cell r="Y37">
            <v>2030</v>
          </cell>
          <cell r="AB37">
            <v>0.72783518586940943</v>
          </cell>
          <cell r="AC37">
            <v>0.8048934429457979</v>
          </cell>
          <cell r="AS37">
            <v>2047</v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BA37">
            <v>2047</v>
          </cell>
        </row>
        <row r="38">
          <cell r="E38">
            <v>2022</v>
          </cell>
          <cell r="F38">
            <v>994293.46199999994</v>
          </cell>
          <cell r="G38">
            <v>259413.83500000002</v>
          </cell>
          <cell r="H38">
            <v>3028944.3930000002</v>
          </cell>
          <cell r="I38">
            <v>122727</v>
          </cell>
          <cell r="J38">
            <v>1193171</v>
          </cell>
          <cell r="K38">
            <v>5598549.6900000004</v>
          </cell>
          <cell r="Y38">
            <v>2031</v>
          </cell>
          <cell r="AB38">
            <v>0.74054409942792221</v>
          </cell>
          <cell r="AC38">
            <v>0.80746722746341559</v>
          </cell>
          <cell r="AS38">
            <v>2048</v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BA38">
            <v>2048</v>
          </cell>
        </row>
        <row r="39">
          <cell r="E39">
            <v>2023</v>
          </cell>
          <cell r="F39">
            <v>1008847.264</v>
          </cell>
          <cell r="G39">
            <v>122263.954</v>
          </cell>
          <cell r="H39">
            <v>3985103.9679999999</v>
          </cell>
          <cell r="I39">
            <v>56120</v>
          </cell>
          <cell r="J39">
            <v>722286</v>
          </cell>
          <cell r="K39">
            <v>5894621.1859999998</v>
          </cell>
          <cell r="Y39">
            <v>2032</v>
          </cell>
          <cell r="AB39">
            <v>0.75223798728402935</v>
          </cell>
          <cell r="AC39">
            <v>0.80998163767919762</v>
          </cell>
        </row>
        <row r="40">
          <cell r="Y40">
            <v>2033</v>
          </cell>
          <cell r="AB40">
            <v>0.7630335269008085</v>
          </cell>
          <cell r="AC40">
            <v>0.81243870741323476</v>
          </cell>
        </row>
        <row r="41">
          <cell r="Y41">
            <v>2034</v>
          </cell>
          <cell r="AB41">
            <v>0.77303017126550211</v>
          </cell>
          <cell r="AC41">
            <v>0.81484037861777359</v>
          </cell>
        </row>
        <row r="42">
          <cell r="Y42">
            <v>2035</v>
          </cell>
          <cell r="AB42">
            <v>0.78231321417509569</v>
          </cell>
          <cell r="AC42">
            <v>0.81718850650611952</v>
          </cell>
        </row>
        <row r="43">
          <cell r="E43" t="str">
            <v>Average</v>
          </cell>
          <cell r="F43">
            <v>4.1949906808090416E-2</v>
          </cell>
          <cell r="G43">
            <v>0.49450948803181616</v>
          </cell>
          <cell r="H43">
            <v>5.5281154431528479E-2</v>
          </cell>
          <cell r="I43">
            <v>0.24104743558838898</v>
          </cell>
          <cell r="J43">
            <v>0.16721201514017597</v>
          </cell>
          <cell r="Y43">
            <v>2036</v>
          </cell>
          <cell r="AB43">
            <v>0.79095622341795113</v>
          </cell>
          <cell r="AC43">
            <v>0.81948486434172285</v>
          </cell>
        </row>
        <row r="44">
          <cell r="E44" t="str">
            <v>Year</v>
          </cell>
          <cell r="F44" t="str">
            <v>FS, LP, MP, NW</v>
          </cell>
          <cell r="G44" t="str">
            <v>GP</v>
          </cell>
          <cell r="H44" t="str">
            <v>KZN</v>
          </cell>
          <cell r="I44" t="str">
            <v>EC</v>
          </cell>
          <cell r="J44" t="str">
            <v>NC, WC</v>
          </cell>
          <cell r="Y44">
            <v>2037</v>
          </cell>
          <cell r="AB44">
            <v>0.79902298887183298</v>
          </cell>
          <cell r="AC44">
            <v>0.82173114791342738</v>
          </cell>
        </row>
        <row r="45">
          <cell r="E45">
            <v>2019</v>
          </cell>
          <cell r="F45">
            <v>3.5350219727029474E-2</v>
          </cell>
          <cell r="G45">
            <v>0.56879597140346938</v>
          </cell>
          <cell r="H45">
            <v>3.573132306883775E-2</v>
          </cell>
          <cell r="I45">
            <v>0.20317464434965793</v>
          </cell>
          <cell r="J45">
            <v>0.15694784145100563</v>
          </cell>
          <cell r="Y45">
            <v>2038</v>
          </cell>
          <cell r="AB45">
            <v>0.80656909471508209</v>
          </cell>
          <cell r="AC45">
            <v>0.82392897972061818</v>
          </cell>
        </row>
        <row r="46">
          <cell r="E46">
            <v>2020</v>
          </cell>
          <cell r="F46">
            <v>6.7431215698815314E-2</v>
          </cell>
          <cell r="G46">
            <v>0.48342389668993629</v>
          </cell>
          <cell r="H46">
            <v>4.4087167072276987E-2</v>
          </cell>
          <cell r="I46">
            <v>0.29282703284993528</v>
          </cell>
          <cell r="J46">
            <v>0.11223068768903599</v>
          </cell>
          <cell r="Y46">
            <v>2039</v>
          </cell>
          <cell r="AB46">
            <v>0.81364319773019256</v>
          </cell>
          <cell r="AC46">
            <v>0.82607991288996996</v>
          </cell>
        </row>
        <row r="47">
          <cell r="E47">
            <v>2021</v>
          </cell>
          <cell r="F47">
            <v>6.6071460584225097E-2</v>
          </cell>
          <cell r="G47">
            <v>0.47921158748645987</v>
          </cell>
          <cell r="H47">
            <v>6.4504831548350516E-2</v>
          </cell>
          <cell r="I47">
            <v>0.24154250094842653</v>
          </cell>
          <cell r="J47">
            <v>0.14866961943253809</v>
          </cell>
          <cell r="Y47">
            <v>2040</v>
          </cell>
          <cell r="AB47">
            <v>0.82028807386293456</v>
          </cell>
          <cell r="AC47">
            <v>0.82818543484367213</v>
          </cell>
        </row>
        <row r="48">
          <cell r="E48">
            <v>2022</v>
          </cell>
          <cell r="F48">
            <v>2.1500132580953454E-2</v>
          </cell>
          <cell r="G48">
            <v>0.46360617109229657</v>
          </cell>
          <cell r="H48">
            <v>7.0256563815326356E-2</v>
          </cell>
          <cell r="I48">
            <v>0.24893771737763087</v>
          </cell>
          <cell r="J48">
            <v>0.19569941513379274</v>
          </cell>
        </row>
        <row r="49">
          <cell r="E49">
            <v>2023</v>
          </cell>
          <cell r="F49">
            <v>1.9396505449428756E-2</v>
          </cell>
          <cell r="G49">
            <v>0.47750981348691879</v>
          </cell>
          <cell r="H49">
            <v>6.1825886652850742E-2</v>
          </cell>
          <cell r="I49">
            <v>0.21875528241629424</v>
          </cell>
          <cell r="J49">
            <v>0.22251251199450739</v>
          </cell>
        </row>
        <row r="52">
          <cell r="L52" t="str">
            <v>ORT</v>
          </cell>
        </row>
        <row r="53">
          <cell r="L53" t="str">
            <v>CT</v>
          </cell>
        </row>
        <row r="54">
          <cell r="L54" t="str">
            <v>King</v>
          </cell>
        </row>
        <row r="61">
          <cell r="G61" t="str">
            <v>How The South African Aviation Market Could Double In 20 Years (simpleflying.com)</v>
          </cell>
          <cell r="H61" t="str">
            <v>iata_south-africa_report.pdf</v>
          </cell>
        </row>
        <row r="62">
          <cell r="H62" t="str">
            <v>IATA estimates that South Africa's aviation market could grow 68.4%, to 35.2m passengers, by 2037</v>
          </cell>
        </row>
        <row r="64">
          <cell r="G64" t="str">
            <v>IATA /ACI offer positive air transport forecasts, but concerns emerge about extended WHO powers | CAPA (centreforaviation.com)</v>
          </cell>
        </row>
        <row r="65">
          <cell r="G65" t="str">
            <v>IATA - Air Passenger Numbers to Recover in 2024</v>
          </cell>
        </row>
        <row r="66">
          <cell r="G66" t="str">
            <v>Air Transport - South Africa | Statista Market Forecast</v>
          </cell>
        </row>
      </sheetData>
      <sheetData sheetId="4">
        <row r="2">
          <cell r="C2" t="str">
            <v>DEMAND DIESEL</v>
          </cell>
        </row>
        <row r="6">
          <cell r="C6" t="str">
            <v>Source: DMRE - SA Fuel Sales Volume data</v>
          </cell>
        </row>
        <row r="10">
          <cell r="C10" t="str">
            <v>Year</v>
          </cell>
          <cell r="D10" t="str">
            <v>FS, LP, MP, NW</v>
          </cell>
          <cell r="E10" t="str">
            <v>GP</v>
          </cell>
          <cell r="F10" t="str">
            <v>KZN</v>
          </cell>
          <cell r="G10" t="str">
            <v>EC</v>
          </cell>
          <cell r="H10" t="str">
            <v>NC, WC</v>
          </cell>
          <cell r="I10" t="str">
            <v>Unspecified</v>
          </cell>
          <cell r="J10" t="str">
            <v>Specified Market Demand</v>
          </cell>
          <cell r="K10" t="str">
            <v>RSA Demand</v>
          </cell>
          <cell r="L10" t="str">
            <v>Specified Market Demand (excluding Power Gen)</v>
          </cell>
          <cell r="M10" t="str">
            <v>RSA Demand (excluding Power Gen)</v>
          </cell>
          <cell r="N10" t="str">
            <v>MOI</v>
          </cell>
          <cell r="BY10" t="str">
            <v>FS, LP, MP, NW</v>
          </cell>
          <cell r="BZ10" t="str">
            <v>GP</v>
          </cell>
          <cell r="CA10" t="str">
            <v>KZN</v>
          </cell>
          <cell r="CB10" t="str">
            <v>EC</v>
          </cell>
          <cell r="CC10" t="str">
            <v>NC, WC</v>
          </cell>
        </row>
        <row r="11">
          <cell r="C11">
            <v>2005</v>
          </cell>
          <cell r="D11">
            <v>2561684735</v>
          </cell>
          <cell r="E11">
            <v>1995924001</v>
          </cell>
          <cell r="F11">
            <v>1478686405</v>
          </cell>
          <cell r="G11">
            <v>562052379</v>
          </cell>
          <cell r="H11">
            <v>1518225921</v>
          </cell>
          <cell r="J11">
            <v>8116573441</v>
          </cell>
          <cell r="K11">
            <v>8116573441</v>
          </cell>
          <cell r="L11">
            <v>8116572771</v>
          </cell>
          <cell r="M11">
            <v>8116573441</v>
          </cell>
          <cell r="N11">
            <v>4557608736</v>
          </cell>
        </row>
        <row r="12">
          <cell r="C12">
            <v>2006</v>
          </cell>
          <cell r="D12">
            <v>2773361623</v>
          </cell>
          <cell r="E12">
            <v>2191690125</v>
          </cell>
          <cell r="F12">
            <v>1543595341</v>
          </cell>
          <cell r="G12">
            <v>578021606</v>
          </cell>
          <cell r="H12">
            <v>1620736569</v>
          </cell>
          <cell r="J12">
            <v>8707405264</v>
          </cell>
          <cell r="K12">
            <v>8707405264</v>
          </cell>
          <cell r="L12">
            <v>8707404594</v>
          </cell>
          <cell r="M12">
            <v>8707405264</v>
          </cell>
          <cell r="N12">
            <v>4965051748</v>
          </cell>
          <cell r="BO12">
            <v>2022</v>
          </cell>
          <cell r="BX12">
            <v>2022</v>
          </cell>
          <cell r="BY12">
            <v>3745275094.624886</v>
          </cell>
          <cell r="BZ12">
            <v>3160176404.815836</v>
          </cell>
          <cell r="CA12">
            <v>2417514296.6667304</v>
          </cell>
          <cell r="CB12">
            <v>940214473.3359139</v>
          </cell>
          <cell r="CC12">
            <v>2571859013.737082</v>
          </cell>
        </row>
        <row r="13">
          <cell r="C13">
            <v>2007</v>
          </cell>
          <cell r="D13">
            <v>3276164997</v>
          </cell>
          <cell r="E13">
            <v>2354115874</v>
          </cell>
          <cell r="F13">
            <v>1753573751</v>
          </cell>
          <cell r="G13">
            <v>645054151</v>
          </cell>
          <cell r="H13">
            <v>2112675513</v>
          </cell>
          <cell r="J13">
            <v>10141584286</v>
          </cell>
          <cell r="K13">
            <v>10141584286</v>
          </cell>
          <cell r="L13">
            <v>10141583616</v>
          </cell>
          <cell r="M13">
            <v>10141584286</v>
          </cell>
          <cell r="N13">
            <v>5630280871</v>
          </cell>
          <cell r="BO13">
            <v>2023</v>
          </cell>
          <cell r="BX13">
            <v>2023</v>
          </cell>
          <cell r="BY13">
            <v>4072538682.8744817</v>
          </cell>
          <cell r="BZ13">
            <v>3436313842.9511566</v>
          </cell>
          <cell r="CA13">
            <v>2628757632.1715932</v>
          </cell>
          <cell r="CB13">
            <v>1022370778.1450623</v>
          </cell>
          <cell r="CC13">
            <v>2796589050.3946328</v>
          </cell>
        </row>
        <row r="14">
          <cell r="C14">
            <v>2008</v>
          </cell>
          <cell r="D14">
            <v>3441505797</v>
          </cell>
          <cell r="E14">
            <v>2483421505</v>
          </cell>
          <cell r="F14">
            <v>1854159346</v>
          </cell>
          <cell r="G14">
            <v>653410080</v>
          </cell>
          <cell r="H14">
            <v>1952534227</v>
          </cell>
          <cell r="J14">
            <v>10385030955</v>
          </cell>
          <cell r="K14">
            <v>10385030955</v>
          </cell>
          <cell r="L14">
            <v>10385030285</v>
          </cell>
          <cell r="M14">
            <v>10385030955</v>
          </cell>
          <cell r="N14">
            <v>5924927302</v>
          </cell>
          <cell r="BO14">
            <v>2024</v>
          </cell>
          <cell r="BX14">
            <v>2024</v>
          </cell>
          <cell r="BY14">
            <v>3795784765.1219239</v>
          </cell>
          <cell r="BZ14">
            <v>3202795295.2543092</v>
          </cell>
          <cell r="CA14">
            <v>2450117469.3206592</v>
          </cell>
          <cell r="CB14">
            <v>952894429.29239333</v>
          </cell>
          <cell r="CC14">
            <v>2606543715.9463081</v>
          </cell>
        </row>
        <row r="15">
          <cell r="C15">
            <v>2009</v>
          </cell>
          <cell r="D15">
            <v>3225248085</v>
          </cell>
          <cell r="E15">
            <v>2266882427</v>
          </cell>
          <cell r="F15">
            <v>1685242698</v>
          </cell>
          <cell r="G15">
            <v>606533137</v>
          </cell>
          <cell r="H15">
            <v>1653224977</v>
          </cell>
          <cell r="J15">
            <v>9437131324</v>
          </cell>
          <cell r="K15">
            <v>9437131324</v>
          </cell>
          <cell r="L15">
            <v>9437130654</v>
          </cell>
          <cell r="M15">
            <v>9437131324</v>
          </cell>
          <cell r="N15">
            <v>5492130512</v>
          </cell>
          <cell r="BO15">
            <v>2025</v>
          </cell>
          <cell r="BX15">
            <v>2025</v>
          </cell>
          <cell r="BY15">
            <v>3810828769.8933954</v>
          </cell>
          <cell r="BZ15">
            <v>3215489078.1438417</v>
          </cell>
          <cell r="CA15">
            <v>2459828130.2722011</v>
          </cell>
          <cell r="CB15">
            <v>956671078.71485412</v>
          </cell>
          <cell r="CC15">
            <v>2616874348.0885882</v>
          </cell>
        </row>
        <row r="16">
          <cell r="C16">
            <v>2010</v>
          </cell>
          <cell r="D16">
            <v>3120440367</v>
          </cell>
          <cell r="E16">
            <v>2132428053</v>
          </cell>
          <cell r="F16">
            <v>1528978164</v>
          </cell>
          <cell r="G16">
            <v>567598708</v>
          </cell>
          <cell r="H16">
            <v>1330595484</v>
          </cell>
          <cell r="I16">
            <v>1771507908</v>
          </cell>
          <cell r="J16">
            <v>10451548684</v>
          </cell>
          <cell r="K16">
            <v>10451548684</v>
          </cell>
          <cell r="L16">
            <v>10451548014</v>
          </cell>
          <cell r="M16">
            <v>10451548684</v>
          </cell>
          <cell r="N16">
            <v>5252868420</v>
          </cell>
          <cell r="BO16">
            <v>2026</v>
          </cell>
          <cell r="BX16">
            <v>2026</v>
          </cell>
          <cell r="BY16">
            <v>3835036691.5012245</v>
          </cell>
          <cell r="BZ16">
            <v>3235915161.8738418</v>
          </cell>
          <cell r="CA16">
            <v>2475453950.8330202</v>
          </cell>
          <cell r="CB16">
            <v>962748239.32122111</v>
          </cell>
          <cell r="CC16">
            <v>2633497789.5763144</v>
          </cell>
        </row>
        <row r="17">
          <cell r="C17">
            <v>2011</v>
          </cell>
          <cell r="D17">
            <v>3927891713</v>
          </cell>
          <cell r="E17">
            <v>2553686142</v>
          </cell>
          <cell r="F17">
            <v>2022904184</v>
          </cell>
          <cell r="G17">
            <v>686621702</v>
          </cell>
          <cell r="H17">
            <v>2033325098</v>
          </cell>
          <cell r="I17">
            <v>245952673</v>
          </cell>
          <cell r="J17">
            <v>11470381512</v>
          </cell>
          <cell r="K17">
            <v>11470381512</v>
          </cell>
          <cell r="L17">
            <v>11470380842</v>
          </cell>
          <cell r="M17">
            <v>11470381512</v>
          </cell>
          <cell r="N17">
            <v>6481577855</v>
          </cell>
          <cell r="BO17">
            <v>2027</v>
          </cell>
          <cell r="BX17">
            <v>2027</v>
          </cell>
          <cell r="BY17">
            <v>3859981567.1256819</v>
          </cell>
          <cell r="BZ17">
            <v>3256963070.3392606</v>
          </cell>
          <cell r="CA17">
            <v>2491555463.2525611</v>
          </cell>
          <cell r="CB17">
            <v>969010404.98465645</v>
          </cell>
          <cell r="CC17">
            <v>2650627293.1776347</v>
          </cell>
        </row>
        <row r="18">
          <cell r="C18">
            <v>2012</v>
          </cell>
          <cell r="D18">
            <v>3748723420</v>
          </cell>
          <cell r="E18">
            <v>2557572436</v>
          </cell>
          <cell r="F18">
            <v>2091009369</v>
          </cell>
          <cell r="G18">
            <v>704874670</v>
          </cell>
          <cell r="H18">
            <v>2126507146</v>
          </cell>
          <cell r="I18">
            <v>434653639</v>
          </cell>
          <cell r="J18">
            <v>11663340680</v>
          </cell>
          <cell r="K18">
            <v>11663340680</v>
          </cell>
          <cell r="L18">
            <v>11663340010</v>
          </cell>
          <cell r="M18">
            <v>11198706533.658537</v>
          </cell>
          <cell r="N18">
            <v>6306295856</v>
          </cell>
          <cell r="BO18">
            <v>2028</v>
          </cell>
          <cell r="BX18">
            <v>2028</v>
          </cell>
          <cell r="BY18">
            <v>3885668164.6418042</v>
          </cell>
          <cell r="BZ18">
            <v>3278636826.562655</v>
          </cell>
          <cell r="CA18">
            <v>2508135745.1167879</v>
          </cell>
          <cell r="CB18">
            <v>975458772.63329005</v>
          </cell>
          <cell r="CC18">
            <v>2668266132.9651008</v>
          </cell>
        </row>
        <row r="19">
          <cell r="C19">
            <v>2013</v>
          </cell>
          <cell r="D19">
            <v>3868430987</v>
          </cell>
          <cell r="E19">
            <v>2806583765</v>
          </cell>
          <cell r="F19">
            <v>2255705748</v>
          </cell>
          <cell r="G19">
            <v>778599551</v>
          </cell>
          <cell r="H19">
            <v>2431727066</v>
          </cell>
          <cell r="I19">
            <v>234431</v>
          </cell>
          <cell r="J19">
            <v>12141281548</v>
          </cell>
          <cell r="K19">
            <v>12141281548</v>
          </cell>
          <cell r="L19">
            <v>12141280878</v>
          </cell>
          <cell r="M19">
            <v>11362744962.634146</v>
          </cell>
          <cell r="N19">
            <v>6675014752</v>
          </cell>
          <cell r="BO19">
            <v>2029</v>
          </cell>
          <cell r="BX19">
            <v>2029</v>
          </cell>
          <cell r="BY19">
            <v>3907885496.8856177</v>
          </cell>
          <cell r="BZ19">
            <v>3297383297.0784307</v>
          </cell>
          <cell r="CA19">
            <v>2522476672.5456696</v>
          </cell>
          <cell r="CB19">
            <v>981036215.35960031</v>
          </cell>
          <cell r="CC19">
            <v>2683522648.1071925</v>
          </cell>
        </row>
        <row r="20">
          <cell r="C20">
            <v>2014</v>
          </cell>
          <cell r="D20">
            <v>3808190495</v>
          </cell>
          <cell r="E20">
            <v>3139798587</v>
          </cell>
          <cell r="F20">
            <v>2134575495</v>
          </cell>
          <cell r="G20">
            <v>803904963</v>
          </cell>
          <cell r="H20">
            <v>2856920346</v>
          </cell>
          <cell r="I20">
            <v>-128366527</v>
          </cell>
          <cell r="J20">
            <v>12615023359</v>
          </cell>
          <cell r="K20">
            <v>12615023359</v>
          </cell>
          <cell r="L20">
            <v>12615022689</v>
          </cell>
          <cell r="M20">
            <v>11715755066.317074</v>
          </cell>
          <cell r="N20">
            <v>6947989082</v>
          </cell>
          <cell r="BO20">
            <v>2030</v>
          </cell>
          <cell r="BX20">
            <v>2030</v>
          </cell>
          <cell r="BY20">
            <v>3930854308.3341646</v>
          </cell>
          <cell r="BZ20">
            <v>3316763848.347023</v>
          </cell>
          <cell r="CA20">
            <v>2537302667.6064854</v>
          </cell>
          <cell r="CB20">
            <v>986802309.54858005</v>
          </cell>
          <cell r="CC20">
            <v>2699295199.7265787</v>
          </cell>
        </row>
        <row r="21">
          <cell r="C21">
            <v>2015</v>
          </cell>
          <cell r="D21">
            <v>3788632136</v>
          </cell>
          <cell r="E21">
            <v>3175892139</v>
          </cell>
          <cell r="F21">
            <v>2128583781</v>
          </cell>
          <cell r="G21">
            <v>925528789</v>
          </cell>
          <cell r="H21">
            <v>3473351307</v>
          </cell>
          <cell r="I21">
            <v>28151100</v>
          </cell>
          <cell r="J21">
            <v>13520139252</v>
          </cell>
          <cell r="K21">
            <v>13520139252</v>
          </cell>
          <cell r="L21">
            <v>13520138582</v>
          </cell>
          <cell r="M21">
            <v>12573980715.414635</v>
          </cell>
          <cell r="N21">
            <v>6964524275</v>
          </cell>
          <cell r="BX21">
            <v>2031</v>
          </cell>
          <cell r="BY21">
            <v>4231446164.4208169</v>
          </cell>
          <cell r="BZ21">
            <v>3570396296.454277</v>
          </cell>
          <cell r="CA21">
            <v>2731329832.8189921</v>
          </cell>
          <cell r="CB21">
            <v>1062262938.3459643</v>
          </cell>
          <cell r="CC21">
            <v>2905709910.2619729</v>
          </cell>
        </row>
        <row r="22">
          <cell r="C22">
            <v>2016</v>
          </cell>
          <cell r="D22">
            <v>3715758461.4239979</v>
          </cell>
          <cell r="E22">
            <v>2966971803.4679985</v>
          </cell>
          <cell r="F22">
            <v>2180825719.961</v>
          </cell>
          <cell r="G22">
            <v>924213368.36800003</v>
          </cell>
          <cell r="H22">
            <v>2294604685.2009997</v>
          </cell>
          <cell r="I22">
            <v>-0.4219970703125</v>
          </cell>
          <cell r="J22">
            <v>12082374038</v>
          </cell>
          <cell r="K22">
            <v>12082374038</v>
          </cell>
          <cell r="L22">
            <v>12082373368</v>
          </cell>
          <cell r="M22">
            <v>11837069159.95122</v>
          </cell>
          <cell r="N22">
            <v>6682730264.8919964</v>
          </cell>
          <cell r="BX22">
            <v>2032</v>
          </cell>
          <cell r="BY22">
            <v>4283619638.1271162</v>
          </cell>
          <cell r="BZ22">
            <v>3614419065.5161691</v>
          </cell>
          <cell r="CA22">
            <v>2765006963.4449277</v>
          </cell>
          <cell r="CB22">
            <v>1075360575.7326744</v>
          </cell>
          <cell r="CC22">
            <v>2941537136.6310306</v>
          </cell>
        </row>
        <row r="23">
          <cell r="C23">
            <v>2017</v>
          </cell>
          <cell r="D23">
            <v>3338088812.5279984</v>
          </cell>
          <cell r="E23">
            <v>3138061352.6639981</v>
          </cell>
          <cell r="F23">
            <v>2463722734.0429997</v>
          </cell>
          <cell r="G23">
            <v>933302062.08499908</v>
          </cell>
          <cell r="H23">
            <v>2271975227.8690004</v>
          </cell>
          <cell r="I23">
            <v>2094978.8110046387</v>
          </cell>
          <cell r="J23">
            <v>12147245168</v>
          </cell>
          <cell r="K23">
            <v>12147245168</v>
          </cell>
          <cell r="L23">
            <v>12147244498</v>
          </cell>
          <cell r="M23">
            <v>12116193781.414635</v>
          </cell>
          <cell r="N23">
            <v>6476150165.1919966</v>
          </cell>
          <cell r="BX23">
            <v>2033</v>
          </cell>
          <cell r="BY23">
            <v>4336559788.1778755</v>
          </cell>
          <cell r="BZ23">
            <v>3659088738.3254967</v>
          </cell>
          <cell r="CA23">
            <v>2799178971.2098765</v>
          </cell>
          <cell r="CB23">
            <v>1088650679.6745009</v>
          </cell>
          <cell r="CC23">
            <v>2977890835.2664242</v>
          </cell>
        </row>
        <row r="24">
          <cell r="C24">
            <v>2018</v>
          </cell>
          <cell r="D24">
            <v>3393595716.7230005</v>
          </cell>
          <cell r="E24">
            <v>3331480411.0499945</v>
          </cell>
          <cell r="F24">
            <v>2377859016.0549994</v>
          </cell>
          <cell r="G24">
            <v>957440361.04600012</v>
          </cell>
          <cell r="H24">
            <v>2258244927.4989977</v>
          </cell>
          <cell r="I24">
            <v>220123893.62700653</v>
          </cell>
          <cell r="J24">
            <v>12538744326</v>
          </cell>
          <cell r="K24">
            <v>12538744326</v>
          </cell>
          <cell r="L24">
            <v>12538743656</v>
          </cell>
          <cell r="M24">
            <v>12319507441.121952</v>
          </cell>
          <cell r="N24">
            <v>6725076127.772995</v>
          </cell>
          <cell r="BX24">
            <v>2034</v>
          </cell>
          <cell r="BY24">
            <v>4390271831.9204617</v>
          </cell>
          <cell r="BZ24">
            <v>3704409717.1591649</v>
          </cell>
          <cell r="CA24">
            <v>2833849223.8269</v>
          </cell>
          <cell r="CB24">
            <v>1102134559.9351816</v>
          </cell>
          <cell r="CC24">
            <v>3014774588.8907886</v>
          </cell>
        </row>
        <row r="25">
          <cell r="C25">
            <v>2019</v>
          </cell>
          <cell r="D25">
            <v>3282239574.9630003</v>
          </cell>
          <cell r="E25">
            <v>3576422579.4919953</v>
          </cell>
          <cell r="F25">
            <v>2578384419.3620009</v>
          </cell>
          <cell r="G25">
            <v>996682762.8459996</v>
          </cell>
          <cell r="H25">
            <v>2474901895.5539989</v>
          </cell>
          <cell r="I25">
            <v>0.7830047607421875</v>
          </cell>
          <cell r="J25">
            <v>12908631233</v>
          </cell>
          <cell r="K25">
            <v>12908631233</v>
          </cell>
          <cell r="L25">
            <v>12908630563</v>
          </cell>
          <cell r="M25">
            <v>12384545702.512196</v>
          </cell>
          <cell r="N25">
            <v>6858662154.4549961</v>
          </cell>
          <cell r="BX25">
            <v>2035</v>
          </cell>
          <cell r="BY25">
            <v>4444761063.3698854</v>
          </cell>
          <cell r="BZ25">
            <v>3750386468.984457</v>
          </cell>
          <cell r="CA25">
            <v>2869021138.4967775</v>
          </cell>
          <cell r="CB25">
            <v>1115813545.5251119</v>
          </cell>
          <cell r="CC25">
            <v>3052192032.8739896</v>
          </cell>
        </row>
        <row r="26">
          <cell r="C26">
            <v>2020</v>
          </cell>
          <cell r="D26">
            <v>2990303009.3799973</v>
          </cell>
          <cell r="E26">
            <v>2961243839.2029977</v>
          </cell>
          <cell r="F26">
            <v>2612166763.1310015</v>
          </cell>
          <cell r="G26">
            <v>934970510.45799994</v>
          </cell>
          <cell r="H26">
            <v>2191273637.1240005</v>
          </cell>
          <cell r="I26">
            <v>-1.2959957122802734</v>
          </cell>
          <cell r="J26">
            <v>11689957758</v>
          </cell>
          <cell r="K26">
            <v>11689957758</v>
          </cell>
          <cell r="L26">
            <v>11689957088</v>
          </cell>
          <cell r="M26">
            <v>11223521838</v>
          </cell>
          <cell r="N26">
            <v>5951546848.5829945</v>
          </cell>
          <cell r="BX26">
            <v>2036</v>
          </cell>
          <cell r="BY26">
            <v>4500032853.7305183</v>
          </cell>
          <cell r="BZ26">
            <v>3797023525.8992562</v>
          </cell>
          <cell r="CA26">
            <v>2904698182.2447696</v>
          </cell>
          <cell r="CB26">
            <v>1129688984.8323174</v>
          </cell>
          <cell r="CC26">
            <v>3090146855.5913897</v>
          </cell>
        </row>
        <row r="27">
          <cell r="C27">
            <v>2021</v>
          </cell>
          <cell r="D27">
            <v>3011925069.4470029</v>
          </cell>
          <cell r="E27">
            <v>3216385927.8010006</v>
          </cell>
          <cell r="F27">
            <v>2726338515.777</v>
          </cell>
          <cell r="G27">
            <v>1034538734.9290001</v>
          </cell>
          <cell r="H27">
            <v>2955829764.3099999</v>
          </cell>
          <cell r="I27">
            <v>764738.73599624634</v>
          </cell>
          <cell r="J27">
            <v>12945782751</v>
          </cell>
          <cell r="K27">
            <v>12945782751</v>
          </cell>
          <cell r="L27">
            <v>12945782081</v>
          </cell>
          <cell r="M27">
            <v>12162482006.609756</v>
          </cell>
          <cell r="N27">
            <v>6228310997.248003</v>
          </cell>
          <cell r="BX27">
            <v>2037</v>
          </cell>
          <cell r="BY27">
            <v>4556092651.9255047</v>
          </cell>
          <cell r="BZ27">
            <v>3844325485.5787435</v>
          </cell>
          <cell r="CA27">
            <v>2940883872.2623425</v>
          </cell>
          <cell r="CB27">
            <v>1143762245.7553566</v>
          </cell>
          <cell r="CC27">
            <v>3128642798.7873855</v>
          </cell>
        </row>
        <row r="28">
          <cell r="C28">
            <v>2022</v>
          </cell>
          <cell r="D28">
            <v>2785140647.2344275</v>
          </cell>
          <cell r="E28">
            <v>3248342541.2938986</v>
          </cell>
          <cell r="F28">
            <v>2848841330.4066877</v>
          </cell>
          <cell r="G28">
            <v>1022596410.1786386</v>
          </cell>
          <cell r="H28">
            <v>2812405389.8523436</v>
          </cell>
          <cell r="J28">
            <v>12717326318.965996</v>
          </cell>
          <cell r="K28">
            <v>12717326318.965996</v>
          </cell>
          <cell r="L28">
            <v>12717325648.965996</v>
          </cell>
          <cell r="M28">
            <v>11834466106.526972</v>
          </cell>
          <cell r="N28">
            <v>6033483188.528326</v>
          </cell>
          <cell r="BX28">
            <v>2038</v>
          </cell>
          <cell r="BY28">
            <v>4612945985.1338816</v>
          </cell>
          <cell r="BZ28">
            <v>3892297011.7286105</v>
          </cell>
          <cell r="CA28">
            <v>2977581776.253871</v>
          </cell>
          <cell r="CB28">
            <v>1158034715.8381608</v>
          </cell>
          <cell r="CC28">
            <v>3167683657.9442496</v>
          </cell>
        </row>
        <row r="29">
          <cell r="C29">
            <v>2023</v>
          </cell>
          <cell r="D29">
            <v>2641144894</v>
          </cell>
          <cell r="E29">
            <v>3417942901.6125836</v>
          </cell>
          <cell r="F29">
            <v>2509965184.7078977</v>
          </cell>
          <cell r="G29">
            <v>999188253.98923349</v>
          </cell>
          <cell r="H29">
            <v>3339258732</v>
          </cell>
          <cell r="J29">
            <v>12907499966.309713</v>
          </cell>
          <cell r="K29">
            <v>12907499966.309713</v>
          </cell>
          <cell r="L29">
            <v>12907499296.309713</v>
          </cell>
          <cell r="M29">
            <v>11876206427.595747</v>
          </cell>
          <cell r="N29">
            <v>6059087795.6125832</v>
          </cell>
          <cell r="BX29">
            <v>2039</v>
          </cell>
          <cell r="BY29">
            <v>4670598459.3354664</v>
          </cell>
          <cell r="BZ29">
            <v>3940942834.5448251</v>
          </cell>
          <cell r="CA29">
            <v>3014795512.7883568</v>
          </cell>
          <cell r="CB29">
            <v>1172507802.4068217</v>
          </cell>
          <cell r="CC29">
            <v>3207273282.656301</v>
          </cell>
        </row>
        <row r="30">
          <cell r="C30">
            <v>2024</v>
          </cell>
          <cell r="D30">
            <v>2727642199.7399998</v>
          </cell>
          <cell r="E30">
            <v>3848659064.3996534</v>
          </cell>
          <cell r="F30">
            <v>2584973926.8580599</v>
          </cell>
          <cell r="G30">
            <v>910910028.27969444</v>
          </cell>
          <cell r="H30">
            <v>940815012.05999994</v>
          </cell>
          <cell r="J30">
            <v>11013000231.337406</v>
          </cell>
          <cell r="BX30">
            <v>2040</v>
          </cell>
          <cell r="BY30">
            <v>4729055759.8635826</v>
          </cell>
          <cell r="BZ30">
            <v>3990267751.1800032</v>
          </cell>
          <cell r="CA30">
            <v>3052528751.6561999</v>
          </cell>
          <cell r="CB30">
            <v>1187182932.7083483</v>
          </cell>
          <cell r="CC30">
            <v>3247415577.0094562</v>
          </cell>
        </row>
        <row r="31">
          <cell r="BX31">
            <v>2041</v>
          </cell>
          <cell r="BY31">
            <v>4788323651.9656506</v>
          </cell>
          <cell r="BZ31">
            <v>4040276626.2164268</v>
          </cell>
          <cell r="CA31">
            <v>3090785214.2310543</v>
          </cell>
          <cell r="CB31">
            <v>1202061554.0513971</v>
          </cell>
          <cell r="CC31">
            <v>3288114499.9661865</v>
          </cell>
        </row>
        <row r="32">
          <cell r="C32" t="str">
            <v>Average</v>
          </cell>
          <cell r="D32">
            <v>0.29014613579718906</v>
          </cell>
          <cell r="E32">
            <v>0.24413814047379609</v>
          </cell>
          <cell r="F32">
            <v>0.1857404797138032</v>
          </cell>
          <cell r="G32">
            <v>6.9576139326654032E-2</v>
          </cell>
          <cell r="H32">
            <v>0.19787704939827919</v>
          </cell>
          <cell r="I32">
            <v>1.252205529027843E-2</v>
          </cell>
          <cell r="J32">
            <v>1</v>
          </cell>
          <cell r="BX32">
            <v>2042</v>
          </cell>
          <cell r="BY32">
            <v>4848407981.3717213</v>
          </cell>
          <cell r="BZ32">
            <v>4090974392.1457582</v>
          </cell>
          <cell r="CA32">
            <v>3129568673.8368049</v>
          </cell>
          <cell r="CB32">
            <v>1217145133.9489982</v>
          </cell>
          <cell r="CC32">
            <v>3329374065.7559271</v>
          </cell>
        </row>
        <row r="33">
          <cell r="C33">
            <v>2005</v>
          </cell>
          <cell r="D33">
            <v>0.31561160058749971</v>
          </cell>
          <cell r="E33">
            <v>0.24590721879232977</v>
          </cell>
          <cell r="F33">
            <v>0.18218111568245957</v>
          </cell>
          <cell r="G33">
            <v>6.9247495027994529E-2</v>
          </cell>
          <cell r="H33">
            <v>0.18705256990971642</v>
          </cell>
          <cell r="I33">
            <v>0</v>
          </cell>
          <cell r="J33">
            <v>1</v>
          </cell>
          <cell r="BX33">
            <v>2043</v>
          </cell>
          <cell r="BY33">
            <v>4909314674.871007</v>
          </cell>
          <cell r="BZ33">
            <v>4142366049.8555026</v>
          </cell>
          <cell r="CA33">
            <v>3168882956.1197114</v>
          </cell>
          <cell r="CB33">
            <v>1232435160.2632866</v>
          </cell>
          <cell r="CC33">
            <v>3371198344.2709737</v>
          </cell>
        </row>
        <row r="34">
          <cell r="C34">
            <v>2006</v>
          </cell>
          <cell r="D34">
            <v>0.31850609210371994</v>
          </cell>
          <cell r="E34">
            <v>0.2517041596836373</v>
          </cell>
          <cell r="F34">
            <v>0.17727385991574998</v>
          </cell>
          <cell r="G34">
            <v>6.638276139388842E-2</v>
          </cell>
          <cell r="H34">
            <v>0.18613312690300435</v>
          </cell>
          <cell r="I34">
            <v>0</v>
          </cell>
          <cell r="J34">
            <v>1</v>
          </cell>
          <cell r="BX34">
            <v>2044</v>
          </cell>
          <cell r="BY34">
            <v>4971049740.8964453</v>
          </cell>
          <cell r="BZ34">
            <v>4194456669.1222506</v>
          </cell>
          <cell r="CA34">
            <v>3208731939.4257321</v>
          </cell>
          <cell r="CB34">
            <v>1247933141.3522508</v>
          </cell>
          <cell r="CC34">
            <v>3413591461.4679041</v>
          </cell>
        </row>
        <row r="35">
          <cell r="C35">
            <v>2007</v>
          </cell>
          <cell r="D35">
            <v>0.32304272238042708</v>
          </cell>
          <cell r="E35">
            <v>0.23212506129340668</v>
          </cell>
          <cell r="F35">
            <v>0.17290925180405289</v>
          </cell>
          <cell r="G35">
            <v>6.3604870088243337E-2</v>
          </cell>
          <cell r="H35">
            <v>0.20831809443387</v>
          </cell>
          <cell r="I35">
            <v>0</v>
          </cell>
          <cell r="J35">
            <v>1</v>
          </cell>
          <cell r="BX35">
            <v>2045</v>
          </cell>
          <cell r="BY35">
            <v>5033619270.1173878</v>
          </cell>
          <cell r="BZ35">
            <v>4247251389.1117744</v>
          </cell>
          <cell r="CA35">
            <v>3249119555.1830964</v>
          </cell>
          <cell r="CB35">
            <v>1263640606.218523</v>
          </cell>
          <cell r="CC35">
            <v>3456557599.7745709</v>
          </cell>
        </row>
        <row r="36">
          <cell r="C36">
            <v>2008</v>
          </cell>
          <cell r="D36">
            <v>0.33139100036510194</v>
          </cell>
          <cell r="E36">
            <v>0.23913472340728328</v>
          </cell>
          <cell r="F36">
            <v>0.178541532907737</v>
          </cell>
          <cell r="G36">
            <v>6.2918452803013336E-2</v>
          </cell>
          <cell r="H36">
            <v>0.18801429051686441</v>
          </cell>
          <cell r="I36">
            <v>0</v>
          </cell>
          <cell r="J36">
            <v>1</v>
          </cell>
          <cell r="BX36">
            <v>2046</v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</row>
        <row r="37">
          <cell r="C37">
            <v>2009</v>
          </cell>
          <cell r="D37">
            <v>0.3417614923719165</v>
          </cell>
          <cell r="E37">
            <v>0.24020884622374467</v>
          </cell>
          <cell r="F37">
            <v>0.17857573876440422</v>
          </cell>
          <cell r="G37">
            <v>6.4270922611567124E-2</v>
          </cell>
          <cell r="H37">
            <v>0.17518300002836751</v>
          </cell>
          <cell r="I37">
            <v>0</v>
          </cell>
          <cell r="J37">
            <v>1</v>
          </cell>
          <cell r="BX37">
            <v>2047</v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</row>
        <row r="38">
          <cell r="C38">
            <v>2010</v>
          </cell>
          <cell r="D38">
            <v>0.29856248689507614</v>
          </cell>
          <cell r="E38">
            <v>0.20402986365690262</v>
          </cell>
          <cell r="F38">
            <v>0.14629201951101012</v>
          </cell>
          <cell r="G38">
            <v>5.4307617479591508E-2</v>
          </cell>
          <cell r="H38">
            <v>0.12731084399357709</v>
          </cell>
          <cell r="I38">
            <v>0.16949716846384255</v>
          </cell>
          <cell r="J38">
            <v>1</v>
          </cell>
          <cell r="BX38">
            <v>2048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</row>
        <row r="39">
          <cell r="C39">
            <v>2011</v>
          </cell>
          <cell r="D39">
            <v>0.34243775665968451</v>
          </cell>
          <cell r="E39">
            <v>0.22263306057679105</v>
          </cell>
          <cell r="F39">
            <v>0.17635892772038078</v>
          </cell>
          <cell r="G39">
            <v>5.9860406672757584E-2</v>
          </cell>
          <cell r="H39">
            <v>0.17726743403197101</v>
          </cell>
          <cell r="I39">
            <v>2.1442414338415077E-2</v>
          </cell>
          <cell r="J39">
            <v>1</v>
          </cell>
        </row>
        <row r="40">
          <cell r="C40">
            <v>2012</v>
          </cell>
          <cell r="D40">
            <v>0.32141077954005198</v>
          </cell>
          <cell r="E40">
            <v>0.21928300871684733</v>
          </cell>
          <cell r="F40">
            <v>0.17928048458582793</v>
          </cell>
          <cell r="G40">
            <v>6.0435057959740572E-2</v>
          </cell>
          <cell r="H40">
            <v>0.18232401885048941</v>
          </cell>
          <cell r="I40">
            <v>3.7266650347042768E-2</v>
          </cell>
          <cell r="J40">
            <v>1</v>
          </cell>
        </row>
        <row r="41">
          <cell r="C41">
            <v>2013</v>
          </cell>
          <cell r="D41">
            <v>0.3186180117565296</v>
          </cell>
          <cell r="E41">
            <v>0.23116042189651065</v>
          </cell>
          <cell r="F41">
            <v>0.18578810968860007</v>
          </cell>
          <cell r="G41">
            <v>6.4128283980718376E-2</v>
          </cell>
          <cell r="H41">
            <v>0.20028586408990506</v>
          </cell>
          <cell r="I41">
            <v>1.9308587736244136E-5</v>
          </cell>
          <cell r="J41">
            <v>1</v>
          </cell>
        </row>
        <row r="42">
          <cell r="C42">
            <v>2014</v>
          </cell>
          <cell r="D42">
            <v>0.30187740336470353</v>
          </cell>
          <cell r="E42">
            <v>0.24889360072091801</v>
          </cell>
          <cell r="F42">
            <v>0.16920900059032543</v>
          </cell>
          <cell r="G42">
            <v>6.3725998765310723E-2</v>
          </cell>
          <cell r="H42">
            <v>0.22646968338443646</v>
          </cell>
          <cell r="I42">
            <v>-1.0175686825694129E-2</v>
          </cell>
          <cell r="J42">
            <v>1</v>
          </cell>
        </row>
        <row r="43">
          <cell r="C43">
            <v>2015</v>
          </cell>
          <cell r="D43">
            <v>0.2802213842168495</v>
          </cell>
          <cell r="E43">
            <v>0.23490084530972552</v>
          </cell>
          <cell r="F43">
            <v>0.15743800720729439</v>
          </cell>
          <cell r="G43">
            <v>6.8455566303659843E-2</v>
          </cell>
          <cell r="H43">
            <v>0.25690203645544524</v>
          </cell>
          <cell r="I43">
            <v>2.0821605070255236E-3</v>
          </cell>
          <cell r="J43">
            <v>1</v>
          </cell>
        </row>
        <row r="44">
          <cell r="C44">
            <v>2016</v>
          </cell>
          <cell r="D44">
            <v>0.30753546031083379</v>
          </cell>
          <cell r="E44">
            <v>0.24556198923627451</v>
          </cell>
          <cell r="F44">
            <v>0.18049645815484064</v>
          </cell>
          <cell r="G44">
            <v>7.6492696341073169E-2</v>
          </cell>
          <cell r="H44">
            <v>0.18991339599190446</v>
          </cell>
          <cell r="I44">
            <v>-3.4926668300889098E-11</v>
          </cell>
          <cell r="J44">
            <v>1</v>
          </cell>
        </row>
        <row r="45">
          <cell r="C45">
            <v>2017</v>
          </cell>
          <cell r="D45">
            <v>0.27480212726105724</v>
          </cell>
          <cell r="E45">
            <v>0.25833522821542498</v>
          </cell>
          <cell r="F45">
            <v>0.20282152043273879</v>
          </cell>
          <cell r="G45">
            <v>7.6832405140190643E-2</v>
          </cell>
          <cell r="H45">
            <v>0.18703625360704504</v>
          </cell>
          <cell r="I45">
            <v>1.7246534354336813E-4</v>
          </cell>
          <cell r="J45">
            <v>1</v>
          </cell>
        </row>
        <row r="46">
          <cell r="C46">
            <v>2018</v>
          </cell>
          <cell r="D46">
            <v>0.27064876900680818</v>
          </cell>
          <cell r="E46">
            <v>0.26569489930039702</v>
          </cell>
          <cell r="F46">
            <v>0.18964092051261747</v>
          </cell>
          <cell r="G46">
            <v>7.6358552033051488E-2</v>
          </cell>
          <cell r="H46">
            <v>0.18010136173016641</v>
          </cell>
          <cell r="I46">
            <v>1.7555497416959335E-2</v>
          </cell>
          <cell r="J46">
            <v>1</v>
          </cell>
        </row>
        <row r="47">
          <cell r="C47">
            <v>2019</v>
          </cell>
          <cell r="D47">
            <v>0.25426704936555844</v>
          </cell>
          <cell r="E47">
            <v>0.27705668516961929</v>
          </cell>
          <cell r="F47">
            <v>0.19974111684053256</v>
          </cell>
          <cell r="G47">
            <v>7.7210569025943726E-2</v>
          </cell>
          <cell r="H47">
            <v>0.19172457953768854</v>
          </cell>
          <cell r="I47">
            <v>6.0657458301271425E-11</v>
          </cell>
          <cell r="J47">
            <v>1</v>
          </cell>
        </row>
        <row r="48">
          <cell r="C48">
            <v>2020</v>
          </cell>
          <cell r="D48">
            <v>0.25580101068659461</v>
          </cell>
          <cell r="E48">
            <v>0.25331518731763392</v>
          </cell>
          <cell r="F48">
            <v>0.22345390951848138</v>
          </cell>
          <cell r="G48">
            <v>7.9980657741740319E-2</v>
          </cell>
          <cell r="H48">
            <v>0.18744923484641393</v>
          </cell>
          <cell r="I48">
            <v>-1.1086402013671618E-10</v>
          </cell>
          <cell r="J48">
            <v>1</v>
          </cell>
        </row>
        <row r="49">
          <cell r="C49">
            <v>2021</v>
          </cell>
          <cell r="D49">
            <v>0.23265685261204819</v>
          </cell>
          <cell r="E49">
            <v>0.24845047917651408</v>
          </cell>
          <cell r="F49">
            <v>0.2105966528417452</v>
          </cell>
          <cell r="G49">
            <v>7.9913185230077108E-2</v>
          </cell>
          <cell r="H49">
            <v>0.22832375771806276</v>
          </cell>
          <cell r="I49">
            <v>5.9072421552661532E-5</v>
          </cell>
          <cell r="J49">
            <v>1</v>
          </cell>
        </row>
        <row r="50">
          <cell r="C50">
            <v>2022</v>
          </cell>
          <cell r="D50">
            <v>0.21900363153226676</v>
          </cell>
          <cell r="E50">
            <v>0.25542653068903959</v>
          </cell>
          <cell r="F50">
            <v>0.22401259973631923</v>
          </cell>
          <cell r="G50">
            <v>8.0409701263510755E-2</v>
          </cell>
          <cell r="H50">
            <v>0.22114753677886367</v>
          </cell>
          <cell r="I50">
            <v>0</v>
          </cell>
          <cell r="J50">
            <v>1</v>
          </cell>
        </row>
        <row r="51">
          <cell r="C51">
            <v>2023</v>
          </cell>
          <cell r="D51">
            <v>0.20462094912986545</v>
          </cell>
          <cell r="E51">
            <v>0.26480285961912592</v>
          </cell>
          <cell r="F51">
            <v>0.19445788814714232</v>
          </cell>
          <cell r="G51">
            <v>7.7411447344353845E-2</v>
          </cell>
          <cell r="H51">
            <v>0.25870685575951252</v>
          </cell>
          <cell r="I51">
            <v>0</v>
          </cell>
          <cell r="J51">
            <v>1</v>
          </cell>
        </row>
      </sheetData>
      <sheetData sheetId="5">
        <row r="2">
          <cell r="C2" t="str">
            <v>DEMAND GASOLINE</v>
          </cell>
        </row>
        <row r="6">
          <cell r="C6" t="str">
            <v>Source: DMRE - SA Fuel Sales Volume data</v>
          </cell>
          <cell r="T6" t="str">
            <v>RSA Other Self Propelled Demand</v>
          </cell>
          <cell r="X6" t="str">
            <v>Source: DMRE - NaTIS – Live Vehicle Population</v>
          </cell>
        </row>
        <row r="7">
          <cell r="X7" t="str">
            <v>OSP - Other Self Propelled</v>
          </cell>
          <cell r="Z7" t="str">
            <v>OSP - Jet skis, lawn mowers, golf carts, snowmobiles, tractors</v>
          </cell>
        </row>
        <row r="8">
          <cell r="F8">
            <v>0.21914422209235521</v>
          </cell>
        </row>
        <row r="9">
          <cell r="C9" t="str">
            <v>Year</v>
          </cell>
          <cell r="D9" t="str">
            <v>FS, LP, MP, NW</v>
          </cell>
          <cell r="E9" t="str">
            <v>GP</v>
          </cell>
          <cell r="F9" t="str">
            <v>KZN</v>
          </cell>
          <cell r="G9" t="str">
            <v>EC</v>
          </cell>
          <cell r="H9" t="str">
            <v>NC, WC</v>
          </cell>
          <cell r="I9" t="str">
            <v>Unspecified</v>
          </cell>
          <cell r="J9" t="str">
            <v>Specified Market Demand</v>
          </cell>
          <cell r="K9" t="str">
            <v>RSA Demand</v>
          </cell>
          <cell r="L9" t="str">
            <v>Specified Market Demand</v>
          </cell>
          <cell r="M9" t="str">
            <v>RSA Demand</v>
          </cell>
          <cell r="N9" t="str">
            <v>ULP (Constant 2015)</v>
          </cell>
          <cell r="O9" t="str">
            <v>MOI</v>
          </cell>
          <cell r="S9" t="str">
            <v>Year</v>
          </cell>
          <cell r="T9" t="str">
            <v>RSA incl. OSP</v>
          </cell>
          <cell r="U9" t="str">
            <v>Specified Market incl. OSP</v>
          </cell>
          <cell r="V9" t="str">
            <v>RSA excl. OSP</v>
          </cell>
          <cell r="W9" t="str">
            <v>Specified Market excl. OSP</v>
          </cell>
          <cell r="X9" t="str">
            <v>RSA incl. OSP Demand/#Vehicles</v>
          </cell>
          <cell r="Y9" t="str">
            <v>Specified Market incl. OSP Demand/#Vehicles</v>
          </cell>
          <cell r="Z9" t="str">
            <v>RSA excl. OSP Demand/#Vehicles</v>
          </cell>
          <cell r="AA9" t="str">
            <v>Specified Market excl. OSP Demand/#Vehicles</v>
          </cell>
        </row>
        <row r="10">
          <cell r="C10">
            <v>2005</v>
          </cell>
          <cell r="E10">
            <v>4148248751</v>
          </cell>
          <cell r="F10">
            <v>1749328083</v>
          </cell>
          <cell r="G10">
            <v>820530839</v>
          </cell>
          <cell r="H10">
            <v>1954870759</v>
          </cell>
          <cell r="J10">
            <v>8672978432</v>
          </cell>
          <cell r="K10">
            <v>8672978432</v>
          </cell>
          <cell r="L10">
            <v>8.6729784320000007</v>
          </cell>
          <cell r="M10">
            <v>8.6729784320000007</v>
          </cell>
          <cell r="N10">
            <v>0</v>
          </cell>
          <cell r="S10">
            <v>2005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BL10" t="str">
            <v>FS, LP, MP, NW</v>
          </cell>
          <cell r="BM10" t="str">
            <v>GP</v>
          </cell>
          <cell r="BN10" t="str">
            <v>KZN</v>
          </cell>
          <cell r="BO10" t="str">
            <v>EC</v>
          </cell>
          <cell r="BP10" t="str">
            <v>NC, WC</v>
          </cell>
        </row>
        <row r="11">
          <cell r="C11">
            <v>2006</v>
          </cell>
          <cell r="D11">
            <v>2556539703</v>
          </cell>
          <cell r="E11">
            <v>4154681560</v>
          </cell>
          <cell r="F11">
            <v>1780948057</v>
          </cell>
          <cell r="G11">
            <v>818104802</v>
          </cell>
          <cell r="H11">
            <v>1968138131</v>
          </cell>
          <cell r="J11">
            <v>11278412253</v>
          </cell>
          <cell r="K11">
            <v>11278412253</v>
          </cell>
          <cell r="L11">
            <v>11.278412253000001</v>
          </cell>
          <cell r="M11">
            <v>11.278412253000001</v>
          </cell>
          <cell r="N11">
            <v>0</v>
          </cell>
          <cell r="O11">
            <v>8492169320</v>
          </cell>
          <cell r="S11">
            <v>2006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C12">
            <v>2007</v>
          </cell>
          <cell r="D12">
            <v>2712752786</v>
          </cell>
          <cell r="E12">
            <v>4217140874</v>
          </cell>
          <cell r="F12">
            <v>1803123147</v>
          </cell>
          <cell r="G12">
            <v>837175350</v>
          </cell>
          <cell r="H12">
            <v>1998621179</v>
          </cell>
          <cell r="J12">
            <v>11568813336</v>
          </cell>
          <cell r="K12">
            <v>11568813336</v>
          </cell>
          <cell r="L12">
            <v>11.568813336</v>
          </cell>
          <cell r="M12">
            <v>11.568813336</v>
          </cell>
          <cell r="N12">
            <v>0</v>
          </cell>
          <cell r="O12">
            <v>8733016807</v>
          </cell>
          <cell r="S12">
            <v>2007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BC12">
            <v>2022</v>
          </cell>
          <cell r="BK12">
            <v>2022</v>
          </cell>
          <cell r="BL12">
            <v>2025663214.9680254</v>
          </cell>
          <cell r="BM12">
            <v>3410941667.9379225</v>
          </cell>
          <cell r="BN12">
            <v>1481258428.1676416</v>
          </cell>
          <cell r="BO12">
            <v>702727710.90314686</v>
          </cell>
          <cell r="BP12">
            <v>1564278893.069257</v>
          </cell>
        </row>
        <row r="13">
          <cell r="C13">
            <v>2008</v>
          </cell>
          <cell r="D13">
            <v>2585172737</v>
          </cell>
          <cell r="E13">
            <v>4072826682</v>
          </cell>
          <cell r="F13">
            <v>1721412398</v>
          </cell>
          <cell r="G13">
            <v>802512954</v>
          </cell>
          <cell r="H13">
            <v>1905013636</v>
          </cell>
          <cell r="J13">
            <v>11086938407</v>
          </cell>
          <cell r="K13">
            <v>11086938407</v>
          </cell>
          <cell r="L13">
            <v>11.086938407</v>
          </cell>
          <cell r="M13">
            <v>11.086938407</v>
          </cell>
          <cell r="N13">
            <v>13.716001529983394</v>
          </cell>
          <cell r="O13">
            <v>8379411817</v>
          </cell>
          <cell r="S13">
            <v>2008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BC13">
            <v>2023</v>
          </cell>
          <cell r="BK13">
            <v>2023</v>
          </cell>
          <cell r="BL13">
            <v>2008606730.3631623</v>
          </cell>
          <cell r="BM13">
            <v>3382220864.9844127</v>
          </cell>
          <cell r="BN13">
            <v>1468785939.4591651</v>
          </cell>
          <cell r="BO13">
            <v>696810604.69622016</v>
          </cell>
          <cell r="BP13">
            <v>1551107355.6388509</v>
          </cell>
        </row>
        <row r="14">
          <cell r="C14">
            <v>2009</v>
          </cell>
          <cell r="D14">
            <v>2673513957</v>
          </cell>
          <cell r="E14">
            <v>4120606012</v>
          </cell>
          <cell r="F14">
            <v>1779151795</v>
          </cell>
          <cell r="G14">
            <v>833771005</v>
          </cell>
          <cell r="H14">
            <v>1914143449</v>
          </cell>
          <cell r="J14">
            <v>11321186218</v>
          </cell>
          <cell r="K14">
            <v>11321186218</v>
          </cell>
          <cell r="L14">
            <v>11.321186217999999</v>
          </cell>
          <cell r="M14">
            <v>11.321186217999999</v>
          </cell>
          <cell r="N14">
            <v>10.11640329174644</v>
          </cell>
          <cell r="O14">
            <v>8573271764</v>
          </cell>
          <cell r="S14">
            <v>2009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BC14">
            <v>2024</v>
          </cell>
          <cell r="BK14">
            <v>2024</v>
          </cell>
          <cell r="BL14">
            <v>1995719627.8740299</v>
          </cell>
          <cell r="BM14">
            <v>3360520735.1038089</v>
          </cell>
          <cell r="BN14">
            <v>1459362295.3728065</v>
          </cell>
          <cell r="BO14">
            <v>692339908.89375675</v>
          </cell>
          <cell r="BP14">
            <v>1541155542.1944387</v>
          </cell>
        </row>
        <row r="15">
          <cell r="C15">
            <v>2010</v>
          </cell>
          <cell r="D15">
            <v>2224878210</v>
          </cell>
          <cell r="E15">
            <v>3578886698</v>
          </cell>
          <cell r="F15">
            <v>1556260857</v>
          </cell>
          <cell r="G15">
            <v>721058892</v>
          </cell>
          <cell r="H15">
            <v>1651981670</v>
          </cell>
          <cell r="I15">
            <v>2055168343</v>
          </cell>
          <cell r="J15">
            <v>11788234670</v>
          </cell>
          <cell r="K15">
            <v>11788234670</v>
          </cell>
          <cell r="L15">
            <v>11.78823467</v>
          </cell>
          <cell r="M15">
            <v>11.78823467</v>
          </cell>
          <cell r="N15">
            <v>10.569258156805544</v>
          </cell>
          <cell r="O15">
            <v>7360025765</v>
          </cell>
          <cell r="S15">
            <v>2010</v>
          </cell>
          <cell r="T15">
            <v>6876451.0999999996</v>
          </cell>
          <cell r="U15">
            <v>5100195.55</v>
          </cell>
          <cell r="V15">
            <v>6659986.0999999996</v>
          </cell>
          <cell r="W15">
            <v>4935390.55</v>
          </cell>
          <cell r="X15">
            <v>1714.2904819027945</v>
          </cell>
          <cell r="Y15">
            <v>2311.3299391040018</v>
          </cell>
          <cell r="Z15">
            <v>1770.0088998684248</v>
          </cell>
          <cell r="AA15">
            <v>2388.5110105420126</v>
          </cell>
          <cell r="BC15">
            <v>2025</v>
          </cell>
          <cell r="BK15">
            <v>2025</v>
          </cell>
          <cell r="BL15">
            <v>1981065348.0019791</v>
          </cell>
          <cell r="BM15">
            <v>3335844918.5811734</v>
          </cell>
          <cell r="BN15">
            <v>1448646409.6279268</v>
          </cell>
          <cell r="BO15">
            <v>687256157.32373917</v>
          </cell>
          <cell r="BP15">
            <v>1529839060.4971883</v>
          </cell>
        </row>
        <row r="16">
          <cell r="C16">
            <v>2011</v>
          </cell>
          <cell r="D16">
            <v>2931673528</v>
          </cell>
          <cell r="E16">
            <v>4180621463</v>
          </cell>
          <cell r="F16">
            <v>1907556048</v>
          </cell>
          <cell r="G16">
            <v>867235532</v>
          </cell>
          <cell r="H16">
            <v>2076224343</v>
          </cell>
          <cell r="I16">
            <v>315003793</v>
          </cell>
          <cell r="J16">
            <v>12278314707</v>
          </cell>
          <cell r="K16">
            <v>12278314707</v>
          </cell>
          <cell r="L16">
            <v>12.278314707</v>
          </cell>
          <cell r="M16">
            <v>12.278314707</v>
          </cell>
          <cell r="N16">
            <v>12.269760152634946</v>
          </cell>
          <cell r="O16">
            <v>9019851039</v>
          </cell>
          <cell r="S16">
            <v>2011</v>
          </cell>
          <cell r="T16">
            <v>7143791</v>
          </cell>
          <cell r="U16">
            <v>5311545.3</v>
          </cell>
          <cell r="V16">
            <v>6923067</v>
          </cell>
          <cell r="W16">
            <v>5143922.3</v>
          </cell>
          <cell r="X16">
            <v>1718.7393509972505</v>
          </cell>
          <cell r="Y16">
            <v>2311.6275986575884</v>
          </cell>
          <cell r="Z16">
            <v>1773.5368886362071</v>
          </cell>
          <cell r="AA16">
            <v>2386.955710236914</v>
          </cell>
          <cell r="BC16">
            <v>2026</v>
          </cell>
          <cell r="BK16">
            <v>2026</v>
          </cell>
          <cell r="BL16">
            <v>1967603589.547549</v>
          </cell>
          <cell r="BM16">
            <v>3313177146.121942</v>
          </cell>
          <cell r="BN16">
            <v>1438802550.5790789</v>
          </cell>
          <cell r="BO16">
            <v>682586106.23453975</v>
          </cell>
          <cell r="BP16">
            <v>1519443480.1962478</v>
          </cell>
        </row>
        <row r="17">
          <cell r="C17">
            <v>2012</v>
          </cell>
          <cell r="D17">
            <v>2700937238</v>
          </cell>
          <cell r="E17">
            <v>4246404878</v>
          </cell>
          <cell r="F17">
            <v>1928521197</v>
          </cell>
          <cell r="G17">
            <v>836275857</v>
          </cell>
          <cell r="H17">
            <v>2020941489</v>
          </cell>
          <cell r="I17">
            <v>327249354</v>
          </cell>
          <cell r="J17">
            <v>12060330013</v>
          </cell>
          <cell r="K17">
            <v>12060330013</v>
          </cell>
          <cell r="L17">
            <v>12.060330013</v>
          </cell>
          <cell r="M17">
            <v>12.060330013</v>
          </cell>
          <cell r="N17">
            <v>13.550740237837728</v>
          </cell>
          <cell r="O17">
            <v>8875863313</v>
          </cell>
          <cell r="S17">
            <v>2012</v>
          </cell>
          <cell r="T17">
            <v>7460577.2750000004</v>
          </cell>
          <cell r="U17">
            <v>5555314.5999999996</v>
          </cell>
          <cell r="V17">
            <v>7236527.2750000004</v>
          </cell>
          <cell r="W17">
            <v>5386106.5999999996</v>
          </cell>
          <cell r="X17">
            <v>1616.5411292519584</v>
          </cell>
          <cell r="Y17">
            <v>2170.9535609378449</v>
          </cell>
          <cell r="Z17">
            <v>1666.5908321336356</v>
          </cell>
          <cell r="AA17">
            <v>2239.1554621291752</v>
          </cell>
          <cell r="BC17">
            <v>2027</v>
          </cell>
          <cell r="BK17">
            <v>2027</v>
          </cell>
          <cell r="BL17">
            <v>1955038882.3910856</v>
          </cell>
          <cell r="BM17">
            <v>3292019886.1841908</v>
          </cell>
          <cell r="BN17">
            <v>1429614656.8386757</v>
          </cell>
          <cell r="BO17">
            <v>678227253.37440658</v>
          </cell>
          <cell r="BP17">
            <v>1509740630.2569196</v>
          </cell>
        </row>
        <row r="18">
          <cell r="C18">
            <v>2013</v>
          </cell>
          <cell r="D18">
            <v>2805698302</v>
          </cell>
          <cell r="E18">
            <v>4199665396</v>
          </cell>
          <cell r="F18">
            <v>1820905886</v>
          </cell>
          <cell r="G18">
            <v>795680794</v>
          </cell>
          <cell r="H18">
            <v>1818163651</v>
          </cell>
          <cell r="I18">
            <v>-188794</v>
          </cell>
          <cell r="J18">
            <v>11439925235</v>
          </cell>
          <cell r="K18">
            <v>11439925235</v>
          </cell>
          <cell r="L18">
            <v>11.439925235</v>
          </cell>
          <cell r="M18">
            <v>11.439925235</v>
          </cell>
          <cell r="N18">
            <v>14.293444875066665</v>
          </cell>
          <cell r="O18">
            <v>8826269584</v>
          </cell>
          <cell r="S18">
            <v>2013</v>
          </cell>
          <cell r="T18">
            <v>7761102.4500000002</v>
          </cell>
          <cell r="U18">
            <v>5789849.7000000002</v>
          </cell>
          <cell r="V18">
            <v>7534482.4500000002</v>
          </cell>
          <cell r="W18">
            <v>5620253.7000000002</v>
          </cell>
          <cell r="X18">
            <v>1474.0077596836775</v>
          </cell>
          <cell r="Y18">
            <v>1975.8587576116181</v>
          </cell>
          <cell r="Z18">
            <v>1518.3425418954953</v>
          </cell>
          <cell r="AA18">
            <v>2035.4819987930437</v>
          </cell>
          <cell r="BC18">
            <v>2028</v>
          </cell>
          <cell r="BK18">
            <v>2028</v>
          </cell>
          <cell r="BL18">
            <v>1943131912.2212105</v>
          </cell>
          <cell r="BM18">
            <v>3271970165.9783759</v>
          </cell>
          <cell r="BN18">
            <v>1420907730.737761</v>
          </cell>
          <cell r="BO18">
            <v>674096577.6384598</v>
          </cell>
          <cell r="BP18">
            <v>1500545704.8717368</v>
          </cell>
        </row>
        <row r="19">
          <cell r="C19">
            <v>2014</v>
          </cell>
          <cell r="D19">
            <v>2667996960</v>
          </cell>
          <cell r="E19">
            <v>4002539655</v>
          </cell>
          <cell r="F19">
            <v>1728255097</v>
          </cell>
          <cell r="G19">
            <v>812038975</v>
          </cell>
          <cell r="H19">
            <v>1819834178</v>
          </cell>
          <cell r="I19">
            <v>-140457186</v>
          </cell>
          <cell r="J19">
            <v>10890207679</v>
          </cell>
          <cell r="K19">
            <v>10890207679</v>
          </cell>
          <cell r="L19">
            <v>10.890207679</v>
          </cell>
          <cell r="M19">
            <v>10.890207679</v>
          </cell>
          <cell r="N19">
            <v>14.529909583333335</v>
          </cell>
          <cell r="O19">
            <v>8398791712</v>
          </cell>
          <cell r="S19">
            <v>2014</v>
          </cell>
          <cell r="T19">
            <v>8031401.875</v>
          </cell>
          <cell r="U19">
            <v>5993685.7249999996</v>
          </cell>
          <cell r="V19">
            <v>7800892.875</v>
          </cell>
          <cell r="W19">
            <v>5822498.7249999996</v>
          </cell>
          <cell r="X19">
            <v>1355.9535244897704</v>
          </cell>
          <cell r="Y19">
            <v>1816.946730052317</v>
          </cell>
          <cell r="Z19">
            <v>1396.020667570057</v>
          </cell>
          <cell r="AA19">
            <v>1870.3666919222899</v>
          </cell>
          <cell r="BC19">
            <v>2029</v>
          </cell>
          <cell r="BK19">
            <v>2029</v>
          </cell>
          <cell r="BL19">
            <v>1931425493.4034665</v>
          </cell>
          <cell r="BM19">
            <v>3252258147.0046759</v>
          </cell>
          <cell r="BN19">
            <v>1412347457.0410707</v>
          </cell>
          <cell r="BO19">
            <v>670035475.65572143</v>
          </cell>
          <cell r="BP19">
            <v>1491505651.3550839</v>
          </cell>
        </row>
        <row r="20">
          <cell r="C20">
            <v>2015</v>
          </cell>
          <cell r="D20">
            <v>2816589685</v>
          </cell>
          <cell r="E20">
            <v>4136166321</v>
          </cell>
          <cell r="F20">
            <v>1794236466</v>
          </cell>
          <cell r="G20">
            <v>863189023</v>
          </cell>
          <cell r="H20">
            <v>1859472977</v>
          </cell>
          <cell r="I20">
            <v>6054948</v>
          </cell>
          <cell r="J20">
            <v>11475709420</v>
          </cell>
          <cell r="K20">
            <v>11475709420</v>
          </cell>
          <cell r="L20">
            <v>11.475709419999999</v>
          </cell>
          <cell r="M20">
            <v>11.475709419999999</v>
          </cell>
          <cell r="N20">
            <v>12.244166666666667</v>
          </cell>
          <cell r="O20">
            <v>8746992472</v>
          </cell>
          <cell r="S20">
            <v>2015</v>
          </cell>
          <cell r="T20">
            <v>8003416</v>
          </cell>
          <cell r="U20">
            <v>5986875</v>
          </cell>
          <cell r="V20">
            <v>8003416</v>
          </cell>
          <cell r="W20">
            <v>5986875</v>
          </cell>
          <cell r="X20">
            <v>1433.8514229424036</v>
          </cell>
          <cell r="Y20">
            <v>1916.811261300762</v>
          </cell>
          <cell r="Z20">
            <v>1433.8514229424036</v>
          </cell>
          <cell r="AA20">
            <v>1916.811261300762</v>
          </cell>
          <cell r="BC20">
            <v>2030</v>
          </cell>
          <cell r="BK20">
            <v>2030</v>
          </cell>
          <cell r="BL20">
            <v>1919241867.3535869</v>
          </cell>
          <cell r="BM20">
            <v>3231742575.8805966</v>
          </cell>
          <cell r="BN20">
            <v>1403438227.3928878</v>
          </cell>
          <cell r="BO20">
            <v>665808824.56127143</v>
          </cell>
          <cell r="BP20">
            <v>1482097083.86467</v>
          </cell>
        </row>
        <row r="21">
          <cell r="C21">
            <v>2016</v>
          </cell>
          <cell r="D21">
            <v>2715817926.5109987</v>
          </cell>
          <cell r="E21">
            <v>4193951649.8859973</v>
          </cell>
          <cell r="F21">
            <v>1772447100.2969992</v>
          </cell>
          <cell r="G21">
            <v>850970339.31499994</v>
          </cell>
          <cell r="H21">
            <v>1929065450.6769986</v>
          </cell>
          <cell r="I21">
            <v>0.31400680541992188</v>
          </cell>
          <cell r="J21">
            <v>11462252467</v>
          </cell>
          <cell r="K21">
            <v>11462252467</v>
          </cell>
          <cell r="L21">
            <v>11.462252467000001</v>
          </cell>
          <cell r="M21">
            <v>11.462252467000001</v>
          </cell>
          <cell r="N21">
            <v>11.653940311513589</v>
          </cell>
          <cell r="O21">
            <v>8682216676.6939945</v>
          </cell>
          <cell r="S21">
            <v>2016</v>
          </cell>
          <cell r="T21">
            <v>8114387</v>
          </cell>
          <cell r="U21">
            <v>6068372</v>
          </cell>
          <cell r="V21">
            <v>8114387</v>
          </cell>
          <cell r="W21">
            <v>6068372</v>
          </cell>
          <cell r="X21">
            <v>1412.5839039966913</v>
          </cell>
          <cell r="Y21">
            <v>1888.8513207496178</v>
          </cell>
          <cell r="Z21">
            <v>1412.5839039966913</v>
          </cell>
          <cell r="AA21">
            <v>1888.8513207496178</v>
          </cell>
          <cell r="BK21">
            <v>2031</v>
          </cell>
          <cell r="BL21">
            <v>1904966997.1006479</v>
          </cell>
          <cell r="BM21">
            <v>3207705633.613801</v>
          </cell>
          <cell r="BN21">
            <v>1392999783.4714487</v>
          </cell>
          <cell r="BO21">
            <v>660856694.89718723</v>
          </cell>
          <cell r="BP21">
            <v>1471073593.8427479</v>
          </cell>
        </row>
        <row r="22">
          <cell r="C22">
            <v>2017</v>
          </cell>
          <cell r="D22">
            <v>2646688009.158999</v>
          </cell>
          <cell r="E22">
            <v>4104688398.4149919</v>
          </cell>
          <cell r="F22">
            <v>1732124616.9139988</v>
          </cell>
          <cell r="G22">
            <v>825219515.2299993</v>
          </cell>
          <cell r="H22">
            <v>1865090464.6519966</v>
          </cell>
          <cell r="I22">
            <v>271976.63001441956</v>
          </cell>
          <cell r="J22">
            <v>11174082981</v>
          </cell>
          <cell r="K22">
            <v>11174082981</v>
          </cell>
          <cell r="L22">
            <v>11.174082981</v>
          </cell>
          <cell r="M22">
            <v>11.174082981</v>
          </cell>
          <cell r="N22">
            <v>11.984234279716526</v>
          </cell>
          <cell r="O22">
            <v>8483501024.4879894</v>
          </cell>
          <cell r="S22">
            <v>2017</v>
          </cell>
          <cell r="T22">
            <v>8155562</v>
          </cell>
          <cell r="U22">
            <v>6100173</v>
          </cell>
          <cell r="V22">
            <v>8155562</v>
          </cell>
          <cell r="W22">
            <v>6100173</v>
          </cell>
          <cell r="X22">
            <v>1370.1180839530127</v>
          </cell>
          <cell r="Y22">
            <v>1831.7649320765165</v>
          </cell>
          <cell r="Z22">
            <v>1370.1180839530127</v>
          </cell>
          <cell r="AA22">
            <v>1831.7649320765165</v>
          </cell>
          <cell r="BK22">
            <v>2032</v>
          </cell>
          <cell r="BL22">
            <v>1887444299.6827295</v>
          </cell>
          <cell r="BM22">
            <v>3178199791.618053</v>
          </cell>
          <cell r="BN22">
            <v>1380186378.4381087</v>
          </cell>
          <cell r="BO22">
            <v>654777853.67898571</v>
          </cell>
          <cell r="BP22">
            <v>1457542032.6641927</v>
          </cell>
        </row>
        <row r="23">
          <cell r="C23">
            <v>2018</v>
          </cell>
          <cell r="D23">
            <v>2694853230.2869954</v>
          </cell>
          <cell r="E23">
            <v>4011750417.7709875</v>
          </cell>
          <cell r="F23">
            <v>1637377951.6149979</v>
          </cell>
          <cell r="G23">
            <v>804316073.99999964</v>
          </cell>
          <cell r="H23">
            <v>1780701568.8269968</v>
          </cell>
          <cell r="I23">
            <v>212631303.50002289</v>
          </cell>
          <cell r="J23">
            <v>11141630546</v>
          </cell>
          <cell r="K23">
            <v>11141630546</v>
          </cell>
          <cell r="L23">
            <v>11.141630546</v>
          </cell>
          <cell r="M23">
            <v>11.141630546</v>
          </cell>
          <cell r="N23">
            <v>12.926871155855082</v>
          </cell>
          <cell r="O23">
            <v>8343981599.6729813</v>
          </cell>
          <cell r="S23">
            <v>2018</v>
          </cell>
          <cell r="T23">
            <v>8828204.3249999993</v>
          </cell>
          <cell r="U23">
            <v>6569615.9249999998</v>
          </cell>
          <cell r="V23">
            <v>8592956.3249999993</v>
          </cell>
          <cell r="W23">
            <v>6399656.9249999998</v>
          </cell>
          <cell r="X23">
            <v>1262.0494650819039</v>
          </cell>
          <cell r="Y23">
            <v>1695.9333198766867</v>
          </cell>
          <cell r="Z23">
            <v>1296.6003927641284</v>
          </cell>
          <cell r="AA23">
            <v>1740.9730984915259</v>
          </cell>
          <cell r="BK23">
            <v>2033</v>
          </cell>
          <cell r="BL23">
            <v>1865159609.9287453</v>
          </cell>
          <cell r="BM23">
            <v>3140675401.4443717</v>
          </cell>
          <cell r="BN23">
            <v>1363890784.8402801</v>
          </cell>
          <cell r="BO23">
            <v>647047018.21567237</v>
          </cell>
          <cell r="BP23">
            <v>1440333115.8199854</v>
          </cell>
        </row>
        <row r="24">
          <cell r="C24">
            <v>2019</v>
          </cell>
          <cell r="D24">
            <v>2465230883.5799975</v>
          </cell>
          <cell r="E24">
            <v>4089419951.9469891</v>
          </cell>
          <cell r="F24">
            <v>1682021553.7139974</v>
          </cell>
          <cell r="G24">
            <v>789584594.09899974</v>
          </cell>
          <cell r="H24">
            <v>1746951081.7219985</v>
          </cell>
          <cell r="I24">
            <v>-6.1981201171875E-2</v>
          </cell>
          <cell r="J24">
            <v>10773208065</v>
          </cell>
          <cell r="K24">
            <v>10773208065</v>
          </cell>
          <cell r="L24">
            <v>10.773208065</v>
          </cell>
          <cell r="M24">
            <v>10.773208065</v>
          </cell>
          <cell r="N24">
            <v>12.644779320295711</v>
          </cell>
          <cell r="O24">
            <v>8236672389.240984</v>
          </cell>
          <cell r="S24">
            <v>2019</v>
          </cell>
          <cell r="T24">
            <v>9007209.25</v>
          </cell>
          <cell r="U24">
            <v>6705598.25</v>
          </cell>
          <cell r="V24">
            <v>8772318.25</v>
          </cell>
          <cell r="W24">
            <v>6536911.25</v>
          </cell>
          <cell r="X24">
            <v>1196.0650370146559</v>
          </cell>
          <cell r="Y24">
            <v>1606.5990927804241</v>
          </cell>
          <cell r="Z24">
            <v>1228.0913389114673</v>
          </cell>
          <cell r="AA24">
            <v>1648.0578751929668</v>
          </cell>
          <cell r="BK24">
            <v>2034</v>
          </cell>
          <cell r="BL24">
            <v>1836385125.1351423</v>
          </cell>
          <cell r="BM24">
            <v>3092223078.0617328</v>
          </cell>
          <cell r="BN24">
            <v>1342849553.602155</v>
          </cell>
          <cell r="BO24">
            <v>637064792.30466616</v>
          </cell>
          <cell r="BP24">
            <v>1418112581.3851504</v>
          </cell>
        </row>
        <row r="25">
          <cell r="C25">
            <v>2020</v>
          </cell>
          <cell r="D25">
            <v>2102899835.675</v>
          </cell>
          <cell r="E25">
            <v>3145679471.5049977</v>
          </cell>
          <cell r="F25">
            <v>1450665566.197999</v>
          </cell>
          <cell r="G25">
            <v>676506299.82299972</v>
          </cell>
          <cell r="H25">
            <v>1385719788.2949986</v>
          </cell>
          <cell r="I25">
            <v>-0.49599456787109375</v>
          </cell>
          <cell r="J25">
            <v>8761470961</v>
          </cell>
          <cell r="K25">
            <v>8761470961</v>
          </cell>
          <cell r="L25">
            <v>8.7614709610000006</v>
          </cell>
          <cell r="M25">
            <v>8.7614709610000006</v>
          </cell>
          <cell r="N25">
            <v>11.439035777818907</v>
          </cell>
          <cell r="O25">
            <v>6699244873.3779964</v>
          </cell>
          <cell r="S25">
            <v>2020</v>
          </cell>
          <cell r="T25">
            <v>9002155.2249999996</v>
          </cell>
          <cell r="U25">
            <v>6708833.6500000004</v>
          </cell>
          <cell r="V25">
            <v>8768542.2249999996</v>
          </cell>
          <cell r="W25">
            <v>6541691.6500000004</v>
          </cell>
          <cell r="X25">
            <v>973.2637065253449</v>
          </cell>
          <cell r="Y25">
            <v>1305.9603826963275</v>
          </cell>
          <cell r="Z25">
            <v>999.19356446960603</v>
          </cell>
          <cell r="AA25">
            <v>1339.3280254962797</v>
          </cell>
          <cell r="BK25">
            <v>2035</v>
          </cell>
          <cell r="BL25">
            <v>1799562566.7627096</v>
          </cell>
          <cell r="BM25">
            <v>3030218892.1020298</v>
          </cell>
          <cell r="BN25">
            <v>1315923199.5405188</v>
          </cell>
          <cell r="BO25">
            <v>624290589.78005469</v>
          </cell>
          <cell r="BP25">
            <v>1389677079.162874</v>
          </cell>
        </row>
        <row r="26">
          <cell r="C26">
            <v>2021</v>
          </cell>
          <cell r="D26">
            <v>2077951739.5739989</v>
          </cell>
          <cell r="E26">
            <v>3452352140.8249984</v>
          </cell>
          <cell r="F26">
            <v>1552058877.0590007</v>
          </cell>
          <cell r="G26">
            <v>732653207.96100032</v>
          </cell>
          <cell r="H26">
            <v>1486568271.3069994</v>
          </cell>
          <cell r="I26">
            <v>-7.7259979248046875</v>
          </cell>
          <cell r="J26">
            <v>9301584229</v>
          </cell>
          <cell r="K26">
            <v>9301584229</v>
          </cell>
          <cell r="L26">
            <v>9.3015842289999995</v>
          </cell>
          <cell r="M26">
            <v>9.3015842289999995</v>
          </cell>
          <cell r="N26">
            <v>13.353394777286253</v>
          </cell>
          <cell r="O26">
            <v>7082362757.4579983</v>
          </cell>
          <cell r="S26">
            <v>2021</v>
          </cell>
          <cell r="T26">
            <v>9188296.6500000004</v>
          </cell>
          <cell r="U26">
            <v>6851268.1500000004</v>
          </cell>
          <cell r="V26">
            <v>8950424.6500000004</v>
          </cell>
          <cell r="W26">
            <v>6680989.1500000004</v>
          </cell>
          <cell r="X26">
            <v>1012.3295517455892</v>
          </cell>
          <cell r="Y26">
            <v>1357.6441653360189</v>
          </cell>
          <cell r="Z26">
            <v>1039.233845625414</v>
          </cell>
          <cell r="AA26">
            <v>1392.2465701055658</v>
          </cell>
          <cell r="AI26">
            <v>2018</v>
          </cell>
          <cell r="AJ26">
            <v>2195270855.29</v>
          </cell>
          <cell r="AK26">
            <v>1320567063.7</v>
          </cell>
          <cell r="AL26">
            <v>0.19703317626863265</v>
          </cell>
          <cell r="BK26">
            <v>2036</v>
          </cell>
          <cell r="BL26">
            <v>1753854964.2979705</v>
          </cell>
          <cell r="BM26">
            <v>2953253498.9228969</v>
          </cell>
          <cell r="BN26">
            <v>1282499691.1893048</v>
          </cell>
          <cell r="BO26">
            <v>608434055.18260729</v>
          </cell>
          <cell r="BP26">
            <v>1354380275.0050712</v>
          </cell>
        </row>
        <row r="27">
          <cell r="C27">
            <v>2022</v>
          </cell>
          <cell r="D27">
            <v>1921523931</v>
          </cell>
          <cell r="E27">
            <v>3530440256.9339957</v>
          </cell>
          <cell r="F27">
            <v>1498937893.394999</v>
          </cell>
          <cell r="G27">
            <v>703132444.71699893</v>
          </cell>
          <cell r="H27">
            <v>1530835389</v>
          </cell>
          <cell r="J27">
            <v>9184869915.0459938</v>
          </cell>
          <cell r="K27">
            <v>9184869915.0459938</v>
          </cell>
          <cell r="L27">
            <v>9.1848699150459936</v>
          </cell>
          <cell r="M27">
            <v>9.1848699150459936</v>
          </cell>
          <cell r="N27">
            <v>12.5</v>
          </cell>
          <cell r="O27">
            <v>6950902081.3289948</v>
          </cell>
          <cell r="S27">
            <v>2022</v>
          </cell>
          <cell r="T27">
            <v>8982518.4250000007</v>
          </cell>
          <cell r="U27">
            <v>6636752.0499999998</v>
          </cell>
          <cell r="V27">
            <v>8782732.4250000007</v>
          </cell>
          <cell r="W27">
            <v>6504736.0499999998</v>
          </cell>
          <cell r="X27">
            <v>1022.527255773037</v>
          </cell>
          <cell r="Y27">
            <v>1383.9404946650063</v>
          </cell>
          <cell r="Z27">
            <v>1045.7872869838675</v>
          </cell>
          <cell r="AA27">
            <v>1412.0280737672661</v>
          </cell>
          <cell r="AI27">
            <v>2019</v>
          </cell>
          <cell r="AJ27">
            <v>1477345841.0900002</v>
          </cell>
          <cell r="AK27">
            <v>1179148166.8900001</v>
          </cell>
          <cell r="AL27">
            <v>0.13713146837752085</v>
          </cell>
          <cell r="BK27">
            <v>2037</v>
          </cell>
          <cell r="BL27">
            <v>1699558176.4918976</v>
          </cell>
          <cell r="BM27">
            <v>2861825084.4686007</v>
          </cell>
          <cell r="BN27">
            <v>1242795374.1212552</v>
          </cell>
          <cell r="BO27">
            <v>589597825.58510339</v>
          </cell>
          <cell r="BP27">
            <v>1312450640.059392</v>
          </cell>
        </row>
        <row r="28">
          <cell r="C28">
            <v>2023</v>
          </cell>
          <cell r="D28">
            <v>1886986099</v>
          </cell>
          <cell r="E28">
            <v>3505718746.4933853</v>
          </cell>
          <cell r="F28">
            <v>1442614425.2618005</v>
          </cell>
          <cell r="G28">
            <v>675780488.81507397</v>
          </cell>
          <cell r="H28">
            <v>1525850354</v>
          </cell>
          <cell r="J28">
            <v>9036950113.5702591</v>
          </cell>
          <cell r="K28">
            <v>9036950113</v>
          </cell>
          <cell r="L28">
            <v>9.0369501135702599</v>
          </cell>
          <cell r="M28">
            <v>9.0369501129999996</v>
          </cell>
          <cell r="N28">
            <v>11.49</v>
          </cell>
          <cell r="O28">
            <v>6835319270.7551861</v>
          </cell>
          <cell r="S28">
            <v>2023</v>
          </cell>
          <cell r="T28">
            <v>9314834</v>
          </cell>
          <cell r="U28">
            <v>6945515</v>
          </cell>
          <cell r="V28">
            <v>9076611</v>
          </cell>
          <cell r="W28">
            <v>6775358</v>
          </cell>
          <cell r="X28">
            <v>970.16759643811156</v>
          </cell>
          <cell r="Y28">
            <v>1301.1202356585882</v>
          </cell>
          <cell r="Z28">
            <v>995.63043001402173</v>
          </cell>
          <cell r="AA28">
            <v>1333.7966958454829</v>
          </cell>
          <cell r="AI28">
            <v>2020</v>
          </cell>
          <cell r="AJ28">
            <v>1719673064</v>
          </cell>
          <cell r="AK28">
            <v>1154779071</v>
          </cell>
          <cell r="AL28">
            <v>0.19627675211785708</v>
          </cell>
          <cell r="BK28">
            <v>2038</v>
          </cell>
          <cell r="BL28">
            <v>1638046779.4068487</v>
          </cell>
          <cell r="BM28">
            <v>2758248248.0921845</v>
          </cell>
          <cell r="BN28">
            <v>1197815401.7905469</v>
          </cell>
          <cell r="BO28">
            <v>568258758.48420167</v>
          </cell>
          <cell r="BP28">
            <v>1264949663.8692987</v>
          </cell>
        </row>
        <row r="29">
          <cell r="C29">
            <v>2024</v>
          </cell>
          <cell r="D29">
            <v>1715817408.9400001</v>
          </cell>
          <cell r="E29">
            <v>2991512211.1999311</v>
          </cell>
          <cell r="F29">
            <v>1399483022.188489</v>
          </cell>
          <cell r="G29">
            <v>633958638.7651844</v>
          </cell>
          <cell r="H29">
            <v>1561928530.0699999</v>
          </cell>
          <cell r="J29">
            <v>8302699811.1636038</v>
          </cell>
          <cell r="K29">
            <v>8302699811.159234</v>
          </cell>
          <cell r="L29">
            <v>8.3026998111636043</v>
          </cell>
          <cell r="M29">
            <v>8.3026998111592345</v>
          </cell>
          <cell r="N29">
            <v>0</v>
          </cell>
          <cell r="O29">
            <v>6106812642.3284197</v>
          </cell>
          <cell r="AI29">
            <v>2021</v>
          </cell>
          <cell r="AJ29">
            <v>4008612764</v>
          </cell>
          <cell r="AK29">
            <v>1053632565</v>
          </cell>
          <cell r="AL29">
            <v>0.43096021766938947</v>
          </cell>
        </row>
        <row r="30">
          <cell r="AI30">
            <v>2022</v>
          </cell>
          <cell r="AJ30">
            <v>5455133853</v>
          </cell>
          <cell r="AK30">
            <v>866040055</v>
          </cell>
          <cell r="AL30">
            <v>0.59392608751744991</v>
          </cell>
          <cell r="BK30">
            <v>2039</v>
          </cell>
          <cell r="BL30">
            <v>1571283947.7557621</v>
          </cell>
          <cell r="BM30">
            <v>2645828709.3132219</v>
          </cell>
          <cell r="BN30">
            <v>1148995338.1487877</v>
          </cell>
          <cell r="BO30">
            <v>545097903.55387175</v>
          </cell>
          <cell r="BP30">
            <v>1213393369.8014424</v>
          </cell>
        </row>
        <row r="31">
          <cell r="C31" t="str">
            <v>Average</v>
          </cell>
          <cell r="D31">
            <v>0.21808187818526847</v>
          </cell>
          <cell r="E31">
            <v>0.36890366072359637</v>
          </cell>
          <cell r="F31">
            <v>0.15880996776783524</v>
          </cell>
          <cell r="G31">
            <v>7.4047665801079909E-2</v>
          </cell>
          <cell r="H31">
            <v>0.16784879637068972</v>
          </cell>
          <cell r="I31">
            <v>1.2308031151530278E-2</v>
          </cell>
          <cell r="J31">
            <v>1</v>
          </cell>
          <cell r="AI31">
            <v>2023</v>
          </cell>
          <cell r="AJ31">
            <v>4482774760.3800001</v>
          </cell>
          <cell r="AL31">
            <v>0.49604951939829306</v>
          </cell>
          <cell r="BK31">
            <v>2040</v>
          </cell>
          <cell r="BL31">
            <v>1501251811.19766</v>
          </cell>
          <cell r="BM31">
            <v>2527904105.2054658</v>
          </cell>
          <cell r="BN31">
            <v>1097784607.878942</v>
          </cell>
          <cell r="BO31">
            <v>520802886.17413986</v>
          </cell>
          <cell r="BP31">
            <v>1159312418.8097386</v>
          </cell>
        </row>
        <row r="32">
          <cell r="C32">
            <v>2005</v>
          </cell>
          <cell r="D32">
            <v>0</v>
          </cell>
          <cell r="E32">
            <v>0.47829575312842193</v>
          </cell>
          <cell r="F32">
            <v>0.20169865481800844</v>
          </cell>
          <cell r="G32">
            <v>9.46077342902817E-2</v>
          </cell>
          <cell r="H32">
            <v>0.22539785776328794</v>
          </cell>
          <cell r="I32">
            <v>0</v>
          </cell>
          <cell r="J32">
            <v>1</v>
          </cell>
          <cell r="AI32">
            <v>2024</v>
          </cell>
          <cell r="AJ32">
            <v>7684756732.0800009</v>
          </cell>
          <cell r="AL32">
            <v>0.2244244732265929</v>
          </cell>
          <cell r="AM32">
            <v>0.24989606399372674</v>
          </cell>
          <cell r="BK32">
            <v>2041</v>
          </cell>
          <cell r="BL32">
            <v>1429595691.0175486</v>
          </cell>
          <cell r="BM32">
            <v>2407244933.2961969</v>
          </cell>
          <cell r="BN32">
            <v>1045386345.8370168</v>
          </cell>
          <cell r="BO32">
            <v>495944488.71977067</v>
          </cell>
          <cell r="BP32">
            <v>1103977378.1530657</v>
          </cell>
        </row>
        <row r="33">
          <cell r="C33">
            <v>2006</v>
          </cell>
          <cell r="D33">
            <v>0.22667549701598941</v>
          </cell>
          <cell r="E33">
            <v>0.36837468491142233</v>
          </cell>
          <cell r="F33">
            <v>0.157907692771762</v>
          </cell>
          <cell r="G33">
            <v>7.2537231628715143E-2</v>
          </cell>
          <cell r="H33">
            <v>0.17450489367211111</v>
          </cell>
          <cell r="I33">
            <v>0</v>
          </cell>
          <cell r="J33">
            <v>1</v>
          </cell>
          <cell r="AI33">
            <v>2025</v>
          </cell>
          <cell r="AL33">
            <v>0.22852312397844446</v>
          </cell>
          <cell r="AM33">
            <v>0.25286381416541609</v>
          </cell>
          <cell r="BK33">
            <v>2042</v>
          </cell>
          <cell r="BL33">
            <v>1357521309.5867562</v>
          </cell>
          <cell r="BM33">
            <v>2285881466.2615147</v>
          </cell>
          <cell r="BN33">
            <v>992682231.86562514</v>
          </cell>
          <cell r="BO33">
            <v>470940991.24626774</v>
          </cell>
          <cell r="BP33">
            <v>1048319343.4066576</v>
          </cell>
        </row>
        <row r="34">
          <cell r="C34">
            <v>2007</v>
          </cell>
          <cell r="D34">
            <v>0.23448842220994412</v>
          </cell>
          <cell r="E34">
            <v>0.36452665900287634</v>
          </cell>
          <cell r="F34">
            <v>0.15586068290937113</v>
          </cell>
          <cell r="G34">
            <v>7.2364842070263655E-2</v>
          </cell>
          <cell r="H34">
            <v>0.17275939380754479</v>
          </cell>
          <cell r="I34">
            <v>0</v>
          </cell>
          <cell r="J34">
            <v>1</v>
          </cell>
          <cell r="AB34">
            <v>10063757387.365885</v>
          </cell>
          <cell r="AI34">
            <v>2026</v>
          </cell>
          <cell r="AL34">
            <v>0.23186709091294722</v>
          </cell>
          <cell r="AM34">
            <v>0.24775213063337798</v>
          </cell>
          <cell r="BK34">
            <v>2043</v>
          </cell>
          <cell r="BL34">
            <v>1285842503.4951668</v>
          </cell>
          <cell r="BM34">
            <v>2165184094.3591943</v>
          </cell>
          <cell r="BN34">
            <v>940267380.83826077</v>
          </cell>
          <cell r="BO34">
            <v>446074723.76763934</v>
          </cell>
          <cell r="BP34">
            <v>992966783.99749267</v>
          </cell>
        </row>
        <row r="35">
          <cell r="C35">
            <v>2008</v>
          </cell>
          <cell r="D35">
            <v>0.23317282392114583</v>
          </cell>
          <cell r="E35">
            <v>0.3673535950581745</v>
          </cell>
          <cell r="F35">
            <v>0.15526490134671855</v>
          </cell>
          <cell r="G35">
            <v>7.2383639607244005E-2</v>
          </cell>
          <cell r="H35">
            <v>0.17182504006671714</v>
          </cell>
          <cell r="I35">
            <v>0</v>
          </cell>
          <cell r="J35">
            <v>1</v>
          </cell>
          <cell r="AA35" t="str">
            <v>demand</v>
          </cell>
          <cell r="AB35">
            <v>10063757387.365885</v>
          </cell>
          <cell r="AI35">
            <v>2027</v>
          </cell>
          <cell r="AL35">
            <v>0.26891607691104497</v>
          </cell>
          <cell r="AM35">
            <v>0.27168346674497712</v>
          </cell>
          <cell r="BK35">
            <v>2044</v>
          </cell>
          <cell r="BL35">
            <v>1215078219.2118413</v>
          </cell>
          <cell r="BM35">
            <v>2046026652.9443293</v>
          </cell>
          <cell r="BN35">
            <v>888521270.3627435</v>
          </cell>
          <cell r="BO35">
            <v>421525715.25493556</v>
          </cell>
          <cell r="BP35">
            <v>938320446.21063304</v>
          </cell>
        </row>
        <row r="36">
          <cell r="C36">
            <v>2009</v>
          </cell>
          <cell r="D36">
            <v>0.23615139840640328</v>
          </cell>
          <cell r="E36">
            <v>0.36397299122670435</v>
          </cell>
          <cell r="F36">
            <v>0.15715241854879627</v>
          </cell>
          <cell r="G36">
            <v>7.3646964986262178E-2</v>
          </cell>
          <cell r="H36">
            <v>0.16907622683183393</v>
          </cell>
          <cell r="I36">
            <v>0</v>
          </cell>
          <cell r="J36">
            <v>1</v>
          </cell>
          <cell r="AI36">
            <v>2028</v>
          </cell>
          <cell r="AL36">
            <v>0.29214515559811655</v>
          </cell>
          <cell r="AM36">
            <v>0.28169163450687712</v>
          </cell>
          <cell r="BK36">
            <v>2045</v>
          </cell>
          <cell r="BL36">
            <v>1145545043.4906905</v>
          </cell>
          <cell r="BM36">
            <v>1928942231.1022379</v>
          </cell>
          <cell r="BN36">
            <v>837675403.28417182</v>
          </cell>
          <cell r="BO36">
            <v>397403793.58242208</v>
          </cell>
          <cell r="BP36">
            <v>884624807.98955345</v>
          </cell>
        </row>
        <row r="37">
          <cell r="C37">
            <v>2010</v>
          </cell>
          <cell r="D37">
            <v>0.18873718349551655</v>
          </cell>
          <cell r="E37">
            <v>0.30359818905776842</v>
          </cell>
          <cell r="F37">
            <v>0.13201814356143965</v>
          </cell>
          <cell r="G37">
            <v>6.1167673717510071E-2</v>
          </cell>
          <cell r="H37">
            <v>0.14013817303825357</v>
          </cell>
          <cell r="I37">
            <v>0.17434063712951178</v>
          </cell>
          <cell r="J37">
            <v>1</v>
          </cell>
          <cell r="AI37">
            <v>2029</v>
          </cell>
          <cell r="AL37">
            <v>0.30203260884062122</v>
          </cell>
          <cell r="AM37">
            <v>0.48116111976682402</v>
          </cell>
          <cell r="BK37">
            <v>2046</v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</row>
        <row r="38">
          <cell r="C38">
            <v>2011</v>
          </cell>
          <cell r="D38">
            <v>0.2387683976147493</v>
          </cell>
          <cell r="E38">
            <v>0.34048821542394436</v>
          </cell>
          <cell r="F38">
            <v>0.1553597617849363</v>
          </cell>
          <cell r="G38">
            <v>7.0631479376040071E-2</v>
          </cell>
          <cell r="H38">
            <v>0.16909685022296439</v>
          </cell>
          <cell r="I38">
            <v>2.5655295577365591E-2</v>
          </cell>
          <cell r="J38">
            <v>1</v>
          </cell>
          <cell r="AI38">
            <v>2030</v>
          </cell>
          <cell r="AL38">
            <v>0.31175924245020253</v>
          </cell>
          <cell r="AM38">
            <v>0.4778674552191578</v>
          </cell>
          <cell r="BK38">
            <v>2047</v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</row>
        <row r="39">
          <cell r="C39">
            <v>2012</v>
          </cell>
          <cell r="D39">
            <v>0.22395218332239844</v>
          </cell>
          <cell r="E39">
            <v>0.35209690559236273</v>
          </cell>
          <cell r="F39">
            <v>0.15990617130055479</v>
          </cell>
          <cell r="G39">
            <v>6.934104258329303E-2</v>
          </cell>
          <cell r="H39">
            <v>0.16756933573306856</v>
          </cell>
          <cell r="I39">
            <v>2.7134361468322449E-2</v>
          </cell>
          <cell r="J39">
            <v>1</v>
          </cell>
          <cell r="AA39" t="str">
            <v>supply</v>
          </cell>
          <cell r="AB39">
            <v>7155966077.171999</v>
          </cell>
          <cell r="AI39">
            <v>2031</v>
          </cell>
          <cell r="AL39">
            <v>0.24260002576411446</v>
          </cell>
          <cell r="AM39">
            <v>0.48937341957381397</v>
          </cell>
        </row>
        <row r="40">
          <cell r="C40">
            <v>2013</v>
          </cell>
          <cell r="D40">
            <v>0.24525495091664382</v>
          </cell>
          <cell r="E40">
            <v>0.36710601771690687</v>
          </cell>
          <cell r="F40">
            <v>0.15917113517744069</v>
          </cell>
          <cell r="G40">
            <v>6.9552971514677916E-2</v>
          </cell>
          <cell r="H40">
            <v>0.15893142775421293</v>
          </cell>
          <cell r="I40">
            <v>-1.6503079882234912E-5</v>
          </cell>
          <cell r="J40">
            <v>1</v>
          </cell>
          <cell r="AI40">
            <v>2032</v>
          </cell>
          <cell r="AL40">
            <v>0.24543093991001924</v>
          </cell>
          <cell r="AM40">
            <v>0.49630413401270329</v>
          </cell>
        </row>
        <row r="41">
          <cell r="C41">
            <v>2014</v>
          </cell>
          <cell r="D41">
            <v>0.24499045735783345</v>
          </cell>
          <cell r="E41">
            <v>0.36753565891293782</v>
          </cell>
          <cell r="F41">
            <v>0.15869808436552224</v>
          </cell>
          <cell r="G41">
            <v>7.4565976970841941E-2</v>
          </cell>
          <cell r="H41">
            <v>0.16710738965146232</v>
          </cell>
          <cell r="I41">
            <v>-1.2897567258597732E-2</v>
          </cell>
          <cell r="J41">
            <v>1</v>
          </cell>
          <cell r="AI41">
            <v>2033</v>
          </cell>
          <cell r="AL41">
            <v>0.24793346793095716</v>
          </cell>
          <cell r="AM41">
            <v>0.50209676771619982</v>
          </cell>
        </row>
        <row r="42">
          <cell r="C42">
            <v>2015</v>
          </cell>
          <cell r="D42">
            <v>0.24543926496528526</v>
          </cell>
          <cell r="E42">
            <v>0.36042794128190814</v>
          </cell>
          <cell r="F42">
            <v>0.15635081024908001</v>
          </cell>
          <cell r="G42">
            <v>7.5218794011603682E-2</v>
          </cell>
          <cell r="H42">
            <v>0.16203555779822107</v>
          </cell>
          <cell r="I42">
            <v>5.276316939018485E-4</v>
          </cell>
          <cell r="J42">
            <v>1</v>
          </cell>
          <cell r="AI42">
            <v>2034</v>
          </cell>
          <cell r="AL42">
            <v>0.24998200946910409</v>
          </cell>
          <cell r="AM42">
            <v>0.50629086808834367</v>
          </cell>
        </row>
        <row r="43">
          <cell r="C43">
            <v>2016</v>
          </cell>
          <cell r="D43">
            <v>0.23693579724664765</v>
          </cell>
          <cell r="E43">
            <v>0.3658924510658309</v>
          </cell>
          <cell r="F43">
            <v>0.15463340258818251</v>
          </cell>
          <cell r="G43">
            <v>7.42411093949428E-2</v>
          </cell>
          <cell r="H43">
            <v>0.1682972396770013</v>
          </cell>
          <cell r="I43">
            <v>2.7394860331680206E-11</v>
          </cell>
          <cell r="J43">
            <v>1</v>
          </cell>
          <cell r="AI43">
            <v>2035</v>
          </cell>
          <cell r="AL43">
            <v>0.25142183045775712</v>
          </cell>
          <cell r="AM43">
            <v>0.49618861676094245</v>
          </cell>
        </row>
        <row r="44">
          <cell r="C44">
            <v>2017</v>
          </cell>
          <cell r="D44">
            <v>0.23685952696604545</v>
          </cell>
          <cell r="E44">
            <v>0.36734006767217081</v>
          </cell>
          <cell r="F44">
            <v>0.15501268603958285</v>
          </cell>
          <cell r="G44">
            <v>7.3851206996866967E-2</v>
          </cell>
          <cell r="H44">
            <v>0.16691217237453201</v>
          </cell>
          <cell r="I44">
            <v>2.4339950801947563E-5</v>
          </cell>
          <cell r="J44">
            <v>1</v>
          </cell>
          <cell r="AI44">
            <v>2036</v>
          </cell>
          <cell r="AL44">
            <v>0.25207078487232792</v>
          </cell>
          <cell r="AM44">
            <v>0.48305867677669828</v>
          </cell>
        </row>
        <row r="45">
          <cell r="C45">
            <v>2018</v>
          </cell>
          <cell r="D45">
            <v>0.24187242784266305</v>
          </cell>
          <cell r="E45">
            <v>0.36006851970255482</v>
          </cell>
          <cell r="F45">
            <v>0.14696035242371586</v>
          </cell>
          <cell r="G45">
            <v>7.2190158404485977E-2</v>
          </cell>
          <cell r="H45">
            <v>0.15982414436334844</v>
          </cell>
          <cell r="I45">
            <v>1.9084397263231859E-2</v>
          </cell>
          <cell r="J45">
            <v>1</v>
          </cell>
          <cell r="AI45">
            <v>2037</v>
          </cell>
          <cell r="AL45">
            <v>0.25172706104935216</v>
          </cell>
          <cell r="AM45">
            <v>0.46654364732758424</v>
          </cell>
        </row>
        <row r="46">
          <cell r="C46">
            <v>2019</v>
          </cell>
          <cell r="D46">
            <v>0.2288297848427378</v>
          </cell>
          <cell r="E46">
            <v>0.37959166176625675</v>
          </cell>
          <cell r="F46">
            <v>0.15613005370039676</v>
          </cell>
          <cell r="G46">
            <v>7.3291501411190813E-2</v>
          </cell>
          <cell r="H46">
            <v>0.16215699828517127</v>
          </cell>
          <cell r="I46">
            <v>-5.7532724512431482E-12</v>
          </cell>
          <cell r="J46">
            <v>1</v>
          </cell>
          <cell r="AI46">
            <v>2038</v>
          </cell>
          <cell r="AL46">
            <v>0.2501842969654488</v>
          </cell>
          <cell r="AM46">
            <v>0.4465114687907436</v>
          </cell>
        </row>
        <row r="47">
          <cell r="C47">
            <v>2020</v>
          </cell>
          <cell r="D47">
            <v>0.2400167557520482</v>
          </cell>
          <cell r="E47">
            <v>0.35903554157827877</v>
          </cell>
          <cell r="F47">
            <v>0.16557328930899359</v>
          </cell>
          <cell r="G47">
            <v>7.7213780977456542E-2</v>
          </cell>
          <cell r="H47">
            <v>0.15816063243983383</v>
          </cell>
          <cell r="I47">
            <v>-5.6610878479072523E-11</v>
          </cell>
          <cell r="J47">
            <v>1</v>
          </cell>
          <cell r="AI47">
            <v>2039</v>
          </cell>
          <cell r="AL47">
            <v>0.24725301408667028</v>
          </cell>
          <cell r="AM47">
            <v>0.42299410155568123</v>
          </cell>
        </row>
        <row r="48">
          <cell r="C48">
            <v>2021</v>
          </cell>
          <cell r="D48">
            <v>0.22339761576264267</v>
          </cell>
          <cell r="E48">
            <v>0.37115743467241125</v>
          </cell>
          <cell r="F48">
            <v>0.16685962722565814</v>
          </cell>
          <cell r="G48">
            <v>7.876649718192863E-2</v>
          </cell>
          <cell r="H48">
            <v>0.15981882598797026</v>
          </cell>
          <cell r="I48">
            <v>-8.3061097277568795E-10</v>
          </cell>
          <cell r="J48">
            <v>1</v>
          </cell>
          <cell r="AI48">
            <v>2040</v>
          </cell>
          <cell r="AL48">
            <v>0.24278388971603485</v>
          </cell>
          <cell r="AM48">
            <v>0.3960772608409675</v>
          </cell>
        </row>
        <row r="49">
          <cell r="C49">
            <v>2022</v>
          </cell>
          <cell r="D49">
            <v>0.20920535062258178</v>
          </cell>
          <cell r="E49">
            <v>0.38437564054670847</v>
          </cell>
          <cell r="F49">
            <v>0.16319642055458475</v>
          </cell>
          <cell r="G49">
            <v>7.6553337305864055E-2</v>
          </cell>
          <cell r="H49">
            <v>0.16666925097026095</v>
          </cell>
          <cell r="I49">
            <v>0</v>
          </cell>
          <cell r="J49">
            <v>1</v>
          </cell>
        </row>
        <row r="50">
          <cell r="C50">
            <v>2023</v>
          </cell>
          <cell r="D50">
            <v>0.20880784725882501</v>
          </cell>
          <cell r="E50">
            <v>0.38793162543069176</v>
          </cell>
          <cell r="F50">
            <v>0.15963509891412489</v>
          </cell>
          <cell r="G50">
            <v>7.4779707791049324E-2</v>
          </cell>
          <cell r="H50">
            <v>0.16884572060530906</v>
          </cell>
          <cell r="I50">
            <v>0</v>
          </cell>
          <cell r="J50">
            <v>1</v>
          </cell>
        </row>
        <row r="51">
          <cell r="C51">
            <v>2024</v>
          </cell>
          <cell r="D51">
            <v>0.20665776770984237</v>
          </cell>
          <cell r="E51">
            <v>0.36030595821104094</v>
          </cell>
          <cell r="F51">
            <v>0.16855758416157343</v>
          </cell>
          <cell r="G51">
            <v>7.6355722016202415E-2</v>
          </cell>
          <cell r="H51">
            <v>0.18812296790134092</v>
          </cell>
          <cell r="I51">
            <v>0</v>
          </cell>
          <cell r="J51">
            <v>1</v>
          </cell>
        </row>
      </sheetData>
      <sheetData sheetId="6">
        <row r="29">
          <cell r="B29" t="str">
            <v>Gasoline HP LI</v>
          </cell>
        </row>
      </sheetData>
      <sheetData sheetId="7"/>
      <sheetData sheetId="8">
        <row r="14">
          <cell r="B14" t="str">
            <v>Gasoline</v>
          </cell>
        </row>
      </sheetData>
      <sheetData sheetId="9"/>
      <sheetData sheetId="10"/>
      <sheetData sheetId="11"/>
      <sheetData sheetId="12"/>
      <sheetData sheetId="13"/>
      <sheetData sheetId="14">
        <row r="10">
          <cell r="B10" t="str">
            <v xml:space="preserve">Deficit 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P Comp"/>
      <sheetName val="Demand"/>
      <sheetName val="Diesel"/>
      <sheetName val="Gasoline"/>
      <sheetName val="Power Gen"/>
      <sheetName val="EVs"/>
      <sheetName val="EVReg"/>
      <sheetName val="MacroEc"/>
      <sheetName val="Supply"/>
      <sheetName val="fSupply"/>
      <sheetName val="fDiesel"/>
      <sheetName val="fGasoline"/>
      <sheetName val="fDieselReg"/>
      <sheetName val="fGasolineReg"/>
    </sheetNames>
    <sheetDataSet>
      <sheetData sheetId="0"/>
      <sheetData sheetId="1"/>
      <sheetData sheetId="2">
        <row r="44">
          <cell r="D44" t="str">
            <v>Diesel50 
(constant 2015)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50">
          <cell r="C50" t="str">
            <v>Diesel (RSA)</v>
          </cell>
          <cell r="D50" t="str">
            <v>GDP (Rm)</v>
          </cell>
          <cell r="E50" t="str">
            <v>litres / vehicle</v>
          </cell>
        </row>
      </sheetData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Kihara" refreshedDate="45267.656875810186" createdVersion="8" refreshedVersion="8" minRefreshableVersion="3" recordCount="48" xr:uid="{CF96C3E7-A472-457F-A215-D61FF0090B15}">
  <cacheSource type="worksheet">
    <worksheetSource name="Table4"/>
  </cacheSource>
  <cacheFields count="15">
    <cacheField name="Destination" numFmtId="0">
      <sharedItems count="4">
        <s v="International"/>
        <s v="Regional"/>
        <s v="Domestic"/>
        <s v="Unscheduled"/>
      </sharedItems>
    </cacheField>
    <cacheField name="Month" numFmtId="16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2012" numFmtId="164">
      <sharedItems containsSemiMixedTypes="0" containsString="0" containsNumber="1" containsInteger="1" minValue="828" maxValue="11268"/>
    </cacheField>
    <cacheField name="2013" numFmtId="164">
      <sharedItems containsSemiMixedTypes="0" containsString="0" containsNumber="1" containsInteger="1" minValue="833" maxValue="11096"/>
    </cacheField>
    <cacheField name="2014" numFmtId="164">
      <sharedItems containsSemiMixedTypes="0" containsString="0" containsNumber="1" containsInteger="1" minValue="899" maxValue="12146"/>
    </cacheField>
    <cacheField name="2015" numFmtId="164">
      <sharedItems containsSemiMixedTypes="0" containsString="0" containsNumber="1" containsInteger="1" minValue="987" maxValue="12441"/>
    </cacheField>
    <cacheField name="2016" numFmtId="164">
      <sharedItems containsSemiMixedTypes="0" containsString="0" containsNumber="1" containsInteger="1" minValue="989" maxValue="12283"/>
    </cacheField>
    <cacheField name="2017" numFmtId="164">
      <sharedItems containsSemiMixedTypes="0" containsString="0" containsNumber="1" containsInteger="1" minValue="953" maxValue="12150" count="48">
        <n v="3152"/>
        <n v="3241"/>
        <n v="3119"/>
        <n v="3309"/>
        <n v="3330"/>
        <n v="3214"/>
        <n v="3334"/>
        <n v="3288"/>
        <n v="3371"/>
        <n v="3357"/>
        <n v="3015"/>
        <n v="3317"/>
        <n v="1069"/>
        <n v="1154"/>
        <n v="1119"/>
        <n v="1172"/>
        <n v="1155"/>
        <n v="1116"/>
        <n v="1163"/>
        <n v="1115"/>
        <n v="997"/>
        <n v="1024"/>
        <n v="953"/>
        <n v="1027"/>
        <n v="11397"/>
        <n v="12074"/>
        <n v="11451"/>
        <n v="11969"/>
        <n v="12108"/>
        <n v="11642"/>
        <n v="12150"/>
        <n v="11748"/>
        <n v="11695"/>
        <n v="11783"/>
        <n v="10539"/>
        <n v="11813"/>
        <n v="6721"/>
        <n v="6919"/>
        <n v="6109"/>
        <n v="6524"/>
        <n v="5979"/>
        <n v="5997"/>
        <n v="6029"/>
        <n v="5739"/>
        <n v="5158"/>
        <n v="5099"/>
        <n v="5921"/>
        <n v="5776"/>
      </sharedItems>
    </cacheField>
    <cacheField name="2018" numFmtId="164">
      <sharedItems containsSemiMixedTypes="0" containsString="0" containsNumber="1" containsInteger="1" minValue="931" maxValue="11958" count="48">
        <n v="3166"/>
        <n v="3198"/>
        <n v="3084"/>
        <n v="3238"/>
        <n v="3256"/>
        <n v="3138"/>
        <n v="3314"/>
        <n v="3320"/>
        <n v="3484"/>
        <n v="3388"/>
        <n v="3049"/>
        <n v="3383"/>
        <n v="971"/>
        <n v="1005"/>
        <n v="931"/>
        <n v="988"/>
        <n v="1027"/>
        <n v="1098"/>
        <n v="1179"/>
        <n v="1152"/>
        <n v="993"/>
        <n v="1069"/>
        <n v="1064"/>
        <n v="1136"/>
        <n v="11496"/>
        <n v="11499"/>
        <n v="10596"/>
        <n v="11354"/>
        <n v="11492"/>
        <n v="11207"/>
        <n v="11958"/>
        <n v="11665"/>
        <n v="11103"/>
        <n v="11109"/>
        <n v="10454"/>
        <n v="11735"/>
        <n v="6102"/>
        <n v="7497"/>
        <n v="6448"/>
        <n v="6773"/>
        <n v="6013"/>
        <n v="5825"/>
        <n v="5930"/>
        <n v="6024"/>
        <n v="5173"/>
        <n v="4798"/>
        <n v="5473"/>
        <n v="5814"/>
      </sharedItems>
    </cacheField>
    <cacheField name="2019" numFmtId="164">
      <sharedItems containsSemiMixedTypes="0" containsString="0" containsNumber="1" containsInteger="1" minValue="651" maxValue="11737"/>
    </cacheField>
    <cacheField name="2020" numFmtId="164">
      <sharedItems containsSemiMixedTypes="0" containsString="0" containsNumber="1" containsInteger="1" minValue="68" maxValue="7706"/>
    </cacheField>
    <cacheField name="2021" numFmtId="164">
      <sharedItems containsSemiMixedTypes="0" containsString="0" containsNumber="1" containsInteger="1" minValue="506" maxValue="9553"/>
    </cacheField>
    <cacheField name="2022" numFmtId="164">
      <sharedItems containsSemiMixedTypes="0" containsString="0" containsNumber="1" containsInteger="1" minValue="685" maxValue="10045"/>
    </cacheField>
    <cacheField name="2023" numFmtId="164">
      <sharedItems containsSemiMixedTypes="0" containsString="0" containsNumber="1" containsInteger="1" minValue="0" maxValue="10813"/>
    </cacheField>
    <cacheField name="2023*" numFmtId="164">
      <sharedItems containsSemiMixedTypes="0" containsString="0" containsNumber="1" minValue="0" maxValue="18536.571428571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Kihara" refreshedDate="45267.659945717591" createdVersion="8" refreshedVersion="8" minRefreshableVersion="3" recordCount="48" xr:uid="{5C36CEE5-C313-4EC6-A475-D255CB5D8F5A}">
  <cacheSource type="worksheet">
    <worksheetSource name="Departures_APData"/>
  </cacheSource>
  <cacheFields count="15">
    <cacheField name="Destination" numFmtId="0">
      <sharedItems count="4">
        <s v="International"/>
        <s v="Regional"/>
        <s v="Domestic"/>
        <s v="Unscheduled"/>
      </sharedItems>
    </cacheField>
    <cacheField name="Month" numFmtId="16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2012" numFmtId="164">
      <sharedItems containsSemiMixedTypes="0" containsString="0" containsNumber="1" containsInteger="1" minValue="824" maxValue="11287"/>
    </cacheField>
    <cacheField name="2013" numFmtId="164">
      <sharedItems containsSemiMixedTypes="0" containsString="0" containsNumber="1" containsInteger="1" minValue="835" maxValue="11116"/>
    </cacheField>
    <cacheField name="2014" numFmtId="164">
      <sharedItems containsSemiMixedTypes="0" containsString="0" containsNumber="1" containsInteger="1" minValue="901" maxValue="12159"/>
    </cacheField>
    <cacheField name="2015" numFmtId="164">
      <sharedItems containsSemiMixedTypes="0" containsString="0" containsNumber="1" containsInteger="1" minValue="989" maxValue="12477"/>
    </cacheField>
    <cacheField name="2016" numFmtId="164">
      <sharedItems containsSemiMixedTypes="0" containsString="0" containsNumber="1" containsInteger="1" minValue="999" maxValue="12337"/>
    </cacheField>
    <cacheField name="2017" numFmtId="164">
      <sharedItems containsSemiMixedTypes="0" containsString="0" containsNumber="1" containsInteger="1" minValue="962" maxValue="12198"/>
    </cacheField>
    <cacheField name="2018" numFmtId="164">
      <sharedItems containsSemiMixedTypes="0" containsString="0" containsNumber="1" containsInteger="1" minValue="933" maxValue="12019"/>
    </cacheField>
    <cacheField name="2019" numFmtId="164">
      <sharedItems containsSemiMixedTypes="0" containsString="0" containsNumber="1" containsInteger="1" minValue="658" maxValue="11784"/>
    </cacheField>
    <cacheField name="2020" numFmtId="164">
      <sharedItems containsSemiMixedTypes="0" containsString="0" containsNumber="1" containsInteger="1" minValue="67" maxValue="7721"/>
    </cacheField>
    <cacheField name="2021" numFmtId="164">
      <sharedItems containsSemiMixedTypes="0" containsString="0" containsNumber="1" containsInteger="1" minValue="500" maxValue="9566"/>
    </cacheField>
    <cacheField name="2022" numFmtId="164">
      <sharedItems containsSemiMixedTypes="0" containsString="0" containsNumber="1" containsInteger="1" minValue="680" maxValue="10080"/>
    </cacheField>
    <cacheField name="2023" numFmtId="164">
      <sharedItems containsSemiMixedTypes="0" containsString="0" containsNumber="1" containsInteger="1" minValue="0" maxValue="10842"/>
    </cacheField>
    <cacheField name="2023*" numFmtId="164">
      <sharedItems containsSemiMixedTypes="0" containsString="0" containsNumber="1" minValue="0" maxValue="18586.2857142857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Kihara" refreshedDate="45267.663756249996" createdVersion="8" refreshedVersion="8" minRefreshableVersion="3" recordCount="48" xr:uid="{9CAE682E-ED23-4951-B886-221E80208DA4}">
  <cacheSource type="worksheet">
    <worksheetSource name="Arrivals_pass"/>
  </cacheSource>
  <cacheFields count="15">
    <cacheField name="Destination" numFmtId="0">
      <sharedItems count="4">
        <s v="International"/>
        <s v="Regional"/>
        <s v="Domestic"/>
        <s v="Unscheduled"/>
      </sharedItems>
    </cacheField>
    <cacheField name="Month" numFmtId="16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2012" numFmtId="164">
      <sharedItems containsSemiMixedTypes="0" containsString="0" containsNumber="1" containsInteger="1" minValue="5269" maxValue="1073586"/>
    </cacheField>
    <cacheField name="2013" numFmtId="164">
      <sharedItems containsSemiMixedTypes="0" containsString="0" containsNumber="1" containsInteger="1" minValue="5648" maxValue="1038496"/>
    </cacheField>
    <cacheField name="2014" numFmtId="164">
      <sharedItems containsSemiMixedTypes="0" containsString="0" containsNumber="1" containsInteger="1" minValue="4757" maxValue="1157355"/>
    </cacheField>
    <cacheField name="2015" numFmtId="164">
      <sharedItems containsSemiMixedTypes="0" containsString="0" containsNumber="1" containsInteger="1" minValue="4339" maxValue="1239547"/>
    </cacheField>
    <cacheField name="2016" numFmtId="164">
      <sharedItems containsSemiMixedTypes="0" containsString="0" containsNumber="1" containsInteger="1" minValue="4687" maxValue="1258217"/>
    </cacheField>
    <cacheField name="2017" numFmtId="164">
      <sharedItems containsSemiMixedTypes="0" containsString="0" containsNumber="1" containsInteger="1" minValue="3766" maxValue="1282592"/>
    </cacheField>
    <cacheField name="2018" numFmtId="164">
      <sharedItems containsSemiMixedTypes="0" containsString="0" containsNumber="1" containsInteger="1" minValue="3671" maxValue="1355418"/>
    </cacheField>
    <cacheField name="2019" numFmtId="164">
      <sharedItems containsSemiMixedTypes="0" containsString="0" containsNumber="1" containsInteger="1" minValue="3040" maxValue="1415962"/>
    </cacheField>
    <cacheField name="2020" numFmtId="164">
      <sharedItems containsSemiMixedTypes="0" containsString="0" containsNumber="1" containsInteger="1" minValue="0" maxValue="756634"/>
    </cacheField>
    <cacheField name="2021" numFmtId="164">
      <sharedItems containsSemiMixedTypes="0" containsString="0" containsNumber="1" containsInteger="1" minValue="2798" maxValue="983456"/>
    </cacheField>
    <cacheField name="2022" numFmtId="164">
      <sharedItems containsSemiMixedTypes="0" containsString="0" containsNumber="1" containsInteger="1" minValue="4126" maxValue="1049892"/>
    </cacheField>
    <cacheField name="2023" numFmtId="164">
      <sharedItems containsSemiMixedTypes="0" containsString="0" containsNumber="1" containsInteger="1" minValue="0" maxValue="1129375"/>
    </cacheField>
    <cacheField name="2023*" numFmtId="164">
      <sharedItems containsSemiMixedTypes="0" containsString="0" containsNumber="1" minValue="0" maxValue="1936071.4285714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Kihara" refreshedDate="45267.665672222225" createdVersion="8" refreshedVersion="8" minRefreshableVersion="3" recordCount="48" xr:uid="{71098DB3-8C58-4CE7-B803-69DF8C8CE047}">
  <cacheSource type="worksheet">
    <worksheetSource name="Departures_PassData"/>
  </cacheSource>
  <cacheFields count="15">
    <cacheField name="Destination" numFmtId="0">
      <sharedItems count="4">
        <s v="International"/>
        <s v="Regional"/>
        <s v="Domestic"/>
        <s v="Unscheduled"/>
      </sharedItems>
    </cacheField>
    <cacheField name="Month" numFmtId="16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2012" numFmtId="164">
      <sharedItems containsSemiMixedTypes="0" containsString="0" containsNumber="1" containsInteger="1" minValue="4843" maxValue="1080305"/>
    </cacheField>
    <cacheField name="2013" numFmtId="164">
      <sharedItems containsSemiMixedTypes="0" containsString="0" containsNumber="1" containsInteger="1" minValue="5033" maxValue="1040556"/>
    </cacheField>
    <cacheField name="2014" numFmtId="164">
      <sharedItems containsSemiMixedTypes="0" containsString="0" containsNumber="1" containsInteger="1" minValue="4373" maxValue="1160704"/>
    </cacheField>
    <cacheField name="2015" numFmtId="164">
      <sharedItems containsSemiMixedTypes="0" containsString="0" containsNumber="1" containsInteger="1" minValue="4398" maxValue="1241363"/>
    </cacheField>
    <cacheField name="2016" numFmtId="164">
      <sharedItems containsSemiMixedTypes="0" containsString="0" containsNumber="1" containsInteger="1" minValue="4161" maxValue="1253056"/>
    </cacheField>
    <cacheField name="2017" numFmtId="164">
      <sharedItems containsSemiMixedTypes="0" containsString="0" containsNumber="1" containsInteger="1" minValue="4475" maxValue="1280418"/>
    </cacheField>
    <cacheField name="2018" numFmtId="164">
      <sharedItems containsSemiMixedTypes="0" containsString="0" containsNumber="1" containsInteger="1" minValue="3948" maxValue="1357551"/>
    </cacheField>
    <cacheField name="2019" numFmtId="164">
      <sharedItems containsSemiMixedTypes="0" containsString="0" containsNumber="1" containsInteger="1" minValue="3693" maxValue="1402674"/>
    </cacheField>
    <cacheField name="2020" numFmtId="164">
      <sharedItems containsSemiMixedTypes="0" containsString="0" containsNumber="1" containsInteger="1" minValue="0" maxValue="758286"/>
    </cacheField>
    <cacheField name="2021" numFmtId="164">
      <sharedItems containsSemiMixedTypes="0" containsString="0" containsNumber="1" containsInteger="1" minValue="2928" maxValue="984583"/>
    </cacheField>
    <cacheField name="2022" numFmtId="164">
      <sharedItems containsSemiMixedTypes="0" containsString="0" containsNumber="1" containsInteger="1" minValue="4269" maxValue="1050004"/>
    </cacheField>
    <cacheField name="2023" numFmtId="164">
      <sharedItems containsSemiMixedTypes="0" containsString="0" containsNumber="1" containsInteger="1" minValue="0" maxValue="1134169"/>
    </cacheField>
    <cacheField name="2023*" numFmtId="164">
      <sharedItems containsSemiMixedTypes="0" containsString="0" containsNumber="1" minValue="0" maxValue="1944289.7142857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2928"/>
    <n v="2976"/>
    <n v="2942"/>
    <n v="3098"/>
    <n v="3039"/>
    <x v="0"/>
    <x v="0"/>
    <n v="3187"/>
    <n v="324"/>
    <n v="1547"/>
    <n v="2494"/>
    <n v="3031"/>
    <n v="5196"/>
  </r>
  <r>
    <x v="0"/>
    <x v="1"/>
    <n v="2963"/>
    <n v="3158"/>
    <n v="2950"/>
    <n v="3086"/>
    <n v="3097"/>
    <x v="1"/>
    <x v="1"/>
    <n v="3229"/>
    <n v="446"/>
    <n v="1668"/>
    <n v="2569"/>
    <n v="3081"/>
    <n v="5281.7142857142862"/>
  </r>
  <r>
    <x v="0"/>
    <x v="2"/>
    <n v="2921"/>
    <n v="3068"/>
    <n v="2861"/>
    <n v="2989"/>
    <n v="2966"/>
    <x v="2"/>
    <x v="2"/>
    <n v="3144"/>
    <n v="438"/>
    <n v="1678"/>
    <n v="2454"/>
    <n v="2972"/>
    <n v="5094.8571428571431"/>
  </r>
  <r>
    <x v="0"/>
    <x v="3"/>
    <n v="3065"/>
    <n v="3227"/>
    <n v="3065"/>
    <n v="3116"/>
    <n v="3134"/>
    <x v="3"/>
    <x v="3"/>
    <n v="3394"/>
    <n v="461"/>
    <n v="1659"/>
    <n v="2618"/>
    <n v="3111"/>
    <n v="5333.1428571428569"/>
  </r>
  <r>
    <x v="0"/>
    <x v="4"/>
    <n v="3069"/>
    <n v="3232"/>
    <n v="3071"/>
    <n v="3070"/>
    <n v="3174"/>
    <x v="4"/>
    <x v="4"/>
    <n v="3357"/>
    <n v="447"/>
    <n v="1783"/>
    <n v="2700"/>
    <n v="3220"/>
    <n v="5520"/>
  </r>
  <r>
    <x v="0"/>
    <x v="5"/>
    <n v="2908"/>
    <n v="3119"/>
    <n v="2957"/>
    <n v="2988"/>
    <n v="3098"/>
    <x v="5"/>
    <x v="5"/>
    <n v="3233"/>
    <n v="479"/>
    <n v="1848"/>
    <n v="2659"/>
    <n v="3169"/>
    <n v="5432.5714285714284"/>
  </r>
  <r>
    <x v="0"/>
    <x v="6"/>
    <n v="3101"/>
    <n v="3283"/>
    <n v="3111"/>
    <n v="3213"/>
    <n v="3227"/>
    <x v="6"/>
    <x v="6"/>
    <n v="3359"/>
    <n v="1021"/>
    <n v="2060"/>
    <n v="2806"/>
    <n v="3399"/>
    <n v="5826.8571428571431"/>
  </r>
  <r>
    <x v="0"/>
    <x v="7"/>
    <n v="3069"/>
    <n v="3315"/>
    <n v="3109"/>
    <n v="3005"/>
    <n v="3192"/>
    <x v="7"/>
    <x v="7"/>
    <n v="3204"/>
    <n v="1237"/>
    <n v="2108"/>
    <n v="2825"/>
    <n v="0"/>
    <n v="0"/>
  </r>
  <r>
    <x v="0"/>
    <x v="8"/>
    <n v="3136"/>
    <n v="3325"/>
    <n v="3202"/>
    <n v="3095"/>
    <n v="3275"/>
    <x v="8"/>
    <x v="8"/>
    <n v="3504"/>
    <n v="1491"/>
    <n v="1929"/>
    <n v="3065"/>
    <n v="0"/>
    <n v="0"/>
  </r>
  <r>
    <x v="0"/>
    <x v="9"/>
    <n v="3049"/>
    <n v="3300"/>
    <n v="3199"/>
    <n v="3073"/>
    <n v="3296"/>
    <x v="9"/>
    <x v="9"/>
    <n v="3449"/>
    <n v="1297"/>
    <n v="2028"/>
    <n v="3024"/>
    <n v="0"/>
    <n v="0"/>
  </r>
  <r>
    <x v="0"/>
    <x v="10"/>
    <n v="2815"/>
    <n v="2992"/>
    <n v="2879"/>
    <n v="2932"/>
    <n v="2964"/>
    <x v="10"/>
    <x v="10"/>
    <n v="3162"/>
    <n v="1187"/>
    <n v="2020"/>
    <n v="2765"/>
    <n v="0"/>
    <n v="0"/>
  </r>
  <r>
    <x v="0"/>
    <x v="11"/>
    <n v="3119"/>
    <n v="3320"/>
    <n v="3223"/>
    <n v="3138"/>
    <n v="3260"/>
    <x v="11"/>
    <x v="11"/>
    <n v="2302"/>
    <n v="1469"/>
    <n v="2415"/>
    <n v="3176"/>
    <n v="0"/>
    <n v="0"/>
  </r>
  <r>
    <x v="1"/>
    <x v="0"/>
    <n v="898"/>
    <n v="903"/>
    <n v="997"/>
    <n v="1079"/>
    <n v="1095"/>
    <x v="12"/>
    <x v="12"/>
    <n v="992"/>
    <n v="68"/>
    <n v="506"/>
    <n v="685"/>
    <n v="877"/>
    <n v="1503.4285714285716"/>
  </r>
  <r>
    <x v="1"/>
    <x v="1"/>
    <n v="962"/>
    <n v="947"/>
    <n v="1010"/>
    <n v="1143"/>
    <n v="1124"/>
    <x v="13"/>
    <x v="13"/>
    <n v="992"/>
    <n v="83"/>
    <n v="533"/>
    <n v="831"/>
    <n v="966"/>
    <n v="1656"/>
  </r>
  <r>
    <x v="1"/>
    <x v="2"/>
    <n v="955"/>
    <n v="910"/>
    <n v="1013"/>
    <n v="1076"/>
    <n v="1083"/>
    <x v="14"/>
    <x v="14"/>
    <n v="952"/>
    <n v="97"/>
    <n v="523"/>
    <n v="811"/>
    <n v="966"/>
    <n v="1656"/>
  </r>
  <r>
    <x v="1"/>
    <x v="3"/>
    <n v="1011"/>
    <n v="940"/>
    <n v="1088"/>
    <n v="1119"/>
    <n v="1130"/>
    <x v="15"/>
    <x v="15"/>
    <n v="1018"/>
    <n v="102"/>
    <n v="508"/>
    <n v="837"/>
    <n v="1012"/>
    <n v="1734.8571428571431"/>
  </r>
  <r>
    <x v="1"/>
    <x v="4"/>
    <n v="996"/>
    <n v="958"/>
    <n v="1058"/>
    <n v="1116"/>
    <n v="1161"/>
    <x v="16"/>
    <x v="16"/>
    <n v="1024"/>
    <n v="103"/>
    <n v="573"/>
    <n v="832"/>
    <n v="1024"/>
    <n v="1755.4285714285713"/>
  </r>
  <r>
    <x v="1"/>
    <x v="5"/>
    <n v="959"/>
    <n v="937"/>
    <n v="1013"/>
    <n v="1082"/>
    <n v="1123"/>
    <x v="17"/>
    <x v="17"/>
    <n v="1053"/>
    <n v="120"/>
    <n v="539"/>
    <n v="810"/>
    <n v="994"/>
    <n v="1704"/>
  </r>
  <r>
    <x v="1"/>
    <x v="6"/>
    <n v="1030"/>
    <n v="972"/>
    <n v="1051"/>
    <n v="1132"/>
    <n v="1151"/>
    <x v="18"/>
    <x v="18"/>
    <n v="1024"/>
    <n v="166"/>
    <n v="589"/>
    <n v="809"/>
    <n v="1027"/>
    <n v="1760.5714285714287"/>
  </r>
  <r>
    <x v="1"/>
    <x v="7"/>
    <n v="979"/>
    <n v="937"/>
    <n v="1017"/>
    <n v="1133"/>
    <n v="1130"/>
    <x v="19"/>
    <x v="19"/>
    <n v="1024"/>
    <n v="306"/>
    <n v="612"/>
    <n v="754"/>
    <n v="0"/>
    <n v="0"/>
  </r>
  <r>
    <x v="1"/>
    <x v="8"/>
    <n v="848"/>
    <n v="833"/>
    <n v="899"/>
    <n v="987"/>
    <n v="989"/>
    <x v="20"/>
    <x v="20"/>
    <n v="952"/>
    <n v="402"/>
    <n v="575"/>
    <n v="691"/>
    <n v="0"/>
    <n v="0"/>
  </r>
  <r>
    <x v="1"/>
    <x v="9"/>
    <n v="882"/>
    <n v="900"/>
    <n v="940"/>
    <n v="1034"/>
    <n v="1036"/>
    <x v="21"/>
    <x v="21"/>
    <n v="998"/>
    <n v="372"/>
    <n v="551"/>
    <n v="754"/>
    <n v="0"/>
    <n v="0"/>
  </r>
  <r>
    <x v="1"/>
    <x v="10"/>
    <n v="828"/>
    <n v="913"/>
    <n v="974"/>
    <n v="1059"/>
    <n v="1012"/>
    <x v="22"/>
    <x v="22"/>
    <n v="940"/>
    <n v="349"/>
    <n v="557"/>
    <n v="709"/>
    <n v="0"/>
    <n v="0"/>
  </r>
  <r>
    <x v="1"/>
    <x v="11"/>
    <n v="903"/>
    <n v="981"/>
    <n v="1097"/>
    <n v="1113"/>
    <n v="1104"/>
    <x v="23"/>
    <x v="23"/>
    <n v="651"/>
    <n v="456"/>
    <n v="689"/>
    <n v="831"/>
    <n v="0"/>
    <n v="0"/>
  </r>
  <r>
    <x v="2"/>
    <x v="0"/>
    <n v="11027"/>
    <n v="10325"/>
    <n v="10745"/>
    <n v="11294"/>
    <n v="11662"/>
    <x v="24"/>
    <x v="24"/>
    <n v="11239"/>
    <n v="83"/>
    <n v="7796"/>
    <n v="9404"/>
    <n v="9803"/>
    <n v="16805.142857142855"/>
  </r>
  <r>
    <x v="2"/>
    <x v="1"/>
    <n v="11078"/>
    <n v="10442"/>
    <n v="10819"/>
    <n v="11671"/>
    <n v="12053"/>
    <x v="25"/>
    <x v="25"/>
    <n v="11342"/>
    <n v="129"/>
    <n v="7503"/>
    <n v="9611"/>
    <n v="10020"/>
    <n v="17177.142857142855"/>
  </r>
  <r>
    <x v="2"/>
    <x v="2"/>
    <n v="10450"/>
    <n v="9900"/>
    <n v="10844"/>
    <n v="11264"/>
    <n v="11607"/>
    <x v="26"/>
    <x v="26"/>
    <n v="10792"/>
    <n v="603"/>
    <n v="6776"/>
    <n v="7928"/>
    <n v="9635"/>
    <n v="16517.142857142855"/>
  </r>
  <r>
    <x v="2"/>
    <x v="3"/>
    <n v="11041"/>
    <n v="10555"/>
    <n v="11212"/>
    <n v="12139"/>
    <n v="12036"/>
    <x v="27"/>
    <x v="27"/>
    <n v="11224"/>
    <n v="1302"/>
    <n v="3952"/>
    <n v="8540"/>
    <n v="10114"/>
    <n v="17338.285714285714"/>
  </r>
  <r>
    <x v="2"/>
    <x v="4"/>
    <n v="11043"/>
    <n v="10542"/>
    <n v="11219"/>
    <n v="11639"/>
    <n v="12008"/>
    <x v="28"/>
    <x v="28"/>
    <n v="11094"/>
    <n v="1804"/>
    <n v="5510"/>
    <n v="8696"/>
    <n v="10122"/>
    <n v="17352"/>
  </r>
  <r>
    <x v="2"/>
    <x v="5"/>
    <n v="10598"/>
    <n v="10273"/>
    <n v="10900"/>
    <n v="11761"/>
    <n v="12059"/>
    <x v="29"/>
    <x v="29"/>
    <n v="11113"/>
    <n v="3344"/>
    <n v="7145"/>
    <n v="8748"/>
    <n v="10283"/>
    <n v="17628"/>
  </r>
  <r>
    <x v="2"/>
    <x v="6"/>
    <n v="11268"/>
    <n v="10832"/>
    <n v="11845"/>
    <n v="12441"/>
    <n v="12283"/>
    <x v="30"/>
    <x v="30"/>
    <n v="11737"/>
    <n v="4850"/>
    <n v="8239"/>
    <n v="9251"/>
    <n v="10813"/>
    <n v="18536.571428571428"/>
  </r>
  <r>
    <x v="2"/>
    <x v="7"/>
    <n v="10218"/>
    <n v="10686"/>
    <n v="11148"/>
    <n v="12260"/>
    <n v="12075"/>
    <x v="31"/>
    <x v="31"/>
    <n v="11140"/>
    <n v="5643"/>
    <n v="8211"/>
    <n v="9349"/>
    <n v="0"/>
    <n v="0"/>
  </r>
  <r>
    <x v="2"/>
    <x v="8"/>
    <n v="9991"/>
    <n v="10363"/>
    <n v="10729"/>
    <n v="11808"/>
    <n v="11601"/>
    <x v="32"/>
    <x v="32"/>
    <n v="11628"/>
    <n v="7706"/>
    <n v="9074"/>
    <n v="9564"/>
    <n v="0"/>
    <n v="0"/>
  </r>
  <r>
    <x v="2"/>
    <x v="9"/>
    <n v="9965"/>
    <n v="10724"/>
    <n v="10747"/>
    <n v="11674"/>
    <n v="11486"/>
    <x v="33"/>
    <x v="33"/>
    <n v="11195"/>
    <n v="5496"/>
    <n v="8389"/>
    <n v="9209"/>
    <n v="0"/>
    <n v="0"/>
  </r>
  <r>
    <x v="2"/>
    <x v="10"/>
    <n v="9411"/>
    <n v="10218"/>
    <n v="10561"/>
    <n v="11651"/>
    <n v="11086"/>
    <x v="34"/>
    <x v="34"/>
    <n v="10524"/>
    <n v="4785"/>
    <n v="8237"/>
    <n v="8731"/>
    <n v="0"/>
    <n v="0"/>
  </r>
  <r>
    <x v="2"/>
    <x v="11"/>
    <n v="10404"/>
    <n v="11096"/>
    <n v="12146"/>
    <n v="12437"/>
    <n v="12249"/>
    <x v="35"/>
    <x v="35"/>
    <n v="7665"/>
    <n v="7151"/>
    <n v="9553"/>
    <n v="10045"/>
    <n v="0"/>
    <n v="0"/>
  </r>
  <r>
    <x v="3"/>
    <x v="0"/>
    <n v="7178"/>
    <n v="9318"/>
    <n v="7923"/>
    <n v="7966"/>
    <n v="8399"/>
    <x v="36"/>
    <x v="36"/>
    <n v="5899"/>
    <n v="572"/>
    <n v="4615"/>
    <n v="4794"/>
    <n v="5219"/>
    <n v="8946.8571428571431"/>
  </r>
  <r>
    <x v="3"/>
    <x v="1"/>
    <n v="7631"/>
    <n v="7740"/>
    <n v="7774"/>
    <n v="8769"/>
    <n v="8591"/>
    <x v="37"/>
    <x v="37"/>
    <n v="6679"/>
    <n v="873"/>
    <n v="4678"/>
    <n v="5805"/>
    <n v="5299"/>
    <n v="9084"/>
  </r>
  <r>
    <x v="3"/>
    <x v="2"/>
    <n v="6458"/>
    <n v="6785"/>
    <n v="7418"/>
    <n v="8059"/>
    <n v="7089"/>
    <x v="38"/>
    <x v="38"/>
    <n v="6109"/>
    <n v="3543"/>
    <n v="4736"/>
    <n v="5166"/>
    <n v="4407"/>
    <n v="7554.8571428571431"/>
  </r>
  <r>
    <x v="3"/>
    <x v="3"/>
    <n v="6445"/>
    <n v="6826"/>
    <n v="8221"/>
    <n v="7445"/>
    <n v="7762"/>
    <x v="39"/>
    <x v="39"/>
    <n v="6386"/>
    <n v="4192"/>
    <n v="4329"/>
    <n v="5116"/>
    <n v="5093"/>
    <n v="8730.8571428571431"/>
  </r>
  <r>
    <x v="3"/>
    <x v="4"/>
    <n v="6750"/>
    <n v="6312"/>
    <n v="8072"/>
    <n v="7999"/>
    <n v="8635"/>
    <x v="40"/>
    <x v="40"/>
    <n v="7441"/>
    <n v="4089"/>
    <n v="4404"/>
    <n v="4975"/>
    <n v="5391"/>
    <n v="9241.7142857142862"/>
  </r>
  <r>
    <x v="3"/>
    <x v="5"/>
    <n v="5909"/>
    <n v="6275"/>
    <n v="7373"/>
    <n v="7636"/>
    <n v="8881"/>
    <x v="41"/>
    <x v="41"/>
    <n v="5485"/>
    <n v="5186"/>
    <n v="3535"/>
    <n v="4748"/>
    <n v="4891"/>
    <n v="8384.5714285714275"/>
  </r>
  <r>
    <x v="3"/>
    <x v="6"/>
    <n v="5687"/>
    <n v="6906"/>
    <n v="7604"/>
    <n v="8668"/>
    <n v="7508"/>
    <x v="42"/>
    <x v="42"/>
    <n v="5814"/>
    <n v="4370"/>
    <n v="4118"/>
    <n v="6101"/>
    <n v="4168"/>
    <n v="7145.1428571428569"/>
  </r>
  <r>
    <x v="3"/>
    <x v="7"/>
    <n v="7446"/>
    <n v="7537"/>
    <n v="7702"/>
    <n v="7967"/>
    <n v="6620"/>
    <x v="43"/>
    <x v="43"/>
    <n v="5514"/>
    <n v="4507"/>
    <n v="4082"/>
    <n v="5323"/>
    <n v="0"/>
    <n v="0"/>
  </r>
  <r>
    <x v="3"/>
    <x v="8"/>
    <n v="6102"/>
    <n v="6077"/>
    <n v="6395"/>
    <n v="6346"/>
    <n v="5835"/>
    <x v="44"/>
    <x v="44"/>
    <n v="4530"/>
    <n v="3847"/>
    <n v="3136"/>
    <n v="4355"/>
    <n v="0"/>
    <n v="0"/>
  </r>
  <r>
    <x v="3"/>
    <x v="9"/>
    <n v="6902"/>
    <n v="7510"/>
    <n v="7657"/>
    <n v="6266"/>
    <n v="5034"/>
    <x v="45"/>
    <x v="45"/>
    <n v="4401"/>
    <n v="4070"/>
    <n v="4102"/>
    <n v="4310"/>
    <n v="0"/>
    <n v="0"/>
  </r>
  <r>
    <x v="3"/>
    <x v="10"/>
    <n v="7669"/>
    <n v="7482"/>
    <n v="6862"/>
    <n v="7266"/>
    <n v="5701"/>
    <x v="46"/>
    <x v="46"/>
    <n v="4544"/>
    <n v="4359"/>
    <n v="4500"/>
    <n v="4338"/>
    <n v="0"/>
    <n v="0"/>
  </r>
  <r>
    <x v="3"/>
    <x v="11"/>
    <n v="6957"/>
    <n v="7124"/>
    <n v="8619"/>
    <n v="8047"/>
    <n v="7587"/>
    <x v="47"/>
    <x v="47"/>
    <n v="4880"/>
    <n v="4455"/>
    <n v="6789"/>
    <n v="517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2944"/>
    <n v="2776"/>
    <n v="2941"/>
    <n v="3100"/>
    <n v="3034"/>
    <n v="3148"/>
    <n v="3155"/>
    <n v="3178"/>
    <n v="318"/>
    <n v="1541"/>
    <n v="2459"/>
    <n v="3013"/>
    <n v="5165.1428571428569"/>
  </r>
  <r>
    <x v="0"/>
    <x v="1"/>
    <n v="2721"/>
    <n v="2925"/>
    <n v="2952"/>
    <n v="3079"/>
    <n v="3093"/>
    <n v="3232"/>
    <n v="3159"/>
    <n v="3208"/>
    <n v="428"/>
    <n v="1646"/>
    <n v="2552"/>
    <n v="3068"/>
    <n v="5259.4285714285716"/>
  </r>
  <r>
    <x v="0"/>
    <x v="2"/>
    <n v="2916"/>
    <n v="2837"/>
    <n v="2864"/>
    <n v="2993"/>
    <n v="2960"/>
    <n v="3119"/>
    <n v="3083"/>
    <n v="3132"/>
    <n v="441"/>
    <n v="1665"/>
    <n v="2431"/>
    <n v="2951"/>
    <n v="5058.8571428571431"/>
  </r>
  <r>
    <x v="0"/>
    <x v="3"/>
    <n v="2820"/>
    <n v="2994"/>
    <n v="3058"/>
    <n v="3123"/>
    <n v="3124"/>
    <n v="3297"/>
    <n v="3225"/>
    <n v="3369"/>
    <n v="440"/>
    <n v="1647"/>
    <n v="2599"/>
    <n v="3089"/>
    <n v="5295.4285714285716"/>
  </r>
  <r>
    <x v="0"/>
    <x v="4"/>
    <n v="3075"/>
    <n v="3016"/>
    <n v="3077"/>
    <n v="3066"/>
    <n v="3171"/>
    <n v="3331"/>
    <n v="3232"/>
    <n v="3331"/>
    <n v="415"/>
    <n v="1763"/>
    <n v="2681"/>
    <n v="3203"/>
    <n v="5490.8571428571431"/>
  </r>
  <r>
    <x v="0"/>
    <x v="5"/>
    <n v="2680"/>
    <n v="2913"/>
    <n v="2962"/>
    <n v="2986"/>
    <n v="3092"/>
    <n v="3197"/>
    <n v="3116"/>
    <n v="3210"/>
    <n v="452"/>
    <n v="1828"/>
    <n v="2639"/>
    <n v="3141"/>
    <n v="5384.5714285714284"/>
  </r>
  <r>
    <x v="0"/>
    <x v="6"/>
    <n v="2830"/>
    <n v="3050"/>
    <n v="3105"/>
    <n v="3203"/>
    <n v="3224"/>
    <n v="3325"/>
    <n v="3287"/>
    <n v="3337"/>
    <n v="1018"/>
    <n v="2038"/>
    <n v="2785"/>
    <n v="3372"/>
    <n v="5780.5714285714284"/>
  </r>
  <r>
    <x v="0"/>
    <x v="7"/>
    <n v="2827"/>
    <n v="3097"/>
    <n v="3100"/>
    <n v="2999"/>
    <n v="3207"/>
    <n v="3270"/>
    <n v="3308"/>
    <n v="3183"/>
    <n v="1216"/>
    <n v="2084"/>
    <n v="2818"/>
    <n v="0"/>
    <n v="0"/>
  </r>
  <r>
    <x v="0"/>
    <x v="8"/>
    <n v="2911"/>
    <n v="3137"/>
    <n v="3183"/>
    <n v="3108"/>
    <n v="3288"/>
    <n v="3349"/>
    <n v="3468"/>
    <n v="3481"/>
    <n v="1495"/>
    <n v="1886"/>
    <n v="3036"/>
    <n v="0"/>
    <n v="0"/>
  </r>
  <r>
    <x v="0"/>
    <x v="9"/>
    <n v="2868"/>
    <n v="3121"/>
    <n v="3198"/>
    <n v="3064"/>
    <n v="3295"/>
    <n v="3345"/>
    <n v="3376"/>
    <n v="3434"/>
    <n v="1296"/>
    <n v="1999"/>
    <n v="3005"/>
    <n v="0"/>
    <n v="0"/>
  </r>
  <r>
    <x v="0"/>
    <x v="10"/>
    <n v="2615"/>
    <n v="2797"/>
    <n v="2879"/>
    <n v="2922"/>
    <n v="2974"/>
    <n v="2997"/>
    <n v="3037"/>
    <n v="3159"/>
    <n v="1182"/>
    <n v="2013"/>
    <n v="2759"/>
    <n v="0"/>
    <n v="0"/>
  </r>
  <r>
    <x v="0"/>
    <x v="11"/>
    <n v="2900"/>
    <n v="3110"/>
    <n v="3218"/>
    <n v="3138"/>
    <n v="3252"/>
    <n v="3319"/>
    <n v="3373"/>
    <n v="2278"/>
    <n v="1459"/>
    <n v="2404"/>
    <n v="3169"/>
    <n v="0"/>
    <n v="0"/>
  </r>
  <r>
    <x v="1"/>
    <x v="0"/>
    <n v="935"/>
    <n v="905"/>
    <n v="995"/>
    <n v="1081"/>
    <n v="1086"/>
    <n v="1069"/>
    <n v="973"/>
    <n v="997"/>
    <n v="67"/>
    <n v="501"/>
    <n v="680"/>
    <n v="871"/>
    <n v="1493.1428571428571"/>
  </r>
  <r>
    <x v="1"/>
    <x v="1"/>
    <n v="959"/>
    <n v="946"/>
    <n v="1008"/>
    <n v="1149"/>
    <n v="1125"/>
    <n v="1153"/>
    <n v="1006"/>
    <n v="994"/>
    <n v="84"/>
    <n v="530"/>
    <n v="831"/>
    <n v="958"/>
    <n v="1642.2857142857142"/>
  </r>
  <r>
    <x v="1"/>
    <x v="2"/>
    <n v="998"/>
    <n v="909"/>
    <n v="1013"/>
    <n v="1075"/>
    <n v="1083"/>
    <n v="1121"/>
    <n v="933"/>
    <n v="952"/>
    <n v="91"/>
    <n v="521"/>
    <n v="807"/>
    <n v="961"/>
    <n v="1647.4285714285713"/>
  </r>
  <r>
    <x v="1"/>
    <x v="3"/>
    <n v="1012"/>
    <n v="936"/>
    <n v="1076"/>
    <n v="1119"/>
    <n v="1129"/>
    <n v="1172"/>
    <n v="988"/>
    <n v="1025"/>
    <n v="101"/>
    <n v="500"/>
    <n v="832"/>
    <n v="1005"/>
    <n v="1722.8571428571431"/>
  </r>
  <r>
    <x v="1"/>
    <x v="4"/>
    <n v="1020"/>
    <n v="959"/>
    <n v="1055"/>
    <n v="1120"/>
    <n v="1150"/>
    <n v="1161"/>
    <n v="1029"/>
    <n v="1027"/>
    <n v="82"/>
    <n v="564"/>
    <n v="823"/>
    <n v="1017"/>
    <n v="1743.4285714285713"/>
  </r>
  <r>
    <x v="1"/>
    <x v="5"/>
    <n v="956"/>
    <n v="935"/>
    <n v="1013"/>
    <n v="1082"/>
    <n v="1121"/>
    <n v="1115"/>
    <n v="1102"/>
    <n v="1051"/>
    <n v="108"/>
    <n v="530"/>
    <n v="804"/>
    <n v="985"/>
    <n v="1688.5714285714287"/>
  </r>
  <r>
    <x v="1"/>
    <x v="6"/>
    <n v="1024"/>
    <n v="974"/>
    <n v="1055"/>
    <n v="1130"/>
    <n v="1152"/>
    <n v="1164"/>
    <n v="1184"/>
    <n v="1029"/>
    <n v="160"/>
    <n v="587"/>
    <n v="805"/>
    <n v="1021"/>
    <n v="1750.2857142857142"/>
  </r>
  <r>
    <x v="1"/>
    <x v="7"/>
    <n v="974"/>
    <n v="937"/>
    <n v="1014"/>
    <n v="1134"/>
    <n v="1141"/>
    <n v="1115"/>
    <n v="1160"/>
    <n v="1040"/>
    <n v="303"/>
    <n v="612"/>
    <n v="754"/>
    <n v="0"/>
    <n v="0"/>
  </r>
  <r>
    <x v="1"/>
    <x v="8"/>
    <n v="844"/>
    <n v="835"/>
    <n v="901"/>
    <n v="989"/>
    <n v="999"/>
    <n v="1001"/>
    <n v="996"/>
    <n v="965"/>
    <n v="396"/>
    <n v="562"/>
    <n v="681"/>
    <n v="0"/>
    <n v="0"/>
  </r>
  <r>
    <x v="1"/>
    <x v="9"/>
    <n v="878"/>
    <n v="905"/>
    <n v="950"/>
    <n v="1035"/>
    <n v="1044"/>
    <n v="1022"/>
    <n v="1080"/>
    <n v="1003"/>
    <n v="366"/>
    <n v="538"/>
    <n v="738"/>
    <n v="0"/>
    <n v="0"/>
  </r>
  <r>
    <x v="1"/>
    <x v="10"/>
    <n v="824"/>
    <n v="911"/>
    <n v="969"/>
    <n v="1065"/>
    <n v="1011"/>
    <n v="962"/>
    <n v="1063"/>
    <n v="948"/>
    <n v="347"/>
    <n v="548"/>
    <n v="690"/>
    <n v="0"/>
    <n v="0"/>
  </r>
  <r>
    <x v="1"/>
    <x v="11"/>
    <n v="903"/>
    <n v="980"/>
    <n v="1093"/>
    <n v="1113"/>
    <n v="1108"/>
    <n v="1030"/>
    <n v="1136"/>
    <n v="658"/>
    <n v="447"/>
    <n v="686"/>
    <n v="818"/>
    <n v="0"/>
    <n v="0"/>
  </r>
  <r>
    <x v="2"/>
    <x v="0"/>
    <n v="11070"/>
    <n v="10303"/>
    <n v="10748"/>
    <n v="11313"/>
    <n v="11727"/>
    <n v="11441"/>
    <n v="11543"/>
    <n v="11273"/>
    <n v="87"/>
    <n v="7802"/>
    <n v="9420"/>
    <n v="9832"/>
    <n v="16854.857142857145"/>
  </r>
  <r>
    <x v="2"/>
    <x v="1"/>
    <n v="11088"/>
    <n v="10451"/>
    <n v="10822"/>
    <n v="11693"/>
    <n v="12110"/>
    <n v="12104"/>
    <n v="11453"/>
    <n v="11367"/>
    <n v="130"/>
    <n v="7522"/>
    <n v="9654"/>
    <n v="10042"/>
    <n v="17214.857142857145"/>
  </r>
  <r>
    <x v="2"/>
    <x v="2"/>
    <n v="10636"/>
    <n v="9913"/>
    <n v="10847"/>
    <n v="11294"/>
    <n v="11681"/>
    <n v="11507"/>
    <n v="10640"/>
    <n v="10819"/>
    <n v="603"/>
    <n v="6791"/>
    <n v="7957"/>
    <n v="9658"/>
    <n v="16556.571428571428"/>
  </r>
  <r>
    <x v="2"/>
    <x v="3"/>
    <n v="11037"/>
    <n v="10549"/>
    <n v="11160"/>
    <n v="12161"/>
    <n v="12115"/>
    <n v="12015"/>
    <n v="11417"/>
    <n v="11248"/>
    <n v="1301"/>
    <n v="3960"/>
    <n v="8559"/>
    <n v="10140"/>
    <n v="17382.857142857145"/>
  </r>
  <r>
    <x v="2"/>
    <x v="4"/>
    <n v="11163"/>
    <n v="10527"/>
    <n v="11219"/>
    <n v="11674"/>
    <n v="12072"/>
    <n v="12186"/>
    <n v="11553"/>
    <n v="11120"/>
    <n v="1802"/>
    <n v="5532"/>
    <n v="8713"/>
    <n v="10143"/>
    <n v="17388"/>
  </r>
  <r>
    <x v="2"/>
    <x v="5"/>
    <n v="10608"/>
    <n v="10277"/>
    <n v="10932"/>
    <n v="11790"/>
    <n v="12126"/>
    <n v="11695"/>
    <n v="11271"/>
    <n v="11150"/>
    <n v="3347"/>
    <n v="7179"/>
    <n v="8777"/>
    <n v="10308"/>
    <n v="17670.857142857145"/>
  </r>
  <r>
    <x v="2"/>
    <x v="6"/>
    <n v="11287"/>
    <n v="10839"/>
    <n v="11872"/>
    <n v="12461"/>
    <n v="12337"/>
    <n v="12198"/>
    <n v="12019"/>
    <n v="11784"/>
    <n v="4860"/>
    <n v="8274"/>
    <n v="9264"/>
    <n v="10842"/>
    <n v="18586.285714285714"/>
  </r>
  <r>
    <x v="2"/>
    <x v="7"/>
    <n v="10231"/>
    <n v="10693"/>
    <n v="11171"/>
    <n v="12286"/>
    <n v="12100"/>
    <n v="11807"/>
    <n v="11722"/>
    <n v="11185"/>
    <n v="5668"/>
    <n v="8247"/>
    <n v="9373"/>
    <n v="0"/>
    <n v="0"/>
  </r>
  <r>
    <x v="2"/>
    <x v="8"/>
    <n v="9966"/>
    <n v="10353"/>
    <n v="10754"/>
    <n v="11824"/>
    <n v="11641"/>
    <n v="11750"/>
    <n v="11128"/>
    <n v="11702"/>
    <n v="7721"/>
    <n v="9101"/>
    <n v="9582"/>
    <n v="0"/>
    <n v="0"/>
  </r>
  <r>
    <x v="2"/>
    <x v="9"/>
    <n v="9988"/>
    <n v="10751"/>
    <n v="10773"/>
    <n v="11643"/>
    <n v="11522"/>
    <n v="11830"/>
    <n v="11161"/>
    <n v="11231"/>
    <n v="5506"/>
    <n v="8406"/>
    <n v="9239"/>
    <n v="0"/>
    <n v="0"/>
  </r>
  <r>
    <x v="2"/>
    <x v="10"/>
    <n v="9429"/>
    <n v="10239"/>
    <n v="10582"/>
    <n v="11694"/>
    <n v="11127"/>
    <n v="10576"/>
    <n v="10470"/>
    <n v="10536"/>
    <n v="4788"/>
    <n v="8251"/>
    <n v="8748"/>
    <n v="0"/>
    <n v="0"/>
  </r>
  <r>
    <x v="2"/>
    <x v="11"/>
    <n v="10415"/>
    <n v="11116"/>
    <n v="12159"/>
    <n v="12477"/>
    <n v="12288"/>
    <n v="11856"/>
    <n v="11767"/>
    <n v="7667"/>
    <n v="7156"/>
    <n v="9566"/>
    <n v="10080"/>
    <n v="0"/>
    <n v="0"/>
  </r>
  <r>
    <x v="3"/>
    <x v="0"/>
    <n v="6966"/>
    <n v="9456"/>
    <n v="7983"/>
    <n v="7766"/>
    <n v="8262"/>
    <n v="6265"/>
    <n v="6017"/>
    <n v="5859"/>
    <n v="562"/>
    <n v="4461"/>
    <n v="4730"/>
    <n v="5107"/>
    <n v="8754.8571428571431"/>
  </r>
  <r>
    <x v="3"/>
    <x v="1"/>
    <n v="7752"/>
    <n v="7847"/>
    <n v="7727"/>
    <n v="8596"/>
    <n v="8469"/>
    <n v="6391"/>
    <n v="7440"/>
    <n v="6664"/>
    <n v="894"/>
    <n v="4544"/>
    <n v="5676"/>
    <n v="5254"/>
    <n v="9006.8571428571431"/>
  </r>
  <r>
    <x v="3"/>
    <x v="2"/>
    <n v="6073"/>
    <n v="6912"/>
    <n v="7361"/>
    <n v="7928"/>
    <n v="7048"/>
    <n v="5723"/>
    <n v="6355"/>
    <n v="6091"/>
    <n v="3534"/>
    <n v="4680"/>
    <n v="5053"/>
    <n v="4385"/>
    <n v="7517.1428571428569"/>
  </r>
  <r>
    <x v="3"/>
    <x v="3"/>
    <n v="6585"/>
    <n v="6961"/>
    <n v="8322"/>
    <n v="7336"/>
    <n v="7655"/>
    <n v="6348"/>
    <n v="6649"/>
    <n v="6328"/>
    <n v="4186"/>
    <n v="4243"/>
    <n v="5052"/>
    <n v="5077"/>
    <n v="8703.4285714285725"/>
  </r>
  <r>
    <x v="3"/>
    <x v="4"/>
    <n v="6473"/>
    <n v="6310"/>
    <n v="7937"/>
    <n v="7501"/>
    <n v="8549"/>
    <n v="5819"/>
    <n v="5998"/>
    <n v="7412"/>
    <n v="4139"/>
    <n v="4401"/>
    <n v="4934"/>
    <n v="5366"/>
    <n v="9198.8571428571431"/>
  </r>
  <r>
    <x v="3"/>
    <x v="5"/>
    <n v="6029"/>
    <n v="6408"/>
    <n v="7183"/>
    <n v="7494"/>
    <n v="8781"/>
    <n v="5861"/>
    <n v="5739"/>
    <n v="5423"/>
    <n v="5228"/>
    <n v="3513"/>
    <n v="4665"/>
    <n v="4905"/>
    <n v="8408.5714285714275"/>
  </r>
  <r>
    <x v="3"/>
    <x v="6"/>
    <n v="5819"/>
    <n v="7012"/>
    <n v="7443"/>
    <n v="8590"/>
    <n v="7396"/>
    <n v="5891"/>
    <n v="5808"/>
    <n v="5781"/>
    <n v="4330"/>
    <n v="4042"/>
    <n v="6021"/>
    <n v="4133"/>
    <n v="7085.1428571428569"/>
  </r>
  <r>
    <x v="3"/>
    <x v="7"/>
    <n v="7536"/>
    <n v="7615"/>
    <n v="7635"/>
    <n v="7863"/>
    <n v="6421"/>
    <n v="5635"/>
    <n v="5878"/>
    <n v="5379"/>
    <n v="4442"/>
    <n v="3963"/>
    <n v="5209"/>
    <n v="0"/>
    <n v="0"/>
  </r>
  <r>
    <x v="3"/>
    <x v="8"/>
    <n v="6276"/>
    <n v="6257"/>
    <n v="6287"/>
    <n v="6194"/>
    <n v="5749"/>
    <n v="5069"/>
    <n v="5098"/>
    <n v="4415"/>
    <n v="3779"/>
    <n v="3099"/>
    <n v="4237"/>
    <n v="0"/>
    <n v="0"/>
  </r>
  <r>
    <x v="3"/>
    <x v="9"/>
    <n v="6978"/>
    <n v="7585"/>
    <n v="7623"/>
    <n v="6308"/>
    <n v="4961"/>
    <n v="5002"/>
    <n v="4988"/>
    <n v="4355"/>
    <n v="4029"/>
    <n v="4077"/>
    <n v="4276"/>
    <n v="0"/>
    <n v="0"/>
  </r>
  <r>
    <x v="3"/>
    <x v="10"/>
    <n v="7785"/>
    <n v="7567"/>
    <n v="6736"/>
    <n v="7107"/>
    <n v="5523"/>
    <n v="5781"/>
    <n v="5428"/>
    <n v="3171"/>
    <n v="4464"/>
    <n v="4393"/>
    <n v="4323"/>
    <n v="0"/>
    <n v="0"/>
  </r>
  <r>
    <x v="3"/>
    <x v="11"/>
    <n v="7121"/>
    <n v="7274"/>
    <n v="8473"/>
    <n v="7961"/>
    <n v="7121"/>
    <n v="5674"/>
    <n v="5799"/>
    <n v="4862"/>
    <n v="4514"/>
    <n v="6730"/>
    <n v="5132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385017"/>
    <n v="386368"/>
    <n v="412104"/>
    <n v="396464"/>
    <n v="418694"/>
    <n v="482026"/>
    <n v="456949"/>
    <n v="480285"/>
    <n v="490"/>
    <n v="74440"/>
    <n v="293465"/>
    <n v="370965"/>
    <n v="635940"/>
  </r>
  <r>
    <x v="0"/>
    <x v="1"/>
    <n v="353371"/>
    <n v="368723"/>
    <n v="391002"/>
    <n v="391498"/>
    <n v="394010"/>
    <n v="422560"/>
    <n v="424288"/>
    <n v="419630"/>
    <n v="288"/>
    <n v="77835"/>
    <n v="265425"/>
    <n v="340406"/>
    <n v="583553.14285714284"/>
  </r>
  <r>
    <x v="0"/>
    <x v="2"/>
    <n v="343458"/>
    <n v="361927"/>
    <n v="365910"/>
    <n v="356375"/>
    <n v="368012"/>
    <n v="394464"/>
    <n v="402538"/>
    <n v="433554"/>
    <n v="112"/>
    <n v="82141"/>
    <n v="254162"/>
    <n v="334373"/>
    <n v="573210.85714285716"/>
  </r>
  <r>
    <x v="0"/>
    <x v="3"/>
    <n v="449729"/>
    <n v="459415"/>
    <n v="461818"/>
    <n v="485895"/>
    <n v="514541"/>
    <n v="533901"/>
    <n v="554888"/>
    <n v="542656"/>
    <n v="292"/>
    <n v="78988"/>
    <n v="357653"/>
    <n v="442619"/>
    <n v="758775.42857142864"/>
  </r>
  <r>
    <x v="0"/>
    <x v="4"/>
    <n v="397809"/>
    <n v="427906"/>
    <n v="444552"/>
    <n v="436939"/>
    <n v="458644"/>
    <n v="473898"/>
    <n v="492329"/>
    <n v="493300"/>
    <n v="290"/>
    <n v="95034"/>
    <n v="326817"/>
    <n v="390667"/>
    <n v="669714.85714285716"/>
  </r>
  <r>
    <x v="0"/>
    <x v="5"/>
    <n v="412356"/>
    <n v="430184"/>
    <n v="425398"/>
    <n v="433032"/>
    <n v="457177"/>
    <n v="478553"/>
    <n v="490483"/>
    <n v="500463"/>
    <n v="0"/>
    <n v="115721"/>
    <n v="328574"/>
    <n v="400634"/>
    <n v="686801.14285714284"/>
  </r>
  <r>
    <x v="0"/>
    <x v="6"/>
    <n v="438440"/>
    <n v="449565"/>
    <n v="450966"/>
    <n v="479473"/>
    <n v="510438"/>
    <n v="531321"/>
    <n v="534210"/>
    <n v="526361"/>
    <n v="44137"/>
    <n v="170961"/>
    <n v="374844"/>
    <n v="461239"/>
    <n v="790695.42857142852"/>
  </r>
  <r>
    <x v="0"/>
    <x v="7"/>
    <n v="401128"/>
    <n v="427974"/>
    <n v="424253"/>
    <n v="437057"/>
    <n v="457517"/>
    <n v="478048"/>
    <n v="493080"/>
    <n v="476705"/>
    <n v="66777"/>
    <n v="193527"/>
    <n v="352647"/>
    <n v="0"/>
    <n v="0"/>
  </r>
  <r>
    <x v="0"/>
    <x v="8"/>
    <n v="460309"/>
    <n v="485086"/>
    <n v="482242"/>
    <n v="494430"/>
    <n v="542820"/>
    <n v="558861"/>
    <n v="569891"/>
    <n v="566805"/>
    <n v="117613"/>
    <n v="147836"/>
    <n v="434515"/>
    <n v="0"/>
    <n v="0"/>
  </r>
  <r>
    <x v="0"/>
    <x v="9"/>
    <n v="459580"/>
    <n v="484089"/>
    <n v="480663"/>
    <n v="500631"/>
    <n v="537857"/>
    <n v="558611"/>
    <n v="553051"/>
    <n v="567329"/>
    <n v="63822"/>
    <n v="163707"/>
    <n v="432421"/>
    <n v="0"/>
    <n v="0"/>
  </r>
  <r>
    <x v="0"/>
    <x v="10"/>
    <n v="382677"/>
    <n v="393688"/>
    <n v="387069"/>
    <n v="415935"/>
    <n v="442801"/>
    <n v="450302"/>
    <n v="444997"/>
    <n v="442555"/>
    <n v="44376"/>
    <n v="201303"/>
    <n v="354846"/>
    <n v="0"/>
    <n v="0"/>
  </r>
  <r>
    <x v="0"/>
    <x v="11"/>
    <n v="431053"/>
    <n v="412070"/>
    <n v="437357"/>
    <n v="455514"/>
    <n v="468464"/>
    <n v="493603"/>
    <n v="487600"/>
    <n v="238207"/>
    <n v="64026"/>
    <n v="259331"/>
    <n v="380556"/>
    <n v="0"/>
    <n v="0"/>
  </r>
  <r>
    <x v="1"/>
    <x v="0"/>
    <n v="41797"/>
    <n v="43145"/>
    <n v="46562"/>
    <n v="45008"/>
    <n v="47362"/>
    <n v="46725"/>
    <n v="45646"/>
    <n v="46842"/>
    <n v="36"/>
    <n v="11240"/>
    <n v="28195"/>
    <n v="34181"/>
    <n v="58596"/>
  </r>
  <r>
    <x v="1"/>
    <x v="1"/>
    <n v="40011"/>
    <n v="43665"/>
    <n v="46701"/>
    <n v="45133"/>
    <n v="47000"/>
    <n v="49510"/>
    <n v="45869"/>
    <n v="46378"/>
    <n v="0"/>
    <n v="11781"/>
    <n v="29045"/>
    <n v="36096"/>
    <n v="61878.857142857145"/>
  </r>
  <r>
    <x v="1"/>
    <x v="2"/>
    <n v="37353"/>
    <n v="40670"/>
    <n v="42845"/>
    <n v="40471"/>
    <n v="45375"/>
    <n v="44826"/>
    <n v="42153"/>
    <n v="42618"/>
    <n v="0"/>
    <n v="9920"/>
    <n v="27485"/>
    <n v="33459"/>
    <n v="57358.285714285717"/>
  </r>
  <r>
    <x v="1"/>
    <x v="3"/>
    <n v="42354"/>
    <n v="44548"/>
    <n v="46237"/>
    <n v="47170"/>
    <n v="51037"/>
    <n v="50288"/>
    <n v="48141"/>
    <n v="49439"/>
    <n v="0"/>
    <n v="9200"/>
    <n v="32727"/>
    <n v="39846"/>
    <n v="68307.42857142858"/>
  </r>
  <r>
    <x v="1"/>
    <x v="4"/>
    <n v="47192"/>
    <n v="51739"/>
    <n v="54430"/>
    <n v="54224"/>
    <n v="57698"/>
    <n v="54568"/>
    <n v="53853"/>
    <n v="56698"/>
    <n v="0"/>
    <n v="13590"/>
    <n v="34431"/>
    <n v="42907"/>
    <n v="73554.857142857145"/>
  </r>
  <r>
    <x v="1"/>
    <x v="5"/>
    <n v="43179"/>
    <n v="47740"/>
    <n v="47321"/>
    <n v="48330"/>
    <n v="52594"/>
    <n v="49764"/>
    <n v="49289"/>
    <n v="51060"/>
    <n v="0"/>
    <n v="15175"/>
    <n v="33459"/>
    <n v="41121"/>
    <n v="70493.142857142855"/>
  </r>
  <r>
    <x v="1"/>
    <x v="6"/>
    <n v="43097"/>
    <n v="48147"/>
    <n v="50798"/>
    <n v="50851"/>
    <n v="52244"/>
    <n v="51820"/>
    <n v="50852"/>
    <n v="47523"/>
    <n v="1170"/>
    <n v="19403"/>
    <n v="32886"/>
    <n v="40509"/>
    <n v="69444"/>
  </r>
  <r>
    <x v="1"/>
    <x v="7"/>
    <n v="44428"/>
    <n v="47620"/>
    <n v="47857"/>
    <n v="49676"/>
    <n v="48235"/>
    <n v="50547"/>
    <n v="51635"/>
    <n v="46773"/>
    <n v="5671"/>
    <n v="20711"/>
    <n v="33317"/>
    <n v="0"/>
    <n v="0"/>
  </r>
  <r>
    <x v="1"/>
    <x v="8"/>
    <n v="37596"/>
    <n v="38734"/>
    <n v="39368"/>
    <n v="42591"/>
    <n v="44189"/>
    <n v="44765"/>
    <n v="45333"/>
    <n v="41564"/>
    <n v="8534"/>
    <n v="15101"/>
    <n v="29485"/>
    <n v="0"/>
    <n v="0"/>
  </r>
  <r>
    <x v="1"/>
    <x v="9"/>
    <n v="32657"/>
    <n v="35402"/>
    <n v="33518"/>
    <n v="38119"/>
    <n v="38236"/>
    <n v="38018"/>
    <n v="37784"/>
    <n v="35816"/>
    <n v="6900"/>
    <n v="15460"/>
    <n v="25056"/>
    <n v="0"/>
    <n v="0"/>
  </r>
  <r>
    <x v="1"/>
    <x v="10"/>
    <n v="34013"/>
    <n v="36455"/>
    <n v="35446"/>
    <n v="38843"/>
    <n v="38330"/>
    <n v="37583"/>
    <n v="37178"/>
    <n v="34802"/>
    <n v="6187"/>
    <n v="17498"/>
    <n v="25390"/>
    <n v="0"/>
    <n v="0"/>
  </r>
  <r>
    <x v="1"/>
    <x v="11"/>
    <n v="39578"/>
    <n v="41172"/>
    <n v="42952"/>
    <n v="44558"/>
    <n v="44917"/>
    <n v="44001"/>
    <n v="47236"/>
    <n v="22873"/>
    <n v="8902"/>
    <n v="24112"/>
    <n v="33048"/>
    <n v="0"/>
    <n v="0"/>
  </r>
  <r>
    <x v="2"/>
    <x v="0"/>
    <n v="1051430"/>
    <n v="1009518"/>
    <n v="1007686"/>
    <n v="1093401"/>
    <n v="1137242"/>
    <n v="1226635"/>
    <n v="1207335"/>
    <n v="1256053"/>
    <n v="0"/>
    <n v="793761"/>
    <n v="959559"/>
    <n v="1025056"/>
    <n v="1757238.857142857"/>
  </r>
  <r>
    <x v="2"/>
    <x v="1"/>
    <n v="962795"/>
    <n v="944646"/>
    <n v="899367"/>
    <n v="1004678"/>
    <n v="1071249"/>
    <n v="1130785"/>
    <n v="1129534"/>
    <n v="1112811"/>
    <n v="0"/>
    <n v="692224"/>
    <n v="910410"/>
    <n v="995436"/>
    <n v="1706461.7142857146"/>
  </r>
  <r>
    <x v="2"/>
    <x v="2"/>
    <n v="933698"/>
    <n v="896791"/>
    <n v="912352"/>
    <n v="966291"/>
    <n v="1007955"/>
    <n v="1050640"/>
    <n v="1099802"/>
    <n v="1194119"/>
    <n v="38886"/>
    <n v="537028"/>
    <n v="778427"/>
    <n v="951987"/>
    <n v="1631977.7142857146"/>
  </r>
  <r>
    <x v="2"/>
    <x v="3"/>
    <n v="996140"/>
    <n v="945395"/>
    <n v="985931"/>
    <n v="1101209"/>
    <n v="1149917"/>
    <n v="1211751"/>
    <n v="1190194"/>
    <n v="1215906"/>
    <n v="105155"/>
    <n v="268795"/>
    <n v="867786"/>
    <n v="1048865"/>
    <n v="1798054.2857142854"/>
  </r>
  <r>
    <x v="2"/>
    <x v="4"/>
    <n v="987537"/>
    <n v="966266"/>
    <n v="988917"/>
    <n v="1089401"/>
    <n v="1101582"/>
    <n v="1161765"/>
    <n v="1199505"/>
    <n v="1237706"/>
    <n v="185902"/>
    <n v="474708"/>
    <n v="865448"/>
    <n v="996103"/>
    <n v="1707605.142857143"/>
  </r>
  <r>
    <x v="2"/>
    <x v="5"/>
    <n v="1016439"/>
    <n v="986040"/>
    <n v="974010"/>
    <n v="1092541"/>
    <n v="1156825"/>
    <n v="1190021"/>
    <n v="1198122"/>
    <n v="1300979"/>
    <n v="339788"/>
    <n v="702382"/>
    <n v="901729"/>
    <n v="1068763"/>
    <n v="1832165.142857143"/>
  </r>
  <r>
    <x v="2"/>
    <x v="6"/>
    <n v="1073586"/>
    <n v="1026228"/>
    <n v="1094251"/>
    <n v="1197399"/>
    <n v="1244299"/>
    <n v="1274889"/>
    <n v="1262389"/>
    <n v="1295499"/>
    <n v="466213"/>
    <n v="825231"/>
    <n v="966968"/>
    <n v="1129375"/>
    <n v="1936071.4285714286"/>
  </r>
  <r>
    <x v="2"/>
    <x v="7"/>
    <n v="1004202"/>
    <n v="985049"/>
    <n v="1020180"/>
    <n v="1171497"/>
    <n v="1155383"/>
    <n v="1195621"/>
    <n v="1228630"/>
    <n v="1255928"/>
    <n v="540172"/>
    <n v="801129"/>
    <n v="931888"/>
    <n v="0"/>
    <n v="0"/>
  </r>
  <r>
    <x v="2"/>
    <x v="8"/>
    <n v="1010795"/>
    <n v="1021628"/>
    <n v="1073146"/>
    <n v="1237210"/>
    <n v="1258217"/>
    <n v="1282592"/>
    <n v="1312641"/>
    <n v="1415962"/>
    <n v="756634"/>
    <n v="891621"/>
    <n v="1031699"/>
    <n v="0"/>
    <n v="0"/>
  </r>
  <r>
    <x v="2"/>
    <x v="9"/>
    <n v="889864"/>
    <n v="907381"/>
    <n v="920415"/>
    <n v="1065106"/>
    <n v="1061049"/>
    <n v="1103952"/>
    <n v="1124151"/>
    <n v="1221302"/>
    <n v="447269"/>
    <n v="809975"/>
    <n v="928552"/>
    <n v="0"/>
    <n v="0"/>
  </r>
  <r>
    <x v="2"/>
    <x v="10"/>
    <n v="938406"/>
    <n v="939366"/>
    <n v="968400"/>
    <n v="1106893"/>
    <n v="1075804"/>
    <n v="1100694"/>
    <n v="1132327"/>
    <n v="1208772"/>
    <n v="434315"/>
    <n v="819323"/>
    <n v="906696"/>
    <n v="0"/>
    <n v="0"/>
  </r>
  <r>
    <x v="2"/>
    <x v="11"/>
    <n v="1070994"/>
    <n v="1038496"/>
    <n v="1157355"/>
    <n v="1239547"/>
    <n v="1239421"/>
    <n v="1251168"/>
    <n v="1355418"/>
    <n v="786199"/>
    <n v="699245"/>
    <n v="983456"/>
    <n v="1049892"/>
    <n v="0"/>
    <n v="0"/>
  </r>
  <r>
    <x v="3"/>
    <x v="0"/>
    <n v="6186"/>
    <n v="6178"/>
    <n v="7278"/>
    <n v="5554"/>
    <n v="6477"/>
    <n v="5543"/>
    <n v="5290"/>
    <n v="5138"/>
    <n v="4655"/>
    <n v="3818"/>
    <n v="7388"/>
    <n v="6702"/>
    <n v="11489.142857142857"/>
  </r>
  <r>
    <x v="3"/>
    <x v="1"/>
    <n v="5269"/>
    <n v="5804"/>
    <n v="7073"/>
    <n v="5458"/>
    <n v="5980"/>
    <n v="5086"/>
    <n v="4786"/>
    <n v="4392"/>
    <n v="4033"/>
    <n v="3149"/>
    <n v="5460"/>
    <n v="5286"/>
    <n v="9061.7142857142862"/>
  </r>
  <r>
    <x v="3"/>
    <x v="2"/>
    <n v="5781"/>
    <n v="6307"/>
    <n v="5230"/>
    <n v="5634"/>
    <n v="5854"/>
    <n v="5302"/>
    <n v="5524"/>
    <n v="3899"/>
    <n v="5848"/>
    <n v="3384"/>
    <n v="6107"/>
    <n v="5555"/>
    <n v="9522.8571428571431"/>
  </r>
  <r>
    <x v="3"/>
    <x v="3"/>
    <n v="5444"/>
    <n v="7159"/>
    <n v="6726"/>
    <n v="6047"/>
    <n v="5754"/>
    <n v="6612"/>
    <n v="5583"/>
    <n v="6157"/>
    <n v="5626"/>
    <n v="2798"/>
    <n v="7193"/>
    <n v="5700"/>
    <n v="9771.4285714285725"/>
  </r>
  <r>
    <x v="3"/>
    <x v="4"/>
    <n v="5523"/>
    <n v="6826"/>
    <n v="7359"/>
    <n v="6501"/>
    <n v="5896"/>
    <n v="8713"/>
    <n v="5115"/>
    <n v="5581"/>
    <n v="8098"/>
    <n v="3615"/>
    <n v="6154"/>
    <n v="5586"/>
    <n v="9576"/>
  </r>
  <r>
    <x v="3"/>
    <x v="5"/>
    <n v="5626"/>
    <n v="5648"/>
    <n v="6850"/>
    <n v="6408"/>
    <n v="5934"/>
    <n v="5060"/>
    <n v="5071"/>
    <n v="4189"/>
    <n v="8942"/>
    <n v="4255"/>
    <n v="5654"/>
    <n v="4220"/>
    <n v="7234.2857142857147"/>
  </r>
  <r>
    <x v="3"/>
    <x v="6"/>
    <n v="6781"/>
    <n v="9835"/>
    <n v="6839"/>
    <n v="9868"/>
    <n v="6127"/>
    <n v="5589"/>
    <n v="5635"/>
    <n v="5138"/>
    <n v="3703"/>
    <n v="5446"/>
    <n v="6563"/>
    <n v="5966"/>
    <n v="10227.428571428572"/>
  </r>
  <r>
    <x v="3"/>
    <x v="7"/>
    <n v="6456"/>
    <n v="7153"/>
    <n v="6938"/>
    <n v="6233"/>
    <n v="4848"/>
    <n v="5992"/>
    <n v="5005"/>
    <n v="5022"/>
    <n v="4083"/>
    <n v="6170"/>
    <n v="5859"/>
    <n v="0"/>
    <n v="0"/>
  </r>
  <r>
    <x v="3"/>
    <x v="8"/>
    <n v="5935"/>
    <n v="6284"/>
    <n v="4796"/>
    <n v="7148"/>
    <n v="5803"/>
    <n v="4675"/>
    <n v="4446"/>
    <n v="5483"/>
    <n v="3891"/>
    <n v="4117"/>
    <n v="8039"/>
    <n v="0"/>
    <n v="0"/>
  </r>
  <r>
    <x v="3"/>
    <x v="9"/>
    <n v="5330"/>
    <n v="6006"/>
    <n v="4967"/>
    <n v="4339"/>
    <n v="4699"/>
    <n v="5074"/>
    <n v="3671"/>
    <n v="4741"/>
    <n v="2444"/>
    <n v="4710"/>
    <n v="5174"/>
    <n v="0"/>
    <n v="0"/>
  </r>
  <r>
    <x v="3"/>
    <x v="10"/>
    <n v="6431"/>
    <n v="6267"/>
    <n v="4757"/>
    <n v="6764"/>
    <n v="4687"/>
    <n v="5394"/>
    <n v="3988"/>
    <n v="3676"/>
    <n v="2732"/>
    <n v="4312"/>
    <n v="4126"/>
    <n v="0"/>
    <n v="0"/>
  </r>
  <r>
    <x v="3"/>
    <x v="11"/>
    <n v="6974"/>
    <n v="6338"/>
    <n v="6195"/>
    <n v="5611"/>
    <n v="5983"/>
    <n v="3766"/>
    <n v="3800"/>
    <n v="3040"/>
    <n v="3902"/>
    <n v="6744"/>
    <n v="6169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22447"/>
    <n v="424414"/>
    <n v="446470"/>
    <n v="454819"/>
    <n v="469330"/>
    <n v="525298"/>
    <n v="510399"/>
    <n v="498956"/>
    <n v="529"/>
    <n v="77542"/>
    <n v="317264"/>
    <n v="411765"/>
    <n v="705882.85714285716"/>
  </r>
  <r>
    <x v="0"/>
    <x v="1"/>
    <n v="358673"/>
    <n v="380855"/>
    <n v="395013"/>
    <n v="397075"/>
    <n v="418611"/>
    <n v="445321"/>
    <n v="437526"/>
    <n v="447258"/>
    <n v="302"/>
    <n v="80936"/>
    <n v="294790"/>
    <n v="366199"/>
    <n v="627769.71428571432"/>
  </r>
  <r>
    <x v="0"/>
    <x v="2"/>
    <n v="396558"/>
    <n v="410539"/>
    <n v="409578"/>
    <n v="410907"/>
    <n v="420323"/>
    <n v="437763"/>
    <n v="476506"/>
    <n v="500617"/>
    <n v="664"/>
    <n v="90243"/>
    <n v="301393"/>
    <n v="380592"/>
    <n v="652443.42857142864"/>
  </r>
  <r>
    <x v="0"/>
    <x v="3"/>
    <n v="368849"/>
    <n v="383778"/>
    <n v="401715"/>
    <n v="405355"/>
    <n v="432250"/>
    <n v="476858"/>
    <n v="465362"/>
    <n v="452520"/>
    <n v="60"/>
    <n v="88315"/>
    <n v="306269"/>
    <n v="377613"/>
    <n v="647336.57142857136"/>
  </r>
  <r>
    <x v="0"/>
    <x v="4"/>
    <n v="420431"/>
    <n v="447433"/>
    <n v="475661"/>
    <n v="478709"/>
    <n v="500201"/>
    <n v="511823"/>
    <n v="530294"/>
    <n v="544585"/>
    <n v="15"/>
    <n v="101203"/>
    <n v="354428"/>
    <n v="435093"/>
    <n v="745873.71428571432"/>
  </r>
  <r>
    <x v="0"/>
    <x v="5"/>
    <n v="410233"/>
    <n v="429981"/>
    <n v="418834"/>
    <n v="434505"/>
    <n v="461045"/>
    <n v="488408"/>
    <n v="508740"/>
    <n v="508358"/>
    <n v="59"/>
    <n v="118273"/>
    <n v="341297"/>
    <n v="417421"/>
    <n v="715578.85714285716"/>
  </r>
  <r>
    <x v="0"/>
    <x v="6"/>
    <n v="396969"/>
    <n v="410364"/>
    <n v="419783"/>
    <n v="445034"/>
    <n v="475290"/>
    <n v="486570"/>
    <n v="486496"/>
    <n v="485891"/>
    <n v="44238"/>
    <n v="154558"/>
    <n v="345063"/>
    <n v="421362"/>
    <n v="722334.85714285716"/>
  </r>
  <r>
    <x v="0"/>
    <x v="7"/>
    <n v="410027"/>
    <n v="435144"/>
    <n v="437378"/>
    <n v="448056"/>
    <n v="480681"/>
    <n v="506576"/>
    <n v="513241"/>
    <n v="506125"/>
    <n v="58733"/>
    <n v="180889"/>
    <n v="358655"/>
    <n v="0"/>
    <n v="0"/>
  </r>
  <r>
    <x v="0"/>
    <x v="8"/>
    <n v="478124"/>
    <n v="507325"/>
    <n v="508717"/>
    <n v="523491"/>
    <n v="566664"/>
    <n v="596163"/>
    <n v="599649"/>
    <n v="596496"/>
    <n v="105026"/>
    <n v="132381"/>
    <n v="454607"/>
    <n v="0"/>
    <n v="0"/>
  </r>
  <r>
    <x v="0"/>
    <x v="9"/>
    <n v="422634"/>
    <n v="441366"/>
    <n v="446559"/>
    <n v="464585"/>
    <n v="499721"/>
    <n v="511480"/>
    <n v="511055"/>
    <n v="516015"/>
    <n v="87125"/>
    <n v="173157"/>
    <n v="407254"/>
    <n v="0"/>
    <n v="0"/>
  </r>
  <r>
    <x v="0"/>
    <x v="10"/>
    <n v="374929"/>
    <n v="388918"/>
    <n v="377807"/>
    <n v="414230"/>
    <n v="438840"/>
    <n v="450639"/>
    <n v="444862"/>
    <n v="444758"/>
    <n v="47811"/>
    <n v="198158"/>
    <n v="357198"/>
    <n v="0"/>
    <n v="0"/>
  </r>
  <r>
    <x v="0"/>
    <x v="11"/>
    <n v="454289"/>
    <n v="456662"/>
    <n v="460555"/>
    <n v="483853"/>
    <n v="527326"/>
    <n v="534618"/>
    <n v="542384"/>
    <n v="320965"/>
    <n v="67350"/>
    <n v="288831"/>
    <n v="429720"/>
    <n v="0"/>
    <n v="0"/>
  </r>
  <r>
    <x v="1"/>
    <x v="0"/>
    <n v="40103"/>
    <n v="41746"/>
    <n v="46226"/>
    <n v="42684"/>
    <n v="44998"/>
    <n v="47810"/>
    <n v="44301"/>
    <n v="47838"/>
    <n v="60"/>
    <n v="11592"/>
    <n v="28092"/>
    <n v="33539"/>
    <n v="57495.42857142858"/>
  </r>
  <r>
    <x v="1"/>
    <x v="1"/>
    <n v="42356"/>
    <n v="45109"/>
    <n v="46030"/>
    <n v="45367"/>
    <n v="49233"/>
    <n v="51326"/>
    <n v="47208"/>
    <n v="46383"/>
    <n v="0"/>
    <n v="12864"/>
    <n v="29326"/>
    <n v="35250"/>
    <n v="60428.57142857142"/>
  </r>
  <r>
    <x v="1"/>
    <x v="2"/>
    <n v="40174"/>
    <n v="42987"/>
    <n v="45072"/>
    <n v="43029"/>
    <n v="47678"/>
    <n v="45518"/>
    <n v="44149"/>
    <n v="45766"/>
    <n v="0"/>
    <n v="11165"/>
    <n v="28742"/>
    <n v="35142"/>
    <n v="60243.42857142858"/>
  </r>
  <r>
    <x v="1"/>
    <x v="3"/>
    <n v="43511"/>
    <n v="46673"/>
    <n v="49232"/>
    <n v="48738"/>
    <n v="54222"/>
    <n v="52204"/>
    <n v="47205"/>
    <n v="51082"/>
    <n v="0"/>
    <n v="9698"/>
    <n v="31705"/>
    <n v="39318"/>
    <n v="67402.28571428571"/>
  </r>
  <r>
    <x v="1"/>
    <x v="4"/>
    <n v="44595"/>
    <n v="48613"/>
    <n v="51778"/>
    <n v="51982"/>
    <n v="54198"/>
    <n v="50385"/>
    <n v="49077"/>
    <n v="52659"/>
    <n v="0"/>
    <n v="12359"/>
    <n v="32156"/>
    <n v="40252"/>
    <n v="69003.42857142858"/>
  </r>
  <r>
    <x v="1"/>
    <x v="5"/>
    <n v="44730"/>
    <n v="48273"/>
    <n v="47269"/>
    <n v="47663"/>
    <n v="52553"/>
    <n v="50005"/>
    <n v="50111"/>
    <n v="50519"/>
    <n v="0"/>
    <n v="15221"/>
    <n v="31234"/>
    <n v="39326"/>
    <n v="67416"/>
  </r>
  <r>
    <x v="1"/>
    <x v="6"/>
    <n v="45849"/>
    <n v="49081"/>
    <n v="50034"/>
    <n v="49486"/>
    <n v="52142"/>
    <n v="50856"/>
    <n v="48449"/>
    <n v="46484"/>
    <n v="1211"/>
    <n v="19634"/>
    <n v="32217"/>
    <n v="38558"/>
    <n v="66099.42857142858"/>
  </r>
  <r>
    <x v="1"/>
    <x v="7"/>
    <n v="41526"/>
    <n v="45082"/>
    <n v="45640"/>
    <n v="47984"/>
    <n v="46636"/>
    <n v="46798"/>
    <n v="48935"/>
    <n v="44965"/>
    <n v="5774"/>
    <n v="20622"/>
    <n v="30996"/>
    <n v="0"/>
    <n v="0"/>
  </r>
  <r>
    <x v="1"/>
    <x v="8"/>
    <n v="35853"/>
    <n v="36384"/>
    <n v="35498"/>
    <n v="40293"/>
    <n v="40738"/>
    <n v="43532"/>
    <n v="44321"/>
    <n v="41257"/>
    <n v="9124"/>
    <n v="16346"/>
    <n v="30242"/>
    <n v="0"/>
    <n v="0"/>
  </r>
  <r>
    <x v="1"/>
    <x v="9"/>
    <n v="31835"/>
    <n v="33937"/>
    <n v="33878"/>
    <n v="36593"/>
    <n v="38809"/>
    <n v="37735"/>
    <n v="36744"/>
    <n v="34600"/>
    <n v="6124"/>
    <n v="14750"/>
    <n v="24299"/>
    <n v="0"/>
    <n v="0"/>
  </r>
  <r>
    <x v="1"/>
    <x v="10"/>
    <n v="34868"/>
    <n v="36605"/>
    <n v="34683"/>
    <n v="38310"/>
    <n v="38504"/>
    <n v="36855"/>
    <n v="38007"/>
    <n v="34918"/>
    <n v="5673"/>
    <n v="17349"/>
    <n v="25625"/>
    <n v="0"/>
    <n v="0"/>
  </r>
  <r>
    <x v="1"/>
    <x v="11"/>
    <n v="42169"/>
    <n v="44499"/>
    <n v="45871"/>
    <n v="48401"/>
    <n v="46093"/>
    <n v="47545"/>
    <n v="49540"/>
    <n v="21489"/>
    <n v="9256"/>
    <n v="25574"/>
    <n v="33179"/>
    <n v="0"/>
    <n v="0"/>
  </r>
  <r>
    <x v="2"/>
    <x v="0"/>
    <n v="1051836"/>
    <n v="1013922"/>
    <n v="1008603"/>
    <n v="1096061"/>
    <n v="1136767"/>
    <n v="1229508"/>
    <n v="1213402"/>
    <n v="1260748"/>
    <n v="0"/>
    <n v="793579"/>
    <n v="956892"/>
    <n v="1027258"/>
    <n v="1761013.7142857146"/>
  </r>
  <r>
    <x v="2"/>
    <x v="1"/>
    <n v="967368"/>
    <n v="947795"/>
    <n v="905604"/>
    <n v="1008734"/>
    <n v="1076225"/>
    <n v="1138021"/>
    <n v="1132939"/>
    <n v="1119124"/>
    <n v="0"/>
    <n v="693725"/>
    <n v="912652"/>
    <n v="998563"/>
    <n v="1711822.2857142854"/>
  </r>
  <r>
    <x v="2"/>
    <x v="2"/>
    <n v="938219"/>
    <n v="902540"/>
    <n v="920088"/>
    <n v="970451"/>
    <n v="1023220"/>
    <n v="1059765"/>
    <n v="1105495"/>
    <n v="1201563"/>
    <n v="39586"/>
    <n v="538819"/>
    <n v="779332"/>
    <n v="957632"/>
    <n v="1641654.857142857"/>
  </r>
  <r>
    <x v="2"/>
    <x v="3"/>
    <n v="998584"/>
    <n v="946448"/>
    <n v="986299"/>
    <n v="1099862"/>
    <n v="1147473"/>
    <n v="1215575"/>
    <n v="1189855"/>
    <n v="1216867"/>
    <n v="105759"/>
    <n v="270897"/>
    <n v="865713"/>
    <n v="1047261"/>
    <n v="1795304.5714285714"/>
  </r>
  <r>
    <x v="2"/>
    <x v="4"/>
    <n v="989207"/>
    <n v="966156"/>
    <n v="990100"/>
    <n v="1090019"/>
    <n v="1102051"/>
    <n v="1165527"/>
    <n v="1202626"/>
    <n v="1240668"/>
    <n v="186911"/>
    <n v="475165"/>
    <n v="864547"/>
    <n v="997426"/>
    <n v="1709873.142857143"/>
  </r>
  <r>
    <x v="2"/>
    <x v="5"/>
    <n v="1024874"/>
    <n v="993600"/>
    <n v="978390"/>
    <n v="1095803"/>
    <n v="1158764"/>
    <n v="1193474"/>
    <n v="1202603"/>
    <n v="1301637"/>
    <n v="341758"/>
    <n v="704234"/>
    <n v="901012"/>
    <n v="1070002"/>
    <n v="1834289.142857143"/>
  </r>
  <r>
    <x v="2"/>
    <x v="6"/>
    <n v="1080305"/>
    <n v="1027741"/>
    <n v="1095393"/>
    <n v="1200840"/>
    <n v="1246830"/>
    <n v="1278641"/>
    <n v="1268444"/>
    <n v="1293941"/>
    <n v="468849"/>
    <n v="825301"/>
    <n v="968458"/>
    <n v="1134169"/>
    <n v="1944289.7142857146"/>
  </r>
  <r>
    <x v="2"/>
    <x v="7"/>
    <n v="1005959"/>
    <n v="985385"/>
    <n v="1022678"/>
    <n v="1174386"/>
    <n v="1157265"/>
    <n v="1199064"/>
    <n v="1234370"/>
    <n v="1255511"/>
    <n v="538966"/>
    <n v="803441"/>
    <n v="939368"/>
    <n v="0"/>
    <n v="0"/>
  </r>
  <r>
    <x v="2"/>
    <x v="8"/>
    <n v="998521"/>
    <n v="1017192"/>
    <n v="1069473"/>
    <n v="1238597"/>
    <n v="1253056"/>
    <n v="1280418"/>
    <n v="1306944"/>
    <n v="1402674"/>
    <n v="758286"/>
    <n v="890524"/>
    <n v="1040681"/>
    <n v="0"/>
    <n v="0"/>
  </r>
  <r>
    <x v="2"/>
    <x v="9"/>
    <n v="900561"/>
    <n v="919478"/>
    <n v="930018"/>
    <n v="1073744"/>
    <n v="1070434"/>
    <n v="1121304"/>
    <n v="1134543"/>
    <n v="1229256"/>
    <n v="447140"/>
    <n v="815270"/>
    <n v="927150"/>
    <n v="0"/>
    <n v="0"/>
  </r>
  <r>
    <x v="2"/>
    <x v="10"/>
    <n v="939811"/>
    <n v="940764"/>
    <n v="969116"/>
    <n v="1112095"/>
    <n v="1079998"/>
    <n v="1106929"/>
    <n v="1134289"/>
    <n v="1210226"/>
    <n v="435270"/>
    <n v="818483"/>
    <n v="909809"/>
    <n v="0"/>
    <n v="0"/>
  </r>
  <r>
    <x v="2"/>
    <x v="11"/>
    <n v="1067837"/>
    <n v="1040556"/>
    <n v="1160704"/>
    <n v="1241363"/>
    <n v="1240564"/>
    <n v="1254262"/>
    <n v="1357551"/>
    <n v="794171"/>
    <n v="700833"/>
    <n v="984583"/>
    <n v="1050004"/>
    <n v="0"/>
    <n v="0"/>
  </r>
  <r>
    <x v="3"/>
    <x v="0"/>
    <n v="6035"/>
    <n v="6934"/>
    <n v="6753"/>
    <n v="6673"/>
    <n v="5950"/>
    <n v="5230"/>
    <n v="4991"/>
    <n v="4519"/>
    <n v="14321"/>
    <n v="3904"/>
    <n v="7274"/>
    <n v="6052"/>
    <n v="10374.857142857143"/>
  </r>
  <r>
    <x v="3"/>
    <x v="1"/>
    <n v="5883"/>
    <n v="6416"/>
    <n v="7451"/>
    <n v="5019"/>
    <n v="6294"/>
    <n v="5493"/>
    <n v="5690"/>
    <n v="4631"/>
    <n v="5556"/>
    <n v="3192"/>
    <n v="6241"/>
    <n v="5668"/>
    <n v="9716.5714285714275"/>
  </r>
  <r>
    <x v="3"/>
    <x v="2"/>
    <n v="5855"/>
    <n v="6974"/>
    <n v="6579"/>
    <n v="5902"/>
    <n v="4781"/>
    <n v="5285"/>
    <n v="5536"/>
    <n v="4062"/>
    <n v="12673"/>
    <n v="3358"/>
    <n v="6463"/>
    <n v="5860"/>
    <n v="10045.714285714286"/>
  </r>
  <r>
    <x v="3"/>
    <x v="3"/>
    <n v="4843"/>
    <n v="6541"/>
    <n v="8637"/>
    <n v="6387"/>
    <n v="5687"/>
    <n v="5340"/>
    <n v="5351"/>
    <n v="6249"/>
    <n v="13803"/>
    <n v="2928"/>
    <n v="6651"/>
    <n v="6139"/>
    <n v="10524"/>
  </r>
  <r>
    <x v="3"/>
    <x v="4"/>
    <n v="6049"/>
    <n v="7367"/>
    <n v="7193"/>
    <n v="6632"/>
    <n v="5505"/>
    <n v="5366"/>
    <n v="5680"/>
    <n v="5907"/>
    <n v="16894"/>
    <n v="3355"/>
    <n v="5401"/>
    <n v="5562"/>
    <n v="9534.8571428571431"/>
  </r>
  <r>
    <x v="3"/>
    <x v="5"/>
    <n v="5121"/>
    <n v="5790"/>
    <n v="6650"/>
    <n v="5247"/>
    <n v="4943"/>
    <n v="4475"/>
    <n v="4818"/>
    <n v="4974"/>
    <n v="13736"/>
    <n v="4192"/>
    <n v="4894"/>
    <n v="4403"/>
    <n v="7548"/>
  </r>
  <r>
    <x v="3"/>
    <x v="6"/>
    <n v="6422"/>
    <n v="9011"/>
    <n v="7367"/>
    <n v="7887"/>
    <n v="5511"/>
    <n v="5207"/>
    <n v="5859"/>
    <n v="4684"/>
    <n v="3721"/>
    <n v="5077"/>
    <n v="6626"/>
    <n v="5361"/>
    <n v="9190.2857142857138"/>
  </r>
  <r>
    <x v="3"/>
    <x v="7"/>
    <n v="6815"/>
    <n v="6845"/>
    <n v="7256"/>
    <n v="5190"/>
    <n v="5383"/>
    <n v="5849"/>
    <n v="4903"/>
    <n v="4734"/>
    <n v="3191"/>
    <n v="5878"/>
    <n v="5902"/>
    <n v="0"/>
    <n v="0"/>
  </r>
  <r>
    <x v="3"/>
    <x v="8"/>
    <n v="6393"/>
    <n v="8035"/>
    <n v="5205"/>
    <n v="5506"/>
    <n v="5054"/>
    <n v="5669"/>
    <n v="5035"/>
    <n v="5433"/>
    <n v="4054"/>
    <n v="5534"/>
    <n v="8617"/>
    <n v="0"/>
    <n v="0"/>
  </r>
  <r>
    <x v="3"/>
    <x v="9"/>
    <n v="5585"/>
    <n v="5033"/>
    <n v="4373"/>
    <n v="4398"/>
    <n v="4161"/>
    <n v="4629"/>
    <n v="3948"/>
    <n v="4656"/>
    <n v="2540"/>
    <n v="4393"/>
    <n v="4625"/>
    <n v="0"/>
    <n v="0"/>
  </r>
  <r>
    <x v="3"/>
    <x v="10"/>
    <n v="6599"/>
    <n v="6523"/>
    <n v="5039"/>
    <n v="6200"/>
    <n v="4407"/>
    <n v="5141"/>
    <n v="4509"/>
    <n v="4033"/>
    <n v="3049"/>
    <n v="4342"/>
    <n v="4269"/>
    <n v="0"/>
    <n v="0"/>
  </r>
  <r>
    <x v="3"/>
    <x v="11"/>
    <n v="7472"/>
    <n v="6369"/>
    <n v="6300"/>
    <n v="6184"/>
    <n v="5556"/>
    <n v="4588"/>
    <n v="4322"/>
    <n v="3693"/>
    <n v="3707"/>
    <n v="6368"/>
    <n v="488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ECCEB-C9A8-4700-9B60-A5F2E580C3D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0" firstDataRow="1" firstDataCol="1"/>
  <pivotFields count="15">
    <pivotField axis="axisRow" showAll="0">
      <items count="5">
        <item x="2"/>
        <item x="0"/>
        <item x="1"/>
        <item x="3"/>
        <item t="default"/>
      </items>
    </pivotField>
    <pivotField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2017" fld="7" baseField="0" baseItem="0"/>
    <dataField name="Sum of 2018" fld="8" baseField="0" baseItem="0"/>
    <dataField name="Sum of 2019" fld="9" baseField="0" baseItem="0"/>
    <dataField name="Sum of 2020" fld="10" baseField="0" baseItem="0"/>
    <dataField name="Sum of 2021" fld="11" baseField="0" baseItem="0"/>
    <dataField name="Sum of 2022" fld="12" baseField="0" baseItem="0"/>
    <dataField name="Sum of 2023*" fld="14" baseField="0" baseItem="0"/>
  </dataFields>
  <formats count="1">
    <format dxfId="1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FB144-4506-4E5E-BCA2-62B6DDED0F68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H8" firstHeaderRow="0" firstDataRow="1" firstDataCol="1" rowPageCount="1" colPageCount="1"/>
  <pivotFields count="15">
    <pivotField axis="axisRow" showAll="0">
      <items count="5">
        <item x="2"/>
        <item x="0"/>
        <item x="1"/>
        <item x="3"/>
        <item t="default"/>
      </items>
    </pivotField>
    <pivotField axis="axisPage" multipleItemSelectionAllowed="1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Sum of 2017" fld="7" baseField="0" baseItem="0"/>
    <dataField name="Sum of 2018" fld="8" baseField="0" baseItem="0"/>
    <dataField name="Sum of 2019" fld="9" baseField="0" baseItem="0"/>
    <dataField name="Sum of 2020" fld="10" baseField="0" baseItem="0"/>
    <dataField name="Sum of 2021" fld="11" baseField="0" baseItem="0"/>
    <dataField name="Sum of 2022" fld="12" baseField="0" baseItem="0"/>
    <dataField name="Sum of 2023*" fld="14" baseField="0" baseItem="0"/>
  </dataFields>
  <formats count="1">
    <format dxfId="156">
      <pivotArea outline="0" collapsedLevelsAreSubtotals="1" fieldPosition="0"/>
    </format>
  </format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277E4-849D-4764-BBE4-C06BDBCEE2AA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H8" firstHeaderRow="0" firstDataRow="1" firstDataCol="1" rowPageCount="1" colPageCount="1"/>
  <pivotFields count="15">
    <pivotField axis="axisRow" showAll="0">
      <items count="5">
        <item x="2"/>
        <item x="0"/>
        <item x="1"/>
        <item x="3"/>
        <item t="default"/>
      </items>
    </pivotField>
    <pivotField axis="axisPage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Sum of 2017" fld="7" baseField="0" baseItem="0"/>
    <dataField name="Sum of 2018" fld="8" baseField="0" baseItem="0"/>
    <dataField name="Sum of 2019" fld="9" baseField="0" baseItem="0"/>
    <dataField name="Sum of 2020" fld="10" baseField="0" baseItem="0"/>
    <dataField name="Sum of 2021" fld="11" baseField="0" baseItem="0"/>
    <dataField name="Sum of 2022" fld="12" baseField="0" baseItem="0"/>
    <dataField name="Sum of 2023*" fld="14" baseField="0" baseItem="0"/>
  </dataFields>
  <formats count="3">
    <format dxfId="155">
      <pivotArea outline="0" collapsedLevelsAreSubtotals="1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69425-33B2-400C-88C6-3B1A9C984177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8" firstHeaderRow="0" firstDataRow="1" firstDataCol="1" rowPageCount="1" colPageCount="1"/>
  <pivotFields count="15">
    <pivotField axis="axisRow" showAll="0">
      <items count="5">
        <item x="2"/>
        <item x="0"/>
        <item x="1"/>
        <item x="3"/>
        <item t="default"/>
      </items>
    </pivotField>
    <pivotField axis="axisPage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Sum of 2017" fld="7" baseField="0" baseItem="0"/>
    <dataField name="Sum of 2018" fld="8" baseField="0" baseItem="0"/>
    <dataField name="Sum of 2019" fld="9" baseField="0" baseItem="0"/>
    <dataField name="Sum of 2020" fld="10" baseField="0" baseItem="0"/>
    <dataField name="Sum of 2021" fld="11" baseField="0" baseItem="0"/>
    <dataField name="Sum of 2022" fld="12" baseField="0" baseItem="0"/>
    <dataField name="Sum of 2023*" fld="14" baseField="0" baseItem="0"/>
  </dataFields>
  <formats count="3">
    <format dxfId="152">
      <pivotArea outline="0" collapsedLevelsAreSubtotals="1" fieldPosition="0"/>
    </format>
    <format dxfId="151">
      <pivotArea dataOnly="0" labelOnly="1" fieldPosition="0">
        <references count="1">
          <reference field="0" count="0"/>
        </references>
      </pivotArea>
    </format>
    <format dxfId="150">
      <pivotArea dataOnly="0" labelOnly="1" grandRow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BBCF0C0F-1158-488F-B18B-78728957D5E3}" autoFormatId="16" applyNumberFormats="0" applyBorderFormats="0" applyFontFormats="0" applyPatternFormats="0" applyAlignmentFormats="0" applyWidthHeightFormats="0">
  <queryTableRefresh headersInLastRefresh="0" nextId="48" unboundColumnsRight="1">
    <queryTableFields count="40">
      <queryTableField id="2" name="Column2" tableColumnId="2"/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4" name="Column14" tableColumnId="14"/>
      <queryTableField id="15" name="Column15" tableColumnId="15"/>
      <queryTableField id="16" name="Column16" tableColumnId="16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nfidential#" tableColumnId="23"/>
      <queryTableField id="24" name="Column24" tableColumnId="24"/>
      <queryTableField id="25" name="Column25" tableColumnId="25"/>
      <queryTableField id="26" name="Column26" tableColumnId="26"/>
      <queryTableField id="28" name="Column28" tableColumnId="28"/>
      <queryTableField id="29" name="Column29" tableColumnId="29"/>
      <queryTableField id="30" name="Column30" tableColumnId="30"/>
      <queryTableField id="32" name="Column32" tableColumnId="32"/>
      <queryTableField id="33" name="Column33" tableColumnId="33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7" name="Column47" tableColumnId="45"/>
      <queryTableField id="46" name="Column46" tableColumnId="46"/>
      <queryTableField id="45" dataBound="0" tableColumnId="47"/>
    </queryTableFields>
    <queryTableDeletedFields count="8">
      <deletedField name="Column4"/>
      <deletedField name="Column13"/>
      <deletedField name="Column17"/>
      <deletedField name="Column27"/>
      <deletedField name="Column31"/>
      <deletedField name="Column34"/>
      <deletedField name="Column45"/>
      <deletedField name="Column1"/>
    </queryTableDeleted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277DA4-5D3C-402E-9EBE-606684BB45E4}" name="Table6" displayName="Table6" ref="AL1:AQ12" totalsRowCount="1" headerRowDxfId="172" dataDxfId="171" totalsRowDxfId="170">
  <autoFilter ref="AL1:AQ11" xr:uid="{E0277DA4-5D3C-402E-9EBE-606684BB45E4}"/>
  <tableColumns count="6">
    <tableColumn id="1" xr3:uid="{327CB790-5B75-4DFA-B2B3-028C36AB398B}" name="Province" dataDxfId="169" totalsRowDxfId="168"/>
    <tableColumn id="6" xr3:uid="{93505FDB-6864-4530-B9DB-2AB25B747916}" name="Total Storage Volume" totalsRowFunction="custom" dataDxfId="167" totalsRowDxfId="166" dataCellStyle="Comma" totalsRowCellStyle="Comma">
      <totalsRowFormula>SUM(AM2:AM10)</totalsRowFormula>
    </tableColumn>
    <tableColumn id="7" xr3:uid="{9219F34F-E25C-416D-95AF-5F6754C9C178}" name="Jet Fuel" totalsRowFunction="custom" dataDxfId="165" totalsRowDxfId="164" dataCellStyle="Comma" totalsRowCellStyle="Comma">
      <totalsRowFormula>SUM(AN2:AN10)</totalsRowFormula>
    </tableColumn>
    <tableColumn id="8" xr3:uid="{56D56291-B486-461A-8904-0D5B9307DE06}" name="Gasoline" totalsRowFunction="custom" dataDxfId="163" totalsRowDxfId="162" dataCellStyle="Comma" totalsRowCellStyle="Comma">
      <totalsRowFormula>SUM(AO2:AO10)</totalsRowFormula>
    </tableColumn>
    <tableColumn id="9" xr3:uid="{C704CCFB-484F-4137-A669-D1059834A2B4}" name="Diesel" totalsRowFunction="custom" dataDxfId="161" totalsRowDxfId="160" dataCellStyle="Comma" totalsRowCellStyle="Comma">
      <totalsRowFormula>SUM(AP2:AP10)</totalsRowFormula>
    </tableColumn>
    <tableColumn id="10" xr3:uid="{B3B75C12-FA57-47B6-9CF8-CF7B02A663EE}" name="Diesel/Petrol" totalsRowFunction="custom" dataDxfId="159" totalsRowDxfId="158" dataCellStyle="Comma" totalsRowCellStyle="Comma">
      <totalsRowFormula>SUM(AQ2:AQ10)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9ABC3B-4D2D-4D3F-A26C-124A73E208C7}" name="Departures_APData" displayName="Departures_APData" ref="A1:O49" totalsRowShown="0" headerRowDxfId="149" dataDxfId="147" headerRowBorderDxfId="148" tableBorderDxfId="146" dataCellStyle="Comma">
  <autoFilter ref="A1:O49" xr:uid="{E49ABC3B-4D2D-4D3F-A26C-124A73E208C7}"/>
  <tableColumns count="15">
    <tableColumn id="1" xr3:uid="{0EFF923A-EF3F-4504-9066-E571D6719BC2}" name="Destination" dataDxfId="145"/>
    <tableColumn id="2" xr3:uid="{27AF23EE-036F-47A6-A596-7DB0AF225C16}" name="Month" dataDxfId="144"/>
    <tableColumn id="3" xr3:uid="{ED02592D-D9E1-4D7F-8603-A5F60A343F14}" name="2012" dataDxfId="143" dataCellStyle="Comma"/>
    <tableColumn id="4" xr3:uid="{8B9ACA78-0457-4BC8-8751-6128C9D05814}" name="2013" dataDxfId="142" dataCellStyle="Comma"/>
    <tableColumn id="5" xr3:uid="{5903E1A3-7D5E-45EA-9CEC-362CA16368ED}" name="2014" dataDxfId="141" dataCellStyle="Comma"/>
    <tableColumn id="6" xr3:uid="{71544132-1993-4FF0-B57A-52F6ED1FB3C5}" name="2015" dataDxfId="140" dataCellStyle="Comma"/>
    <tableColumn id="7" xr3:uid="{B1EC7FF9-A3FE-4A48-ACAA-A9AB297176FC}" name="2016" dataDxfId="139" dataCellStyle="Comma"/>
    <tableColumn id="8" xr3:uid="{10F7EC7D-0ACB-4AA6-BFC1-149116910579}" name="2017" dataDxfId="138" dataCellStyle="Comma"/>
    <tableColumn id="9" xr3:uid="{1A3B611F-9718-43BD-99FD-A0BC717BB654}" name="2018" dataDxfId="137" dataCellStyle="Comma"/>
    <tableColumn id="10" xr3:uid="{B589EED0-02DF-47B5-BD37-2C305B749D3B}" name="2019" dataDxfId="136" dataCellStyle="Comma"/>
    <tableColumn id="11" xr3:uid="{AA816C0B-FA31-4F4F-9424-318DAE325F59}" name="2020" dataDxfId="135" dataCellStyle="Comma"/>
    <tableColumn id="12" xr3:uid="{7CFF5D49-CAAE-44AB-8447-C3E62A305E6B}" name="2021" dataDxfId="134" dataCellStyle="Comma"/>
    <tableColumn id="13" xr3:uid="{6B697A88-709C-451B-886F-CC823C3BE3FB}" name="2022" dataDxfId="133" dataCellStyle="Comma"/>
    <tableColumn id="15" xr3:uid="{5BC4C6E6-5462-421F-B120-B08E59622112}" name="2023" dataDxfId="132" dataCellStyle="Comma"/>
    <tableColumn id="14" xr3:uid="{A40FD629-8A8F-4F5C-B965-08DFA0EDE46B}" name="2023*" dataDxfId="131" dataCellStyle="Comma">
      <calculatedColumnFormula>Departures_APData[[#This Row],[2023]]/7*12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732620-A3F8-4DDD-AF29-69C46E61DA57}" name="Departures_PassData" displayName="Departures_PassData" ref="A1:O49" totalsRowShown="0" headerRowDxfId="130" dataDxfId="128" headerRowBorderDxfId="129" tableBorderDxfId="127" dataCellStyle="Comma">
  <autoFilter ref="A1:O49" xr:uid="{2D732620-A3F8-4DDD-AF29-69C46E61DA57}"/>
  <tableColumns count="15">
    <tableColumn id="1" xr3:uid="{E6C30163-FECD-42EE-8D84-21CD71D407EE}" name="Destination" dataDxfId="126"/>
    <tableColumn id="2" xr3:uid="{96766E4A-0B28-4516-A00B-36F981A7DE45}" name="Month" dataDxfId="125"/>
    <tableColumn id="3" xr3:uid="{BBD19157-824E-4DA3-B4F2-896D65CE7668}" name="2012" dataDxfId="124" dataCellStyle="Comma"/>
    <tableColumn id="4" xr3:uid="{1A2758DB-1DAF-48FC-B992-FF28B29F7969}" name="2013" dataDxfId="123" dataCellStyle="Comma"/>
    <tableColumn id="5" xr3:uid="{AD50AB6C-5C51-4F70-8DAE-EC5FD875C20F}" name="2014" dataDxfId="122" dataCellStyle="Comma"/>
    <tableColumn id="6" xr3:uid="{785354E3-EC04-4291-B861-75D0A099EA91}" name="2015" dataDxfId="121" dataCellStyle="Comma"/>
    <tableColumn id="7" xr3:uid="{62707DCF-99ED-45A2-845C-57DB91E90310}" name="2016" dataDxfId="120" dataCellStyle="Comma"/>
    <tableColumn id="8" xr3:uid="{4BD259AE-9215-4400-B462-B67949A7F4F5}" name="2017" dataDxfId="119" dataCellStyle="Comma"/>
    <tableColumn id="9" xr3:uid="{B61ED65D-CE4A-4F21-9623-7682375ACA1E}" name="2018" dataDxfId="118" dataCellStyle="Comma"/>
    <tableColumn id="10" xr3:uid="{D040CBB4-51C2-445E-8C93-E466F9D552AD}" name="2019" dataDxfId="117" dataCellStyle="Comma"/>
    <tableColumn id="11" xr3:uid="{A701D451-9D08-4B03-A0E7-131D46998FA1}" name="2020" dataDxfId="116" dataCellStyle="Comma"/>
    <tableColumn id="12" xr3:uid="{50C4E7E8-DB8F-496F-8772-BE28824E9AC7}" name="2021" dataDxfId="115" dataCellStyle="Comma"/>
    <tableColumn id="13" xr3:uid="{58D4DAC6-9FD2-4D5B-9C2B-F0FF20162DF1}" name="2022" dataDxfId="114" dataCellStyle="Comma"/>
    <tableColumn id="14" xr3:uid="{7D752ECC-FF17-4738-8937-E7014817DE5C}" name="2023" dataDxfId="113" dataCellStyle="Comma"/>
    <tableColumn id="15" xr3:uid="{99A41EAF-A91C-468D-9FEE-BFBC651000F0}" name="2023*" dataDxfId="112" dataCellStyle="Comma">
      <calculatedColumnFormula>Departures_PassData[[#This Row],[2023]]/7*12</calculatedColumnFormula>
    </tableColumn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E03B2A-8F7D-420E-9A91-F893A90402AF}" name="Table4" displayName="Table4" ref="A1:O49" totalsRowShown="0" headerRowDxfId="111" dataDxfId="109" headerRowBorderDxfId="110" tableBorderDxfId="108" dataCellStyle="Comma">
  <autoFilter ref="A1:O49" xr:uid="{E9E03B2A-8F7D-420E-9A91-F893A90402AF}"/>
  <tableColumns count="15">
    <tableColumn id="1" xr3:uid="{DA8D3926-4FF9-4528-A9A1-9D17B7AFECFE}" name="Destination" dataDxfId="107"/>
    <tableColumn id="2" xr3:uid="{4B4B05AE-7EA0-462A-B736-0441FE980ED7}" name="Month" dataDxfId="106"/>
    <tableColumn id="3" xr3:uid="{6340E41F-ECCC-487E-83C4-8440FA480296}" name="2012" dataDxfId="105" dataCellStyle="Comma"/>
    <tableColumn id="4" xr3:uid="{9BE21E02-376A-43AB-96C3-1E44AFB95DB6}" name="2013" dataDxfId="104" dataCellStyle="Comma"/>
    <tableColumn id="5" xr3:uid="{BE165922-A211-4B51-ADD9-429ABF6EF2F5}" name="2014" dataDxfId="103" dataCellStyle="Comma"/>
    <tableColumn id="6" xr3:uid="{1459148B-9BC2-4BA1-A72C-4449E778957B}" name="2015" dataDxfId="102" dataCellStyle="Comma"/>
    <tableColumn id="7" xr3:uid="{0C7011BF-CAD7-4FE3-B5CD-1B3884CE5DD7}" name="2016" dataDxfId="101" dataCellStyle="Comma"/>
    <tableColumn id="8" xr3:uid="{6A5167A2-08FA-4499-986B-8879556634AC}" name="2017" dataDxfId="100" dataCellStyle="Comma"/>
    <tableColumn id="9" xr3:uid="{51A87093-F9D0-45B7-95E1-413D35C69896}" name="2018" dataDxfId="99" dataCellStyle="Comma"/>
    <tableColumn id="10" xr3:uid="{CF267CA0-1744-4EC1-862B-A3B3C8F441E6}" name="2019" dataDxfId="98" dataCellStyle="Comma"/>
    <tableColumn id="11" xr3:uid="{B83A0CF3-2722-4D9B-B402-F882346ED822}" name="2020" dataDxfId="97" dataCellStyle="Comma"/>
    <tableColumn id="12" xr3:uid="{B75B16CC-C159-438C-A0AB-E11CB8F25E87}" name="2021" dataDxfId="96" dataCellStyle="Comma"/>
    <tableColumn id="13" xr3:uid="{BA40CA08-7DBD-40CF-990F-977FC1F79A05}" name="2022" dataDxfId="95" dataCellStyle="Comma"/>
    <tableColumn id="14" xr3:uid="{030B52DF-574E-4E97-90F4-91F56D1DAECB}" name="2023" dataDxfId="94" dataCellStyle="Comma"/>
    <tableColumn id="15" xr3:uid="{61C68AC8-B76B-424C-AD1A-E0C3DF05C858}" name="2023*" dataDxfId="93" dataCellStyle="Comma">
      <calculatedColumnFormula>N2/7*12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30CCA0-9B76-4228-A5A0-56BF9073B96C}" name="Arrivals_pass" displayName="Arrivals_pass" ref="A1:O49" totalsRowShown="0" headerRowDxfId="92" dataDxfId="90" headerRowBorderDxfId="91" tableBorderDxfId="89" dataCellStyle="Comma">
  <autoFilter ref="A1:O49" xr:uid="{6530CCA0-9B76-4228-A5A0-56BF9073B96C}"/>
  <tableColumns count="15">
    <tableColumn id="1" xr3:uid="{9A5B4ADA-FDB5-43DD-8716-C38F56A66A91}" name="Destination" dataDxfId="88"/>
    <tableColumn id="2" xr3:uid="{D32B84B9-970E-4784-B5AC-369ADBE0352C}" name="Month" dataDxfId="87"/>
    <tableColumn id="3" xr3:uid="{4EF26B4D-F5C9-4BE1-BD24-212D0F9B6F25}" name="2012" dataDxfId="86" dataCellStyle="Comma"/>
    <tableColumn id="4" xr3:uid="{64D265FC-8A88-46FA-9ABC-7E10DD4DD2F3}" name="2013" dataDxfId="85" dataCellStyle="Comma"/>
    <tableColumn id="5" xr3:uid="{EEB47775-3843-4C5C-B63C-DC0BEF4A8F20}" name="2014" dataDxfId="84" dataCellStyle="Comma"/>
    <tableColumn id="6" xr3:uid="{CC9F3E7A-4E9A-47AC-AAED-7ADE6364020F}" name="2015" dataDxfId="83" dataCellStyle="Comma"/>
    <tableColumn id="7" xr3:uid="{FC21E9D5-15EC-47CD-8008-E9BB4812981B}" name="2016" dataDxfId="82" dataCellStyle="Comma"/>
    <tableColumn id="8" xr3:uid="{AC27DB53-C85A-4ADB-AE91-445BF4A04630}" name="2017" dataDxfId="81" dataCellStyle="Comma"/>
    <tableColumn id="9" xr3:uid="{B61BBC48-DCA7-408B-B342-AD9807A527E3}" name="2018" dataDxfId="80" dataCellStyle="Comma"/>
    <tableColumn id="10" xr3:uid="{EC861404-1A25-47EC-BA6F-55E7BC90AED2}" name="2019" dataDxfId="79" dataCellStyle="Comma"/>
    <tableColumn id="11" xr3:uid="{C4A6358E-769B-47F4-9DAA-748E962B8E2E}" name="2020" dataDxfId="78" dataCellStyle="Comma"/>
    <tableColumn id="12" xr3:uid="{6F26A20E-26BB-4155-8CB0-AB7C6C123906}" name="2021" dataDxfId="77" dataCellStyle="Comma"/>
    <tableColumn id="13" xr3:uid="{7A421B3C-9AB1-4CEB-B890-401519108BAB}" name="2022" dataDxfId="76" dataCellStyle="Comma"/>
    <tableColumn id="14" xr3:uid="{E8E43CF9-4B03-4CC1-AB5D-C3A249298CBF}" name="2023" dataDxfId="75" dataCellStyle="Comma"/>
    <tableColumn id="15" xr3:uid="{EFA271AF-D249-49F9-AA93-14BEECC5DC94}" name="2023*" dataDxfId="74" dataCellStyle="Comma">
      <calculatedColumnFormula>Arrivals_pass[[#This Row],[2023]]/7*12</calculatedColumnFormula>
    </tableColumn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93F5C-4A69-4973-8B0B-AB2FE0FD58D1}" name="Page001" displayName="Page001" ref="A2:AN71" tableType="queryTable" headerRowCount="0" totalsRowShown="0" dataCellStyle="Comma">
  <tableColumns count="40">
    <tableColumn id="2" xr3:uid="{490D05C1-5D21-4D97-8DDB-9C228AEA349E}" uniqueName="2" name="Column2" queryTableFieldId="2" dataDxfId="73"/>
    <tableColumn id="3" xr3:uid="{0F32A1FF-6D1A-4A72-9A90-447F94603DAA}" uniqueName="3" name="Column3" queryTableFieldId="3" dataDxfId="72"/>
    <tableColumn id="5" xr3:uid="{035BABBB-72B2-46F5-BBA7-55FA2AE893A0}" uniqueName="5" name="Column5" queryTableFieldId="5" headerRowDxfId="71" dataDxfId="70" headerRowCellStyle="Comma" dataCellStyle="Comma"/>
    <tableColumn id="6" xr3:uid="{EBDF76B5-7291-40EC-A922-D62FB6D1B8E4}" uniqueName="6" name="Column6" queryTableFieldId="6" headerRowDxfId="69" dataDxfId="68" headerRowCellStyle="Comma" dataCellStyle="Comma"/>
    <tableColumn id="7" xr3:uid="{0D1BCF1B-DCF9-4DD4-9AC0-899A6758B836}" uniqueName="7" name="Column7" queryTableFieldId="7" headerRowDxfId="67" dataDxfId="66" headerRowCellStyle="Comma" dataCellStyle="Comma"/>
    <tableColumn id="8" xr3:uid="{00C9FA77-9ADD-4A72-BF8E-B5D1EE5C1A30}" uniqueName="8" name="Column8" queryTableFieldId="8" headerRowDxfId="65" dataDxfId="64" headerRowCellStyle="Comma" dataCellStyle="Comma"/>
    <tableColumn id="9" xr3:uid="{AD2313CC-CC26-4618-AE65-7C9FAFB40122}" uniqueName="9" name="Column9" queryTableFieldId="9" headerRowDxfId="63" dataDxfId="62" headerRowCellStyle="Comma" dataCellStyle="Comma"/>
    <tableColumn id="10" xr3:uid="{A6079B80-A03F-4079-83EE-D753ADB89B36}" uniqueName="10" name="Column10" queryTableFieldId="10" headerRowDxfId="61" dataDxfId="60" headerRowCellStyle="Comma" dataCellStyle="Comma"/>
    <tableColumn id="11" xr3:uid="{86B922B9-B689-4292-8D7E-696B266477D7}" uniqueName="11" name="Column11" queryTableFieldId="11" headerRowDxfId="59" dataDxfId="58" headerRowCellStyle="Comma" dataCellStyle="Comma"/>
    <tableColumn id="12" xr3:uid="{2EB73A37-CCDA-4BEE-9678-8062B2C91F85}" uniqueName="12" name="Column12" queryTableFieldId="12" headerRowDxfId="57" dataDxfId="56" headerRowCellStyle="Comma" dataCellStyle="Comma"/>
    <tableColumn id="14" xr3:uid="{F23BDB93-DFEE-43C7-AE7F-856CF3470CA9}" uniqueName="14" name="Column14" queryTableFieldId="14" headerRowDxfId="55" dataDxfId="54" headerRowCellStyle="Comma" dataCellStyle="Comma"/>
    <tableColumn id="15" xr3:uid="{54D1DC8C-3712-47A5-B1C4-659F0D7A2C9B}" uniqueName="15" name="Column15" queryTableFieldId="15" headerRowDxfId="53" dataDxfId="52" headerRowCellStyle="Comma" dataCellStyle="Comma"/>
    <tableColumn id="16" xr3:uid="{FD0A7498-3E65-493D-9D91-3950D2ED5975}" uniqueName="16" name="Column16" queryTableFieldId="16" headerRowDxfId="51" dataDxfId="50" headerRowCellStyle="Comma" dataCellStyle="Comma"/>
    <tableColumn id="18" xr3:uid="{6FDB078E-63D0-44AE-971E-2A69264E7B01}" uniqueName="18" name="Column18" queryTableFieldId="18" headerRowDxfId="49" dataDxfId="48" headerRowCellStyle="Comma" dataCellStyle="Comma"/>
    <tableColumn id="19" xr3:uid="{970751EE-04A0-45F2-BD9B-E1D726EC9E3C}" uniqueName="19" name="Column19" queryTableFieldId="19" headerRowDxfId="47" dataDxfId="46" headerRowCellStyle="Comma" dataCellStyle="Comma"/>
    <tableColumn id="20" xr3:uid="{07E8937A-4EF1-4FFE-A778-D98A79F80030}" uniqueName="20" name="Column20" queryTableFieldId="20" headerRowDxfId="45" dataDxfId="44" headerRowCellStyle="Comma" dataCellStyle="Comma"/>
    <tableColumn id="21" xr3:uid="{9CA09F7E-FD2A-489C-B646-D64C4194BAE1}" uniqueName="21" name="Column21" queryTableFieldId="21" headerRowDxfId="43" dataDxfId="42" headerRowCellStyle="Comma" dataCellStyle="Comma"/>
    <tableColumn id="22" xr3:uid="{9D4C8224-F74D-47A3-9B28-283988BD53BE}" uniqueName="22" name="Column22" queryTableFieldId="22" headerRowDxfId="41" dataDxfId="40" headerRowCellStyle="Comma" dataCellStyle="Comma"/>
    <tableColumn id="23" xr3:uid="{C981681F-EF06-485A-9FDD-13679A149B6F}" uniqueName="23" name="Column23" queryTableFieldId="23" headerRowDxfId="39" dataDxfId="38" headerRowCellStyle="Comma" dataCellStyle="Comma"/>
    <tableColumn id="24" xr3:uid="{F6E6E481-1CB3-4486-895C-500318C9FB0A}" uniqueName="24" name="Column24" queryTableFieldId="24" headerRowDxfId="37" dataDxfId="36" headerRowCellStyle="Comma" dataCellStyle="Comma"/>
    <tableColumn id="25" xr3:uid="{DEE80340-B201-4BD2-B489-47E0E7E70A87}" uniqueName="25" name="Column25" queryTableFieldId="25" headerRowDxfId="35" dataDxfId="34" headerRowCellStyle="Comma" dataCellStyle="Comma"/>
    <tableColumn id="26" xr3:uid="{1F9B4635-1432-4FBA-A805-952A77829951}" uniqueName="26" name="Column26" queryTableFieldId="26" headerRowDxfId="33" dataDxfId="32" headerRowCellStyle="Comma" dataCellStyle="Comma"/>
    <tableColumn id="28" xr3:uid="{416684E2-C380-4805-946B-5DE215741A81}" uniqueName="28" name="Column28" queryTableFieldId="28" headerRowDxfId="31" dataDxfId="30" headerRowCellStyle="Comma" dataCellStyle="Comma"/>
    <tableColumn id="29" xr3:uid="{9FF14BC3-5B61-4511-AEFF-F4ACA55C1F51}" uniqueName="29" name="Column29" queryTableFieldId="29" headerRowDxfId="29" dataDxfId="28" headerRowCellStyle="Comma" dataCellStyle="Comma"/>
    <tableColumn id="30" xr3:uid="{24F11048-4E43-40BC-9113-7DA152752B21}" uniqueName="30" name="Column30" queryTableFieldId="30" headerRowDxfId="27" dataDxfId="26" headerRowCellStyle="Comma" dataCellStyle="Comma"/>
    <tableColumn id="32" xr3:uid="{4113CA96-D476-4405-81A5-A16A4CB8BEA5}" uniqueName="32" name="Column32" queryTableFieldId="32" headerRowDxfId="25" dataDxfId="24" headerRowCellStyle="Comma" dataCellStyle="Comma"/>
    <tableColumn id="33" xr3:uid="{B0410F62-9CF4-4833-8681-2DF7103858BD}" uniqueName="33" name="Column33" queryTableFieldId="33" headerRowDxfId="23" dataDxfId="22" headerRowCellStyle="Comma" dataCellStyle="Comma"/>
    <tableColumn id="35" xr3:uid="{5ECE8E10-2BF7-4107-92B4-95740BDE9F4A}" uniqueName="35" name="Column35" queryTableFieldId="35" headerRowDxfId="21" dataDxfId="20" headerRowCellStyle="Comma" dataCellStyle="Comma"/>
    <tableColumn id="36" xr3:uid="{FE9B27FF-C12E-4C8D-AA52-438FA2976125}" uniqueName="36" name="Column36" queryTableFieldId="36" headerRowDxfId="19" dataDxfId="18" headerRowCellStyle="Comma" dataCellStyle="Comma"/>
    <tableColumn id="37" xr3:uid="{86BC1EC4-DBB2-463F-B589-1CCE5CC51C09}" uniqueName="37" name="Column37" queryTableFieldId="37" headerRowDxfId="17" dataDxfId="16" headerRowCellStyle="Comma" dataCellStyle="Comma"/>
    <tableColumn id="38" xr3:uid="{0A9FCD34-48FC-4229-8EBD-8D701AB1262F}" uniqueName="38" name="Column38" queryTableFieldId="38" headerRowDxfId="15" dataDxfId="14" headerRowCellStyle="Comma" dataCellStyle="Comma"/>
    <tableColumn id="39" xr3:uid="{BBEF064C-339A-4EC5-BDF6-DC1389D4DEBA}" uniqueName="39" name="Column39" queryTableFieldId="39" headerRowDxfId="13" dataDxfId="12" headerRowCellStyle="Comma" dataCellStyle="Comma"/>
    <tableColumn id="40" xr3:uid="{E41224EE-9D9F-444C-86A6-4D7607BE2037}" uniqueName="40" name="Column40" queryTableFieldId="40" headerRowDxfId="11" dataDxfId="10" headerRowCellStyle="Comma" dataCellStyle="Comma"/>
    <tableColumn id="41" xr3:uid="{3FF086B3-4E40-4DC2-A2BB-B195272DF888}" uniqueName="41" name="Column41" queryTableFieldId="41" headerRowDxfId="9" dataDxfId="8" headerRowCellStyle="Comma" dataCellStyle="Comma"/>
    <tableColumn id="42" xr3:uid="{B0E7A8F5-51E0-4896-B23F-CD2193D12159}" uniqueName="42" name="Column42" queryTableFieldId="42" headerRowDxfId="7" dataDxfId="6" headerRowCellStyle="Comma" dataCellStyle="Comma"/>
    <tableColumn id="43" xr3:uid="{BEDCF12D-30A0-400A-8BB8-1DF928564CDB}" uniqueName="43" name="Column43" queryTableFieldId="43" headerRowDxfId="5" dataDxfId="4" headerRowCellStyle="Comma" dataCellStyle="Comma"/>
    <tableColumn id="44" xr3:uid="{E1D60F9D-6EE4-4D36-B18B-7A8F80A03D76}" uniqueName="44" name="Column44" queryTableFieldId="44" dataDxfId="3" dataCellStyle="Comma"/>
    <tableColumn id="45" xr3:uid="{B1DD1BBE-3132-4959-A2EF-7CBFA8122922}" uniqueName="45" name="Column47" queryTableFieldId="47" dataDxfId="2" dataCellStyle="Comma"/>
    <tableColumn id="46" xr3:uid="{312983EF-DDB2-4321-BBAE-3E61DD96F873}" uniqueName="46" name="Column46" queryTableFieldId="46" dataDxfId="1" dataCellStyle="Comma"/>
    <tableColumn id="47" xr3:uid="{4DAA8E39-0E68-4390-9FB6-59B6BFBF1AF6}" uniqueName="47" name="Column4" queryTableFieldId="45" dataDxfId="0" dataCellStyle="Comma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456116-B418-4198-AB8B-BD72A13436BE}">
  <we:reference id="wa104381701" version="1.0.0.4" store="en-US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data.oecd.org/price/inflation-cpi.ht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sapia.org.za/Overview/" TargetMode="External"/><Relationship Id="rId1" Type="http://schemas.openxmlformats.org/officeDocument/2006/relationships/hyperlink" Target="https://www.treasury.gov.za/documents/mtbps/2024/mtbps/FullMTBPS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usinesslive.co.za/bd/national/2024-07-17-mantashe-wants-private-investors-for-sapref-refinery-rebuild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https://centreforaviation.com/analysis/reports/iata-aci-offer-positive-air-transport-forecasts-but-concerns-emerge-about-extended-who-powers-640119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https://www.iata.org/contentassets/a1f674a2687144d9ad5298d2d4e3f7bf/iata_south-africa_report.pdf" TargetMode="External"/><Relationship Id="rId1" Type="http://schemas.openxmlformats.org/officeDocument/2006/relationships/hyperlink" Target="https://simpleflying.com/south-african-aviation/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www.statista.com/outlook/co/logistics-transport-indicators/air-transport/south-africa" TargetMode="External"/><Relationship Id="rId4" Type="http://schemas.openxmlformats.org/officeDocument/2006/relationships/hyperlink" Target="https://www.iata.org/en/pressroom/2022-releases/2022-03-01-0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hyperlink" Target="https://www.bcg.com/publications/2023/exploring-divergent-futures-of-ev-sales" TargetMode="External"/><Relationship Id="rId1" Type="http://schemas.openxmlformats.org/officeDocument/2006/relationships/hyperlink" Target="https://www.bcg.com/publications/2021/why-evs-need-to-accelerate-their-market-penetration" TargetMode="External"/><Relationship Id="rId5" Type="http://schemas.openxmlformats.org/officeDocument/2006/relationships/comments" Target="../comments8.xml"/><Relationship Id="rId4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2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3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1E43-7CDD-43C3-B5AA-7A1515504FEC}">
  <sheetPr codeName="Sheet1">
    <tabColor rgb="FFFF0000"/>
  </sheetPr>
  <dimension ref="B2:E25"/>
  <sheetViews>
    <sheetView showGridLines="0" topLeftCell="A15" zoomScale="90" zoomScaleNormal="90" workbookViewId="0">
      <selection activeCell="B18" sqref="B18"/>
    </sheetView>
  </sheetViews>
  <sheetFormatPr defaultColWidth="8.86328125" defaultRowHeight="15.75" x14ac:dyDescent="0.6"/>
  <cols>
    <col min="1" max="1" width="2.1328125" style="75" customWidth="1"/>
    <col min="2" max="2" width="14.86328125" style="75" customWidth="1"/>
    <col min="3" max="16384" width="8.86328125" style="75"/>
  </cols>
  <sheetData>
    <row r="2" spans="2:5" x14ac:dyDescent="0.6">
      <c r="B2" s="77" t="s">
        <v>0</v>
      </c>
    </row>
    <row r="3" spans="2:5" x14ac:dyDescent="0.6">
      <c r="B3" s="93" t="s">
        <v>1</v>
      </c>
      <c r="C3" s="94"/>
      <c r="D3" s="94"/>
      <c r="E3" s="94"/>
    </row>
    <row r="4" spans="2:5" s="78" customFormat="1" x14ac:dyDescent="0.6">
      <c r="B4" s="95" t="s">
        <v>2</v>
      </c>
    </row>
    <row r="5" spans="2:5" s="78" customFormat="1" x14ac:dyDescent="0.6">
      <c r="B5" s="95" t="s">
        <v>3</v>
      </c>
    </row>
    <row r="6" spans="2:5" x14ac:dyDescent="0.6">
      <c r="B6" s="95" t="s">
        <v>4</v>
      </c>
    </row>
    <row r="7" spans="2:5" x14ac:dyDescent="0.6">
      <c r="B7" s="95" t="s">
        <v>5</v>
      </c>
    </row>
    <row r="8" spans="2:5" x14ac:dyDescent="0.6">
      <c r="B8" s="95" t="s">
        <v>6</v>
      </c>
    </row>
    <row r="9" spans="2:5" x14ac:dyDescent="0.6">
      <c r="B9" s="95" t="s">
        <v>7</v>
      </c>
    </row>
    <row r="10" spans="2:5" ht="16.899999999999999" x14ac:dyDescent="0.6">
      <c r="B10" s="95" t="s">
        <v>8</v>
      </c>
    </row>
    <row r="11" spans="2:5" ht="16.899999999999999" x14ac:dyDescent="0.6">
      <c r="B11" s="95" t="s">
        <v>9</v>
      </c>
    </row>
    <row r="12" spans="2:5" x14ac:dyDescent="0.6">
      <c r="B12" s="95" t="s">
        <v>10</v>
      </c>
    </row>
    <row r="14" spans="2:5" x14ac:dyDescent="0.6">
      <c r="B14" s="93" t="s">
        <v>11</v>
      </c>
      <c r="C14" s="94"/>
      <c r="D14" s="94"/>
      <c r="E14" s="94"/>
    </row>
    <row r="17" spans="2:5" x14ac:dyDescent="0.6">
      <c r="B17" s="93" t="s">
        <v>12</v>
      </c>
      <c r="C17" s="94"/>
      <c r="D17" s="94"/>
      <c r="E17" s="94"/>
    </row>
    <row r="18" spans="2:5" x14ac:dyDescent="0.6">
      <c r="B18" s="95"/>
    </row>
    <row r="20" spans="2:5" x14ac:dyDescent="0.6">
      <c r="B20" s="371" t="s">
        <v>13</v>
      </c>
      <c r="C20" s="372"/>
    </row>
    <row r="21" spans="2:5" x14ac:dyDescent="0.6">
      <c r="B21" s="371" t="s">
        <v>14</v>
      </c>
      <c r="C21" s="373"/>
    </row>
    <row r="22" spans="2:5" x14ac:dyDescent="0.6">
      <c r="B22" s="371" t="s">
        <v>15</v>
      </c>
      <c r="C22" s="374"/>
    </row>
    <row r="23" spans="2:5" x14ac:dyDescent="0.6">
      <c r="B23" s="371" t="s">
        <v>16</v>
      </c>
      <c r="C23" s="375"/>
    </row>
    <row r="24" spans="2:5" x14ac:dyDescent="0.6">
      <c r="B24" s="371" t="s">
        <v>17</v>
      </c>
      <c r="C24" s="376"/>
    </row>
    <row r="25" spans="2:5" x14ac:dyDescent="0.6">
      <c r="B25" s="371" t="s">
        <v>18</v>
      </c>
      <c r="C25" s="3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DBF6-A5C5-4DB7-A1A9-F407782DD5BE}">
  <sheetPr codeName="Sheet2">
    <tabColor rgb="FF00B0F0"/>
  </sheetPr>
  <dimension ref="A1"/>
  <sheetViews>
    <sheetView zoomScale="80" zoomScaleNormal="80" workbookViewId="0">
      <selection activeCell="E30" sqref="E30"/>
    </sheetView>
  </sheetViews>
  <sheetFormatPr defaultColWidth="8.86328125" defaultRowHeight="16.899999999999999" x14ac:dyDescent="0.65"/>
  <cols>
    <col min="1" max="1" width="8.86328125" style="68"/>
    <col min="2" max="2" width="16" style="68" bestFit="1" customWidth="1"/>
    <col min="3" max="3" width="15" style="68" bestFit="1" customWidth="1"/>
    <col min="4" max="4" width="12.3984375" style="68" bestFit="1" customWidth="1"/>
    <col min="5" max="5" width="10.1328125" style="68" customWidth="1"/>
    <col min="6" max="6" width="12.3984375" style="68" bestFit="1" customWidth="1"/>
    <col min="7" max="7" width="8.86328125" style="68"/>
    <col min="8" max="8" width="16" style="68" bestFit="1" customWidth="1"/>
    <col min="9" max="9" width="11.3984375" style="68" bestFit="1" customWidth="1"/>
    <col min="10" max="10" width="12.3984375" style="68" bestFit="1" customWidth="1"/>
    <col min="11" max="11" width="9" style="68" bestFit="1" customWidth="1"/>
    <col min="12" max="12" width="12.3984375" style="68" bestFit="1" customWidth="1"/>
    <col min="13" max="16384" width="8.86328125" style="68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6503-5687-46ED-BE3B-2C454EE772C6}">
  <sheetPr codeName="Sheet3">
    <tabColor rgb="FF92D050"/>
  </sheetPr>
  <dimension ref="A1:AO392"/>
  <sheetViews>
    <sheetView showGridLines="0" topLeftCell="K89" zoomScale="82" zoomScaleNormal="82" workbookViewId="0">
      <selection activeCell="O138" sqref="O138:O144"/>
    </sheetView>
  </sheetViews>
  <sheetFormatPr defaultColWidth="8.86328125" defaultRowHeight="15.75" x14ac:dyDescent="0.6"/>
  <cols>
    <col min="1" max="2" width="2.3984375" style="120" customWidth="1"/>
    <col min="3" max="3" width="13.1328125" style="75" customWidth="1"/>
    <col min="4" max="4" width="14.86328125" style="75" customWidth="1"/>
    <col min="5" max="5" width="13.59765625" style="75" customWidth="1"/>
    <col min="6" max="6" width="14.86328125" style="75" bestFit="1" customWidth="1"/>
    <col min="7" max="7" width="11.1328125" style="75" bestFit="1" customWidth="1"/>
    <col min="8" max="8" width="14.1328125" style="75" customWidth="1"/>
    <col min="9" max="9" width="28.86328125" style="75" bestFit="1" customWidth="1"/>
    <col min="10" max="10" width="17" style="75" customWidth="1"/>
    <col min="11" max="11" width="1.86328125" style="75" customWidth="1"/>
    <col min="12" max="12" width="23.3984375" style="75" bestFit="1" customWidth="1"/>
    <col min="13" max="15" width="18.3984375" style="75" customWidth="1"/>
    <col min="16" max="16" width="17.1328125" style="75" customWidth="1"/>
    <col min="17" max="18" width="18.3984375" style="75" customWidth="1"/>
    <col min="19" max="20" width="14.86328125" style="75" customWidth="1"/>
    <col min="21" max="21" width="12.59765625" style="75" bestFit="1" customWidth="1"/>
    <col min="22" max="23" width="11.86328125" style="75" bestFit="1" customWidth="1"/>
    <col min="24" max="25" width="2.3984375" style="120" customWidth="1"/>
    <col min="26" max="26" width="8.86328125" style="75"/>
    <col min="27" max="27" width="22.1328125" style="75" bestFit="1" customWidth="1"/>
    <col min="28" max="29" width="19.86328125" style="75" bestFit="1" customWidth="1"/>
    <col min="30" max="30" width="10.86328125" style="75" customWidth="1"/>
    <col min="31" max="31" width="15.86328125" style="75" bestFit="1" customWidth="1"/>
    <col min="32" max="32" width="15.86328125" style="75" customWidth="1"/>
    <col min="33" max="34" width="10.86328125" style="75" customWidth="1"/>
    <col min="35" max="36" width="2.3984375" style="120" customWidth="1"/>
    <col min="37" max="37" width="8.86328125" style="75"/>
    <col min="38" max="38" width="14.3984375" style="75" customWidth="1"/>
    <col min="39" max="39" width="8.86328125" style="75"/>
    <col min="40" max="40" width="14.3984375" style="75" customWidth="1"/>
    <col min="41" max="16384" width="8.86328125" style="75"/>
  </cols>
  <sheetData>
    <row r="1" spans="3:41" ht="10.5" customHeight="1" x14ac:dyDescent="0.6"/>
    <row r="2" spans="3:41" ht="10.5" customHeight="1" thickBot="1" x14ac:dyDescent="0.65"/>
    <row r="3" spans="3:41" x14ac:dyDescent="0.6">
      <c r="C3" s="80" t="s">
        <v>19</v>
      </c>
      <c r="D3" s="80"/>
      <c r="E3" s="80"/>
      <c r="F3" s="80"/>
      <c r="G3" s="80"/>
      <c r="H3" s="518" t="s">
        <v>20</v>
      </c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20"/>
      <c r="Z3" s="518" t="s">
        <v>21</v>
      </c>
      <c r="AA3" s="519"/>
      <c r="AB3" s="519"/>
      <c r="AC3" s="519"/>
      <c r="AD3" s="519"/>
      <c r="AE3" s="519"/>
      <c r="AF3" s="519"/>
      <c r="AG3" s="519"/>
      <c r="AH3" s="520"/>
    </row>
    <row r="4" spans="3:41" x14ac:dyDescent="0.6">
      <c r="C4" s="87" t="s">
        <v>22</v>
      </c>
      <c r="H4" s="521"/>
      <c r="I4" s="522"/>
      <c r="J4" s="522"/>
      <c r="K4" s="522"/>
      <c r="L4" s="522"/>
      <c r="M4" s="522"/>
      <c r="N4" s="522"/>
      <c r="O4" s="522"/>
      <c r="P4" s="522"/>
      <c r="Q4" s="522"/>
      <c r="R4" s="522"/>
      <c r="S4" s="522"/>
      <c r="T4" s="522"/>
      <c r="U4" s="522"/>
      <c r="V4" s="522"/>
      <c r="W4" s="523"/>
      <c r="Z4" s="521"/>
      <c r="AA4" s="522"/>
      <c r="AB4" s="522"/>
      <c r="AC4" s="522"/>
      <c r="AD4" s="522"/>
      <c r="AE4" s="522"/>
      <c r="AF4" s="522"/>
      <c r="AG4" s="522"/>
      <c r="AH4" s="523"/>
    </row>
    <row r="5" spans="3:41" ht="16.149999999999999" thickBot="1" x14ac:dyDescent="0.65">
      <c r="C5" s="168" t="s">
        <v>23</v>
      </c>
      <c r="H5" s="524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6"/>
      <c r="Z5" s="524"/>
      <c r="AA5" s="525"/>
      <c r="AB5" s="525"/>
      <c r="AC5" s="525"/>
      <c r="AD5" s="525"/>
      <c r="AE5" s="525"/>
      <c r="AF5" s="525"/>
      <c r="AG5" s="525"/>
      <c r="AH5" s="526"/>
    </row>
    <row r="6" spans="3:41" x14ac:dyDescent="0.6">
      <c r="C6" s="168"/>
    </row>
    <row r="7" spans="3:41" x14ac:dyDescent="0.6">
      <c r="C7" s="527" t="s">
        <v>24</v>
      </c>
      <c r="D7" s="528"/>
      <c r="E7" s="528"/>
      <c r="F7" s="530"/>
      <c r="G7" s="527" t="s">
        <v>25</v>
      </c>
      <c r="H7" s="528"/>
      <c r="I7" s="528"/>
      <c r="J7" s="529"/>
      <c r="Z7" s="104" t="s">
        <v>26</v>
      </c>
      <c r="AA7" s="80" t="s">
        <v>27</v>
      </c>
      <c r="AB7" s="80"/>
      <c r="AC7" s="80"/>
      <c r="AE7" s="80" t="s">
        <v>28</v>
      </c>
      <c r="AF7" s="80"/>
      <c r="AL7" s="80" t="s">
        <v>29</v>
      </c>
      <c r="AM7" s="80"/>
      <c r="AN7" s="80"/>
      <c r="AO7" s="80"/>
    </row>
    <row r="8" spans="3:41" ht="47.25" x14ac:dyDescent="0.6">
      <c r="C8" s="88" t="s">
        <v>30</v>
      </c>
      <c r="D8" s="88" t="s">
        <v>31</v>
      </c>
      <c r="E8" s="88" t="s">
        <v>32</v>
      </c>
      <c r="F8" s="88" t="s">
        <v>33</v>
      </c>
      <c r="G8" s="88" t="s">
        <v>30</v>
      </c>
      <c r="H8" s="88" t="s">
        <v>31</v>
      </c>
      <c r="I8" s="88" t="s">
        <v>32</v>
      </c>
      <c r="J8" s="88" t="s">
        <v>33</v>
      </c>
      <c r="L8" s="88" t="s">
        <v>30</v>
      </c>
      <c r="M8" s="88" t="s">
        <v>34</v>
      </c>
      <c r="N8" s="88" t="s">
        <v>35</v>
      </c>
      <c r="O8" s="88" t="s">
        <v>36</v>
      </c>
      <c r="P8" s="88" t="s">
        <v>37</v>
      </c>
      <c r="R8" s="117"/>
      <c r="S8" s="117"/>
      <c r="T8" s="117"/>
      <c r="Z8" s="96" t="s">
        <v>30</v>
      </c>
      <c r="AA8" s="96" t="s">
        <v>38</v>
      </c>
      <c r="AB8" s="96" t="s">
        <v>39</v>
      </c>
      <c r="AC8" s="96" t="s">
        <v>40</v>
      </c>
      <c r="AD8" s="89" t="s">
        <v>41</v>
      </c>
      <c r="AE8" s="96" t="s">
        <v>42</v>
      </c>
      <c r="AF8" s="96" t="s">
        <v>43</v>
      </c>
      <c r="AG8" s="89" t="s">
        <v>44</v>
      </c>
      <c r="AH8" s="89" t="s">
        <v>45</v>
      </c>
      <c r="AN8" s="97">
        <v>47880595</v>
      </c>
      <c r="AO8" s="75">
        <v>1</v>
      </c>
    </row>
    <row r="9" spans="3:41" x14ac:dyDescent="0.6">
      <c r="C9" s="90">
        <v>2020</v>
      </c>
      <c r="D9" s="134">
        <v>-6.4319748267431809E-2</v>
      </c>
      <c r="E9" s="92">
        <v>5.0000000000000001E-3</v>
      </c>
      <c r="F9" s="92">
        <v>0.01</v>
      </c>
      <c r="G9" s="90">
        <v>2020</v>
      </c>
      <c r="H9" s="91"/>
      <c r="I9" s="92">
        <v>0.01</v>
      </c>
      <c r="J9" s="92">
        <v>1.4999999999999999E-2</v>
      </c>
      <c r="L9" s="133"/>
      <c r="M9" s="133"/>
      <c r="N9" s="133"/>
      <c r="O9" s="133"/>
      <c r="P9" s="133"/>
      <c r="R9" s="76"/>
      <c r="S9" s="76"/>
      <c r="T9" s="76"/>
      <c r="Z9" s="96">
        <v>2005</v>
      </c>
      <c r="AA9" s="107">
        <v>3411409882751.5645</v>
      </c>
      <c r="AB9" s="250">
        <f>AA9</f>
        <v>3411409882751.5645</v>
      </c>
      <c r="AC9" s="250">
        <f>AA9</f>
        <v>3411409882751.5645</v>
      </c>
      <c r="AD9" s="251">
        <v>71248.276734062398</v>
      </c>
      <c r="AE9" s="129">
        <f>$AL9</f>
        <v>47880595</v>
      </c>
      <c r="AF9" s="129">
        <f>$AL9</f>
        <v>47880595</v>
      </c>
      <c r="AG9" s="251">
        <f>AD9</f>
        <v>71248.276734062398</v>
      </c>
      <c r="AH9" s="251">
        <f>AD9</f>
        <v>71248.276734062398</v>
      </c>
      <c r="AL9" s="97">
        <v>47880595</v>
      </c>
      <c r="AN9" s="97">
        <f>AN8*AO9</f>
        <v>48417875.324725404</v>
      </c>
      <c r="AO9" s="75">
        <v>1.0112212541369923</v>
      </c>
    </row>
    <row r="10" spans="3:41" x14ac:dyDescent="0.6">
      <c r="C10" s="90">
        <v>2021</v>
      </c>
      <c r="D10" s="134">
        <v>4.9000000000000002E-2</v>
      </c>
      <c r="E10" s="92">
        <v>5.0000000000000001E-3</v>
      </c>
      <c r="F10" s="92">
        <v>0.01</v>
      </c>
      <c r="G10" s="90">
        <v>2021</v>
      </c>
      <c r="H10" s="170">
        <v>4.9000000000000002E-2</v>
      </c>
      <c r="I10" s="92">
        <v>0.01</v>
      </c>
      <c r="J10" s="92">
        <v>1.4999999999999999E-2</v>
      </c>
      <c r="L10" s="90">
        <v>2021</v>
      </c>
      <c r="M10" s="170">
        <v>4.9000000000000002E-2</v>
      </c>
      <c r="N10" s="170">
        <v>4.7E-2</v>
      </c>
      <c r="O10" s="171">
        <f>N10</f>
        <v>4.7E-2</v>
      </c>
      <c r="P10" s="171">
        <f>M10</f>
        <v>4.9000000000000002E-2</v>
      </c>
      <c r="R10" s="124"/>
      <c r="S10" s="124"/>
      <c r="T10" s="124"/>
      <c r="Z10" s="96">
        <v>2006</v>
      </c>
      <c r="AA10" s="107">
        <v>3602578678405.8828</v>
      </c>
      <c r="AB10" s="250">
        <f t="shared" ref="AB10:AB27" si="0">AA10</f>
        <v>3602578678405.8828</v>
      </c>
      <c r="AC10" s="250">
        <f t="shared" ref="AC10:AC27" si="1">AA10</f>
        <v>3602578678405.8828</v>
      </c>
      <c r="AD10" s="251">
        <v>74296.112623680121</v>
      </c>
      <c r="AE10" s="129">
        <f t="shared" ref="AE10:AF35" si="2">$AL10</f>
        <v>48489464</v>
      </c>
      <c r="AF10" s="129">
        <f t="shared" si="2"/>
        <v>48489464</v>
      </c>
      <c r="AG10" s="251">
        <f t="shared" ref="AG10:AG27" si="3">AD10</f>
        <v>74296.112623680121</v>
      </c>
      <c r="AH10" s="251">
        <f t="shared" ref="AH10:AH27" si="4">AD10</f>
        <v>74296.112623680121</v>
      </c>
      <c r="AL10" s="97">
        <v>48489464</v>
      </c>
      <c r="AM10" s="103">
        <f>AL10/AL9-1</f>
        <v>1.271640421343978E-2</v>
      </c>
      <c r="AN10" s="97">
        <f t="shared" ref="AN10:AN54" si="5">AN9*AO10</f>
        <v>48961184.608517356</v>
      </c>
      <c r="AO10" s="103">
        <v>1.0112212541369923</v>
      </c>
    </row>
    <row r="11" spans="3:41" x14ac:dyDescent="0.6">
      <c r="C11" s="90">
        <v>2022</v>
      </c>
      <c r="D11" s="134">
        <v>1.9E-2</v>
      </c>
      <c r="E11" s="92">
        <v>5.0000000000000001E-3</v>
      </c>
      <c r="F11" s="92">
        <v>0.01</v>
      </c>
      <c r="G11" s="90">
        <v>2022</v>
      </c>
      <c r="H11" s="170">
        <v>1.6E-2</v>
      </c>
      <c r="I11" s="92">
        <v>0.01</v>
      </c>
      <c r="J11" s="92">
        <v>1.4999999999999999E-2</v>
      </c>
      <c r="L11" s="90">
        <v>2022</v>
      </c>
      <c r="M11" s="170">
        <v>0.02</v>
      </c>
      <c r="N11" s="170">
        <v>1.9E-2</v>
      </c>
      <c r="O11" s="172">
        <f>N11+0</f>
        <v>1.9E-2</v>
      </c>
      <c r="P11" s="172">
        <f>N11-0.003</f>
        <v>1.6E-2</v>
      </c>
      <c r="R11" s="124"/>
      <c r="S11" s="124"/>
      <c r="T11" s="124"/>
      <c r="Z11" s="96">
        <v>2007</v>
      </c>
      <c r="AA11" s="107">
        <v>3602578678405.8828</v>
      </c>
      <c r="AB11" s="250">
        <f t="shared" si="0"/>
        <v>3602578678405.8828</v>
      </c>
      <c r="AC11" s="250">
        <f t="shared" si="1"/>
        <v>3602578678405.8828</v>
      </c>
      <c r="AD11" s="251">
        <v>77274.268044621524</v>
      </c>
      <c r="AE11" s="129">
        <f t="shared" si="2"/>
        <v>49119766</v>
      </c>
      <c r="AF11" s="129">
        <f t="shared" si="2"/>
        <v>49119766</v>
      </c>
      <c r="AG11" s="251">
        <f t="shared" si="3"/>
        <v>77274.268044621524</v>
      </c>
      <c r="AH11" s="251">
        <f t="shared" si="4"/>
        <v>77274.268044621524</v>
      </c>
      <c r="AL11" s="97">
        <v>49119766</v>
      </c>
      <c r="AM11" s="103">
        <f t="shared" ref="AM11:AM54" si="6">AL11/AL10-1</f>
        <v>1.2998741334818709E-2</v>
      </c>
      <c r="AN11" s="97">
        <f t="shared" si="5"/>
        <v>49510590.503857724</v>
      </c>
      <c r="AO11" s="103">
        <v>1.0112212541369923</v>
      </c>
    </row>
    <row r="12" spans="3:41" x14ac:dyDescent="0.6">
      <c r="C12" s="90">
        <v>2023</v>
      </c>
      <c r="D12" s="134">
        <v>9.9999999999999985E-3</v>
      </c>
      <c r="E12" s="92">
        <v>5.0000000000000001E-3</v>
      </c>
      <c r="F12" s="92">
        <v>0.01</v>
      </c>
      <c r="G12" s="90">
        <v>2023</v>
      </c>
      <c r="H12" s="170">
        <v>4.9999999999999992E-3</v>
      </c>
      <c r="I12" s="92">
        <v>0.01</v>
      </c>
      <c r="J12" s="92">
        <v>1.4999999999999999E-2</v>
      </c>
      <c r="L12" s="90">
        <v>2023</v>
      </c>
      <c r="M12" s="170">
        <v>1E-3</v>
      </c>
      <c r="N12" s="170">
        <v>8.0000000000000002E-3</v>
      </c>
      <c r="O12" s="172">
        <f>N12+M12</f>
        <v>9.0000000000000011E-3</v>
      </c>
      <c r="P12" s="172">
        <f>N12-0.004</f>
        <v>4.0000000000000001E-3</v>
      </c>
      <c r="R12" s="124"/>
      <c r="S12" s="124"/>
      <c r="T12" s="124"/>
      <c r="Z12" s="96">
        <v>2008</v>
      </c>
      <c r="AA12" s="107">
        <v>3916816252461.0459</v>
      </c>
      <c r="AB12" s="250">
        <f t="shared" si="0"/>
        <v>3916816252461.0459</v>
      </c>
      <c r="AC12" s="250">
        <f t="shared" si="1"/>
        <v>3916816252461.0459</v>
      </c>
      <c r="AD12" s="251">
        <v>78683.362741594479</v>
      </c>
      <c r="AE12" s="129">
        <f t="shared" si="2"/>
        <v>49779472</v>
      </c>
      <c r="AF12" s="129">
        <f t="shared" si="2"/>
        <v>49779472</v>
      </c>
      <c r="AG12" s="251">
        <f t="shared" si="3"/>
        <v>78683.362741594479</v>
      </c>
      <c r="AH12" s="251">
        <f t="shared" si="4"/>
        <v>78683.362741594479</v>
      </c>
      <c r="AL12" s="97">
        <v>49779472</v>
      </c>
      <c r="AM12" s="103">
        <f t="shared" si="6"/>
        <v>1.3430560723762364E-2</v>
      </c>
      <c r="AN12" s="97">
        <f t="shared" si="5"/>
        <v>50066161.42237407</v>
      </c>
      <c r="AO12" s="103">
        <v>1.0112212541369923</v>
      </c>
    </row>
    <row r="13" spans="3:41" x14ac:dyDescent="0.6">
      <c r="C13" s="90">
        <v>2024</v>
      </c>
      <c r="D13" s="109">
        <v>1.4999999999999999E-2</v>
      </c>
      <c r="E13" s="92">
        <v>5.0000000000000001E-3</v>
      </c>
      <c r="F13" s="92">
        <v>0.01</v>
      </c>
      <c r="G13" s="90">
        <v>2024</v>
      </c>
      <c r="H13" s="170">
        <v>1.4999999999999999E-2</v>
      </c>
      <c r="I13" s="92">
        <v>0.01</v>
      </c>
      <c r="J13" s="92">
        <v>1.4999999999999999E-2</v>
      </c>
      <c r="L13" s="90">
        <v>2024</v>
      </c>
      <c r="M13" s="170">
        <v>8.0000000000000002E-3</v>
      </c>
      <c r="N13" s="170">
        <v>1.0999999999999999E-2</v>
      </c>
      <c r="O13" s="172">
        <f>N13</f>
        <v>1.0999999999999999E-2</v>
      </c>
      <c r="P13" s="172">
        <f>N13/2</f>
        <v>5.4999999999999997E-3</v>
      </c>
      <c r="R13" s="124"/>
      <c r="S13" s="124"/>
      <c r="T13" s="124"/>
      <c r="Z13" s="96">
        <v>2009</v>
      </c>
      <c r="AA13" s="107">
        <v>3856572134210.3213</v>
      </c>
      <c r="AB13" s="250">
        <f t="shared" si="0"/>
        <v>3856572134210.3213</v>
      </c>
      <c r="AC13" s="250">
        <f t="shared" si="1"/>
        <v>3856572134210.3213</v>
      </c>
      <c r="AD13" s="251">
        <v>76402.542563489667</v>
      </c>
      <c r="AE13" s="129">
        <f t="shared" si="2"/>
        <v>50477013</v>
      </c>
      <c r="AF13" s="129">
        <f t="shared" si="2"/>
        <v>50477013</v>
      </c>
      <c r="AG13" s="251">
        <f t="shared" si="3"/>
        <v>76402.542563489667</v>
      </c>
      <c r="AH13" s="251">
        <f t="shared" si="4"/>
        <v>76402.542563489667</v>
      </c>
      <c r="AL13" s="97">
        <v>50477013</v>
      </c>
      <c r="AM13" s="103">
        <f t="shared" si="6"/>
        <v>1.4012623516778122E-2</v>
      </c>
      <c r="AN13" s="97">
        <f t="shared" si="5"/>
        <v>50627966.543358207</v>
      </c>
      <c r="AO13" s="103">
        <v>1.0112212541369923</v>
      </c>
    </row>
    <row r="14" spans="3:41" x14ac:dyDescent="0.6">
      <c r="C14" s="90">
        <v>2025</v>
      </c>
      <c r="D14" s="109">
        <v>1.7000000000000001E-2</v>
      </c>
      <c r="E14" s="92">
        <v>5.0000000000000001E-3</v>
      </c>
      <c r="F14" s="92">
        <v>0.01</v>
      </c>
      <c r="G14" s="90">
        <v>2025</v>
      </c>
      <c r="H14" s="170">
        <v>1.7000000000000001E-2</v>
      </c>
      <c r="I14" s="92">
        <v>0.01</v>
      </c>
      <c r="J14" s="92">
        <v>1.4999999999999999E-2</v>
      </c>
      <c r="L14" s="90">
        <v>2025</v>
      </c>
      <c r="M14" s="170">
        <v>1.4999999999999999E-2</v>
      </c>
      <c r="N14" s="170">
        <v>1.7000000000000001E-2</v>
      </c>
      <c r="O14" s="172">
        <f>N14</f>
        <v>1.7000000000000001E-2</v>
      </c>
      <c r="P14" s="172">
        <f>P13</f>
        <v>5.4999999999999997E-3</v>
      </c>
      <c r="R14" s="124"/>
      <c r="S14" s="124"/>
      <c r="T14" s="124"/>
      <c r="Z14" s="96">
        <v>2010</v>
      </c>
      <c r="AA14" s="107">
        <v>3973801603311.1958</v>
      </c>
      <c r="AB14" s="250">
        <f t="shared" si="0"/>
        <v>3973801603311.1958</v>
      </c>
      <c r="AC14" s="250">
        <f t="shared" si="1"/>
        <v>3973801603311.1958</v>
      </c>
      <c r="AD14" s="251">
        <v>77587.601064139468</v>
      </c>
      <c r="AE14" s="129">
        <f t="shared" si="2"/>
        <v>51216967</v>
      </c>
      <c r="AF14" s="129">
        <f t="shared" si="2"/>
        <v>51216967</v>
      </c>
      <c r="AG14" s="251">
        <f t="shared" si="3"/>
        <v>77587.601064139468</v>
      </c>
      <c r="AH14" s="251">
        <f t="shared" si="4"/>
        <v>77587.601064139468</v>
      </c>
      <c r="AL14" s="97">
        <v>51216967</v>
      </c>
      <c r="AM14" s="103">
        <f t="shared" si="6"/>
        <v>1.4659227161480493E-2</v>
      </c>
      <c r="AN14" s="97">
        <f t="shared" si="5"/>
        <v>51196075.822380371</v>
      </c>
      <c r="AO14" s="103">
        <v>1.0112212541369923</v>
      </c>
    </row>
    <row r="15" spans="3:41" x14ac:dyDescent="0.6">
      <c r="C15" s="90">
        <v>2026</v>
      </c>
      <c r="D15" s="268">
        <v>1.6E-2</v>
      </c>
      <c r="E15" s="92">
        <v>5.0000000000000001E-3</v>
      </c>
      <c r="F15" s="92">
        <v>0.01</v>
      </c>
      <c r="G15" s="90">
        <v>2026</v>
      </c>
      <c r="H15" s="170">
        <v>9.9999999999999985E-3</v>
      </c>
      <c r="I15" s="92">
        <v>0.01</v>
      </c>
      <c r="J15" s="92">
        <v>1.4999999999999999E-2</v>
      </c>
      <c r="L15" s="90">
        <v>2026</v>
      </c>
      <c r="M15" s="170">
        <v>1.4E-2</v>
      </c>
      <c r="N15" s="209">
        <f>AVERAGE($N$12:$N$14)</f>
        <v>1.2000000000000002E-2</v>
      </c>
      <c r="O15" s="172">
        <f t="shared" ref="O15:P19" si="7">O14</f>
        <v>1.7000000000000001E-2</v>
      </c>
      <c r="P15" s="172">
        <f t="shared" si="7"/>
        <v>5.4999999999999997E-3</v>
      </c>
      <c r="R15" s="124"/>
      <c r="S15" s="124"/>
      <c r="T15" s="124"/>
      <c r="Z15" s="96">
        <v>2011</v>
      </c>
      <c r="AA15" s="107">
        <v>4099713743523.5083</v>
      </c>
      <c r="AB15" s="250">
        <f t="shared" si="0"/>
        <v>4099713743523.5083</v>
      </c>
      <c r="AC15" s="250">
        <f t="shared" si="1"/>
        <v>4099713743523.5083</v>
      </c>
      <c r="AD15" s="251">
        <v>78834.950056658563</v>
      </c>
      <c r="AE15" s="129">
        <f t="shared" si="2"/>
        <v>52003759</v>
      </c>
      <c r="AF15" s="129">
        <f t="shared" si="2"/>
        <v>52003759</v>
      </c>
      <c r="AG15" s="251">
        <f t="shared" si="3"/>
        <v>78834.950056658563</v>
      </c>
      <c r="AH15" s="251">
        <f t="shared" si="4"/>
        <v>78834.950056658563</v>
      </c>
      <c r="AL15" s="97">
        <v>52003759</v>
      </c>
      <c r="AM15" s="103">
        <f t="shared" si="6"/>
        <v>1.536194050694184E-2</v>
      </c>
      <c r="AN15" s="97">
        <f t="shared" si="5"/>
        <v>52023039.730706334</v>
      </c>
      <c r="AO15" s="103">
        <v>1.0161528768571058</v>
      </c>
    </row>
    <row r="16" spans="3:41" x14ac:dyDescent="0.6">
      <c r="C16" s="90">
        <v>2027</v>
      </c>
      <c r="D16" s="268">
        <f>D15</f>
        <v>1.6E-2</v>
      </c>
      <c r="E16" s="92">
        <v>5.0000000000000001E-3</v>
      </c>
      <c r="F16" s="92">
        <v>0.01</v>
      </c>
      <c r="G16" s="90">
        <v>2027</v>
      </c>
      <c r="H16" s="170">
        <v>9.9999999999999985E-3</v>
      </c>
      <c r="I16" s="92">
        <v>0.01</v>
      </c>
      <c r="J16" s="92">
        <v>1.4999999999999999E-2</v>
      </c>
      <c r="L16" s="90">
        <v>2027</v>
      </c>
      <c r="M16" s="170">
        <v>1.4E-2</v>
      </c>
      <c r="N16" s="209">
        <f t="shared" ref="N16:N39" si="8">AVERAGE($N$12:$N$14)</f>
        <v>1.2000000000000002E-2</v>
      </c>
      <c r="O16" s="172">
        <f t="shared" si="7"/>
        <v>1.7000000000000001E-2</v>
      </c>
      <c r="P16" s="172">
        <f t="shared" si="7"/>
        <v>5.4999999999999997E-3</v>
      </c>
      <c r="R16" s="124"/>
      <c r="S16" s="124"/>
      <c r="T16" s="124"/>
      <c r="Z16" s="96">
        <v>2012</v>
      </c>
      <c r="AA16" s="107">
        <v>4197952411913.4668</v>
      </c>
      <c r="AB16" s="250">
        <f t="shared" si="0"/>
        <v>4197952411913.4668</v>
      </c>
      <c r="AC16" s="250">
        <f t="shared" si="1"/>
        <v>4197952411913.4668</v>
      </c>
      <c r="AD16" s="251">
        <v>79457.526677078029</v>
      </c>
      <c r="AE16" s="129">
        <f t="shared" si="2"/>
        <v>52832659</v>
      </c>
      <c r="AF16" s="129">
        <f t="shared" si="2"/>
        <v>52832659</v>
      </c>
      <c r="AG16" s="251">
        <f t="shared" si="3"/>
        <v>79457.526677078029</v>
      </c>
      <c r="AH16" s="251">
        <f t="shared" si="4"/>
        <v>79457.526677078029</v>
      </c>
      <c r="AL16" s="97">
        <v>52832659</v>
      </c>
      <c r="AM16" s="103">
        <f t="shared" si="6"/>
        <v>1.5939232392796931E-2</v>
      </c>
      <c r="AN16" s="97">
        <f t="shared" si="5"/>
        <v>52863361.485208757</v>
      </c>
      <c r="AO16" s="103">
        <v>1.0161528768571058</v>
      </c>
    </row>
    <row r="17" spans="1:41" x14ac:dyDescent="0.6">
      <c r="C17" s="90">
        <v>2028</v>
      </c>
      <c r="D17" s="268">
        <f t="shared" ref="D17:D39" si="9">D16</f>
        <v>1.6E-2</v>
      </c>
      <c r="E17" s="92">
        <v>5.0000000000000001E-3</v>
      </c>
      <c r="F17" s="92">
        <v>0.01</v>
      </c>
      <c r="G17" s="90">
        <v>2028</v>
      </c>
      <c r="H17" s="170">
        <v>9.9999999999999985E-3</v>
      </c>
      <c r="I17" s="92">
        <v>0.01</v>
      </c>
      <c r="J17" s="92">
        <v>1.4999999999999999E-2</v>
      </c>
      <c r="L17" s="90">
        <v>2028</v>
      </c>
      <c r="M17" s="170">
        <v>1.4E-2</v>
      </c>
      <c r="N17" s="209">
        <f t="shared" si="8"/>
        <v>1.2000000000000002E-2</v>
      </c>
      <c r="O17" s="172">
        <f t="shared" si="7"/>
        <v>1.7000000000000001E-2</v>
      </c>
      <c r="P17" s="172">
        <f t="shared" si="7"/>
        <v>5.4999999999999997E-3</v>
      </c>
      <c r="R17" s="124"/>
      <c r="S17" s="124"/>
      <c r="T17" s="124"/>
      <c r="Z17" s="96">
        <v>2013</v>
      </c>
      <c r="AA17" s="107">
        <v>4302291176143.1406</v>
      </c>
      <c r="AB17" s="250">
        <f t="shared" si="0"/>
        <v>4302291176143.1406</v>
      </c>
      <c r="AC17" s="250">
        <f t="shared" si="1"/>
        <v>4302291176143.1406</v>
      </c>
      <c r="AD17" s="251">
        <v>80136.367446443459</v>
      </c>
      <c r="AE17" s="129">
        <f t="shared" si="2"/>
        <v>53687125</v>
      </c>
      <c r="AF17" s="129">
        <f t="shared" si="2"/>
        <v>53687125</v>
      </c>
      <c r="AG17" s="251">
        <f t="shared" si="3"/>
        <v>80136.367446443459</v>
      </c>
      <c r="AH17" s="251">
        <f t="shared" si="4"/>
        <v>80136.367446443459</v>
      </c>
      <c r="AL17" s="97">
        <v>53687125</v>
      </c>
      <c r="AM17" s="103">
        <f t="shared" si="6"/>
        <v>1.6173064467567277E-2</v>
      </c>
      <c r="AN17" s="97">
        <f t="shared" si="5"/>
        <v>53717256.853532001</v>
      </c>
      <c r="AO17" s="103">
        <v>1.0161528768571058</v>
      </c>
    </row>
    <row r="18" spans="1:41" x14ac:dyDescent="0.6">
      <c r="C18" s="90">
        <v>2029</v>
      </c>
      <c r="D18" s="268">
        <f t="shared" si="9"/>
        <v>1.6E-2</v>
      </c>
      <c r="E18" s="92">
        <v>5.0000000000000001E-3</v>
      </c>
      <c r="F18" s="92">
        <v>0.01</v>
      </c>
      <c r="G18" s="90">
        <v>2029</v>
      </c>
      <c r="H18" s="170">
        <v>9.9999999999999985E-3</v>
      </c>
      <c r="I18" s="92">
        <v>0.01</v>
      </c>
      <c r="J18" s="92">
        <v>1.4999999999999999E-2</v>
      </c>
      <c r="L18" s="90">
        <v>2029</v>
      </c>
      <c r="M18" s="170">
        <v>1.3000000000000001E-2</v>
      </c>
      <c r="N18" s="209">
        <f t="shared" si="8"/>
        <v>1.2000000000000002E-2</v>
      </c>
      <c r="O18" s="172">
        <f t="shared" si="7"/>
        <v>1.7000000000000001E-2</v>
      </c>
      <c r="P18" s="172">
        <f t="shared" si="7"/>
        <v>5.4999999999999997E-3</v>
      </c>
      <c r="R18" s="124"/>
      <c r="S18" s="124"/>
      <c r="T18" s="124"/>
      <c r="Z18" s="96">
        <v>2014</v>
      </c>
      <c r="AA18" s="107">
        <v>4363118106800.5991</v>
      </c>
      <c r="AB18" s="250">
        <f t="shared" si="0"/>
        <v>4363118106800.5991</v>
      </c>
      <c r="AC18" s="250">
        <f t="shared" si="1"/>
        <v>4363118106800.5991</v>
      </c>
      <c r="AD18" s="251">
        <v>79992.361913427827</v>
      </c>
      <c r="AE18" s="129">
        <f t="shared" si="2"/>
        <v>54544184</v>
      </c>
      <c r="AF18" s="129">
        <f t="shared" si="2"/>
        <v>54544184</v>
      </c>
      <c r="AG18" s="251">
        <f t="shared" si="3"/>
        <v>79992.361913427827</v>
      </c>
      <c r="AH18" s="251">
        <f t="shared" si="4"/>
        <v>79992.361913427827</v>
      </c>
      <c r="AL18" s="97">
        <v>54544184</v>
      </c>
      <c r="AM18" s="103">
        <f t="shared" si="6"/>
        <v>1.5963957839053577E-2</v>
      </c>
      <c r="AN18" s="97">
        <f t="shared" si="5"/>
        <v>54584945.088588625</v>
      </c>
      <c r="AO18" s="103">
        <v>1.0161528768571058</v>
      </c>
    </row>
    <row r="19" spans="1:41" x14ac:dyDescent="0.6">
      <c r="C19" s="90">
        <v>2030</v>
      </c>
      <c r="D19" s="268">
        <f t="shared" si="9"/>
        <v>1.6E-2</v>
      </c>
      <c r="E19" s="92">
        <v>5.0000000000000001E-3</v>
      </c>
      <c r="F19" s="92">
        <v>0.01</v>
      </c>
      <c r="G19" s="90">
        <v>2030</v>
      </c>
      <c r="H19" s="170">
        <v>9.9999999999999985E-3</v>
      </c>
      <c r="I19" s="92">
        <v>0.01</v>
      </c>
      <c r="J19" s="92">
        <v>1.4999999999999999E-2</v>
      </c>
      <c r="L19" s="90">
        <v>2030</v>
      </c>
      <c r="M19" s="170">
        <v>1.3000000000000001E-2</v>
      </c>
      <c r="N19" s="209">
        <f t="shared" si="8"/>
        <v>1.2000000000000002E-2</v>
      </c>
      <c r="O19" s="172">
        <f t="shared" si="7"/>
        <v>1.7000000000000001E-2</v>
      </c>
      <c r="P19" s="172">
        <f t="shared" si="7"/>
        <v>5.4999999999999997E-3</v>
      </c>
      <c r="R19" s="124"/>
      <c r="S19" s="124"/>
      <c r="T19" s="124"/>
      <c r="Z19" s="96">
        <v>2015</v>
      </c>
      <c r="AA19" s="107">
        <v>4420792517414.4717</v>
      </c>
      <c r="AB19" s="250">
        <f t="shared" si="0"/>
        <v>4420792517414.4717</v>
      </c>
      <c r="AC19" s="250">
        <f t="shared" si="1"/>
        <v>4420792517414.4717</v>
      </c>
      <c r="AD19" s="251">
        <v>79117.199555191779</v>
      </c>
      <c r="AE19" s="129">
        <f t="shared" si="2"/>
        <v>55876504</v>
      </c>
      <c r="AF19" s="129">
        <f t="shared" si="2"/>
        <v>55876504</v>
      </c>
      <c r="AG19" s="251">
        <f t="shared" si="3"/>
        <v>79117.199555191779</v>
      </c>
      <c r="AH19" s="251">
        <f t="shared" si="4"/>
        <v>79117.199555191779</v>
      </c>
      <c r="AL19" s="97">
        <v>55876504</v>
      </c>
      <c r="AM19" s="103">
        <f t="shared" si="6"/>
        <v>2.4426435639774091E-2</v>
      </c>
      <c r="AN19" s="97">
        <f t="shared" si="5"/>
        <v>55466648.984856479</v>
      </c>
      <c r="AO19" s="103">
        <v>1.0161528768571058</v>
      </c>
    </row>
    <row r="20" spans="1:41" x14ac:dyDescent="0.6">
      <c r="C20" s="90">
        <v>2031</v>
      </c>
      <c r="D20" s="268">
        <f t="shared" si="9"/>
        <v>1.6E-2</v>
      </c>
      <c r="E20" s="92">
        <v>5.0000000000000001E-3</v>
      </c>
      <c r="F20" s="92">
        <v>0.01</v>
      </c>
      <c r="G20" s="90">
        <v>2031</v>
      </c>
      <c r="H20" s="170">
        <v>9.9999999999999985E-3</v>
      </c>
      <c r="I20" s="92">
        <v>0.01</v>
      </c>
      <c r="J20" s="92">
        <v>1.4999999999999999E-2</v>
      </c>
      <c r="L20" s="90">
        <v>2031</v>
      </c>
      <c r="M20" s="170">
        <f>M19</f>
        <v>1.3000000000000001E-2</v>
      </c>
      <c r="N20" s="209">
        <f t="shared" si="8"/>
        <v>1.2000000000000002E-2</v>
      </c>
      <c r="O20" s="172">
        <f t="shared" ref="O20:P20" si="10">O19</f>
        <v>1.7000000000000001E-2</v>
      </c>
      <c r="P20" s="172">
        <f t="shared" si="10"/>
        <v>5.4999999999999997E-3</v>
      </c>
      <c r="Z20" s="96">
        <v>2016</v>
      </c>
      <c r="AA20" s="107">
        <v>4450170996114.5146</v>
      </c>
      <c r="AB20" s="250">
        <f t="shared" si="0"/>
        <v>4450170996114.5146</v>
      </c>
      <c r="AC20" s="250">
        <f t="shared" si="1"/>
        <v>4450170996114.5146</v>
      </c>
      <c r="AD20" s="251">
        <v>78872.591985826642</v>
      </c>
      <c r="AE20" s="129">
        <f t="shared" si="2"/>
        <v>56422274</v>
      </c>
      <c r="AF20" s="129">
        <f t="shared" si="2"/>
        <v>56422274</v>
      </c>
      <c r="AG20" s="251">
        <f t="shared" si="3"/>
        <v>78872.591985826642</v>
      </c>
      <c r="AH20" s="251">
        <f t="shared" si="4"/>
        <v>78872.591985826642</v>
      </c>
      <c r="AL20" s="97">
        <v>56422274</v>
      </c>
      <c r="AM20" s="103">
        <f t="shared" si="6"/>
        <v>9.7674328372441277E-3</v>
      </c>
      <c r="AN20" s="97">
        <f t="shared" si="5"/>
        <v>56362594.935585178</v>
      </c>
      <c r="AO20" s="103">
        <v>1.0161528768571058</v>
      </c>
    </row>
    <row r="21" spans="1:41" x14ac:dyDescent="0.6">
      <c r="C21" s="90">
        <v>2032</v>
      </c>
      <c r="D21" s="268">
        <f t="shared" si="9"/>
        <v>1.6E-2</v>
      </c>
      <c r="E21" s="92">
        <v>5.0000000000000001E-3</v>
      </c>
      <c r="F21" s="92">
        <v>0.01</v>
      </c>
      <c r="G21" s="90">
        <v>2032</v>
      </c>
      <c r="H21" s="170">
        <v>9.9999999999999985E-3</v>
      </c>
      <c r="I21" s="92">
        <v>0.01</v>
      </c>
      <c r="J21" s="92">
        <v>1.4999999999999999E-2</v>
      </c>
      <c r="L21" s="90">
        <v>2032</v>
      </c>
      <c r="M21" s="170">
        <f t="shared" ref="M21:M39" si="11">M20</f>
        <v>1.3000000000000001E-2</v>
      </c>
      <c r="N21" s="209">
        <f t="shared" si="8"/>
        <v>1.2000000000000002E-2</v>
      </c>
      <c r="O21" s="172">
        <f t="shared" ref="O21:P21" si="12">O20</f>
        <v>1.7000000000000001E-2</v>
      </c>
      <c r="P21" s="172">
        <f t="shared" si="12"/>
        <v>5.4999999999999997E-3</v>
      </c>
      <c r="Z21" s="96">
        <v>2017</v>
      </c>
      <c r="AA21" s="107">
        <v>4501701615484.8301</v>
      </c>
      <c r="AB21" s="250">
        <f t="shared" si="0"/>
        <v>4501701615484.8301</v>
      </c>
      <c r="AC21" s="250">
        <f t="shared" si="1"/>
        <v>4501701615484.8301</v>
      </c>
      <c r="AD21" s="251">
        <v>79477.49731131857</v>
      </c>
      <c r="AE21" s="129">
        <f t="shared" si="2"/>
        <v>56641210</v>
      </c>
      <c r="AF21" s="129">
        <f t="shared" si="2"/>
        <v>56641210</v>
      </c>
      <c r="AG21" s="251">
        <f t="shared" si="3"/>
        <v>79477.49731131857</v>
      </c>
      <c r="AH21" s="251">
        <f t="shared" si="4"/>
        <v>79477.49731131857</v>
      </c>
      <c r="AL21" s="97">
        <v>56641210</v>
      </c>
      <c r="AM21" s="103">
        <f t="shared" si="6"/>
        <v>3.8803115237786567E-3</v>
      </c>
      <c r="AN21" s="97">
        <f t="shared" si="5"/>
        <v>57273012.990926616</v>
      </c>
      <c r="AO21" s="103">
        <v>1.0161528768571058</v>
      </c>
    </row>
    <row r="22" spans="1:41" x14ac:dyDescent="0.6">
      <c r="C22" s="90">
        <v>2033</v>
      </c>
      <c r="D22" s="268">
        <f t="shared" si="9"/>
        <v>1.6E-2</v>
      </c>
      <c r="E22" s="92">
        <v>5.0000000000000001E-3</v>
      </c>
      <c r="F22" s="92">
        <v>0.01</v>
      </c>
      <c r="G22" s="90">
        <v>2033</v>
      </c>
      <c r="H22" s="170">
        <v>9.9999999999999985E-3</v>
      </c>
      <c r="I22" s="92">
        <v>0.01</v>
      </c>
      <c r="J22" s="92">
        <v>1.4999999999999999E-2</v>
      </c>
      <c r="L22" s="90">
        <v>2033</v>
      </c>
      <c r="M22" s="170">
        <f t="shared" si="11"/>
        <v>1.3000000000000001E-2</v>
      </c>
      <c r="N22" s="209">
        <f t="shared" si="8"/>
        <v>1.2000000000000002E-2</v>
      </c>
      <c r="O22" s="172">
        <f t="shared" ref="O22:P22" si="13">O21</f>
        <v>1.7000000000000001E-2</v>
      </c>
      <c r="P22" s="172">
        <f t="shared" si="13"/>
        <v>5.4999999999999997E-3</v>
      </c>
      <c r="Z22" s="96">
        <v>2018</v>
      </c>
      <c r="AA22" s="107">
        <v>4568669710783.1338</v>
      </c>
      <c r="AB22" s="250">
        <f t="shared" si="0"/>
        <v>4568669710783.1338</v>
      </c>
      <c r="AC22" s="250">
        <f t="shared" si="1"/>
        <v>4568669710783.1338</v>
      </c>
      <c r="AD22" s="251">
        <v>79677.342047662736</v>
      </c>
      <c r="AE22" s="129">
        <f t="shared" si="2"/>
        <v>57339635</v>
      </c>
      <c r="AF22" s="129">
        <f t="shared" si="2"/>
        <v>57339635</v>
      </c>
      <c r="AG22" s="251">
        <f t="shared" si="3"/>
        <v>79677.342047662736</v>
      </c>
      <c r="AH22" s="251">
        <f t="shared" si="4"/>
        <v>79677.342047662736</v>
      </c>
      <c r="AL22" s="97">
        <v>57339635</v>
      </c>
      <c r="AM22" s="103">
        <f t="shared" si="6"/>
        <v>1.2330686438372318E-2</v>
      </c>
      <c r="AN22" s="97">
        <f t="shared" si="5"/>
        <v>58198136.917004474</v>
      </c>
      <c r="AO22" s="103">
        <v>1.0161528768571058</v>
      </c>
    </row>
    <row r="23" spans="1:41" x14ac:dyDescent="0.6">
      <c r="C23" s="90">
        <v>2034</v>
      </c>
      <c r="D23" s="268">
        <f t="shared" si="9"/>
        <v>1.6E-2</v>
      </c>
      <c r="E23" s="92">
        <v>5.0000000000000001E-3</v>
      </c>
      <c r="F23" s="92">
        <v>0.01</v>
      </c>
      <c r="G23" s="90">
        <v>2034</v>
      </c>
      <c r="H23" s="170">
        <v>9.9999999999999985E-3</v>
      </c>
      <c r="I23" s="92">
        <v>0.01</v>
      </c>
      <c r="J23" s="92">
        <v>1.4999999999999999E-2</v>
      </c>
      <c r="L23" s="90">
        <v>2034</v>
      </c>
      <c r="M23" s="170">
        <f t="shared" si="11"/>
        <v>1.3000000000000001E-2</v>
      </c>
      <c r="N23" s="209">
        <f t="shared" si="8"/>
        <v>1.2000000000000002E-2</v>
      </c>
      <c r="O23" s="172">
        <f t="shared" ref="O23:P23" si="14">O22</f>
        <v>1.7000000000000001E-2</v>
      </c>
      <c r="P23" s="172">
        <f t="shared" si="14"/>
        <v>5.4999999999999997E-3</v>
      </c>
      <c r="Z23" s="96">
        <v>2019</v>
      </c>
      <c r="AA23" s="107">
        <v>4573834760819.2813</v>
      </c>
      <c r="AB23" s="250">
        <f t="shared" si="0"/>
        <v>4573834760819.2813</v>
      </c>
      <c r="AC23" s="250">
        <f t="shared" si="1"/>
        <v>4573834760819.2813</v>
      </c>
      <c r="AD23" s="251">
        <v>78741.033795211013</v>
      </c>
      <c r="AE23" s="129">
        <f t="shared" si="2"/>
        <v>58087055</v>
      </c>
      <c r="AF23" s="129">
        <f t="shared" si="2"/>
        <v>58087055</v>
      </c>
      <c r="AG23" s="251">
        <f t="shared" si="3"/>
        <v>78741.033795211013</v>
      </c>
      <c r="AH23" s="251">
        <f t="shared" si="4"/>
        <v>78741.033795211013</v>
      </c>
      <c r="AL23" s="97">
        <v>58087055</v>
      </c>
      <c r="AM23" s="103">
        <f t="shared" si="6"/>
        <v>1.3034962639716818E-2</v>
      </c>
      <c r="AN23" s="97">
        <f t="shared" si="5"/>
        <v>59138204.25593783</v>
      </c>
      <c r="AO23" s="103">
        <v>1.0161528768571058</v>
      </c>
    </row>
    <row r="24" spans="1:41" x14ac:dyDescent="0.6">
      <c r="C24" s="90">
        <v>2035</v>
      </c>
      <c r="D24" s="268">
        <f t="shared" si="9"/>
        <v>1.6E-2</v>
      </c>
      <c r="E24" s="92">
        <v>5.0000000000000001E-3</v>
      </c>
      <c r="F24" s="92">
        <v>0.01</v>
      </c>
      <c r="G24" s="90">
        <v>2035</v>
      </c>
      <c r="H24" s="170">
        <v>9.9999999999999985E-3</v>
      </c>
      <c r="I24" s="92">
        <v>0.01</v>
      </c>
      <c r="J24" s="92">
        <v>1.4999999999999999E-2</v>
      </c>
      <c r="L24" s="90">
        <v>2035</v>
      </c>
      <c r="M24" s="170">
        <f t="shared" si="11"/>
        <v>1.3000000000000001E-2</v>
      </c>
      <c r="N24" s="209">
        <f t="shared" si="8"/>
        <v>1.2000000000000002E-2</v>
      </c>
      <c r="O24" s="172">
        <f t="shared" ref="O24:P24" si="15">O23</f>
        <v>1.7000000000000001E-2</v>
      </c>
      <c r="P24" s="172">
        <f t="shared" si="15"/>
        <v>5.4999999999999997E-3</v>
      </c>
      <c r="Z24" s="96">
        <v>2020</v>
      </c>
      <c r="AA24" s="107">
        <v>4279646860386.5562</v>
      </c>
      <c r="AB24" s="250">
        <f t="shared" si="0"/>
        <v>4279646860386.5562</v>
      </c>
      <c r="AC24" s="250">
        <f t="shared" si="1"/>
        <v>4279646860386.5562</v>
      </c>
      <c r="AD24" s="251">
        <v>72780.724692688324</v>
      </c>
      <c r="AE24" s="129">
        <f t="shared" si="2"/>
        <v>58801927</v>
      </c>
      <c r="AF24" s="129">
        <f t="shared" si="2"/>
        <v>58801927</v>
      </c>
      <c r="AG24" s="251">
        <f t="shared" si="3"/>
        <v>72780.724692688324</v>
      </c>
      <c r="AH24" s="251">
        <f t="shared" si="4"/>
        <v>72780.724692688324</v>
      </c>
      <c r="AL24" s="97">
        <v>58801927</v>
      </c>
      <c r="AM24" s="103">
        <f t="shared" si="6"/>
        <v>1.2306907279083124E-2</v>
      </c>
      <c r="AN24" s="97">
        <f t="shared" si="5"/>
        <v>60093456.386834361</v>
      </c>
      <c r="AO24" s="103">
        <v>1.0161528768571058</v>
      </c>
    </row>
    <row r="25" spans="1:41" x14ac:dyDescent="0.6">
      <c r="C25" s="90">
        <v>2036</v>
      </c>
      <c r="D25" s="268">
        <f t="shared" si="9"/>
        <v>1.6E-2</v>
      </c>
      <c r="E25" s="92">
        <v>5.0000000000000001E-3</v>
      </c>
      <c r="F25" s="92">
        <v>0.01</v>
      </c>
      <c r="G25" s="90">
        <v>2036</v>
      </c>
      <c r="H25" s="170">
        <v>9.9999999999999985E-3</v>
      </c>
      <c r="I25" s="92">
        <v>0.01</v>
      </c>
      <c r="J25" s="92">
        <v>1.4999999999999999E-2</v>
      </c>
      <c r="L25" s="90">
        <v>2036</v>
      </c>
      <c r="M25" s="170">
        <f t="shared" si="11"/>
        <v>1.3000000000000001E-2</v>
      </c>
      <c r="N25" s="209">
        <f t="shared" si="8"/>
        <v>1.2000000000000002E-2</v>
      </c>
      <c r="O25" s="172">
        <f t="shared" ref="O25:P25" si="16">O24</f>
        <v>1.7000000000000001E-2</v>
      </c>
      <c r="P25" s="172">
        <f t="shared" si="16"/>
        <v>5.4999999999999997E-3</v>
      </c>
      <c r="Z25" s="96">
        <v>2021</v>
      </c>
      <c r="AA25" s="107">
        <v>4513043919695.8613</v>
      </c>
      <c r="AB25" s="250">
        <f t="shared" si="0"/>
        <v>4513043919695.8613</v>
      </c>
      <c r="AC25" s="250">
        <f t="shared" si="1"/>
        <v>4513043919695.8613</v>
      </c>
      <c r="AD25" s="251">
        <v>75987.078108010232</v>
      </c>
      <c r="AE25" s="129">
        <f t="shared" si="2"/>
        <v>59392255</v>
      </c>
      <c r="AF25" s="129">
        <f t="shared" si="2"/>
        <v>59392255</v>
      </c>
      <c r="AG25" s="251">
        <f t="shared" si="3"/>
        <v>75987.078108010232</v>
      </c>
      <c r="AH25" s="251">
        <f t="shared" si="4"/>
        <v>75987.078108010232</v>
      </c>
      <c r="AL25" s="97">
        <v>59392255</v>
      </c>
      <c r="AM25" s="103">
        <f t="shared" si="6"/>
        <v>1.0039262828920537E-2</v>
      </c>
      <c r="AN25" s="97">
        <f t="shared" si="5"/>
        <v>61064138.587768748</v>
      </c>
      <c r="AO25" s="103">
        <v>1.0161528768571058</v>
      </c>
    </row>
    <row r="26" spans="1:41" x14ac:dyDescent="0.6">
      <c r="C26" s="90">
        <v>2037</v>
      </c>
      <c r="D26" s="268">
        <f t="shared" si="9"/>
        <v>1.6E-2</v>
      </c>
      <c r="E26" s="92">
        <v>5.0000000000000001E-3</v>
      </c>
      <c r="F26" s="92">
        <v>0.01</v>
      </c>
      <c r="G26" s="90">
        <v>2037</v>
      </c>
      <c r="H26" s="170">
        <v>9.9999999999999985E-3</v>
      </c>
      <c r="I26" s="92">
        <v>0.01</v>
      </c>
      <c r="J26" s="92">
        <v>1.4999999999999999E-2</v>
      </c>
      <c r="L26" s="90">
        <v>2037</v>
      </c>
      <c r="M26" s="170">
        <f t="shared" si="11"/>
        <v>1.3000000000000001E-2</v>
      </c>
      <c r="N26" s="209">
        <f t="shared" si="8"/>
        <v>1.2000000000000002E-2</v>
      </c>
      <c r="O26" s="172">
        <f t="shared" ref="O26:P26" si="17">O25</f>
        <v>1.7000000000000001E-2</v>
      </c>
      <c r="P26" s="172">
        <f t="shared" si="17"/>
        <v>5.4999999999999997E-3</v>
      </c>
      <c r="Z26" s="96">
        <v>2022</v>
      </c>
      <c r="AA26" s="107">
        <v>4599261389164.5967</v>
      </c>
      <c r="AB26" s="250">
        <f t="shared" si="0"/>
        <v>4599261389164.5967</v>
      </c>
      <c r="AC26" s="250">
        <f t="shared" si="1"/>
        <v>4599261389164.5967</v>
      </c>
      <c r="AD26" s="251">
        <v>76790.165012245096</v>
      </c>
      <c r="AE26" s="129">
        <f t="shared" si="2"/>
        <v>59893886</v>
      </c>
      <c r="AF26" s="129">
        <f t="shared" si="2"/>
        <v>59893886</v>
      </c>
      <c r="AG26" s="251">
        <f t="shared" si="3"/>
        <v>76790.165012245096</v>
      </c>
      <c r="AH26" s="251">
        <f t="shared" si="4"/>
        <v>76790.165012245096</v>
      </c>
      <c r="AL26" s="97">
        <v>59893886</v>
      </c>
      <c r="AM26" s="103">
        <f t="shared" si="6"/>
        <v>8.4460675891158132E-3</v>
      </c>
      <c r="AN26" s="97">
        <f t="shared" si="5"/>
        <v>62050500.098762214</v>
      </c>
      <c r="AO26" s="103">
        <v>1.0161528768571058</v>
      </c>
    </row>
    <row r="27" spans="1:41" x14ac:dyDescent="0.6">
      <c r="C27" s="90">
        <v>2038</v>
      </c>
      <c r="D27" s="268">
        <f t="shared" si="9"/>
        <v>1.6E-2</v>
      </c>
      <c r="E27" s="92">
        <v>5.0000000000000001E-3</v>
      </c>
      <c r="F27" s="92">
        <v>0.01</v>
      </c>
      <c r="G27" s="90">
        <v>2038</v>
      </c>
      <c r="H27" s="170">
        <v>9.9999999999999985E-3</v>
      </c>
      <c r="I27" s="92">
        <v>0.01</v>
      </c>
      <c r="J27" s="92">
        <v>1.4999999999999999E-2</v>
      </c>
      <c r="L27" s="90">
        <v>2038</v>
      </c>
      <c r="M27" s="170">
        <f t="shared" si="11"/>
        <v>1.3000000000000001E-2</v>
      </c>
      <c r="N27" s="209">
        <f t="shared" si="8"/>
        <v>1.2000000000000002E-2</v>
      </c>
      <c r="O27" s="172">
        <f t="shared" ref="O27:P27" si="18">O26</f>
        <v>1.7000000000000001E-2</v>
      </c>
      <c r="P27" s="172">
        <f t="shared" si="18"/>
        <v>5.4999999999999997E-3</v>
      </c>
      <c r="Z27" s="96">
        <v>2023</v>
      </c>
      <c r="AA27" s="107">
        <v>4638499639146.3398</v>
      </c>
      <c r="AB27" s="250">
        <f t="shared" si="0"/>
        <v>4638499639146.3398</v>
      </c>
      <c r="AC27" s="250">
        <f t="shared" si="1"/>
        <v>4638499639146.3398</v>
      </c>
      <c r="AD27" s="251">
        <v>76777.92621036293</v>
      </c>
      <c r="AE27" s="129">
        <f t="shared" si="2"/>
        <v>60414495</v>
      </c>
      <c r="AF27" s="129">
        <f t="shared" si="2"/>
        <v>60414495</v>
      </c>
      <c r="AG27" s="251">
        <f t="shared" si="3"/>
        <v>76777.92621036293</v>
      </c>
      <c r="AH27" s="251">
        <f t="shared" si="4"/>
        <v>76777.92621036293</v>
      </c>
      <c r="AL27" s="97">
        <v>60414495</v>
      </c>
      <c r="AM27" s="103">
        <f t="shared" si="6"/>
        <v>8.6921893830698149E-3</v>
      </c>
      <c r="AN27" s="97">
        <f t="shared" si="5"/>
        <v>63052794.185779348</v>
      </c>
      <c r="AO27" s="103">
        <v>1.0161528768571058</v>
      </c>
    </row>
    <row r="28" spans="1:41" x14ac:dyDescent="0.6">
      <c r="C28" s="90">
        <v>2039</v>
      </c>
      <c r="D28" s="268">
        <f t="shared" si="9"/>
        <v>1.6E-2</v>
      </c>
      <c r="E28" s="92">
        <v>5.0000000000000001E-3</v>
      </c>
      <c r="F28" s="92">
        <v>0.01</v>
      </c>
      <c r="G28" s="90">
        <v>2039</v>
      </c>
      <c r="H28" s="170">
        <v>9.9999999999999985E-3</v>
      </c>
      <c r="I28" s="92">
        <v>0.01</v>
      </c>
      <c r="J28" s="92">
        <v>1.4999999999999999E-2</v>
      </c>
      <c r="L28" s="90">
        <v>2039</v>
      </c>
      <c r="M28" s="170">
        <f t="shared" si="11"/>
        <v>1.3000000000000001E-2</v>
      </c>
      <c r="N28" s="209">
        <f t="shared" si="8"/>
        <v>1.2000000000000002E-2</v>
      </c>
      <c r="O28" s="172">
        <f t="shared" ref="O28:P28" si="19">O27</f>
        <v>1.7000000000000001E-2</v>
      </c>
      <c r="P28" s="172">
        <f t="shared" si="19"/>
        <v>5.4999999999999997E-3</v>
      </c>
      <c r="Z28" s="96">
        <v>2024</v>
      </c>
      <c r="AA28" s="107">
        <v>4659294000000</v>
      </c>
      <c r="AB28" s="189">
        <v>4659294000000</v>
      </c>
      <c r="AC28" s="189">
        <v>4659294000000</v>
      </c>
      <c r="AD28" s="218">
        <f>AG28</f>
        <v>76356.557279594257</v>
      </c>
      <c r="AE28" s="218">
        <f t="shared" si="2"/>
        <v>61020221</v>
      </c>
      <c r="AF28" s="218">
        <f t="shared" si="2"/>
        <v>61020221</v>
      </c>
      <c r="AG28" s="218">
        <f>AB28/AE28</f>
        <v>76356.557279594257</v>
      </c>
      <c r="AH28" s="218">
        <f>AC28/AF28</f>
        <v>76356.557279594257</v>
      </c>
      <c r="AL28" s="393">
        <v>61020221</v>
      </c>
      <c r="AM28" s="103">
        <f t="shared" si="6"/>
        <v>1.0026170044125982E-2</v>
      </c>
      <c r="AN28" s="97">
        <f t="shared" si="5"/>
        <v>64071278.205758676</v>
      </c>
      <c r="AO28" s="103">
        <v>1.0161528768571058</v>
      </c>
    </row>
    <row r="29" spans="1:41" x14ac:dyDescent="0.6">
      <c r="C29" s="90">
        <v>2040</v>
      </c>
      <c r="D29" s="268">
        <f t="shared" si="9"/>
        <v>1.6E-2</v>
      </c>
      <c r="E29" s="92">
        <v>5.0000000000000001E-3</v>
      </c>
      <c r="F29" s="92">
        <v>0.01</v>
      </c>
      <c r="G29" s="90">
        <v>2040</v>
      </c>
      <c r="H29" s="170">
        <v>9.9999999999999985E-3</v>
      </c>
      <c r="I29" s="92">
        <v>0.01</v>
      </c>
      <c r="J29" s="92">
        <v>1.4999999999999999E-2</v>
      </c>
      <c r="L29" s="90">
        <v>2040</v>
      </c>
      <c r="M29" s="170">
        <f t="shared" si="11"/>
        <v>1.3000000000000001E-2</v>
      </c>
      <c r="N29" s="209">
        <f t="shared" si="8"/>
        <v>1.2000000000000002E-2</v>
      </c>
      <c r="O29" s="172">
        <f t="shared" ref="O29:P29" si="20">O28</f>
        <v>1.7000000000000001E-2</v>
      </c>
      <c r="P29" s="172">
        <f t="shared" si="20"/>
        <v>5.4999999999999997E-3</v>
      </c>
      <c r="Z29" s="96">
        <v>2025</v>
      </c>
      <c r="AA29" s="107">
        <v>4679355000000</v>
      </c>
      <c r="AB29" s="189">
        <v>4679355000000</v>
      </c>
      <c r="AC29" s="189">
        <v>4679355000000</v>
      </c>
      <c r="AD29" s="218">
        <f t="shared" ref="AD29:AD54" si="21">AG29</f>
        <v>75873.540353853896</v>
      </c>
      <c r="AE29" s="218">
        <f t="shared" si="2"/>
        <v>61673081</v>
      </c>
      <c r="AF29" s="218">
        <f t="shared" si="2"/>
        <v>61673081</v>
      </c>
      <c r="AG29" s="218">
        <f t="shared" ref="AG29:AG34" si="22">AB29/AE29</f>
        <v>75873.540353853896</v>
      </c>
      <c r="AH29" s="218">
        <f t="shared" ref="AH29:AH34" si="23">AC29/AF29</f>
        <v>75873.540353853896</v>
      </c>
      <c r="AL29" s="393">
        <v>61673081</v>
      </c>
      <c r="AM29" s="103">
        <f t="shared" si="6"/>
        <v>1.0699076294725218E-2</v>
      </c>
      <c r="AN29" s="97">
        <f t="shared" si="5"/>
        <v>65106213.672693662</v>
      </c>
      <c r="AO29" s="103">
        <v>1.0161528768571058</v>
      </c>
    </row>
    <row r="30" spans="1:41" x14ac:dyDescent="0.6">
      <c r="C30" s="90">
        <v>2041</v>
      </c>
      <c r="D30" s="268">
        <f t="shared" si="9"/>
        <v>1.6E-2</v>
      </c>
      <c r="E30" s="92">
        <v>5.0000000000000001E-3</v>
      </c>
      <c r="F30" s="92">
        <v>0.01</v>
      </c>
      <c r="G30" s="90">
        <v>2041</v>
      </c>
      <c r="H30" s="170">
        <v>9.9999999999999985E-3</v>
      </c>
      <c r="I30" s="92">
        <v>0.01</v>
      </c>
      <c r="J30" s="92">
        <v>1.4999999999999999E-2</v>
      </c>
      <c r="L30" s="90">
        <v>2041</v>
      </c>
      <c r="M30" s="170">
        <f t="shared" si="11"/>
        <v>1.3000000000000001E-2</v>
      </c>
      <c r="N30" s="209">
        <f t="shared" si="8"/>
        <v>1.2000000000000002E-2</v>
      </c>
      <c r="O30" s="172">
        <f t="shared" ref="O30:P30" si="24">O29</f>
        <v>1.7000000000000001E-2</v>
      </c>
      <c r="P30" s="172">
        <f t="shared" si="24"/>
        <v>5.4999999999999997E-3</v>
      </c>
      <c r="Z30" s="96">
        <v>2026</v>
      </c>
      <c r="AA30" s="107"/>
      <c r="AB30" s="189">
        <f t="shared" ref="AB30:AB54" si="25">$AB29*(VLOOKUP($Z30,GDP_high_growth,2,0)+1)</f>
        <v>4754224680000</v>
      </c>
      <c r="AC30" s="189">
        <f t="shared" ref="AC30:AC54" si="26">$AC29*(VLOOKUP($Z30,GDP_low_growth,2,0)+1)</f>
        <v>4726148550000</v>
      </c>
      <c r="AD30" s="218">
        <f t="shared" si="21"/>
        <v>76305.620802195466</v>
      </c>
      <c r="AE30" s="218">
        <f t="shared" si="2"/>
        <v>62305039</v>
      </c>
      <c r="AF30" s="218">
        <f t="shared" si="2"/>
        <v>62305039</v>
      </c>
      <c r="AG30" s="218">
        <f t="shared" si="22"/>
        <v>76305.620802195466</v>
      </c>
      <c r="AH30" s="218">
        <f t="shared" si="23"/>
        <v>75854.997057300614</v>
      </c>
      <c r="AL30" s="97">
        <v>62305039</v>
      </c>
      <c r="AM30" s="103">
        <f t="shared" si="6"/>
        <v>1.0246901723622415E-2</v>
      </c>
      <c r="AN30" s="97">
        <f t="shared" si="5"/>
        <v>66157866.324781097</v>
      </c>
      <c r="AO30" s="103">
        <v>1.0161528768571058</v>
      </c>
    </row>
    <row r="31" spans="1:41" x14ac:dyDescent="0.6">
      <c r="C31" s="90">
        <v>2042</v>
      </c>
      <c r="D31" s="268">
        <f t="shared" si="9"/>
        <v>1.6E-2</v>
      </c>
      <c r="E31" s="92">
        <v>5.0000000000000001E-3</v>
      </c>
      <c r="F31" s="92">
        <v>0.01</v>
      </c>
      <c r="G31" s="90">
        <v>2042</v>
      </c>
      <c r="H31" s="170">
        <v>9.9999999999999985E-3</v>
      </c>
      <c r="I31" s="92">
        <v>0.01</v>
      </c>
      <c r="J31" s="92">
        <v>1.4999999999999999E-2</v>
      </c>
      <c r="L31" s="90">
        <v>2042</v>
      </c>
      <c r="M31" s="170">
        <f t="shared" si="11"/>
        <v>1.3000000000000001E-2</v>
      </c>
      <c r="N31" s="209">
        <f t="shared" si="8"/>
        <v>1.2000000000000002E-2</v>
      </c>
      <c r="O31" s="172">
        <f t="shared" ref="O31:P31" si="27">O30</f>
        <v>1.7000000000000001E-2</v>
      </c>
      <c r="P31" s="172">
        <f t="shared" si="27"/>
        <v>5.4999999999999997E-3</v>
      </c>
      <c r="Z31" s="96">
        <v>2027</v>
      </c>
      <c r="AA31" s="107"/>
      <c r="AB31" s="189">
        <f t="shared" si="25"/>
        <v>4830292274880</v>
      </c>
      <c r="AC31" s="189">
        <f t="shared" si="26"/>
        <v>4773410035500</v>
      </c>
      <c r="AD31" s="218">
        <f t="shared" si="21"/>
        <v>76770.112741293895</v>
      </c>
      <c r="AE31" s="218">
        <f t="shared" si="2"/>
        <v>62918916</v>
      </c>
      <c r="AF31" s="218">
        <f t="shared" si="2"/>
        <v>62918916</v>
      </c>
      <c r="AG31" s="218">
        <f t="shared" si="22"/>
        <v>76770.112741293895</v>
      </c>
      <c r="AH31" s="218">
        <f t="shared" si="23"/>
        <v>75866.056489275812</v>
      </c>
      <c r="AL31" s="97">
        <v>62918916</v>
      </c>
      <c r="AM31" s="103">
        <f t="shared" si="6"/>
        <v>9.8527664833016892E-3</v>
      </c>
      <c r="AN31" s="97">
        <f t="shared" si="5"/>
        <v>67226506.192654148</v>
      </c>
      <c r="AO31" s="103">
        <v>1.0161528768571058</v>
      </c>
    </row>
    <row r="32" spans="1:41" s="188" customFormat="1" x14ac:dyDescent="0.6">
      <c r="A32" s="186"/>
      <c r="B32" s="186"/>
      <c r="C32" s="90">
        <v>2043</v>
      </c>
      <c r="D32" s="268">
        <f t="shared" si="9"/>
        <v>1.6E-2</v>
      </c>
      <c r="E32" s="92">
        <v>5.0000000000000001E-3</v>
      </c>
      <c r="F32" s="92">
        <v>0.01</v>
      </c>
      <c r="G32" s="90">
        <v>2043</v>
      </c>
      <c r="H32" s="170">
        <v>9.9999999999999985E-3</v>
      </c>
      <c r="I32" s="92">
        <v>0.01</v>
      </c>
      <c r="J32" s="92">
        <v>1.4999999999999999E-2</v>
      </c>
      <c r="L32" s="90">
        <v>2043</v>
      </c>
      <c r="M32" s="170">
        <f t="shared" si="11"/>
        <v>1.3000000000000001E-2</v>
      </c>
      <c r="N32" s="209">
        <f t="shared" si="8"/>
        <v>1.2000000000000002E-2</v>
      </c>
      <c r="O32" s="172">
        <f t="shared" ref="O32:P32" si="28">O31</f>
        <v>1.7000000000000001E-2</v>
      </c>
      <c r="P32" s="172">
        <f t="shared" si="28"/>
        <v>5.4999999999999997E-3</v>
      </c>
      <c r="X32" s="186"/>
      <c r="Y32" s="186"/>
      <c r="Z32" s="96">
        <v>2028</v>
      </c>
      <c r="AA32" s="107"/>
      <c r="AB32" s="219">
        <f t="shared" si="25"/>
        <v>4907576951278.0801</v>
      </c>
      <c r="AC32" s="219">
        <f t="shared" si="26"/>
        <v>4821144135855</v>
      </c>
      <c r="AD32" s="218">
        <f t="shared" si="21"/>
        <v>77267.030311881841</v>
      </c>
      <c r="AE32" s="218">
        <f t="shared" si="2"/>
        <v>63514502</v>
      </c>
      <c r="AF32" s="218">
        <f t="shared" si="2"/>
        <v>63514502</v>
      </c>
      <c r="AG32" s="218">
        <f t="shared" si="22"/>
        <v>77267.030311881841</v>
      </c>
      <c r="AH32" s="218">
        <f t="shared" si="23"/>
        <v>75906.194397226005</v>
      </c>
      <c r="AI32" s="186"/>
      <c r="AJ32" s="186"/>
      <c r="AL32" s="97">
        <v>63514502</v>
      </c>
      <c r="AM32" s="103">
        <f t="shared" si="6"/>
        <v>9.4659291332990225E-3</v>
      </c>
      <c r="AN32" s="97">
        <f t="shared" si="5"/>
        <v>68312407.668717548</v>
      </c>
      <c r="AO32" s="103">
        <v>1.0161528768571058</v>
      </c>
    </row>
    <row r="33" spans="1:41" x14ac:dyDescent="0.6">
      <c r="C33" s="90">
        <v>2044</v>
      </c>
      <c r="D33" s="268">
        <f t="shared" si="9"/>
        <v>1.6E-2</v>
      </c>
      <c r="E33" s="92">
        <v>5.0000000000000001E-3</v>
      </c>
      <c r="F33" s="92">
        <v>0.01</v>
      </c>
      <c r="G33" s="90">
        <v>2044</v>
      </c>
      <c r="H33" s="170">
        <v>9.9999999999999985E-3</v>
      </c>
      <c r="I33" s="92">
        <v>0.01</v>
      </c>
      <c r="J33" s="92">
        <v>1.4999999999999999E-2</v>
      </c>
      <c r="L33" s="90">
        <v>2044</v>
      </c>
      <c r="M33" s="170">
        <f t="shared" si="11"/>
        <v>1.3000000000000001E-2</v>
      </c>
      <c r="N33" s="209">
        <f t="shared" si="8"/>
        <v>1.2000000000000002E-2</v>
      </c>
      <c r="O33" s="172">
        <f t="shared" ref="O33:P33" si="29">O32</f>
        <v>1.7000000000000001E-2</v>
      </c>
      <c r="P33" s="172">
        <f t="shared" si="29"/>
        <v>5.4999999999999997E-3</v>
      </c>
      <c r="Z33" s="96">
        <v>2029</v>
      </c>
      <c r="AA33" s="107"/>
      <c r="AB33" s="189">
        <f>$AB32*(VLOOKUP($Z33,GDP_high_growth,2,0)+1)</f>
        <v>4986098182498.5293</v>
      </c>
      <c r="AC33" s="189">
        <f t="shared" si="26"/>
        <v>4869355577213.5498</v>
      </c>
      <c r="AD33" s="218">
        <f t="shared" si="21"/>
        <v>77793.850145885241</v>
      </c>
      <c r="AE33" s="218">
        <f t="shared" si="2"/>
        <v>64093732</v>
      </c>
      <c r="AF33" s="218">
        <f t="shared" si="2"/>
        <v>64093732</v>
      </c>
      <c r="AG33" s="218">
        <f t="shared" si="22"/>
        <v>77793.850145885241</v>
      </c>
      <c r="AH33" s="218">
        <f t="shared" si="23"/>
        <v>75972.414544585263</v>
      </c>
      <c r="AL33" s="210">
        <v>64093732</v>
      </c>
      <c r="AM33" s="103">
        <f t="shared" si="6"/>
        <v>9.1196495565690761E-3</v>
      </c>
      <c r="AN33" s="97">
        <f t="shared" si="5"/>
        <v>69415849.577602744</v>
      </c>
      <c r="AO33" s="103">
        <v>1.0161528768571058</v>
      </c>
    </row>
    <row r="34" spans="1:41" x14ac:dyDescent="0.6">
      <c r="C34" s="90">
        <v>2045</v>
      </c>
      <c r="D34" s="268">
        <f t="shared" si="9"/>
        <v>1.6E-2</v>
      </c>
      <c r="E34" s="92">
        <v>5.0000000000000001E-3</v>
      </c>
      <c r="F34" s="92">
        <v>0.01</v>
      </c>
      <c r="G34" s="90">
        <v>2045</v>
      </c>
      <c r="H34" s="170">
        <v>9.9999999999999985E-3</v>
      </c>
      <c r="I34" s="92">
        <v>0.01</v>
      </c>
      <c r="J34" s="92">
        <v>1.4999999999999999E-2</v>
      </c>
      <c r="L34" s="90">
        <v>2045</v>
      </c>
      <c r="M34" s="170">
        <f t="shared" si="11"/>
        <v>1.3000000000000001E-2</v>
      </c>
      <c r="N34" s="209">
        <f t="shared" si="8"/>
        <v>1.2000000000000002E-2</v>
      </c>
      <c r="O34" s="172">
        <f t="shared" ref="O34:P34" si="30">O33</f>
        <v>1.7000000000000001E-2</v>
      </c>
      <c r="P34" s="172">
        <f t="shared" si="30"/>
        <v>5.4999999999999997E-3</v>
      </c>
      <c r="Z34" s="96">
        <v>2030</v>
      </c>
      <c r="AA34" s="107"/>
      <c r="AB34" s="189">
        <f t="shared" si="25"/>
        <v>5065875753418.5059</v>
      </c>
      <c r="AC34" s="189">
        <f t="shared" si="26"/>
        <v>4918049132985.6855</v>
      </c>
      <c r="AD34" s="218">
        <f t="shared" si="21"/>
        <v>78347.236624239842</v>
      </c>
      <c r="AE34" s="218">
        <f t="shared" si="2"/>
        <v>64659278</v>
      </c>
      <c r="AF34" s="218">
        <f t="shared" si="2"/>
        <v>64659278</v>
      </c>
      <c r="AG34" s="218">
        <f t="shared" si="22"/>
        <v>78347.236624239842</v>
      </c>
      <c r="AH34" s="218">
        <f t="shared" si="23"/>
        <v>76060.996737168723</v>
      </c>
      <c r="AK34" s="141"/>
      <c r="AL34" s="97">
        <v>64659278</v>
      </c>
      <c r="AM34" s="103">
        <f t="shared" si="6"/>
        <v>8.8237333410388086E-3</v>
      </c>
      <c r="AN34" s="97">
        <f t="shared" si="5"/>
        <v>70537115.247761145</v>
      </c>
      <c r="AO34" s="103">
        <v>1.0161528768571058</v>
      </c>
    </row>
    <row r="35" spans="1:41" x14ac:dyDescent="0.6">
      <c r="C35" s="90">
        <v>2046</v>
      </c>
      <c r="D35" s="268">
        <f t="shared" si="9"/>
        <v>1.6E-2</v>
      </c>
      <c r="E35" s="92">
        <v>5.0000000000000001E-3</v>
      </c>
      <c r="F35" s="92">
        <v>0.01</v>
      </c>
      <c r="G35" s="90">
        <v>2046</v>
      </c>
      <c r="H35" s="170">
        <v>9.9999999999999985E-3</v>
      </c>
      <c r="I35" s="92">
        <v>0.01</v>
      </c>
      <c r="J35" s="92">
        <v>1.4999999999999999E-2</v>
      </c>
      <c r="L35" s="90">
        <v>2046</v>
      </c>
      <c r="M35" s="170">
        <f t="shared" si="11"/>
        <v>1.3000000000000001E-2</v>
      </c>
      <c r="N35" s="209">
        <f t="shared" si="8"/>
        <v>1.2000000000000002E-2</v>
      </c>
      <c r="O35" s="172">
        <f t="shared" ref="O35:P35" si="31">O34</f>
        <v>1.7000000000000001E-2</v>
      </c>
      <c r="P35" s="172">
        <f t="shared" si="31"/>
        <v>5.4999999999999997E-3</v>
      </c>
      <c r="Z35" s="96">
        <v>2031</v>
      </c>
      <c r="AA35" s="107"/>
      <c r="AB35" s="189">
        <f t="shared" si="25"/>
        <v>5146929765473.2021</v>
      </c>
      <c r="AC35" s="189">
        <f t="shared" si="26"/>
        <v>4967229624315.542</v>
      </c>
      <c r="AD35" s="218">
        <f t="shared" si="21"/>
        <v>78904.559616777144</v>
      </c>
      <c r="AE35" s="218">
        <f t="shared" si="2"/>
        <v>65229814.227096096</v>
      </c>
      <c r="AF35" s="218">
        <f t="shared" si="2"/>
        <v>65229814.227096096</v>
      </c>
      <c r="AG35" s="218">
        <f>AB35/AE35</f>
        <v>78904.559616777144</v>
      </c>
      <c r="AH35" s="218">
        <f t="shared" ref="AH35:AH46" si="32">AC35/AF35</f>
        <v>76149.682214673288</v>
      </c>
      <c r="AL35" s="97">
        <f>AL34*(1+AM34)</f>
        <v>65229814.227096096</v>
      </c>
      <c r="AM35" s="103">
        <f t="shared" si="6"/>
        <v>8.8237333410388086E-3</v>
      </c>
      <c r="AN35" s="97">
        <f t="shared" si="5"/>
        <v>71676492.584213704</v>
      </c>
      <c r="AO35" s="103">
        <v>1.0161528768571058</v>
      </c>
    </row>
    <row r="36" spans="1:41" x14ac:dyDescent="0.6">
      <c r="C36" s="90">
        <v>2047</v>
      </c>
      <c r="D36" s="268">
        <f t="shared" si="9"/>
        <v>1.6E-2</v>
      </c>
      <c r="E36" s="92">
        <v>5.0000000000000001E-3</v>
      </c>
      <c r="F36" s="92">
        <v>0.01</v>
      </c>
      <c r="G36" s="90">
        <v>2047</v>
      </c>
      <c r="H36" s="170">
        <v>9.9999999999999985E-3</v>
      </c>
      <c r="I36" s="92">
        <v>0.01</v>
      </c>
      <c r="J36" s="92">
        <v>1.4999999999999999E-2</v>
      </c>
      <c r="L36" s="90">
        <v>2047</v>
      </c>
      <c r="M36" s="170">
        <f t="shared" si="11"/>
        <v>1.3000000000000001E-2</v>
      </c>
      <c r="N36" s="209">
        <f t="shared" si="8"/>
        <v>1.2000000000000002E-2</v>
      </c>
      <c r="O36" s="172">
        <f t="shared" ref="O36:P36" si="33">O35</f>
        <v>1.7000000000000001E-2</v>
      </c>
      <c r="P36" s="172">
        <f t="shared" si="33"/>
        <v>5.4999999999999997E-3</v>
      </c>
      <c r="Z36" s="96">
        <v>2032</v>
      </c>
      <c r="AA36" s="107"/>
      <c r="AB36" s="189">
        <f t="shared" si="25"/>
        <v>5229280641720.7734</v>
      </c>
      <c r="AC36" s="189">
        <f t="shared" si="26"/>
        <v>5016901920558.6973</v>
      </c>
      <c r="AD36" s="218">
        <f t="shared" si="21"/>
        <v>79465.847125886998</v>
      </c>
      <c r="AE36" s="218">
        <f t="shared" ref="AE36:AF51" si="34">$AL36</f>
        <v>65805384.713721491</v>
      </c>
      <c r="AF36" s="218">
        <f t="shared" si="34"/>
        <v>65805384.713721491</v>
      </c>
      <c r="AG36" s="218">
        <f t="shared" ref="AG36:AG46" si="35">AB36/AE36</f>
        <v>79465.847125886998</v>
      </c>
      <c r="AH36" s="218">
        <f t="shared" si="32"/>
        <v>76238.471097526941</v>
      </c>
      <c r="AL36" s="97">
        <f t="shared" ref="AL36:AL54" si="36">AL35*(1+AM35)</f>
        <v>65805384.713721491</v>
      </c>
      <c r="AM36" s="103">
        <f t="shared" si="6"/>
        <v>8.8237333410388086E-3</v>
      </c>
      <c r="AN36" s="97">
        <f t="shared" si="5"/>
        <v>72834274.142475769</v>
      </c>
      <c r="AO36" s="103">
        <v>1.0161528768571058</v>
      </c>
    </row>
    <row r="37" spans="1:41" x14ac:dyDescent="0.6">
      <c r="C37" s="90">
        <v>2048</v>
      </c>
      <c r="D37" s="268">
        <f t="shared" si="9"/>
        <v>1.6E-2</v>
      </c>
      <c r="E37" s="92">
        <v>5.0000000000000001E-3</v>
      </c>
      <c r="F37" s="92">
        <v>0.01</v>
      </c>
      <c r="G37" s="90">
        <v>2048</v>
      </c>
      <c r="H37" s="170">
        <v>9.9999999999999985E-3</v>
      </c>
      <c r="I37" s="92">
        <v>0.01</v>
      </c>
      <c r="J37" s="92">
        <v>1.4999999999999999E-2</v>
      </c>
      <c r="L37" s="90">
        <v>2048</v>
      </c>
      <c r="M37" s="170">
        <f t="shared" si="11"/>
        <v>1.3000000000000001E-2</v>
      </c>
      <c r="N37" s="209">
        <f t="shared" si="8"/>
        <v>1.2000000000000002E-2</v>
      </c>
      <c r="O37" s="172">
        <f t="shared" ref="O37:P37" si="37">O36</f>
        <v>1.7000000000000001E-2</v>
      </c>
      <c r="P37" s="172">
        <f t="shared" si="37"/>
        <v>5.4999999999999997E-3</v>
      </c>
      <c r="Z37" s="96">
        <v>2033</v>
      </c>
      <c r="AA37" s="107"/>
      <c r="AB37" s="189">
        <f t="shared" si="25"/>
        <v>5312949131988.3057</v>
      </c>
      <c r="AC37" s="189">
        <f t="shared" si="26"/>
        <v>5067070939764.2842</v>
      </c>
      <c r="AD37" s="218">
        <f t="shared" si="21"/>
        <v>80031.127353154239</v>
      </c>
      <c r="AE37" s="218">
        <f t="shared" si="34"/>
        <v>66386033.88083984</v>
      </c>
      <c r="AF37" s="218">
        <f t="shared" si="34"/>
        <v>66386033.88083984</v>
      </c>
      <c r="AG37" s="218">
        <f t="shared" si="35"/>
        <v>80031.127353154239</v>
      </c>
      <c r="AH37" s="218">
        <f t="shared" si="32"/>
        <v>76327.363506298105</v>
      </c>
      <c r="AL37" s="97">
        <f t="shared" si="36"/>
        <v>66386033.88083984</v>
      </c>
      <c r="AM37" s="103">
        <f t="shared" si="6"/>
        <v>8.8237333410388086E-3</v>
      </c>
      <c r="AN37" s="97">
        <f t="shared" si="5"/>
        <v>74010757.203675866</v>
      </c>
      <c r="AO37" s="103">
        <v>1.0161528768571058</v>
      </c>
    </row>
    <row r="38" spans="1:41" x14ac:dyDescent="0.6">
      <c r="C38" s="90">
        <v>2049</v>
      </c>
      <c r="D38" s="268">
        <f t="shared" si="9"/>
        <v>1.6E-2</v>
      </c>
      <c r="E38" s="92">
        <v>5.0000000000000001E-3</v>
      </c>
      <c r="F38" s="92">
        <v>0.01</v>
      </c>
      <c r="G38" s="90">
        <v>2049</v>
      </c>
      <c r="H38" s="170">
        <v>9.9999999999999985E-3</v>
      </c>
      <c r="I38" s="92">
        <v>0.01</v>
      </c>
      <c r="J38" s="92">
        <v>1.4999999999999999E-2</v>
      </c>
      <c r="L38" s="90">
        <v>2049</v>
      </c>
      <c r="M38" s="170">
        <f t="shared" si="11"/>
        <v>1.3000000000000001E-2</v>
      </c>
      <c r="N38" s="209">
        <f t="shared" si="8"/>
        <v>1.2000000000000002E-2</v>
      </c>
      <c r="O38" s="172">
        <f t="shared" ref="O38:P38" si="38">O37</f>
        <v>1.7000000000000001E-2</v>
      </c>
      <c r="P38" s="172">
        <f t="shared" si="38"/>
        <v>5.4999999999999997E-3</v>
      </c>
      <c r="Z38" s="96">
        <v>2034</v>
      </c>
      <c r="AA38" s="107"/>
      <c r="AB38" s="189">
        <f t="shared" si="25"/>
        <v>5397956318100.1182</v>
      </c>
      <c r="AC38" s="189">
        <f t="shared" si="26"/>
        <v>5117741649161.9268</v>
      </c>
      <c r="AD38" s="218">
        <f t="shared" si="21"/>
        <v>80600.42870077565</v>
      </c>
      <c r="AE38" s="218">
        <f t="shared" si="34"/>
        <v>66971806.541373536</v>
      </c>
      <c r="AF38" s="218">
        <f t="shared" si="34"/>
        <v>66971806.541373536</v>
      </c>
      <c r="AG38" s="218">
        <f t="shared" si="35"/>
        <v>80600.42870077565</v>
      </c>
      <c r="AH38" s="218">
        <f t="shared" si="32"/>
        <v>76416.359561695732</v>
      </c>
      <c r="AL38" s="97">
        <f t="shared" si="36"/>
        <v>66971806.541373536</v>
      </c>
      <c r="AM38" s="103">
        <f t="shared" si="6"/>
        <v>8.8237333410388086E-3</v>
      </c>
      <c r="AN38" s="97">
        <f t="shared" si="5"/>
        <v>75206243.850887999</v>
      </c>
      <c r="AO38" s="103">
        <v>1.0161528768571058</v>
      </c>
    </row>
    <row r="39" spans="1:41" x14ac:dyDescent="0.6">
      <c r="C39" s="90">
        <v>2050</v>
      </c>
      <c r="D39" s="268">
        <f t="shared" si="9"/>
        <v>1.6E-2</v>
      </c>
      <c r="E39" s="92">
        <v>5.0000000000000001E-3</v>
      </c>
      <c r="F39" s="92">
        <v>0.01</v>
      </c>
      <c r="G39" s="90">
        <v>2050</v>
      </c>
      <c r="H39" s="170">
        <v>9.9999999999999985E-3</v>
      </c>
      <c r="I39" s="92">
        <v>0.01</v>
      </c>
      <c r="J39" s="92">
        <v>1.4999999999999999E-2</v>
      </c>
      <c r="L39" s="90">
        <v>2050</v>
      </c>
      <c r="M39" s="170">
        <f t="shared" si="11"/>
        <v>1.3000000000000001E-2</v>
      </c>
      <c r="N39" s="209">
        <f t="shared" si="8"/>
        <v>1.2000000000000002E-2</v>
      </c>
      <c r="O39" s="172">
        <f t="shared" ref="O39:P39" si="39">O38</f>
        <v>1.7000000000000001E-2</v>
      </c>
      <c r="P39" s="172">
        <f t="shared" si="39"/>
        <v>5.4999999999999997E-3</v>
      </c>
      <c r="Z39" s="96">
        <v>2035</v>
      </c>
      <c r="AA39" s="107"/>
      <c r="AB39" s="189">
        <f t="shared" si="25"/>
        <v>5484323619189.7197</v>
      </c>
      <c r="AC39" s="189">
        <f t="shared" si="26"/>
        <v>5168919065653.5459</v>
      </c>
      <c r="AD39" s="218">
        <f t="shared" si="21"/>
        <v>81173.779772987022</v>
      </c>
      <c r="AE39" s="218">
        <f t="shared" si="34"/>
        <v>67562747.903662249</v>
      </c>
      <c r="AF39" s="218">
        <f t="shared" si="34"/>
        <v>67562747.903662249</v>
      </c>
      <c r="AG39" s="218">
        <f t="shared" si="35"/>
        <v>81173.779772987022</v>
      </c>
      <c r="AH39" s="218">
        <f t="shared" si="32"/>
        <v>76505.459384569578</v>
      </c>
      <c r="AL39" s="97">
        <f t="shared" si="36"/>
        <v>67562747.903662249</v>
      </c>
      <c r="AM39" s="103">
        <f t="shared" si="6"/>
        <v>8.8237333410388086E-3</v>
      </c>
      <c r="AN39" s="97">
        <f t="shared" si="5"/>
        <v>76421041.046696857</v>
      </c>
      <c r="AO39" s="103">
        <v>1.0161528768571058</v>
      </c>
    </row>
    <row r="40" spans="1:41" x14ac:dyDescent="0.6">
      <c r="A40" s="121"/>
      <c r="B40" s="121"/>
      <c r="X40" s="121"/>
      <c r="Y40" s="121"/>
      <c r="Z40" s="96">
        <v>2036</v>
      </c>
      <c r="AA40" s="107"/>
      <c r="AB40" s="189">
        <f t="shared" si="25"/>
        <v>5572072797096.7549</v>
      </c>
      <c r="AC40" s="189">
        <f t="shared" si="26"/>
        <v>5220608256310.0811</v>
      </c>
      <c r="AD40" s="218">
        <f t="shared" si="21"/>
        <v>81751.209377500316</v>
      </c>
      <c r="AE40" s="218">
        <f t="shared" si="34"/>
        <v>68158903.574951991</v>
      </c>
      <c r="AF40" s="218">
        <f t="shared" si="34"/>
        <v>68158903.574951991</v>
      </c>
      <c r="AG40" s="218">
        <f t="shared" si="35"/>
        <v>81751.209377500316</v>
      </c>
      <c r="AH40" s="218">
        <f t="shared" si="32"/>
        <v>76594.663095910262</v>
      </c>
      <c r="AI40" s="121"/>
      <c r="AJ40" s="121"/>
      <c r="AL40" s="97">
        <f t="shared" si="36"/>
        <v>68158903.574951991</v>
      </c>
      <c r="AM40" s="103">
        <f t="shared" si="6"/>
        <v>8.8237333410388086E-3</v>
      </c>
      <c r="AN40" s="97">
        <f t="shared" si="5"/>
        <v>77655460.712015972</v>
      </c>
      <c r="AO40" s="103">
        <v>1.0161528768571058</v>
      </c>
    </row>
    <row r="41" spans="1:41" x14ac:dyDescent="0.6">
      <c r="A41" s="121"/>
      <c r="B41" s="121"/>
      <c r="X41" s="121"/>
      <c r="Y41" s="121"/>
      <c r="Z41" s="96">
        <v>2037</v>
      </c>
      <c r="AA41" s="107"/>
      <c r="AB41" s="189">
        <f t="shared" si="25"/>
        <v>5661225961850.3027</v>
      </c>
      <c r="AC41" s="189">
        <f t="shared" si="26"/>
        <v>5272814338873.1816</v>
      </c>
      <c r="AD41" s="218">
        <f t="shared" si="21"/>
        <v>82332.746526951159</v>
      </c>
      <c r="AE41" s="218">
        <f t="shared" si="34"/>
        <v>68760319.564914942</v>
      </c>
      <c r="AF41" s="218">
        <f t="shared" si="34"/>
        <v>68760319.564914942</v>
      </c>
      <c r="AG41" s="218">
        <f t="shared" si="35"/>
        <v>82332.746526951159</v>
      </c>
      <c r="AH41" s="218">
        <f t="shared" si="32"/>
        <v>76683.970816849484</v>
      </c>
      <c r="AI41" s="121"/>
      <c r="AJ41" s="121"/>
      <c r="AL41" s="97">
        <f t="shared" si="36"/>
        <v>68760319.564914942</v>
      </c>
      <c r="AM41" s="103">
        <f t="shared" si="6"/>
        <v>8.8237333410388086E-3</v>
      </c>
      <c r="AN41" s="97">
        <f t="shared" si="5"/>
        <v>78909819.806178987</v>
      </c>
      <c r="AO41" s="103">
        <v>1.0161528768571058</v>
      </c>
    </row>
    <row r="42" spans="1:41" x14ac:dyDescent="0.6">
      <c r="A42" s="121"/>
      <c r="B42" s="121"/>
      <c r="X42" s="121"/>
      <c r="Y42" s="121"/>
      <c r="Z42" s="96">
        <v>2038</v>
      </c>
      <c r="AA42" s="107"/>
      <c r="AB42" s="189">
        <f t="shared" si="25"/>
        <v>5751805577239.9072</v>
      </c>
      <c r="AC42" s="189">
        <f t="shared" si="26"/>
        <v>5325542482261.9131</v>
      </c>
      <c r="AD42" s="218">
        <f t="shared" si="21"/>
        <v>82918.420440356524</v>
      </c>
      <c r="AE42" s="218">
        <f t="shared" si="34"/>
        <v>69367042.289200366</v>
      </c>
      <c r="AF42" s="218">
        <f t="shared" si="34"/>
        <v>69367042.289200366</v>
      </c>
      <c r="AG42" s="218">
        <f t="shared" si="35"/>
        <v>82918.420440356524</v>
      </c>
      <c r="AH42" s="218">
        <f t="shared" si="32"/>
        <v>76773.382668660182</v>
      </c>
      <c r="AI42" s="121"/>
      <c r="AJ42" s="121"/>
      <c r="AL42" s="97">
        <f t="shared" si="36"/>
        <v>69367042.289200366</v>
      </c>
      <c r="AM42" s="103">
        <f t="shared" si="6"/>
        <v>8.8237333410388086E-3</v>
      </c>
      <c r="AN42" s="97">
        <f t="shared" si="5"/>
        <v>80184440.408324599</v>
      </c>
      <c r="AO42" s="103">
        <v>1.0161528768571058</v>
      </c>
    </row>
    <row r="43" spans="1:41" x14ac:dyDescent="0.6">
      <c r="A43" s="121"/>
      <c r="B43" s="121"/>
      <c r="C43" s="149" t="s">
        <v>46</v>
      </c>
      <c r="D43" s="150"/>
      <c r="I43" s="77"/>
      <c r="X43" s="121"/>
      <c r="Y43" s="121"/>
      <c r="Z43" s="96">
        <v>2039</v>
      </c>
      <c r="AA43" s="107"/>
      <c r="AB43" s="189">
        <f t="shared" si="25"/>
        <v>5843834466475.7461</v>
      </c>
      <c r="AC43" s="189">
        <f t="shared" si="26"/>
        <v>5378797907084.5322</v>
      </c>
      <c r="AD43" s="218">
        <f t="shared" si="21"/>
        <v>83508.260544582838</v>
      </c>
      <c r="AE43" s="218">
        <f t="shared" si="34"/>
        <v>69979118.573016837</v>
      </c>
      <c r="AF43" s="218">
        <f t="shared" si="34"/>
        <v>69979118.573016837</v>
      </c>
      <c r="AG43" s="218">
        <f t="shared" si="35"/>
        <v>83508.260544582838</v>
      </c>
      <c r="AH43" s="218">
        <f t="shared" si="32"/>
        <v>76862.898772756715</v>
      </c>
      <c r="AI43" s="121"/>
      <c r="AJ43" s="121"/>
      <c r="AL43" s="97">
        <f t="shared" si="36"/>
        <v>69979118.573016837</v>
      </c>
      <c r="AM43" s="103">
        <f t="shared" si="6"/>
        <v>8.8237333410388086E-3</v>
      </c>
      <c r="AN43" s="97">
        <f t="shared" si="5"/>
        <v>81479649.800096199</v>
      </c>
      <c r="AO43" s="103">
        <v>1.0161528768571058</v>
      </c>
    </row>
    <row r="44" spans="1:41" x14ac:dyDescent="0.6">
      <c r="A44" s="121"/>
      <c r="B44" s="121"/>
      <c r="C44" s="534" t="s">
        <v>47</v>
      </c>
      <c r="D44" s="535"/>
      <c r="E44" s="531" t="s">
        <v>48</v>
      </c>
      <c r="F44" s="531"/>
      <c r="G44" s="534"/>
      <c r="H44" s="531" t="s">
        <v>49</v>
      </c>
      <c r="I44" s="532"/>
      <c r="J44" s="106" t="s">
        <v>50</v>
      </c>
      <c r="L44" s="531" t="s">
        <v>51</v>
      </c>
      <c r="M44" s="533"/>
      <c r="N44" s="106" t="s">
        <v>52</v>
      </c>
      <c r="X44" s="121"/>
      <c r="Y44" s="121"/>
      <c r="Z44" s="96">
        <v>2040</v>
      </c>
      <c r="AA44" s="107"/>
      <c r="AB44" s="189">
        <f t="shared" si="25"/>
        <v>5937335817939.3584</v>
      </c>
      <c r="AC44" s="189">
        <f t="shared" si="26"/>
        <v>5432585886155.3779</v>
      </c>
      <c r="AD44" s="218">
        <f t="shared" si="21"/>
        <v>84102.296475824507</v>
      </c>
      <c r="AE44" s="218">
        <f t="shared" si="34"/>
        <v>70596595.654746071</v>
      </c>
      <c r="AF44" s="218">
        <f t="shared" si="34"/>
        <v>70596595.654746071</v>
      </c>
      <c r="AG44" s="218">
        <f t="shared" si="35"/>
        <v>84102.296475824507</v>
      </c>
      <c r="AH44" s="218">
        <f t="shared" si="32"/>
        <v>76952.519250694997</v>
      </c>
      <c r="AI44" s="121"/>
      <c r="AJ44" s="121"/>
      <c r="AL44" s="97">
        <f t="shared" si="36"/>
        <v>70596595.654746071</v>
      </c>
      <c r="AM44" s="103">
        <f t="shared" si="6"/>
        <v>8.8237333410388086E-3</v>
      </c>
      <c r="AN44" s="97">
        <f t="shared" si="5"/>
        <v>82795780.549677253</v>
      </c>
      <c r="AO44" s="103">
        <v>1.0161528768571058</v>
      </c>
    </row>
    <row r="45" spans="1:41" x14ac:dyDescent="0.6">
      <c r="A45" s="121"/>
      <c r="B45" s="121"/>
      <c r="C45" s="534" t="s">
        <v>53</v>
      </c>
      <c r="D45" s="535"/>
      <c r="E45" s="531" t="s">
        <v>54</v>
      </c>
      <c r="F45" s="531"/>
      <c r="G45" s="534"/>
      <c r="H45" s="531" t="s">
        <v>55</v>
      </c>
      <c r="I45" s="532"/>
      <c r="J45" s="106" t="s">
        <v>56</v>
      </c>
      <c r="L45" s="531" t="s">
        <v>57</v>
      </c>
      <c r="M45" s="533"/>
      <c r="N45" s="106" t="s">
        <v>58</v>
      </c>
      <c r="X45" s="121"/>
      <c r="Y45" s="121"/>
      <c r="Z45" s="96">
        <v>2041</v>
      </c>
      <c r="AA45" s="107"/>
      <c r="AB45" s="189">
        <f t="shared" si="25"/>
        <v>6032333191026.3887</v>
      </c>
      <c r="AC45" s="189">
        <f t="shared" si="26"/>
        <v>5486911745016.9316</v>
      </c>
      <c r="AD45" s="218">
        <f t="shared" si="21"/>
        <v>84700.558081092968</v>
      </c>
      <c r="AE45" s="218">
        <f t="shared" si="34"/>
        <v>71219521.189588696</v>
      </c>
      <c r="AF45" s="218">
        <f t="shared" si="34"/>
        <v>71219521.189588696</v>
      </c>
      <c r="AG45" s="218">
        <f t="shared" si="35"/>
        <v>84700.558081092968</v>
      </c>
      <c r="AH45" s="218">
        <f t="shared" si="32"/>
        <v>77042.244224172653</v>
      </c>
      <c r="AI45" s="121"/>
      <c r="AJ45" s="121"/>
      <c r="AL45" s="97">
        <f t="shared" si="36"/>
        <v>71219521.189588696</v>
      </c>
      <c r="AM45" s="103">
        <f t="shared" si="6"/>
        <v>8.8237333410388086E-3</v>
      </c>
      <c r="AN45" s="97">
        <f t="shared" si="5"/>
        <v>84133170.597184137</v>
      </c>
      <c r="AO45" s="103">
        <v>1.0161528768571058</v>
      </c>
    </row>
    <row r="46" spans="1:41" x14ac:dyDescent="0.6">
      <c r="A46" s="121"/>
      <c r="B46" s="121"/>
      <c r="C46" s="534" t="s">
        <v>59</v>
      </c>
      <c r="D46" s="535"/>
      <c r="E46" s="531" t="s">
        <v>60</v>
      </c>
      <c r="F46" s="531"/>
      <c r="G46" s="534"/>
      <c r="H46" s="531" t="s">
        <v>61</v>
      </c>
      <c r="I46" s="532"/>
      <c r="J46" s="106" t="s">
        <v>62</v>
      </c>
      <c r="L46" s="531" t="s">
        <v>63</v>
      </c>
      <c r="M46" s="533"/>
      <c r="N46" s="106" t="s">
        <v>64</v>
      </c>
      <c r="X46" s="121"/>
      <c r="Y46" s="121"/>
      <c r="Z46" s="96">
        <v>2042</v>
      </c>
      <c r="AA46" s="107"/>
      <c r="AB46" s="189">
        <f t="shared" si="25"/>
        <v>6128850522082.8105</v>
      </c>
      <c r="AC46" s="189">
        <f t="shared" si="26"/>
        <v>5541780862467.1006</v>
      </c>
      <c r="AD46" s="218">
        <f t="shared" si="21"/>
        <v>85303.075419716348</v>
      </c>
      <c r="AE46" s="218">
        <f t="shared" si="34"/>
        <v>71847943.25324209</v>
      </c>
      <c r="AF46" s="218">
        <f t="shared" si="34"/>
        <v>71847943.25324209</v>
      </c>
      <c r="AG46" s="218">
        <f t="shared" si="35"/>
        <v>85303.075419716348</v>
      </c>
      <c r="AH46" s="218">
        <f t="shared" si="32"/>
        <v>77132.073815029231</v>
      </c>
      <c r="AI46" s="121"/>
      <c r="AJ46" s="121"/>
      <c r="AL46" s="97">
        <f t="shared" si="36"/>
        <v>71847943.25324209</v>
      </c>
      <c r="AM46" s="103">
        <f t="shared" si="6"/>
        <v>8.8237333410388086E-3</v>
      </c>
      <c r="AN46" s="97">
        <f t="shared" si="5"/>
        <v>85492163.341438323</v>
      </c>
      <c r="AO46" s="103">
        <v>1.0161528768571058</v>
      </c>
    </row>
    <row r="47" spans="1:41" x14ac:dyDescent="0.6">
      <c r="A47" s="121"/>
      <c r="B47" s="121"/>
      <c r="C47" s="534" t="s">
        <v>65</v>
      </c>
      <c r="D47" s="536"/>
      <c r="E47" s="531" t="s">
        <v>66</v>
      </c>
      <c r="F47" s="531"/>
      <c r="G47" s="534"/>
      <c r="H47" s="531" t="s">
        <v>67</v>
      </c>
      <c r="I47" s="532"/>
      <c r="J47" s="106"/>
      <c r="L47" s="531" t="s">
        <v>68</v>
      </c>
      <c r="M47" s="533"/>
      <c r="N47" s="106" t="s">
        <v>69</v>
      </c>
      <c r="X47" s="121"/>
      <c r="Y47" s="121"/>
      <c r="Z47" s="96">
        <v>2043</v>
      </c>
      <c r="AA47" s="107"/>
      <c r="AB47" s="189">
        <f t="shared" si="25"/>
        <v>6226912130436.1357</v>
      </c>
      <c r="AC47" s="189">
        <f t="shared" si="26"/>
        <v>5597198671091.7715</v>
      </c>
      <c r="AD47" s="218">
        <f t="shared" si="21"/>
        <v>85909.878764849811</v>
      </c>
      <c r="AE47" s="218">
        <f t="shared" si="34"/>
        <v>72481910.345610783</v>
      </c>
      <c r="AF47" s="218">
        <f t="shared" si="34"/>
        <v>72481910.345610783</v>
      </c>
      <c r="AG47" s="218">
        <f t="shared" ref="AG47:AG54" si="40">AB47/AE47</f>
        <v>85909.878764849811</v>
      </c>
      <c r="AH47" s="218">
        <f t="shared" ref="AH47:AH54" si="41">AC47/AF47</f>
        <v>77222.008145246349</v>
      </c>
      <c r="AI47" s="121"/>
      <c r="AJ47" s="121"/>
      <c r="AL47" s="97">
        <f t="shared" si="36"/>
        <v>72481910.345610783</v>
      </c>
      <c r="AM47" s="103">
        <f t="shared" si="6"/>
        <v>8.8237333410388086E-3</v>
      </c>
      <c r="AN47" s="97">
        <f t="shared" si="5"/>
        <v>86873107.728140146</v>
      </c>
      <c r="AO47" s="103">
        <v>1.0161528768571058</v>
      </c>
    </row>
    <row r="48" spans="1:41" x14ac:dyDescent="0.6">
      <c r="A48" s="121"/>
      <c r="B48" s="121"/>
      <c r="N48" s="106" t="s">
        <v>70</v>
      </c>
      <c r="X48" s="121"/>
      <c r="Y48" s="121"/>
      <c r="Z48" s="96">
        <v>2044</v>
      </c>
      <c r="AA48" s="107"/>
      <c r="AB48" s="189">
        <f t="shared" si="25"/>
        <v>6326542724523.1143</v>
      </c>
      <c r="AC48" s="189">
        <f t="shared" si="26"/>
        <v>5653170657802.6895</v>
      </c>
      <c r="AD48" s="218">
        <f t="shared" si="21"/>
        <v>86520.998604996537</v>
      </c>
      <c r="AE48" s="218">
        <f t="shared" si="34"/>
        <v>73121471.394549534</v>
      </c>
      <c r="AF48" s="218">
        <f t="shared" si="34"/>
        <v>73121471.394549534</v>
      </c>
      <c r="AG48" s="218">
        <f t="shared" si="40"/>
        <v>86520.998604996537</v>
      </c>
      <c r="AH48" s="218">
        <f t="shared" si="41"/>
        <v>77312.047336947813</v>
      </c>
      <c r="AI48" s="121"/>
      <c r="AJ48" s="121"/>
      <c r="AL48" s="97">
        <f t="shared" si="36"/>
        <v>73121471.394549534</v>
      </c>
      <c r="AM48" s="103">
        <f t="shared" si="6"/>
        <v>8.8237333410388086E-3</v>
      </c>
      <c r="AN48" s="97">
        <f t="shared" si="5"/>
        <v>88276358.33946687</v>
      </c>
      <c r="AO48" s="103">
        <v>1.0161528768571058</v>
      </c>
    </row>
    <row r="49" spans="1:41" x14ac:dyDescent="0.6">
      <c r="A49" s="121"/>
      <c r="B49" s="121"/>
      <c r="X49" s="121"/>
      <c r="Y49" s="121"/>
      <c r="Z49" s="96">
        <v>2045</v>
      </c>
      <c r="AA49" s="107"/>
      <c r="AB49" s="189">
        <f t="shared" si="25"/>
        <v>6427767408115.4844</v>
      </c>
      <c r="AC49" s="189">
        <f t="shared" si="26"/>
        <v>5709702364380.7168</v>
      </c>
      <c r="AD49" s="218">
        <f t="shared" si="21"/>
        <v>87136.465645539647</v>
      </c>
      <c r="AE49" s="218">
        <f t="shared" si="34"/>
        <v>73766675.759639442</v>
      </c>
      <c r="AF49" s="218">
        <f t="shared" si="34"/>
        <v>73766675.759639442</v>
      </c>
      <c r="AG49" s="218">
        <f t="shared" si="40"/>
        <v>87136.465645539647</v>
      </c>
      <c r="AH49" s="218">
        <f t="shared" si="41"/>
        <v>77402.191512399862</v>
      </c>
      <c r="AI49" s="121"/>
      <c r="AJ49" s="121"/>
      <c r="AL49" s="97">
        <f t="shared" si="36"/>
        <v>73766675.759639442</v>
      </c>
      <c r="AM49" s="103">
        <f t="shared" si="6"/>
        <v>8.8237333410388086E-3</v>
      </c>
      <c r="AN49" s="97">
        <f t="shared" si="5"/>
        <v>89702275.485118017</v>
      </c>
      <c r="AO49" s="103">
        <v>1.0161528768571058</v>
      </c>
    </row>
    <row r="50" spans="1:41" x14ac:dyDescent="0.6">
      <c r="A50" s="121"/>
      <c r="B50" s="121"/>
      <c r="C50" s="80" t="s">
        <v>26</v>
      </c>
      <c r="D50" s="80" t="s">
        <v>71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X50" s="121"/>
      <c r="Y50" s="121"/>
      <c r="Z50" s="96">
        <v>2046</v>
      </c>
      <c r="AA50" s="107"/>
      <c r="AB50" s="189">
        <f t="shared" si="25"/>
        <v>6530611686645.332</v>
      </c>
      <c r="AC50" s="189">
        <f t="shared" si="26"/>
        <v>5766799388024.5244</v>
      </c>
      <c r="AD50" s="218">
        <f t="shared" si="21"/>
        <v>87756.310810284995</v>
      </c>
      <c r="AE50" s="218">
        <f t="shared" si="34"/>
        <v>74417573.235997379</v>
      </c>
      <c r="AF50" s="218">
        <f t="shared" si="34"/>
        <v>74417573.235997379</v>
      </c>
      <c r="AG50" s="218">
        <f t="shared" si="40"/>
        <v>87756.310810284995</v>
      </c>
      <c r="AH50" s="218">
        <f t="shared" si="41"/>
        <v>77492.440794011272</v>
      </c>
      <c r="AI50" s="121"/>
      <c r="AJ50" s="121"/>
      <c r="AL50" s="97">
        <f t="shared" si="36"/>
        <v>74417573.235997379</v>
      </c>
      <c r="AM50" s="103">
        <f t="shared" si="6"/>
        <v>8.8237333410388086E-3</v>
      </c>
      <c r="AN50" s="97">
        <f t="shared" si="5"/>
        <v>91151225.294831306</v>
      </c>
      <c r="AO50" s="103">
        <v>1.0161528768571058</v>
      </c>
    </row>
    <row r="51" spans="1:41" x14ac:dyDescent="0.6">
      <c r="C51" s="80" t="s">
        <v>26</v>
      </c>
      <c r="D51" s="80" t="s">
        <v>72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Z51" s="96">
        <v>2047</v>
      </c>
      <c r="AA51" s="107"/>
      <c r="AB51" s="189">
        <f t="shared" si="25"/>
        <v>6635101473631.6572</v>
      </c>
      <c r="AC51" s="189">
        <f t="shared" si="26"/>
        <v>5824467381904.7695</v>
      </c>
      <c r="AD51" s="218">
        <f t="shared" si="21"/>
        <v>88380.565243014906</v>
      </c>
      <c r="AE51" s="218">
        <f t="shared" si="34"/>
        <v>75074214.058119044</v>
      </c>
      <c r="AF51" s="218">
        <f t="shared" si="34"/>
        <v>75074214.058119044</v>
      </c>
      <c r="AG51" s="218">
        <f t="shared" si="40"/>
        <v>88380.565243014906</v>
      </c>
      <c r="AH51" s="218">
        <f t="shared" si="41"/>
        <v>77582.795304333544</v>
      </c>
      <c r="AL51" s="97">
        <f t="shared" si="36"/>
        <v>75074214.058119044</v>
      </c>
      <c r="AM51" s="103">
        <f t="shared" si="6"/>
        <v>8.8237333410388086E-3</v>
      </c>
      <c r="AN51" s="97">
        <f t="shared" si="5"/>
        <v>92623579.812393025</v>
      </c>
      <c r="AO51" s="103">
        <v>1.0161528768571058</v>
      </c>
    </row>
    <row r="52" spans="1:41" x14ac:dyDescent="0.6">
      <c r="Z52" s="96">
        <v>2048</v>
      </c>
      <c r="AA52" s="107"/>
      <c r="AB52" s="189">
        <f t="shared" si="25"/>
        <v>6741263097209.7637</v>
      </c>
      <c r="AC52" s="189">
        <f t="shared" si="26"/>
        <v>5882712055723.8174</v>
      </c>
      <c r="AD52" s="218">
        <f t="shared" si="21"/>
        <v>89009.260309052959</v>
      </c>
      <c r="AE52" s="218">
        <f t="shared" ref="AE52:AF54" si="42">$AL52</f>
        <v>75736648.903755948</v>
      </c>
      <c r="AF52" s="218">
        <f t="shared" si="42"/>
        <v>75736648.903755948</v>
      </c>
      <c r="AG52" s="218">
        <f t="shared" si="40"/>
        <v>89009.260309052959</v>
      </c>
      <c r="AH52" s="218">
        <f t="shared" si="41"/>
        <v>77673.255166061106</v>
      </c>
      <c r="AL52" s="97">
        <f t="shared" si="36"/>
        <v>75736648.903755948</v>
      </c>
      <c r="AM52" s="103">
        <f t="shared" si="6"/>
        <v>8.8237333410388086E-3</v>
      </c>
      <c r="AN52" s="97">
        <f t="shared" si="5"/>
        <v>94119717.091166914</v>
      </c>
      <c r="AO52" s="103">
        <v>1.0161528768571058</v>
      </c>
    </row>
    <row r="53" spans="1:41" x14ac:dyDescent="0.6">
      <c r="C53" s="510" t="s">
        <v>24</v>
      </c>
      <c r="D53" s="511"/>
      <c r="E53" s="512"/>
      <c r="G53" s="510" t="s">
        <v>25</v>
      </c>
      <c r="H53" s="511"/>
      <c r="I53" s="512"/>
      <c r="Z53" s="96">
        <v>2049</v>
      </c>
      <c r="AA53" s="107"/>
      <c r="AB53" s="189">
        <f t="shared" si="25"/>
        <v>6849123306765.1201</v>
      </c>
      <c r="AC53" s="189">
        <f t="shared" si="26"/>
        <v>5941539176281.0557</v>
      </c>
      <c r="AD53" s="218">
        <f t="shared" si="21"/>
        <v>89642.427596839916</v>
      </c>
      <c r="AE53" s="218">
        <f t="shared" si="42"/>
        <v>76404928.897826567</v>
      </c>
      <c r="AF53" s="218">
        <f t="shared" si="42"/>
        <v>76404928.897826567</v>
      </c>
      <c r="AG53" s="218">
        <f t="shared" si="40"/>
        <v>89642.427596839916</v>
      </c>
      <c r="AH53" s="218">
        <f t="shared" si="41"/>
        <v>77763.820502031376</v>
      </c>
      <c r="AL53" s="97">
        <f t="shared" si="36"/>
        <v>76404928.897826567</v>
      </c>
      <c r="AM53" s="103">
        <f t="shared" si="6"/>
        <v>8.8237333410388086E-3</v>
      </c>
      <c r="AN53" s="97">
        <f t="shared" si="5"/>
        <v>95640021.291166171</v>
      </c>
      <c r="AO53" s="103">
        <v>1.0161528768571058</v>
      </c>
    </row>
    <row r="54" spans="1:41" ht="31.5" x14ac:dyDescent="0.6">
      <c r="C54" s="88" t="s">
        <v>30</v>
      </c>
      <c r="D54" s="88" t="s">
        <v>73</v>
      </c>
      <c r="E54" s="88" t="s">
        <v>74</v>
      </c>
      <c r="F54" s="187"/>
      <c r="G54" s="88" t="s">
        <v>30</v>
      </c>
      <c r="H54" s="88" t="s">
        <v>73</v>
      </c>
      <c r="I54" s="88" t="s">
        <v>74</v>
      </c>
      <c r="J54" s="188"/>
      <c r="K54" s="188"/>
      <c r="L54" s="88" t="s">
        <v>30</v>
      </c>
      <c r="M54" s="88" t="s">
        <v>75</v>
      </c>
      <c r="N54" s="88" t="s">
        <v>76</v>
      </c>
      <c r="O54" s="88" t="s">
        <v>77</v>
      </c>
      <c r="P54" s="88" t="s">
        <v>78</v>
      </c>
      <c r="Q54" s="88" t="s">
        <v>79</v>
      </c>
      <c r="R54" s="88" t="s">
        <v>80</v>
      </c>
      <c r="S54" s="117" t="s">
        <v>81</v>
      </c>
      <c r="T54" s="117" t="s">
        <v>82</v>
      </c>
      <c r="U54" s="188"/>
      <c r="V54" s="188"/>
      <c r="W54" s="188"/>
      <c r="Z54" s="96">
        <v>2050</v>
      </c>
      <c r="AA54" s="107"/>
      <c r="AB54" s="189">
        <f t="shared" si="25"/>
        <v>6958709279673.3623</v>
      </c>
      <c r="AC54" s="189">
        <f t="shared" si="26"/>
        <v>6000954568043.8662</v>
      </c>
      <c r="AD54" s="218">
        <f t="shared" si="21"/>
        <v>90280.098919520897</v>
      </c>
      <c r="AE54" s="218">
        <f t="shared" si="42"/>
        <v>77079105.61636202</v>
      </c>
      <c r="AF54" s="218">
        <f t="shared" si="42"/>
        <v>77079105.61636202</v>
      </c>
      <c r="AG54" s="218">
        <f t="shared" si="40"/>
        <v>90280.098919520897</v>
      </c>
      <c r="AH54" s="218">
        <f t="shared" si="41"/>
        <v>77854.491435225078</v>
      </c>
      <c r="AL54" s="97">
        <f t="shared" si="36"/>
        <v>77079105.61636202</v>
      </c>
      <c r="AM54" s="103">
        <f t="shared" si="6"/>
        <v>8.8237333410388086E-3</v>
      </c>
      <c r="AN54" s="97">
        <f t="shared" si="5"/>
        <v>97184882.777693346</v>
      </c>
      <c r="AO54" s="103">
        <v>1.0161528768571058</v>
      </c>
    </row>
    <row r="55" spans="1:41" x14ac:dyDescent="0.6">
      <c r="C55" s="90">
        <v>2020</v>
      </c>
      <c r="D55" s="91"/>
      <c r="E55" s="109"/>
      <c r="F55" s="76"/>
      <c r="G55" s="90">
        <v>2020</v>
      </c>
      <c r="H55" s="91"/>
      <c r="I55" s="109"/>
      <c r="L55" s="90">
        <v>2020</v>
      </c>
      <c r="M55" s="107">
        <v>21000000</v>
      </c>
      <c r="N55" s="110"/>
      <c r="O55" s="107">
        <v>21000000</v>
      </c>
      <c r="P55" s="110"/>
      <c r="Q55" s="107">
        <v>21000000</v>
      </c>
      <c r="R55" s="110"/>
      <c r="S55" s="118"/>
      <c r="T55" s="118"/>
    </row>
    <row r="56" spans="1:41" x14ac:dyDescent="0.6">
      <c r="C56" s="90">
        <v>2021</v>
      </c>
      <c r="D56" s="109">
        <f t="shared" ref="D56:D65" si="43">AG25/AG24-1</f>
        <v>4.4054980612799888E-2</v>
      </c>
      <c r="E56" s="109">
        <f>P56</f>
        <v>-0.76190476190476186</v>
      </c>
      <c r="F56" s="76"/>
      <c r="G56" s="90">
        <v>2021</v>
      </c>
      <c r="H56" s="109">
        <f t="shared" ref="H56:H65" si="44">AH25/AH24-1</f>
        <v>4.4054980612799888E-2</v>
      </c>
      <c r="I56" s="109">
        <f>R56</f>
        <v>-0.76190476190476186</v>
      </c>
      <c r="L56" s="90">
        <v>2021</v>
      </c>
      <c r="M56" s="107">
        <v>5000000</v>
      </c>
      <c r="N56" s="110">
        <v>-0.76190476190476186</v>
      </c>
      <c r="O56" s="107">
        <v>5000000</v>
      </c>
      <c r="P56" s="110">
        <v>-0.76190476190476186</v>
      </c>
      <c r="Q56" s="107">
        <v>5000000</v>
      </c>
      <c r="R56" s="110">
        <v>-0.76190476190476186</v>
      </c>
      <c r="S56" s="118"/>
      <c r="T56" s="118"/>
    </row>
    <row r="57" spans="1:41" x14ac:dyDescent="0.6">
      <c r="C57" s="90">
        <v>2022</v>
      </c>
      <c r="D57" s="109">
        <f t="shared" si="43"/>
        <v>1.0568729897645568E-2</v>
      </c>
      <c r="E57" s="109">
        <f t="shared" ref="E57:E65" si="45">P57</f>
        <v>1.2000000000000002</v>
      </c>
      <c r="F57" s="76"/>
      <c r="G57" s="90">
        <v>2022</v>
      </c>
      <c r="H57" s="109">
        <f t="shared" si="44"/>
        <v>1.0568729897645568E-2</v>
      </c>
      <c r="I57" s="109">
        <f t="shared" ref="I57:I62" si="46">R57</f>
        <v>1.2000000000000002</v>
      </c>
      <c r="L57" s="90">
        <v>2022</v>
      </c>
      <c r="M57" s="107">
        <v>11000000</v>
      </c>
      <c r="N57" s="110">
        <v>1.2000000000000002</v>
      </c>
      <c r="O57" s="107">
        <v>11000000</v>
      </c>
      <c r="P57" s="110">
        <v>1.2000000000000002</v>
      </c>
      <c r="Q57" s="107">
        <v>11000000</v>
      </c>
      <c r="R57" s="110">
        <v>1.2000000000000002</v>
      </c>
      <c r="S57" s="118"/>
      <c r="T57" s="118"/>
    </row>
    <row r="58" spans="1:41" x14ac:dyDescent="0.6">
      <c r="C58" s="90">
        <v>2023</v>
      </c>
      <c r="D58" s="109">
        <f t="shared" si="43"/>
        <v>-1.5937980964375598E-4</v>
      </c>
      <c r="E58" s="109">
        <f t="shared" si="45"/>
        <v>0.45454545454545459</v>
      </c>
      <c r="F58" s="76"/>
      <c r="G58" s="90">
        <v>2023</v>
      </c>
      <c r="H58" s="109">
        <f t="shared" si="44"/>
        <v>-1.5937980964375598E-4</v>
      </c>
      <c r="I58" s="109">
        <f t="shared" si="46"/>
        <v>0.45454545454545459</v>
      </c>
      <c r="L58" s="90">
        <v>2023</v>
      </c>
      <c r="M58" s="107">
        <v>16000000</v>
      </c>
      <c r="N58" s="110">
        <v>0.45454545454545459</v>
      </c>
      <c r="O58" s="107">
        <v>16000000</v>
      </c>
      <c r="P58" s="110">
        <v>0.45454545454545459</v>
      </c>
      <c r="Q58" s="107">
        <v>16000000</v>
      </c>
      <c r="R58" s="110">
        <v>0.45454545454545459</v>
      </c>
      <c r="S58" s="118"/>
      <c r="T58" s="118"/>
      <c r="AF58" s="81" t="s">
        <v>38</v>
      </c>
      <c r="AG58" s="81" t="s">
        <v>83</v>
      </c>
      <c r="AH58" s="81" t="s">
        <v>84</v>
      </c>
    </row>
    <row r="59" spans="1:41" x14ac:dyDescent="0.6">
      <c r="C59" s="90">
        <v>2024</v>
      </c>
      <c r="D59" s="109">
        <f t="shared" si="43"/>
        <v>-5.4881520192948674E-3</v>
      </c>
      <c r="E59" s="109">
        <f t="shared" si="45"/>
        <v>6.25E-2</v>
      </c>
      <c r="F59" s="76"/>
      <c r="G59" s="90">
        <v>2024</v>
      </c>
      <c r="H59" s="109">
        <f t="shared" si="44"/>
        <v>-5.4881520192948674E-3</v>
      </c>
      <c r="I59" s="109">
        <f t="shared" si="46"/>
        <v>6.25E-2</v>
      </c>
      <c r="L59" s="90">
        <v>2024</v>
      </c>
      <c r="M59" s="107">
        <v>17000000</v>
      </c>
      <c r="N59" s="110">
        <v>6.25E-2</v>
      </c>
      <c r="O59" s="107">
        <f>O58*(1+P59)</f>
        <v>17000000</v>
      </c>
      <c r="P59" s="110">
        <v>6.25E-2</v>
      </c>
      <c r="Q59" s="107">
        <f>Q58*(1+R59)</f>
        <v>17000000</v>
      </c>
      <c r="R59" s="110">
        <v>6.25E-2</v>
      </c>
      <c r="S59" s="118"/>
      <c r="T59" s="118"/>
      <c r="AF59" s="146">
        <f t="shared" ref="AF59:AF65" si="47">VLOOKUP($Z28,GDP_high_growth,2,0)</f>
        <v>1.4999999999999999E-2</v>
      </c>
      <c r="AG59" s="147">
        <f t="shared" ref="AG59:AH65" si="48">AE27/AE26-1</f>
        <v>8.6921893830698149E-3</v>
      </c>
      <c r="AH59" s="147">
        <f t="shared" si="48"/>
        <v>8.6921893830698149E-3</v>
      </c>
    </row>
    <row r="60" spans="1:41" x14ac:dyDescent="0.6">
      <c r="C60" s="90">
        <v>2025</v>
      </c>
      <c r="D60" s="109">
        <f t="shared" si="43"/>
        <v>-6.3258080635000269E-3</v>
      </c>
      <c r="E60" s="109">
        <f t="shared" si="45"/>
        <v>0.11764705882352944</v>
      </c>
      <c r="F60" s="76"/>
      <c r="G60" s="90">
        <v>2025</v>
      </c>
      <c r="H60" s="109">
        <f t="shared" si="44"/>
        <v>-6.3258080635000269E-3</v>
      </c>
      <c r="I60" s="109">
        <f t="shared" si="46"/>
        <v>0.11764705882352944</v>
      </c>
      <c r="L60" s="90">
        <v>2025</v>
      </c>
      <c r="M60" s="107">
        <f t="shared" ref="M60:M61" si="49">M59*(1+N60)</f>
        <v>19000000</v>
      </c>
      <c r="N60" s="110">
        <v>0.11764705882352944</v>
      </c>
      <c r="O60" s="107">
        <f t="shared" ref="O60:O72" si="50">O59*(1+P60)</f>
        <v>19000000</v>
      </c>
      <c r="P60" s="110">
        <v>0.11764705882352944</v>
      </c>
      <c r="Q60" s="107">
        <f t="shared" ref="Q60:Q72" si="51">Q59*(1+R60)</f>
        <v>19000000</v>
      </c>
      <c r="R60" s="110">
        <v>0.11764705882352944</v>
      </c>
      <c r="S60" s="118"/>
      <c r="T60" s="118"/>
      <c r="AF60" s="146">
        <f t="shared" si="47"/>
        <v>1.7000000000000001E-2</v>
      </c>
      <c r="AG60" s="147">
        <f t="shared" si="48"/>
        <v>1.0026170044125982E-2</v>
      </c>
      <c r="AH60" s="147">
        <f t="shared" si="48"/>
        <v>1.0026170044125982E-2</v>
      </c>
    </row>
    <row r="61" spans="1:41" x14ac:dyDescent="0.6">
      <c r="C61" s="90">
        <v>2026</v>
      </c>
      <c r="D61" s="109">
        <f t="shared" si="43"/>
        <v>5.6947447862121248E-3</v>
      </c>
      <c r="E61" s="109">
        <f t="shared" si="45"/>
        <v>0.10526315789473695</v>
      </c>
      <c r="F61" s="76"/>
      <c r="G61" s="90">
        <v>2026</v>
      </c>
      <c r="H61" s="109">
        <f t="shared" si="44"/>
        <v>-2.4439740740711535E-4</v>
      </c>
      <c r="I61" s="109">
        <f t="shared" si="46"/>
        <v>0.10526315789473695</v>
      </c>
      <c r="L61" s="90">
        <v>2026</v>
      </c>
      <c r="M61" s="107">
        <f t="shared" si="49"/>
        <v>21000000.000000004</v>
      </c>
      <c r="N61" s="110">
        <v>0.10526315789473695</v>
      </c>
      <c r="O61" s="107">
        <f t="shared" si="50"/>
        <v>21000000.000000004</v>
      </c>
      <c r="P61" s="110">
        <v>0.10526315789473695</v>
      </c>
      <c r="Q61" s="107">
        <f t="shared" si="51"/>
        <v>21000000.000000004</v>
      </c>
      <c r="R61" s="110">
        <v>0.10526315789473695</v>
      </c>
      <c r="S61" s="118"/>
      <c r="T61" s="118"/>
      <c r="AF61" s="146">
        <f t="shared" si="47"/>
        <v>1.6E-2</v>
      </c>
      <c r="AG61" s="147">
        <f t="shared" si="48"/>
        <v>1.0699076294725218E-2</v>
      </c>
      <c r="AH61" s="147">
        <f t="shared" si="48"/>
        <v>1.0699076294725218E-2</v>
      </c>
    </row>
    <row r="62" spans="1:41" x14ac:dyDescent="0.6">
      <c r="C62" s="90">
        <v>2027</v>
      </c>
      <c r="D62" s="109">
        <f t="shared" si="43"/>
        <v>6.0872571930514763E-3</v>
      </c>
      <c r="E62" s="109">
        <f t="shared" si="45"/>
        <v>7.1996876830501183E-2</v>
      </c>
      <c r="F62" s="76"/>
      <c r="G62" s="90">
        <v>2027</v>
      </c>
      <c r="H62" s="109">
        <f t="shared" si="44"/>
        <v>1.4579701277739332E-4</v>
      </c>
      <c r="I62" s="109">
        <f t="shared" si="46"/>
        <v>4.8843140574331943E-2</v>
      </c>
      <c r="L62" s="90">
        <v>2027</v>
      </c>
      <c r="M62" s="220">
        <f>M61*(1+N62)</f>
        <v>22366222.610112537</v>
      </c>
      <c r="N62" s="109">
        <v>6.5058219529168307E-2</v>
      </c>
      <c r="O62" s="220">
        <f t="shared" si="50"/>
        <v>22511934.413440529</v>
      </c>
      <c r="P62" s="109">
        <v>7.1996876830501183E-2</v>
      </c>
      <c r="Q62" s="220">
        <f t="shared" si="51"/>
        <v>22025705.952060975</v>
      </c>
      <c r="R62" s="109">
        <v>4.8843140574331943E-2</v>
      </c>
      <c r="S62" s="118"/>
      <c r="T62" s="119"/>
      <c r="U62" s="83">
        <f>M63-M62</f>
        <v>1466004.2274446487</v>
      </c>
      <c r="V62" s="83">
        <f t="shared" ref="V62" si="52">O63-O62</f>
        <v>1598347.3433542773</v>
      </c>
      <c r="W62" s="83">
        <f t="shared" ref="W62" si="53">Q63-Q62</f>
        <v>121781.51133008674</v>
      </c>
      <c r="AF62" s="146">
        <f t="shared" si="47"/>
        <v>1.6E-2</v>
      </c>
      <c r="AG62" s="147">
        <f t="shared" si="48"/>
        <v>1.0246901723622415E-2</v>
      </c>
      <c r="AH62" s="147">
        <f t="shared" si="48"/>
        <v>1.0246901723622415E-2</v>
      </c>
    </row>
    <row r="63" spans="1:41" x14ac:dyDescent="0.6">
      <c r="C63" s="90">
        <v>2028</v>
      </c>
      <c r="D63" s="109">
        <f t="shared" si="43"/>
        <v>6.4727998024765032E-3</v>
      </c>
      <c r="E63" s="109">
        <f t="shared" si="45"/>
        <v>7.0999999999999994E-2</v>
      </c>
      <c r="F63" s="76"/>
      <c r="G63" s="90">
        <v>2028</v>
      </c>
      <c r="H63" s="109">
        <f t="shared" si="44"/>
        <v>5.2906279576903081E-4</v>
      </c>
      <c r="I63" s="109">
        <f>H63+0.5%</f>
        <v>5.5290627957690309E-3</v>
      </c>
      <c r="L63" s="90">
        <v>2028</v>
      </c>
      <c r="M63" s="220">
        <f t="shared" ref="M63:M72" si="54">M62*(1+N63)</f>
        <v>23832226.837557185</v>
      </c>
      <c r="N63" s="109">
        <v>6.5545454545454546E-2</v>
      </c>
      <c r="O63" s="220">
        <f t="shared" si="50"/>
        <v>24110281.756794807</v>
      </c>
      <c r="P63" s="109">
        <v>7.0999999999999994E-2</v>
      </c>
      <c r="Q63" s="220">
        <f t="shared" si="51"/>
        <v>22147487.463391062</v>
      </c>
      <c r="R63" s="109">
        <f>I63</f>
        <v>5.5290627957690309E-3</v>
      </c>
      <c r="S63" s="118"/>
      <c r="T63" s="119"/>
      <c r="U63" s="83">
        <f t="shared" ref="U63:U84" si="55">M64-M63</f>
        <v>1562094.1408980675</v>
      </c>
      <c r="V63" s="83">
        <f t="shared" ref="V63:V84" si="56">O64-O63</f>
        <v>1711830.00473243</v>
      </c>
      <c r="W63" s="83">
        <f t="shared" ref="W63:W84" si="57">Q64-Q63</f>
        <v>122454.84895359352</v>
      </c>
      <c r="AF63" s="146">
        <f t="shared" si="47"/>
        <v>1.6E-2</v>
      </c>
      <c r="AG63" s="147">
        <f t="shared" si="48"/>
        <v>9.8527664833016892E-3</v>
      </c>
      <c r="AH63" s="147">
        <f t="shared" si="48"/>
        <v>9.8527664833016892E-3</v>
      </c>
    </row>
    <row r="64" spans="1:41" x14ac:dyDescent="0.6">
      <c r="C64" s="90">
        <v>2029</v>
      </c>
      <c r="D64" s="109">
        <f t="shared" si="43"/>
        <v>6.8181711122705657E-3</v>
      </c>
      <c r="E64" s="109">
        <f t="shared" si="45"/>
        <v>7.0999999999999994E-2</v>
      </c>
      <c r="F64" s="76"/>
      <c r="G64" s="90">
        <v>2029</v>
      </c>
      <c r="H64" s="109">
        <f t="shared" si="44"/>
        <v>8.7239451121368106E-4</v>
      </c>
      <c r="I64" s="109">
        <f>H63+0.5%</f>
        <v>5.5290627957690309E-3</v>
      </c>
      <c r="L64" s="90">
        <v>2029</v>
      </c>
      <c r="M64" s="220">
        <f t="shared" si="54"/>
        <v>25394320.978455253</v>
      </c>
      <c r="N64" s="109">
        <f>N63</f>
        <v>6.5545454545454546E-2</v>
      </c>
      <c r="O64" s="220">
        <f t="shared" si="50"/>
        <v>25822111.761527237</v>
      </c>
      <c r="P64" s="109">
        <f>P63</f>
        <v>7.0999999999999994E-2</v>
      </c>
      <c r="Q64" s="220">
        <f t="shared" si="51"/>
        <v>22269942.312344655</v>
      </c>
      <c r="R64" s="109">
        <f t="shared" ref="R64:R72" si="58">I64</f>
        <v>5.5290627957690309E-3</v>
      </c>
      <c r="S64" s="118"/>
      <c r="T64" s="119"/>
      <c r="U64" s="83">
        <f t="shared" si="55"/>
        <v>1664482.3114060238</v>
      </c>
      <c r="V64" s="83">
        <f t="shared" si="56"/>
        <v>1833369.9350684322</v>
      </c>
      <c r="W64" s="83">
        <f t="shared" si="57"/>
        <v>130777.88700005412</v>
      </c>
      <c r="AF64" s="146">
        <f t="shared" si="47"/>
        <v>1.6E-2</v>
      </c>
      <c r="AG64" s="147">
        <f t="shared" si="48"/>
        <v>9.4659291332990225E-3</v>
      </c>
      <c r="AH64" s="147">
        <f t="shared" si="48"/>
        <v>9.4659291332990225E-3</v>
      </c>
    </row>
    <row r="65" spans="3:34" x14ac:dyDescent="0.6">
      <c r="C65" s="90">
        <v>2030</v>
      </c>
      <c r="D65" s="109">
        <f t="shared" si="43"/>
        <v>7.1134990403076692E-3</v>
      </c>
      <c r="E65" s="109">
        <f t="shared" si="45"/>
        <v>7.0999999999999994E-2</v>
      </c>
      <c r="F65" s="76"/>
      <c r="G65" s="90">
        <v>2030</v>
      </c>
      <c r="H65" s="109">
        <f t="shared" si="44"/>
        <v>1.1659783766839737E-3</v>
      </c>
      <c r="I65" s="109">
        <f t="shared" ref="I65:I72" si="59">H64+0.5%</f>
        <v>5.8723945112136812E-3</v>
      </c>
      <c r="L65" s="90">
        <v>2030</v>
      </c>
      <c r="M65" s="220">
        <f t="shared" si="54"/>
        <v>27058803.289861277</v>
      </c>
      <c r="N65" s="109">
        <f t="shared" ref="N65:N85" si="60">N64</f>
        <v>6.5545454545454546E-2</v>
      </c>
      <c r="O65" s="220">
        <f t="shared" si="50"/>
        <v>27655481.696595669</v>
      </c>
      <c r="P65" s="109">
        <f t="shared" ref="P65:P85" si="61">P64</f>
        <v>7.0999999999999994E-2</v>
      </c>
      <c r="Q65" s="220">
        <f t="shared" si="51"/>
        <v>22400720.19934471</v>
      </c>
      <c r="R65" s="109">
        <f t="shared" si="58"/>
        <v>5.8723945112136812E-3</v>
      </c>
      <c r="S65" s="118"/>
      <c r="T65" s="119"/>
      <c r="U65" s="83">
        <f t="shared" si="55"/>
        <v>1773581.56109</v>
      </c>
      <c r="V65" s="83">
        <f t="shared" si="56"/>
        <v>553109.63393191248</v>
      </c>
      <c r="W65" s="83">
        <f t="shared" si="57"/>
        <v>138122.35637130588</v>
      </c>
      <c r="AF65" s="146">
        <f t="shared" si="47"/>
        <v>1.6E-2</v>
      </c>
      <c r="AG65" s="147">
        <f t="shared" si="48"/>
        <v>9.1196495565690761E-3</v>
      </c>
      <c r="AH65" s="147">
        <f t="shared" si="48"/>
        <v>9.1196495565690761E-3</v>
      </c>
    </row>
    <row r="66" spans="3:34" x14ac:dyDescent="0.6">
      <c r="C66" s="90">
        <v>2031</v>
      </c>
      <c r="D66" s="209">
        <f t="shared" ref="D66:D72" si="62">$D$65</f>
        <v>7.1134990403076692E-3</v>
      </c>
      <c r="E66" s="123">
        <v>0.02</v>
      </c>
      <c r="G66" s="90">
        <v>2031</v>
      </c>
      <c r="H66" s="209">
        <f t="shared" ref="H66:H72" si="63">$H$65</f>
        <v>1.1659783766839737E-3</v>
      </c>
      <c r="I66" s="123">
        <f t="shared" si="59"/>
        <v>6.1659783766839739E-3</v>
      </c>
      <c r="L66" s="90">
        <v>2031</v>
      </c>
      <c r="M66" s="220">
        <f t="shared" si="54"/>
        <v>28832384.850951277</v>
      </c>
      <c r="N66" s="109">
        <f t="shared" si="60"/>
        <v>6.5545454545454546E-2</v>
      </c>
      <c r="O66" s="220">
        <f t="shared" si="50"/>
        <v>28208591.330527581</v>
      </c>
      <c r="P66" s="109">
        <f>E66</f>
        <v>0.02</v>
      </c>
      <c r="Q66" s="220">
        <f t="shared" si="51"/>
        <v>22538842.555716015</v>
      </c>
      <c r="R66" s="109">
        <f t="shared" si="58"/>
        <v>6.1659783766839739E-3</v>
      </c>
      <c r="S66" s="118"/>
      <c r="T66" s="119"/>
      <c r="U66" s="83">
        <f t="shared" si="55"/>
        <v>1889831.7706850804</v>
      </c>
      <c r="V66" s="83">
        <f t="shared" si="56"/>
        <v>564171.82661055028</v>
      </c>
      <c r="W66" s="83">
        <f t="shared" si="57"/>
        <v>138974.01583402604</v>
      </c>
    </row>
    <row r="67" spans="3:34" x14ac:dyDescent="0.6">
      <c r="C67" s="90">
        <v>2032</v>
      </c>
      <c r="D67" s="209">
        <f t="shared" si="62"/>
        <v>7.1134990403076692E-3</v>
      </c>
      <c r="E67" s="123">
        <v>0.02</v>
      </c>
      <c r="G67" s="90">
        <v>2032</v>
      </c>
      <c r="H67" s="209">
        <f t="shared" si="63"/>
        <v>1.1659783766839737E-3</v>
      </c>
      <c r="I67" s="123">
        <f t="shared" si="59"/>
        <v>6.1659783766839739E-3</v>
      </c>
      <c r="L67" s="90">
        <v>2032</v>
      </c>
      <c r="M67" s="220">
        <f t="shared" si="54"/>
        <v>30722216.621636357</v>
      </c>
      <c r="N67" s="109">
        <f t="shared" si="60"/>
        <v>6.5545454545454546E-2</v>
      </c>
      <c r="O67" s="220">
        <f t="shared" si="50"/>
        <v>28772763.157138132</v>
      </c>
      <c r="P67" s="109">
        <f t="shared" si="61"/>
        <v>0.02</v>
      </c>
      <c r="Q67" s="220">
        <f t="shared" si="51"/>
        <v>22677816.571550041</v>
      </c>
      <c r="R67" s="109">
        <f t="shared" si="58"/>
        <v>6.1659783766839739E-3</v>
      </c>
      <c r="S67" s="118"/>
      <c r="T67" s="119"/>
      <c r="U67" s="83">
        <f t="shared" si="55"/>
        <v>2013701.6531090736</v>
      </c>
      <c r="V67" s="83">
        <f t="shared" si="56"/>
        <v>575455.26314276457</v>
      </c>
      <c r="W67" s="83">
        <f t="shared" si="57"/>
        <v>139830.92661058158</v>
      </c>
    </row>
    <row r="68" spans="3:34" x14ac:dyDescent="0.6">
      <c r="C68" s="90">
        <v>2033</v>
      </c>
      <c r="D68" s="209">
        <f t="shared" si="62"/>
        <v>7.1134990403076692E-3</v>
      </c>
      <c r="E68" s="123">
        <v>0.02</v>
      </c>
      <c r="G68" s="90">
        <v>2033</v>
      </c>
      <c r="H68" s="209">
        <f t="shared" si="63"/>
        <v>1.1659783766839737E-3</v>
      </c>
      <c r="I68" s="123">
        <f t="shared" si="59"/>
        <v>6.1659783766839739E-3</v>
      </c>
      <c r="L68" s="90">
        <v>2033</v>
      </c>
      <c r="M68" s="220">
        <f t="shared" si="54"/>
        <v>32735918.274745431</v>
      </c>
      <c r="N68" s="109">
        <f t="shared" si="60"/>
        <v>6.5545454545454546E-2</v>
      </c>
      <c r="O68" s="220">
        <f t="shared" si="50"/>
        <v>29348218.420280896</v>
      </c>
      <c r="P68" s="109">
        <f t="shared" si="61"/>
        <v>0.02</v>
      </c>
      <c r="Q68" s="220">
        <f t="shared" si="51"/>
        <v>22817647.498160623</v>
      </c>
      <c r="R68" s="109">
        <f t="shared" si="58"/>
        <v>6.1659783766839739E-3</v>
      </c>
      <c r="S68" s="118"/>
      <c r="T68" s="119"/>
      <c r="U68" s="83">
        <f t="shared" si="55"/>
        <v>2145690.6432810389</v>
      </c>
      <c r="V68" s="83">
        <f t="shared" si="56"/>
        <v>586964.36840561777</v>
      </c>
      <c r="W68" s="83">
        <f t="shared" si="57"/>
        <v>140693.12108045444</v>
      </c>
    </row>
    <row r="69" spans="3:34" x14ac:dyDescent="0.6">
      <c r="C69" s="90">
        <v>2034</v>
      </c>
      <c r="D69" s="209">
        <f t="shared" si="62"/>
        <v>7.1134990403076692E-3</v>
      </c>
      <c r="E69" s="123">
        <v>0.02</v>
      </c>
      <c r="G69" s="90">
        <v>2034</v>
      </c>
      <c r="H69" s="209">
        <f t="shared" si="63"/>
        <v>1.1659783766839737E-3</v>
      </c>
      <c r="I69" s="123">
        <f t="shared" si="59"/>
        <v>6.1659783766839739E-3</v>
      </c>
      <c r="L69" s="90">
        <v>2034</v>
      </c>
      <c r="M69" s="220">
        <f t="shared" si="54"/>
        <v>34881608.91802647</v>
      </c>
      <c r="N69" s="109">
        <f t="shared" si="60"/>
        <v>6.5545454545454546E-2</v>
      </c>
      <c r="O69" s="220">
        <f t="shared" si="50"/>
        <v>29935182.788686514</v>
      </c>
      <c r="P69" s="109">
        <f t="shared" si="61"/>
        <v>0.02</v>
      </c>
      <c r="Q69" s="220">
        <f t="shared" si="51"/>
        <v>22958340.619241077</v>
      </c>
      <c r="R69" s="109">
        <f t="shared" si="58"/>
        <v>6.1659783766839739E-3</v>
      </c>
      <c r="S69" s="118"/>
      <c r="T69" s="119"/>
      <c r="U69" s="83">
        <f t="shared" si="55"/>
        <v>2286330.911808826</v>
      </c>
      <c r="V69" s="83">
        <f t="shared" si="56"/>
        <v>598703.65577372909</v>
      </c>
      <c r="W69" s="83">
        <f t="shared" si="57"/>
        <v>141560.6318227835</v>
      </c>
    </row>
    <row r="70" spans="3:34" x14ac:dyDescent="0.6">
      <c r="C70" s="90">
        <v>2035</v>
      </c>
      <c r="D70" s="209">
        <f t="shared" si="62"/>
        <v>7.1134990403076692E-3</v>
      </c>
      <c r="E70" s="123">
        <v>0.02</v>
      </c>
      <c r="G70" s="90">
        <v>2035</v>
      </c>
      <c r="H70" s="209">
        <f t="shared" si="63"/>
        <v>1.1659783766839737E-3</v>
      </c>
      <c r="I70" s="123">
        <f t="shared" si="59"/>
        <v>6.1659783766839739E-3</v>
      </c>
      <c r="L70" s="90">
        <v>2035</v>
      </c>
      <c r="M70" s="220">
        <f t="shared" si="54"/>
        <v>37167939.829835296</v>
      </c>
      <c r="N70" s="109">
        <f t="shared" si="60"/>
        <v>6.5545454545454546E-2</v>
      </c>
      <c r="O70" s="220">
        <f t="shared" si="50"/>
        <v>30533886.444460243</v>
      </c>
      <c r="P70" s="109">
        <f t="shared" si="61"/>
        <v>0.02</v>
      </c>
      <c r="Q70" s="220">
        <f t="shared" si="51"/>
        <v>23099901.251063861</v>
      </c>
      <c r="R70" s="109">
        <f t="shared" si="58"/>
        <v>6.1659783766839739E-3</v>
      </c>
      <c r="S70" s="118"/>
      <c r="T70" s="119"/>
      <c r="U70" s="83">
        <f t="shared" si="55"/>
        <v>2436189.5106646568</v>
      </c>
      <c r="V70" s="83">
        <f t="shared" si="56"/>
        <v>610677.72888920456</v>
      </c>
      <c r="W70" s="83">
        <f t="shared" si="57"/>
        <v>142433.49161759391</v>
      </c>
    </row>
    <row r="71" spans="3:34" x14ac:dyDescent="0.6">
      <c r="C71" s="90">
        <v>2036</v>
      </c>
      <c r="D71" s="209">
        <f t="shared" si="62"/>
        <v>7.1134990403076692E-3</v>
      </c>
      <c r="E71" s="123">
        <v>0.02</v>
      </c>
      <c r="G71" s="90">
        <v>2036</v>
      </c>
      <c r="H71" s="209">
        <f t="shared" si="63"/>
        <v>1.1659783766839737E-3</v>
      </c>
      <c r="I71" s="123">
        <f t="shared" si="59"/>
        <v>6.1659783766839739E-3</v>
      </c>
      <c r="L71" s="90">
        <v>2036</v>
      </c>
      <c r="M71" s="220">
        <f t="shared" si="54"/>
        <v>39604129.340499952</v>
      </c>
      <c r="N71" s="109">
        <f t="shared" si="60"/>
        <v>6.5545454545454546E-2</v>
      </c>
      <c r="O71" s="220">
        <f t="shared" si="50"/>
        <v>31144564.173349448</v>
      </c>
      <c r="P71" s="109">
        <f t="shared" si="61"/>
        <v>0.02</v>
      </c>
      <c r="Q71" s="220">
        <f t="shared" si="51"/>
        <v>23242334.742681455</v>
      </c>
      <c r="R71" s="109">
        <f t="shared" si="58"/>
        <v>6.1659783766839739E-3</v>
      </c>
      <c r="S71" s="118"/>
      <c r="T71" s="119"/>
      <c r="U71" s="83">
        <f t="shared" si="55"/>
        <v>2595870.6595000401</v>
      </c>
      <c r="V71" s="83">
        <f t="shared" si="56"/>
        <v>622891.28346699104</v>
      </c>
      <c r="W71" s="83">
        <f t="shared" si="57"/>
        <v>143311.73344702274</v>
      </c>
    </row>
    <row r="72" spans="3:34" x14ac:dyDescent="0.6">
      <c r="C72" s="90">
        <v>2037</v>
      </c>
      <c r="D72" s="209">
        <f t="shared" si="62"/>
        <v>7.1134990403076692E-3</v>
      </c>
      <c r="E72" s="123">
        <v>0.02</v>
      </c>
      <c r="G72" s="90">
        <v>2037</v>
      </c>
      <c r="H72" s="209">
        <f t="shared" si="63"/>
        <v>1.1659783766839737E-3</v>
      </c>
      <c r="I72" s="123">
        <f t="shared" si="59"/>
        <v>6.1659783766839739E-3</v>
      </c>
      <c r="L72" s="90">
        <v>2037</v>
      </c>
      <c r="M72" s="221">
        <f t="shared" si="54"/>
        <v>42199999.999999993</v>
      </c>
      <c r="N72" s="109">
        <f t="shared" si="60"/>
        <v>6.5545454545454546E-2</v>
      </c>
      <c r="O72" s="221">
        <f t="shared" si="50"/>
        <v>31767455.456816439</v>
      </c>
      <c r="P72" s="109">
        <f t="shared" si="61"/>
        <v>0.02</v>
      </c>
      <c r="Q72" s="221">
        <f t="shared" si="51"/>
        <v>23385646.476128478</v>
      </c>
      <c r="R72" s="109">
        <f t="shared" si="58"/>
        <v>6.1659783766839739E-3</v>
      </c>
      <c r="S72" s="118"/>
      <c r="T72" s="118"/>
      <c r="U72" s="83">
        <f t="shared" si="55"/>
        <v>2766018.1818181798</v>
      </c>
      <c r="V72" s="83">
        <f t="shared" si="56"/>
        <v>635349.1091363281</v>
      </c>
      <c r="W72" s="83">
        <f t="shared" si="57"/>
        <v>144195.39049658179</v>
      </c>
    </row>
    <row r="73" spans="3:34" x14ac:dyDescent="0.6">
      <c r="C73" s="90">
        <v>2038</v>
      </c>
      <c r="D73" s="209">
        <f t="shared" ref="D73:D85" si="64">$D$65</f>
        <v>7.1134990403076692E-3</v>
      </c>
      <c r="E73" s="123">
        <v>0.02</v>
      </c>
      <c r="G73" s="90">
        <v>2038</v>
      </c>
      <c r="H73" s="209">
        <f t="shared" ref="H73:H85" si="65">$H$65</f>
        <v>1.1659783766839737E-3</v>
      </c>
      <c r="I73" s="123">
        <f t="shared" ref="I73:I85" si="66">H72+0.5%</f>
        <v>6.1659783766839739E-3</v>
      </c>
      <c r="L73" s="90">
        <v>2038</v>
      </c>
      <c r="M73" s="221">
        <f t="shared" ref="M73:M76" si="67">M72*(1+N73)</f>
        <v>44966018.181818172</v>
      </c>
      <c r="N73" s="109">
        <f t="shared" si="60"/>
        <v>6.5545454545454546E-2</v>
      </c>
      <c r="O73" s="221">
        <f t="shared" ref="O73:O76" si="68">O72*(1+P73)</f>
        <v>32402804.565952767</v>
      </c>
      <c r="P73" s="109">
        <f t="shared" si="61"/>
        <v>0.02</v>
      </c>
      <c r="Q73" s="221">
        <f t="shared" ref="Q73:Q76" si="69">Q72*(1+R73)</f>
        <v>23529841.866625059</v>
      </c>
      <c r="R73" s="109">
        <f>R72</f>
        <v>6.1659783766839739E-3</v>
      </c>
      <c r="S73" s="118"/>
      <c r="T73" s="118"/>
      <c r="U73" s="83">
        <f t="shared" si="55"/>
        <v>2947318.1008264497</v>
      </c>
      <c r="V73" s="83">
        <f t="shared" si="56"/>
        <v>648056.09131905437</v>
      </c>
      <c r="W73" s="83">
        <f t="shared" si="57"/>
        <v>145084.49615640193</v>
      </c>
    </row>
    <row r="74" spans="3:34" x14ac:dyDescent="0.6">
      <c r="C74" s="90">
        <v>2039</v>
      </c>
      <c r="D74" s="209">
        <f t="shared" si="64"/>
        <v>7.1134990403076692E-3</v>
      </c>
      <c r="E74" s="123">
        <v>0.02</v>
      </c>
      <c r="G74" s="90">
        <v>2039</v>
      </c>
      <c r="H74" s="209">
        <f t="shared" si="65"/>
        <v>1.1659783766839737E-3</v>
      </c>
      <c r="I74" s="123">
        <f t="shared" si="66"/>
        <v>6.1659783766839739E-3</v>
      </c>
      <c r="L74" s="90">
        <v>2039</v>
      </c>
      <c r="M74" s="221">
        <f t="shared" si="67"/>
        <v>47913336.282644622</v>
      </c>
      <c r="N74" s="109">
        <f t="shared" si="60"/>
        <v>6.5545454545454546E-2</v>
      </c>
      <c r="O74" s="221">
        <f t="shared" si="68"/>
        <v>33050860.657271821</v>
      </c>
      <c r="P74" s="109">
        <f t="shared" si="61"/>
        <v>0.02</v>
      </c>
      <c r="Q74" s="221">
        <f t="shared" si="69"/>
        <v>23674926.362781461</v>
      </c>
      <c r="R74" s="109">
        <f t="shared" ref="R74:R76" si="70">R73</f>
        <v>6.1659783766839739E-3</v>
      </c>
      <c r="S74" s="118"/>
      <c r="T74" s="118"/>
      <c r="U74" s="83">
        <f t="shared" si="55"/>
        <v>3140501.4054351598</v>
      </c>
      <c r="V74" s="83">
        <f t="shared" si="56"/>
        <v>661017.21314543858</v>
      </c>
      <c r="W74" s="83">
        <f t="shared" si="57"/>
        <v>145979.08402249217</v>
      </c>
    </row>
    <row r="75" spans="3:34" x14ac:dyDescent="0.6">
      <c r="C75" s="90">
        <v>2040</v>
      </c>
      <c r="D75" s="209">
        <f t="shared" si="64"/>
        <v>7.1134990403076692E-3</v>
      </c>
      <c r="E75" s="123">
        <v>0.02</v>
      </c>
      <c r="G75" s="90">
        <v>2040</v>
      </c>
      <c r="H75" s="209">
        <f t="shared" si="65"/>
        <v>1.1659783766839737E-3</v>
      </c>
      <c r="I75" s="123">
        <f t="shared" si="66"/>
        <v>6.1659783766839739E-3</v>
      </c>
      <c r="L75" s="90">
        <v>2040</v>
      </c>
      <c r="M75" s="221">
        <f t="shared" si="67"/>
        <v>51053837.688079782</v>
      </c>
      <c r="N75" s="109">
        <f t="shared" si="60"/>
        <v>6.5545454545454546E-2</v>
      </c>
      <c r="O75" s="221">
        <f t="shared" si="68"/>
        <v>33711877.87041726</v>
      </c>
      <c r="P75" s="109">
        <f t="shared" si="61"/>
        <v>0.02</v>
      </c>
      <c r="Q75" s="221">
        <f t="shared" si="69"/>
        <v>23820905.446803953</v>
      </c>
      <c r="R75" s="109">
        <f t="shared" si="70"/>
        <v>6.1659783766839739E-3</v>
      </c>
      <c r="S75" s="118"/>
      <c r="T75" s="118"/>
      <c r="U75" s="83">
        <f t="shared" si="55"/>
        <v>3346346.9975550473</v>
      </c>
      <c r="V75" s="83">
        <f t="shared" si="56"/>
        <v>674237.55740834773</v>
      </c>
      <c r="W75" s="83">
        <f t="shared" si="57"/>
        <v>146879.18789802492</v>
      </c>
    </row>
    <row r="76" spans="3:34" x14ac:dyDescent="0.6">
      <c r="C76" s="90">
        <v>2041</v>
      </c>
      <c r="D76" s="209">
        <f t="shared" si="64"/>
        <v>7.1134990403076692E-3</v>
      </c>
      <c r="E76" s="123">
        <v>0.02</v>
      </c>
      <c r="G76" s="90">
        <v>2041</v>
      </c>
      <c r="H76" s="209">
        <f t="shared" si="65"/>
        <v>1.1659783766839737E-3</v>
      </c>
      <c r="I76" s="123">
        <f t="shared" si="66"/>
        <v>6.1659783766839739E-3</v>
      </c>
      <c r="L76" s="90">
        <v>2041</v>
      </c>
      <c r="M76" s="221">
        <f t="shared" si="67"/>
        <v>54400184.685634829</v>
      </c>
      <c r="N76" s="109">
        <f t="shared" si="60"/>
        <v>6.5545454545454546E-2</v>
      </c>
      <c r="O76" s="221">
        <f t="shared" si="68"/>
        <v>34386115.427825607</v>
      </c>
      <c r="P76" s="109">
        <f t="shared" si="61"/>
        <v>0.02</v>
      </c>
      <c r="Q76" s="221">
        <f t="shared" si="69"/>
        <v>23967784.634701978</v>
      </c>
      <c r="R76" s="109">
        <f t="shared" si="70"/>
        <v>6.1659783766839739E-3</v>
      </c>
      <c r="S76" s="118"/>
      <c r="T76" s="118"/>
      <c r="U76" s="83">
        <f t="shared" si="55"/>
        <v>3565684.8325766101</v>
      </c>
      <c r="V76" s="83">
        <f t="shared" si="56"/>
        <v>687722.308556512</v>
      </c>
      <c r="W76" s="83">
        <f t="shared" si="57"/>
        <v>147784.84179458767</v>
      </c>
    </row>
    <row r="77" spans="3:34" x14ac:dyDescent="0.6">
      <c r="C77" s="90">
        <v>2042</v>
      </c>
      <c r="D77" s="209">
        <f t="shared" si="64"/>
        <v>7.1134990403076692E-3</v>
      </c>
      <c r="E77" s="123">
        <v>0.02</v>
      </c>
      <c r="G77" s="90">
        <v>2042</v>
      </c>
      <c r="H77" s="209">
        <f t="shared" si="65"/>
        <v>1.1659783766839737E-3</v>
      </c>
      <c r="I77" s="123">
        <f t="shared" si="66"/>
        <v>6.1659783766839739E-3</v>
      </c>
      <c r="L77" s="90">
        <v>2042</v>
      </c>
      <c r="M77" s="221">
        <f t="shared" ref="M77:M85" si="71">M76*(1+N77)</f>
        <v>57965869.518211439</v>
      </c>
      <c r="N77" s="109">
        <f t="shared" si="60"/>
        <v>6.5545454545454546E-2</v>
      </c>
      <c r="O77" s="221">
        <f t="shared" ref="O77:O85" si="72">O76*(1+P77)</f>
        <v>35073837.736382119</v>
      </c>
      <c r="P77" s="109">
        <f t="shared" si="61"/>
        <v>0.02</v>
      </c>
      <c r="Q77" s="221">
        <f t="shared" ref="Q77:Q85" si="73">Q76*(1+R77)</f>
        <v>24115569.476496566</v>
      </c>
      <c r="R77" s="109">
        <f t="shared" ref="R77:R85" si="74">R76</f>
        <v>6.1659783766839739E-3</v>
      </c>
      <c r="S77" s="118"/>
      <c r="T77" s="118"/>
      <c r="U77" s="83">
        <f t="shared" si="55"/>
        <v>3799399.2656936795</v>
      </c>
      <c r="V77" s="83">
        <f t="shared" si="56"/>
        <v>701476.75472764671</v>
      </c>
      <c r="W77" s="83">
        <f t="shared" si="57"/>
        <v>148696.07993349433</v>
      </c>
    </row>
    <row r="78" spans="3:34" x14ac:dyDescent="0.6">
      <c r="C78" s="90">
        <v>2043</v>
      </c>
      <c r="D78" s="209">
        <f t="shared" si="64"/>
        <v>7.1134990403076692E-3</v>
      </c>
      <c r="E78" s="123">
        <v>0.02</v>
      </c>
      <c r="G78" s="90">
        <v>2043</v>
      </c>
      <c r="H78" s="209">
        <f t="shared" si="65"/>
        <v>1.1659783766839737E-3</v>
      </c>
      <c r="I78" s="123">
        <f t="shared" si="66"/>
        <v>6.1659783766839739E-3</v>
      </c>
      <c r="L78" s="90">
        <v>2043</v>
      </c>
      <c r="M78" s="221">
        <f t="shared" si="71"/>
        <v>61765268.783905119</v>
      </c>
      <c r="N78" s="109">
        <f t="shared" si="60"/>
        <v>6.5545454545454546E-2</v>
      </c>
      <c r="O78" s="221">
        <f t="shared" si="72"/>
        <v>35775314.491109766</v>
      </c>
      <c r="P78" s="109">
        <f t="shared" si="61"/>
        <v>0.02</v>
      </c>
      <c r="Q78" s="221">
        <f t="shared" si="73"/>
        <v>24264265.55643006</v>
      </c>
      <c r="R78" s="109">
        <f t="shared" si="74"/>
        <v>6.1659783766839739E-3</v>
      </c>
      <c r="S78" s="118"/>
      <c r="T78" s="118"/>
      <c r="U78" s="83">
        <f t="shared" si="55"/>
        <v>4048432.6175632402</v>
      </c>
      <c r="V78" s="83">
        <f t="shared" si="56"/>
        <v>715506.28982219845</v>
      </c>
      <c r="W78" s="83">
        <f t="shared" si="57"/>
        <v>149612.93674706295</v>
      </c>
    </row>
    <row r="79" spans="3:34" x14ac:dyDescent="0.6">
      <c r="C79" s="90">
        <v>2044</v>
      </c>
      <c r="D79" s="209">
        <f t="shared" si="64"/>
        <v>7.1134990403076692E-3</v>
      </c>
      <c r="E79" s="123">
        <v>0.02</v>
      </c>
      <c r="G79" s="90">
        <v>2044</v>
      </c>
      <c r="H79" s="209">
        <f t="shared" si="65"/>
        <v>1.1659783766839737E-3</v>
      </c>
      <c r="I79" s="123">
        <f t="shared" si="66"/>
        <v>6.1659783766839739E-3</v>
      </c>
      <c r="L79" s="90">
        <v>2044</v>
      </c>
      <c r="M79" s="221">
        <f t="shared" si="71"/>
        <v>65813701.401468359</v>
      </c>
      <c r="N79" s="109">
        <f t="shared" si="60"/>
        <v>6.5545454545454546E-2</v>
      </c>
      <c r="O79" s="221">
        <f t="shared" si="72"/>
        <v>36490820.780931965</v>
      </c>
      <c r="P79" s="109">
        <f t="shared" si="61"/>
        <v>0.02</v>
      </c>
      <c r="Q79" s="221">
        <f t="shared" si="73"/>
        <v>24413878.493177123</v>
      </c>
      <c r="R79" s="109">
        <f t="shared" si="74"/>
        <v>6.1659783766839739E-3</v>
      </c>
      <c r="S79" s="118"/>
      <c r="T79" s="118"/>
      <c r="U79" s="83">
        <f t="shared" si="55"/>
        <v>4313788.9736780599</v>
      </c>
      <c r="V79" s="83">
        <f t="shared" si="56"/>
        <v>729816.41561864316</v>
      </c>
      <c r="W79" s="83">
        <f t="shared" si="57"/>
        <v>150535.44687991589</v>
      </c>
    </row>
    <row r="80" spans="3:34" x14ac:dyDescent="0.6">
      <c r="C80" s="90">
        <v>2045</v>
      </c>
      <c r="D80" s="209">
        <f t="shared" si="64"/>
        <v>7.1134990403076692E-3</v>
      </c>
      <c r="E80" s="123">
        <v>0.02</v>
      </c>
      <c r="G80" s="90">
        <v>2045</v>
      </c>
      <c r="H80" s="209">
        <f t="shared" si="65"/>
        <v>1.1659783766839737E-3</v>
      </c>
      <c r="I80" s="123">
        <f t="shared" si="66"/>
        <v>6.1659783766839739E-3</v>
      </c>
      <c r="L80" s="90">
        <v>2045</v>
      </c>
      <c r="M80" s="221">
        <f t="shared" si="71"/>
        <v>70127490.375146419</v>
      </c>
      <c r="N80" s="109">
        <f t="shared" si="60"/>
        <v>6.5545454545454546E-2</v>
      </c>
      <c r="O80" s="221">
        <f t="shared" si="72"/>
        <v>37220637.196550608</v>
      </c>
      <c r="P80" s="109">
        <f t="shared" si="61"/>
        <v>0.02</v>
      </c>
      <c r="Q80" s="221">
        <f t="shared" si="73"/>
        <v>24564413.940057039</v>
      </c>
      <c r="R80" s="109">
        <f t="shared" si="74"/>
        <v>6.1659783766839739E-3</v>
      </c>
      <c r="S80" s="118"/>
      <c r="T80" s="118"/>
      <c r="U80" s="83">
        <f t="shared" si="55"/>
        <v>4596538.2327709645</v>
      </c>
      <c r="V80" s="83">
        <f t="shared" si="56"/>
        <v>744412.74393101037</v>
      </c>
      <c r="W80" s="83">
        <f t="shared" si="57"/>
        <v>151463.64519030228</v>
      </c>
    </row>
    <row r="81" spans="3:23" x14ac:dyDescent="0.6">
      <c r="C81" s="90">
        <v>2046</v>
      </c>
      <c r="D81" s="209">
        <f t="shared" si="64"/>
        <v>7.1134990403076692E-3</v>
      </c>
      <c r="E81" s="123">
        <v>0.02</v>
      </c>
      <c r="G81" s="90">
        <v>2046</v>
      </c>
      <c r="H81" s="209">
        <f t="shared" si="65"/>
        <v>1.1659783766839737E-3</v>
      </c>
      <c r="I81" s="123">
        <f t="shared" si="66"/>
        <v>6.1659783766839739E-3</v>
      </c>
      <c r="L81" s="90">
        <v>2046</v>
      </c>
      <c r="M81" s="221">
        <f t="shared" si="71"/>
        <v>74724028.607917383</v>
      </c>
      <c r="N81" s="109">
        <f t="shared" si="60"/>
        <v>6.5545454545454546E-2</v>
      </c>
      <c r="O81" s="221">
        <f t="shared" si="72"/>
        <v>37965049.940481618</v>
      </c>
      <c r="P81" s="109">
        <f t="shared" si="61"/>
        <v>0.02</v>
      </c>
      <c r="Q81" s="221">
        <f t="shared" si="73"/>
        <v>24715877.585247342</v>
      </c>
      <c r="R81" s="109">
        <f t="shared" si="74"/>
        <v>6.1659783766839739E-3</v>
      </c>
      <c r="S81" s="118"/>
      <c r="T81" s="118"/>
      <c r="U81" s="83">
        <f t="shared" si="55"/>
        <v>4897820.4205735028</v>
      </c>
      <c r="V81" s="83">
        <f t="shared" si="56"/>
        <v>759300.99880963564</v>
      </c>
      <c r="W81" s="83">
        <f t="shared" si="57"/>
        <v>152397.56675140187</v>
      </c>
    </row>
    <row r="82" spans="3:23" x14ac:dyDescent="0.6">
      <c r="C82" s="90">
        <v>2047</v>
      </c>
      <c r="D82" s="209">
        <f t="shared" si="64"/>
        <v>7.1134990403076692E-3</v>
      </c>
      <c r="E82" s="123">
        <v>0.02</v>
      </c>
      <c r="G82" s="90">
        <v>2047</v>
      </c>
      <c r="H82" s="209">
        <f t="shared" si="65"/>
        <v>1.1659783766839737E-3</v>
      </c>
      <c r="I82" s="123">
        <f t="shared" si="66"/>
        <v>6.1659783766839739E-3</v>
      </c>
      <c r="L82" s="90">
        <v>2047</v>
      </c>
      <c r="M82" s="221">
        <f t="shared" si="71"/>
        <v>79621849.028490886</v>
      </c>
      <c r="N82" s="109">
        <f t="shared" si="60"/>
        <v>6.5545454545454546E-2</v>
      </c>
      <c r="O82" s="221">
        <f t="shared" si="72"/>
        <v>38724350.939291254</v>
      </c>
      <c r="P82" s="109">
        <f t="shared" si="61"/>
        <v>0.02</v>
      </c>
      <c r="Q82" s="221">
        <f t="shared" si="73"/>
        <v>24868275.151998743</v>
      </c>
      <c r="R82" s="109">
        <f t="shared" si="74"/>
        <v>6.1659783766839739E-3</v>
      </c>
      <c r="S82" s="118"/>
      <c r="T82" s="118"/>
      <c r="U82" s="83">
        <f t="shared" si="55"/>
        <v>5218850.2863219976</v>
      </c>
      <c r="V82" s="83">
        <f t="shared" si="56"/>
        <v>774487.01878582686</v>
      </c>
      <c r="W82" s="83">
        <f t="shared" si="57"/>
        <v>153337.24685264751</v>
      </c>
    </row>
    <row r="83" spans="3:23" x14ac:dyDescent="0.6">
      <c r="C83" s="90">
        <v>2048</v>
      </c>
      <c r="D83" s="209">
        <f t="shared" si="64"/>
        <v>7.1134990403076692E-3</v>
      </c>
      <c r="E83" s="123">
        <v>0.02</v>
      </c>
      <c r="G83" s="90">
        <v>2048</v>
      </c>
      <c r="H83" s="209">
        <f t="shared" si="65"/>
        <v>1.1659783766839737E-3</v>
      </c>
      <c r="I83" s="123">
        <f t="shared" si="66"/>
        <v>6.1659783766839739E-3</v>
      </c>
      <c r="L83" s="90">
        <v>2048</v>
      </c>
      <c r="M83" s="221">
        <f t="shared" si="71"/>
        <v>84840699.314812884</v>
      </c>
      <c r="N83" s="109">
        <f t="shared" si="60"/>
        <v>6.5545454545454546E-2</v>
      </c>
      <c r="O83" s="221">
        <f t="shared" si="72"/>
        <v>39498837.958077081</v>
      </c>
      <c r="P83" s="109">
        <f t="shared" si="61"/>
        <v>0.02</v>
      </c>
      <c r="Q83" s="221">
        <f t="shared" si="73"/>
        <v>25021612.398851391</v>
      </c>
      <c r="R83" s="109">
        <f t="shared" si="74"/>
        <v>6.1659783766839739E-3</v>
      </c>
      <c r="S83" s="118"/>
      <c r="T83" s="118"/>
      <c r="U83" s="83">
        <f t="shared" si="55"/>
        <v>5560922.200543642</v>
      </c>
      <c r="V83" s="83">
        <f t="shared" si="56"/>
        <v>789976.75916153938</v>
      </c>
      <c r="W83" s="83">
        <f t="shared" si="57"/>
        <v>154282.72100108117</v>
      </c>
    </row>
    <row r="84" spans="3:23" x14ac:dyDescent="0.6">
      <c r="C84" s="90">
        <v>2049</v>
      </c>
      <c r="D84" s="209">
        <f t="shared" si="64"/>
        <v>7.1134990403076692E-3</v>
      </c>
      <c r="E84" s="123">
        <v>0.02</v>
      </c>
      <c r="G84" s="90">
        <v>2049</v>
      </c>
      <c r="H84" s="209">
        <f t="shared" si="65"/>
        <v>1.1659783766839737E-3</v>
      </c>
      <c r="I84" s="123">
        <f t="shared" si="66"/>
        <v>6.1659783766839739E-3</v>
      </c>
      <c r="L84" s="90">
        <v>2049</v>
      </c>
      <c r="M84" s="221">
        <f t="shared" si="71"/>
        <v>90401621.515356526</v>
      </c>
      <c r="N84" s="109">
        <f t="shared" si="60"/>
        <v>6.5545454545454546E-2</v>
      </c>
      <c r="O84" s="221">
        <f t="shared" si="72"/>
        <v>40288814.71723862</v>
      </c>
      <c r="P84" s="109">
        <f t="shared" si="61"/>
        <v>0.02</v>
      </c>
      <c r="Q84" s="221">
        <f t="shared" si="73"/>
        <v>25175895.119852472</v>
      </c>
      <c r="R84" s="109">
        <f t="shared" si="74"/>
        <v>6.1659783766839739E-3</v>
      </c>
      <c r="S84" s="118"/>
      <c r="T84" s="118"/>
      <c r="U84" s="83">
        <f t="shared" si="55"/>
        <v>5925415.373870194</v>
      </c>
      <c r="V84" s="83">
        <f t="shared" si="56"/>
        <v>805776.29434477538</v>
      </c>
      <c r="W84" s="83">
        <f t="shared" si="57"/>
        <v>155234.02492267266</v>
      </c>
    </row>
    <row r="85" spans="3:23" x14ac:dyDescent="0.6">
      <c r="C85" s="90">
        <v>2050</v>
      </c>
      <c r="D85" s="209">
        <f t="shared" si="64"/>
        <v>7.1134990403076692E-3</v>
      </c>
      <c r="E85" s="123">
        <v>0.02</v>
      </c>
      <c r="G85" s="90">
        <v>2050</v>
      </c>
      <c r="H85" s="209">
        <f t="shared" si="65"/>
        <v>1.1659783766839737E-3</v>
      </c>
      <c r="I85" s="123">
        <f t="shared" si="66"/>
        <v>6.1659783766839739E-3</v>
      </c>
      <c r="L85" s="90">
        <v>2050</v>
      </c>
      <c r="M85" s="221">
        <f t="shared" si="71"/>
        <v>96327036.88922672</v>
      </c>
      <c r="N85" s="109">
        <f t="shared" si="60"/>
        <v>6.5545454545454546E-2</v>
      </c>
      <c r="O85" s="221">
        <f t="shared" si="72"/>
        <v>41094591.011583395</v>
      </c>
      <c r="P85" s="109">
        <f t="shared" si="61"/>
        <v>0.02</v>
      </c>
      <c r="Q85" s="221">
        <f t="shared" si="73"/>
        <v>25331129.144775145</v>
      </c>
      <c r="R85" s="109">
        <f t="shared" si="74"/>
        <v>6.1659783766839739E-3</v>
      </c>
      <c r="S85" s="118"/>
      <c r="T85" s="118"/>
      <c r="U85" s="83"/>
      <c r="V85" s="83"/>
      <c r="W85" s="83"/>
    </row>
    <row r="88" spans="3:23" x14ac:dyDescent="0.6">
      <c r="C88" s="149" t="s">
        <v>85</v>
      </c>
      <c r="D88" s="150"/>
    </row>
    <row r="89" spans="3:23" x14ac:dyDescent="0.6">
      <c r="C89" s="80" t="s">
        <v>26</v>
      </c>
      <c r="D89" s="197" t="s">
        <v>86</v>
      </c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</row>
    <row r="91" spans="3:23" ht="31.5" x14ac:dyDescent="0.6">
      <c r="C91" s="75" t="s">
        <v>87</v>
      </c>
      <c r="G91" s="154">
        <v>158.98699999999999</v>
      </c>
      <c r="L91" s="157" t="s">
        <v>88</v>
      </c>
      <c r="M91" s="88" t="s">
        <v>89</v>
      </c>
      <c r="N91" s="88" t="s">
        <v>90</v>
      </c>
      <c r="O91" s="88" t="s">
        <v>91</v>
      </c>
      <c r="P91" s="88" t="s">
        <v>92</v>
      </c>
      <c r="Q91" s="88" t="s">
        <v>93</v>
      </c>
      <c r="R91" s="88" t="s">
        <v>94</v>
      </c>
    </row>
    <row r="92" spans="3:23" x14ac:dyDescent="0.6">
      <c r="C92" s="75" t="s">
        <v>95</v>
      </c>
      <c r="G92" s="153">
        <v>0.9</v>
      </c>
      <c r="I92" s="77"/>
      <c r="L92" s="156" t="s">
        <v>96</v>
      </c>
      <c r="M92" s="151" t="s">
        <v>97</v>
      </c>
      <c r="N92" s="151" t="s">
        <v>97</v>
      </c>
      <c r="O92" s="151" t="s">
        <v>98</v>
      </c>
      <c r="P92" s="151" t="s">
        <v>99</v>
      </c>
      <c r="Q92" s="151" t="s">
        <v>100</v>
      </c>
      <c r="R92" s="151" t="s">
        <v>100</v>
      </c>
    </row>
    <row r="93" spans="3:23" x14ac:dyDescent="0.6">
      <c r="C93" s="75" t="s">
        <v>101</v>
      </c>
      <c r="G93" s="152">
        <v>365</v>
      </c>
      <c r="I93" s="182" t="s">
        <v>102</v>
      </c>
      <c r="J93" s="271"/>
      <c r="L93" s="106" t="s">
        <v>103</v>
      </c>
      <c r="M93" s="151" t="s">
        <v>104</v>
      </c>
      <c r="N93" s="151" t="s">
        <v>105</v>
      </c>
      <c r="O93" s="151" t="s">
        <v>106</v>
      </c>
      <c r="P93" s="151" t="s">
        <v>107</v>
      </c>
      <c r="Q93" s="151" t="s">
        <v>108</v>
      </c>
      <c r="R93" s="151" t="s">
        <v>94</v>
      </c>
    </row>
    <row r="94" spans="3:23" x14ac:dyDescent="0.6">
      <c r="I94" s="87" t="s">
        <v>109</v>
      </c>
      <c r="J94" s="158"/>
      <c r="K94" s="158"/>
      <c r="L94" s="157" t="s">
        <v>110</v>
      </c>
      <c r="M94" s="165">
        <v>120</v>
      </c>
      <c r="N94" s="165">
        <v>180</v>
      </c>
      <c r="O94" s="165">
        <v>108.5</v>
      </c>
      <c r="P94" s="165">
        <v>75</v>
      </c>
      <c r="Q94" s="165">
        <v>100</v>
      </c>
      <c r="R94" s="165">
        <v>45</v>
      </c>
    </row>
    <row r="95" spans="3:23" x14ac:dyDescent="0.6">
      <c r="I95" s="77"/>
      <c r="J95" s="77"/>
      <c r="K95" s="77"/>
      <c r="L95" s="156" t="s">
        <v>111</v>
      </c>
      <c r="M95" s="159">
        <v>0.45</v>
      </c>
      <c r="N95" s="159">
        <v>0.45</v>
      </c>
      <c r="O95" s="159">
        <v>0.45</v>
      </c>
      <c r="P95" s="159">
        <v>0.85</v>
      </c>
      <c r="Q95" s="159">
        <v>0.45</v>
      </c>
      <c r="R95" s="159">
        <v>0.85</v>
      </c>
    </row>
    <row r="96" spans="3:23" x14ac:dyDescent="0.6">
      <c r="I96" s="77"/>
      <c r="J96" s="77"/>
      <c r="K96" s="77"/>
      <c r="L96" s="156" t="s">
        <v>112</v>
      </c>
      <c r="M96" s="159">
        <v>0.25</v>
      </c>
      <c r="N96" s="159">
        <v>0.25</v>
      </c>
      <c r="O96" s="159">
        <v>0.25</v>
      </c>
      <c r="P96" s="159">
        <f>1-P95</f>
        <v>0.15000000000000002</v>
      </c>
      <c r="Q96" s="159">
        <v>0.25</v>
      </c>
      <c r="R96" s="159">
        <v>0.15</v>
      </c>
    </row>
    <row r="97" spans="3:22" x14ac:dyDescent="0.6">
      <c r="I97" s="77"/>
      <c r="J97" s="77"/>
      <c r="K97" s="77"/>
      <c r="L97" s="156" t="s">
        <v>113</v>
      </c>
      <c r="M97" s="160">
        <v>0</v>
      </c>
      <c r="N97" s="160">
        <v>0.1</v>
      </c>
      <c r="O97" s="160">
        <v>0.1</v>
      </c>
      <c r="P97" s="160">
        <v>0</v>
      </c>
      <c r="Q97" s="160">
        <v>0.1</v>
      </c>
      <c r="R97" s="160">
        <v>0</v>
      </c>
    </row>
    <row r="98" spans="3:22" x14ac:dyDescent="0.6">
      <c r="I98" s="77"/>
      <c r="J98" s="77"/>
      <c r="K98" s="77"/>
      <c r="L98" s="156" t="s">
        <v>52</v>
      </c>
      <c r="M98" s="155">
        <f>SUM(M95:M97)</f>
        <v>0.7</v>
      </c>
      <c r="N98" s="155">
        <f t="shared" ref="N98:R98" si="75">SUM(N95:N97)</f>
        <v>0.79999999999999993</v>
      </c>
      <c r="O98" s="155">
        <f t="shared" si="75"/>
        <v>0.79999999999999993</v>
      </c>
      <c r="P98" s="155">
        <f t="shared" si="75"/>
        <v>1</v>
      </c>
      <c r="Q98" s="155">
        <f t="shared" si="75"/>
        <v>0.79999999999999993</v>
      </c>
      <c r="R98" s="155">
        <f t="shared" si="75"/>
        <v>1</v>
      </c>
    </row>
    <row r="99" spans="3:22" x14ac:dyDescent="0.6">
      <c r="C99" s="80"/>
      <c r="D99" s="80" t="s">
        <v>114</v>
      </c>
      <c r="E99" s="80"/>
      <c r="F99" s="80"/>
      <c r="G99" s="80"/>
      <c r="H99" s="80"/>
      <c r="I99" s="80"/>
      <c r="J99" s="80"/>
    </row>
    <row r="101" spans="3:22" ht="31.5" x14ac:dyDescent="0.6">
      <c r="L101" s="269" t="s">
        <v>115</v>
      </c>
      <c r="M101" s="166"/>
      <c r="N101" s="166"/>
      <c r="O101" s="166"/>
      <c r="P101" s="166"/>
      <c r="Q101" s="166"/>
      <c r="R101" s="166"/>
    </row>
    <row r="102" spans="3:22" x14ac:dyDescent="0.6">
      <c r="L102" s="156" t="s">
        <v>116</v>
      </c>
      <c r="M102" s="151" t="s">
        <v>104</v>
      </c>
      <c r="N102" s="151" t="s">
        <v>105</v>
      </c>
      <c r="O102" s="151" t="s">
        <v>106</v>
      </c>
      <c r="P102" s="151" t="s">
        <v>107</v>
      </c>
      <c r="Q102" s="151" t="s">
        <v>108</v>
      </c>
      <c r="R102" s="151" t="s">
        <v>94</v>
      </c>
    </row>
    <row r="103" spans="3:22" x14ac:dyDescent="0.6">
      <c r="L103" s="90">
        <v>2022</v>
      </c>
      <c r="M103" s="173">
        <v>0</v>
      </c>
      <c r="N103" s="173">
        <v>0</v>
      </c>
      <c r="O103" s="173">
        <v>0.873</v>
      </c>
      <c r="P103" s="487">
        <v>0.9</v>
      </c>
      <c r="Q103" s="173">
        <v>0</v>
      </c>
      <c r="R103" s="173">
        <v>0</v>
      </c>
    </row>
    <row r="104" spans="3:22" x14ac:dyDescent="0.6">
      <c r="J104" s="270"/>
      <c r="L104" s="90">
        <v>2023</v>
      </c>
      <c r="M104" s="173">
        <v>0</v>
      </c>
      <c r="N104" s="173">
        <v>0</v>
      </c>
      <c r="O104" s="173">
        <v>0.875</v>
      </c>
      <c r="P104" s="487">
        <v>0.9123</v>
      </c>
      <c r="Q104" s="173">
        <v>0.5</v>
      </c>
      <c r="R104" s="173">
        <v>0</v>
      </c>
    </row>
    <row r="105" spans="3:22" x14ac:dyDescent="0.6">
      <c r="J105" s="270"/>
      <c r="L105" s="90">
        <v>2024</v>
      </c>
      <c r="M105" s="173">
        <v>0</v>
      </c>
      <c r="N105" s="173">
        <v>0</v>
      </c>
      <c r="O105" s="173">
        <v>0.88</v>
      </c>
      <c r="P105" s="487">
        <v>0.92459999999999998</v>
      </c>
      <c r="Q105" s="173">
        <v>0.9</v>
      </c>
      <c r="R105" s="173">
        <v>0</v>
      </c>
    </row>
    <row r="106" spans="3:22" x14ac:dyDescent="0.6">
      <c r="J106" s="270"/>
      <c r="L106" s="90">
        <v>2025</v>
      </c>
      <c r="M106" s="173">
        <v>0</v>
      </c>
      <c r="N106" s="173">
        <v>0</v>
      </c>
      <c r="O106" s="173">
        <v>0.85</v>
      </c>
      <c r="P106" s="487">
        <v>0.93689999999999996</v>
      </c>
      <c r="Q106" s="173">
        <v>0.9</v>
      </c>
      <c r="R106" s="173">
        <v>0</v>
      </c>
    </row>
    <row r="107" spans="3:22" x14ac:dyDescent="0.6">
      <c r="J107" s="270"/>
      <c r="L107" s="90">
        <v>2026</v>
      </c>
      <c r="M107" s="173">
        <v>0</v>
      </c>
      <c r="N107" s="173">
        <v>0</v>
      </c>
      <c r="O107" s="173">
        <v>0.85</v>
      </c>
      <c r="P107" s="488">
        <v>0.94920000000000004</v>
      </c>
      <c r="Q107" s="173">
        <v>0.9</v>
      </c>
      <c r="R107" s="173">
        <v>0</v>
      </c>
    </row>
    <row r="108" spans="3:22" x14ac:dyDescent="0.6">
      <c r="J108" s="270"/>
      <c r="L108" s="90">
        <v>2027</v>
      </c>
      <c r="M108" s="173">
        <v>0</v>
      </c>
      <c r="N108" s="173">
        <v>0</v>
      </c>
      <c r="O108" s="173">
        <v>0.85</v>
      </c>
      <c r="P108" s="488">
        <v>0.96150000000000002</v>
      </c>
      <c r="Q108" s="173">
        <v>0.9</v>
      </c>
      <c r="R108" s="173">
        <v>0</v>
      </c>
    </row>
    <row r="109" spans="3:22" x14ac:dyDescent="0.6">
      <c r="J109" s="270"/>
      <c r="L109" s="90">
        <v>2028</v>
      </c>
      <c r="M109" s="173">
        <v>0</v>
      </c>
      <c r="N109" s="173">
        <v>0</v>
      </c>
      <c r="O109" s="173">
        <v>0.85</v>
      </c>
      <c r="P109" s="489">
        <v>0.97370000000000001</v>
      </c>
      <c r="Q109" s="173">
        <v>0.9</v>
      </c>
      <c r="R109" s="173">
        <v>0</v>
      </c>
    </row>
    <row r="110" spans="3:22" ht="28.5" x14ac:dyDescent="0.6">
      <c r="J110" s="270"/>
      <c r="L110" s="90">
        <v>2029</v>
      </c>
      <c r="M110" s="173">
        <v>0</v>
      </c>
      <c r="N110" s="173">
        <v>0</v>
      </c>
      <c r="O110" s="173">
        <v>0.85</v>
      </c>
      <c r="P110" s="489">
        <v>0.94369999999999998</v>
      </c>
      <c r="Q110" s="173">
        <v>0.9</v>
      </c>
      <c r="R110" s="173">
        <v>0</v>
      </c>
      <c r="T110" s="405" t="s">
        <v>117</v>
      </c>
      <c r="U110" s="405" t="s">
        <v>118</v>
      </c>
    </row>
    <row r="111" spans="3:22" x14ac:dyDescent="0.6">
      <c r="J111" s="270"/>
      <c r="L111" s="90">
        <v>2030</v>
      </c>
      <c r="M111" s="173">
        <v>0</v>
      </c>
      <c r="N111" s="173">
        <v>0</v>
      </c>
      <c r="O111" s="173">
        <v>0.85</v>
      </c>
      <c r="P111" s="489">
        <v>0.94369999999999998</v>
      </c>
      <c r="Q111" s="173">
        <v>0.9</v>
      </c>
      <c r="R111" s="173">
        <v>0</v>
      </c>
      <c r="T111" s="406" t="s">
        <v>112</v>
      </c>
      <c r="U111" s="407">
        <v>0.05</v>
      </c>
      <c r="V111" s="75" t="s">
        <v>119</v>
      </c>
    </row>
    <row r="112" spans="3:22" x14ac:dyDescent="0.6">
      <c r="J112" s="270"/>
      <c r="L112" s="90">
        <v>2031</v>
      </c>
      <c r="M112" s="173">
        <v>0</v>
      </c>
      <c r="N112" s="173">
        <v>0</v>
      </c>
      <c r="O112" s="173">
        <v>0.85</v>
      </c>
      <c r="P112" s="489">
        <v>0.97370000000000001</v>
      </c>
      <c r="Q112" s="173">
        <v>0.9</v>
      </c>
      <c r="R112" s="173">
        <v>0</v>
      </c>
      <c r="T112" s="406" t="s">
        <v>111</v>
      </c>
      <c r="U112" s="407">
        <v>0.1</v>
      </c>
      <c r="V112" s="75" t="s">
        <v>120</v>
      </c>
    </row>
    <row r="113" spans="10:18" x14ac:dyDescent="0.6">
      <c r="J113" s="270"/>
      <c r="L113" s="90">
        <v>2032</v>
      </c>
      <c r="M113" s="173">
        <v>0</v>
      </c>
      <c r="N113" s="173">
        <v>0</v>
      </c>
      <c r="O113" s="173">
        <v>0.85</v>
      </c>
      <c r="P113" s="489">
        <v>0.97370000000000001</v>
      </c>
      <c r="Q113" s="173">
        <v>0.9</v>
      </c>
      <c r="R113" s="173">
        <v>0</v>
      </c>
    </row>
    <row r="114" spans="10:18" x14ac:dyDescent="0.6">
      <c r="J114" s="270"/>
      <c r="L114" s="90">
        <v>2033</v>
      </c>
      <c r="M114" s="173">
        <v>0</v>
      </c>
      <c r="N114" s="173">
        <v>0</v>
      </c>
      <c r="O114" s="173">
        <v>0.85</v>
      </c>
      <c r="P114" s="490">
        <v>0.9446</v>
      </c>
      <c r="Q114" s="173">
        <v>0.9</v>
      </c>
      <c r="R114" s="173">
        <v>0</v>
      </c>
    </row>
    <row r="115" spans="10:18" x14ac:dyDescent="0.6">
      <c r="J115" s="270"/>
      <c r="L115" s="90">
        <v>2034</v>
      </c>
      <c r="M115" s="173">
        <v>0</v>
      </c>
      <c r="N115" s="173">
        <v>0</v>
      </c>
      <c r="O115" s="173">
        <v>0.85</v>
      </c>
      <c r="P115" s="490">
        <v>0.91549999999999998</v>
      </c>
      <c r="Q115" s="173">
        <v>0.9</v>
      </c>
      <c r="R115" s="173">
        <v>0</v>
      </c>
    </row>
    <row r="116" spans="10:18" x14ac:dyDescent="0.6">
      <c r="J116" s="270"/>
      <c r="L116" s="90">
        <v>2035</v>
      </c>
      <c r="M116" s="173">
        <v>0</v>
      </c>
      <c r="N116" s="173">
        <v>0</v>
      </c>
      <c r="O116" s="173">
        <v>0.85</v>
      </c>
      <c r="P116" s="490">
        <v>0.88629999999999998</v>
      </c>
      <c r="Q116" s="173">
        <v>0.9</v>
      </c>
      <c r="R116" s="173">
        <v>0</v>
      </c>
    </row>
    <row r="117" spans="10:18" x14ac:dyDescent="0.6">
      <c r="J117" s="270"/>
      <c r="L117" s="90">
        <v>2036</v>
      </c>
      <c r="M117" s="173">
        <v>0</v>
      </c>
      <c r="N117" s="173">
        <v>0</v>
      </c>
      <c r="O117" s="173">
        <v>0.85</v>
      </c>
      <c r="P117" s="482">
        <v>0.79200000000000004</v>
      </c>
      <c r="Q117" s="173">
        <v>0.9</v>
      </c>
      <c r="R117" s="173">
        <v>0</v>
      </c>
    </row>
    <row r="118" spans="10:18" x14ac:dyDescent="0.6">
      <c r="J118" s="270"/>
      <c r="L118" s="90">
        <v>2037</v>
      </c>
      <c r="M118" s="173">
        <v>0</v>
      </c>
      <c r="N118" s="173">
        <v>0</v>
      </c>
      <c r="O118" s="173">
        <v>0.85</v>
      </c>
      <c r="P118" s="482">
        <v>0.79200000000000004</v>
      </c>
      <c r="Q118" s="173">
        <v>0.9</v>
      </c>
      <c r="R118" s="173">
        <v>0</v>
      </c>
    </row>
    <row r="119" spans="10:18" x14ac:dyDescent="0.6">
      <c r="J119" s="270"/>
      <c r="L119" s="90">
        <v>2038</v>
      </c>
      <c r="M119" s="173">
        <v>0</v>
      </c>
      <c r="N119" s="173">
        <v>0</v>
      </c>
      <c r="O119" s="173">
        <v>0.85</v>
      </c>
      <c r="P119" s="482">
        <v>0.79200000000000004</v>
      </c>
      <c r="Q119" s="173">
        <v>0.9</v>
      </c>
      <c r="R119" s="173">
        <v>0</v>
      </c>
    </row>
    <row r="120" spans="10:18" x14ac:dyDescent="0.6">
      <c r="J120" s="270"/>
      <c r="L120" s="90">
        <v>2039</v>
      </c>
      <c r="M120" s="173">
        <v>0</v>
      </c>
      <c r="N120" s="173">
        <v>0</v>
      </c>
      <c r="O120" s="173">
        <v>0.85</v>
      </c>
      <c r="P120" s="482">
        <v>0.79200000000000004</v>
      </c>
      <c r="Q120" s="173">
        <v>0.9</v>
      </c>
      <c r="R120" s="173">
        <v>0</v>
      </c>
    </row>
    <row r="121" spans="10:18" x14ac:dyDescent="0.6">
      <c r="J121" s="270"/>
      <c r="L121" s="90">
        <v>2040</v>
      </c>
      <c r="M121" s="173">
        <v>0</v>
      </c>
      <c r="N121" s="173">
        <v>0</v>
      </c>
      <c r="O121" s="173">
        <v>0.85</v>
      </c>
      <c r="P121" s="482">
        <v>0.79200000000000004</v>
      </c>
      <c r="Q121" s="173">
        <v>0.9</v>
      </c>
      <c r="R121" s="173">
        <v>0</v>
      </c>
    </row>
    <row r="122" spans="10:18" x14ac:dyDescent="0.6">
      <c r="J122" s="270"/>
      <c r="L122" s="90">
        <v>2041</v>
      </c>
      <c r="M122" s="173">
        <v>0</v>
      </c>
      <c r="N122" s="173">
        <v>0</v>
      </c>
      <c r="O122" s="173">
        <v>0.85</v>
      </c>
      <c r="P122" s="482">
        <v>0.79200000000000004</v>
      </c>
      <c r="Q122" s="173">
        <v>0.9</v>
      </c>
      <c r="R122" s="173">
        <v>0</v>
      </c>
    </row>
    <row r="123" spans="10:18" x14ac:dyDescent="0.6">
      <c r="J123" s="270"/>
      <c r="L123" s="90">
        <v>2042</v>
      </c>
      <c r="M123" s="173">
        <v>0</v>
      </c>
      <c r="N123" s="173">
        <v>0</v>
      </c>
      <c r="O123" s="173">
        <v>0.85</v>
      </c>
      <c r="P123" s="482">
        <v>0.79200000000000004</v>
      </c>
      <c r="Q123" s="173">
        <v>0.9</v>
      </c>
      <c r="R123" s="173">
        <v>0</v>
      </c>
    </row>
    <row r="124" spans="10:18" x14ac:dyDescent="0.6">
      <c r="J124" s="270"/>
      <c r="L124" s="90">
        <v>2043</v>
      </c>
      <c r="M124" s="173">
        <v>0</v>
      </c>
      <c r="N124" s="173">
        <v>0</v>
      </c>
      <c r="O124" s="173">
        <v>0.85</v>
      </c>
      <c r="P124" s="482">
        <v>0.79200000000000004</v>
      </c>
      <c r="Q124" s="173">
        <v>0.9</v>
      </c>
      <c r="R124" s="173">
        <v>0</v>
      </c>
    </row>
    <row r="125" spans="10:18" x14ac:dyDescent="0.6">
      <c r="J125" s="270"/>
      <c r="L125" s="90">
        <v>2044</v>
      </c>
      <c r="M125" s="173">
        <v>0</v>
      </c>
      <c r="N125" s="173">
        <v>0</v>
      </c>
      <c r="O125" s="173">
        <v>0.85</v>
      </c>
      <c r="P125" s="482">
        <v>0.79200000000000004</v>
      </c>
      <c r="Q125" s="173">
        <v>0.9</v>
      </c>
      <c r="R125" s="173">
        <v>0</v>
      </c>
    </row>
    <row r="126" spans="10:18" x14ac:dyDescent="0.6">
      <c r="J126" s="270"/>
      <c r="L126" s="90">
        <v>2045</v>
      </c>
      <c r="M126" s="173">
        <v>0</v>
      </c>
      <c r="N126" s="173">
        <v>0</v>
      </c>
      <c r="O126" s="173">
        <v>0.85</v>
      </c>
      <c r="P126" s="482">
        <v>0.79200000000000004</v>
      </c>
      <c r="Q126" s="173">
        <v>0.9</v>
      </c>
      <c r="R126" s="173">
        <v>0</v>
      </c>
    </row>
    <row r="127" spans="10:18" x14ac:dyDescent="0.6">
      <c r="J127" s="270"/>
      <c r="L127" s="90">
        <v>2046</v>
      </c>
      <c r="M127" s="173">
        <v>0</v>
      </c>
      <c r="N127" s="173">
        <v>0</v>
      </c>
      <c r="O127" s="173">
        <v>0.85</v>
      </c>
      <c r="P127" s="482">
        <v>0.79200000000000004</v>
      </c>
      <c r="Q127" s="173">
        <v>0.9</v>
      </c>
      <c r="R127" s="173">
        <v>0</v>
      </c>
    </row>
    <row r="128" spans="10:18" x14ac:dyDescent="0.6">
      <c r="J128" s="270"/>
      <c r="L128" s="90">
        <v>2047</v>
      </c>
      <c r="M128" s="173">
        <v>0</v>
      </c>
      <c r="N128" s="173">
        <v>0</v>
      </c>
      <c r="O128" s="173">
        <v>0.85</v>
      </c>
      <c r="P128" s="482">
        <v>0.79200000000000004</v>
      </c>
      <c r="Q128" s="173">
        <v>0.9</v>
      </c>
      <c r="R128" s="173">
        <v>0</v>
      </c>
    </row>
    <row r="129" spans="10:18" x14ac:dyDescent="0.6">
      <c r="J129" s="270"/>
      <c r="L129" s="90">
        <v>2048</v>
      </c>
      <c r="M129" s="173">
        <v>0</v>
      </c>
      <c r="N129" s="173">
        <v>0</v>
      </c>
      <c r="O129" s="173">
        <v>0.85</v>
      </c>
      <c r="P129" s="482">
        <v>0.79200000000000004</v>
      </c>
      <c r="Q129" s="173">
        <v>0.9</v>
      </c>
      <c r="R129" s="173">
        <v>0</v>
      </c>
    </row>
    <row r="130" spans="10:18" x14ac:dyDescent="0.6">
      <c r="J130" s="270"/>
      <c r="L130" s="90">
        <v>2049</v>
      </c>
      <c r="M130" s="173">
        <v>0</v>
      </c>
      <c r="N130" s="173">
        <v>0</v>
      </c>
      <c r="O130" s="173">
        <v>0.85</v>
      </c>
      <c r="P130" s="482">
        <v>0.79200000000000004</v>
      </c>
      <c r="Q130" s="173">
        <v>0.9</v>
      </c>
      <c r="R130" s="173">
        <v>0</v>
      </c>
    </row>
    <row r="131" spans="10:18" x14ac:dyDescent="0.6">
      <c r="J131" s="270"/>
      <c r="L131" s="90">
        <v>2050</v>
      </c>
      <c r="M131" s="173">
        <v>0</v>
      </c>
      <c r="N131" s="173">
        <v>0</v>
      </c>
      <c r="O131" s="173">
        <v>0.85</v>
      </c>
      <c r="P131" s="482">
        <v>0.79200000000000004</v>
      </c>
      <c r="Q131" s="173">
        <v>0.9</v>
      </c>
      <c r="R131" s="173">
        <v>0</v>
      </c>
    </row>
    <row r="134" spans="10:18" ht="31.5" x14ac:dyDescent="0.6">
      <c r="L134" s="269" t="s">
        <v>121</v>
      </c>
      <c r="M134" s="166"/>
      <c r="N134" s="166"/>
      <c r="O134" s="166"/>
      <c r="P134" s="166"/>
      <c r="Q134" s="166"/>
      <c r="R134" s="166"/>
    </row>
    <row r="135" spans="10:18" x14ac:dyDescent="0.6">
      <c r="L135" s="156" t="s">
        <v>116</v>
      </c>
      <c r="M135" s="151" t="s">
        <v>104</v>
      </c>
      <c r="N135" s="151" t="s">
        <v>105</v>
      </c>
      <c r="O135" s="151" t="s">
        <v>106</v>
      </c>
      <c r="P135" s="151" t="s">
        <v>107</v>
      </c>
      <c r="Q135" s="151" t="s">
        <v>108</v>
      </c>
      <c r="R135" s="151" t="s">
        <v>94</v>
      </c>
    </row>
    <row r="136" spans="10:18" x14ac:dyDescent="0.6">
      <c r="L136" s="90">
        <v>2022</v>
      </c>
      <c r="M136" s="173">
        <v>0</v>
      </c>
      <c r="N136" s="173">
        <v>0</v>
      </c>
      <c r="O136" s="173">
        <v>0.873</v>
      </c>
      <c r="P136" s="484">
        <v>0.89470000000000005</v>
      </c>
      <c r="Q136" s="173">
        <v>0</v>
      </c>
      <c r="R136" s="173">
        <v>0</v>
      </c>
    </row>
    <row r="137" spans="10:18" x14ac:dyDescent="0.6">
      <c r="L137" s="90">
        <v>2023</v>
      </c>
      <c r="M137" s="173">
        <v>0</v>
      </c>
      <c r="N137" s="173">
        <v>0</v>
      </c>
      <c r="O137" s="173">
        <v>0.875</v>
      </c>
      <c r="P137" s="484">
        <v>0.90129999999999999</v>
      </c>
      <c r="Q137" s="173">
        <v>0.5</v>
      </c>
      <c r="R137" s="173">
        <v>0</v>
      </c>
    </row>
    <row r="138" spans="10:18" x14ac:dyDescent="0.6">
      <c r="L138" s="90">
        <v>2024</v>
      </c>
      <c r="M138" s="173">
        <v>0</v>
      </c>
      <c r="N138" s="173">
        <v>0</v>
      </c>
      <c r="O138" s="173">
        <v>0.7</v>
      </c>
      <c r="P138" s="484">
        <v>0.90790000000000004</v>
      </c>
      <c r="Q138" s="173">
        <v>0.8</v>
      </c>
      <c r="R138" s="173">
        <v>0</v>
      </c>
    </row>
    <row r="139" spans="10:18" x14ac:dyDescent="0.6">
      <c r="L139" s="90">
        <v>2025</v>
      </c>
      <c r="M139" s="173">
        <v>0</v>
      </c>
      <c r="N139" s="173">
        <v>0</v>
      </c>
      <c r="O139" s="173">
        <v>0.7</v>
      </c>
      <c r="P139" s="484">
        <v>0.91449999999999998</v>
      </c>
      <c r="Q139" s="173">
        <v>0.8</v>
      </c>
      <c r="R139" s="173">
        <v>0</v>
      </c>
    </row>
    <row r="140" spans="10:18" x14ac:dyDescent="0.6">
      <c r="L140" s="90">
        <v>2026</v>
      </c>
      <c r="M140" s="173">
        <v>0</v>
      </c>
      <c r="N140" s="173">
        <v>0</v>
      </c>
      <c r="O140" s="173">
        <v>0.7</v>
      </c>
      <c r="P140" s="485">
        <v>0.92110000000000003</v>
      </c>
      <c r="Q140" s="173">
        <v>0.8</v>
      </c>
      <c r="R140" s="173">
        <v>0</v>
      </c>
    </row>
    <row r="141" spans="10:18" x14ac:dyDescent="0.6">
      <c r="L141" s="90">
        <v>2027</v>
      </c>
      <c r="M141" s="173">
        <v>0</v>
      </c>
      <c r="N141" s="173">
        <v>0</v>
      </c>
      <c r="O141" s="173">
        <v>0.7</v>
      </c>
      <c r="P141" s="485">
        <v>0.92769999999999997</v>
      </c>
      <c r="Q141" s="173">
        <v>0.8</v>
      </c>
      <c r="R141" s="173">
        <v>0</v>
      </c>
    </row>
    <row r="142" spans="10:18" x14ac:dyDescent="0.6">
      <c r="L142" s="90">
        <v>2028</v>
      </c>
      <c r="M142" s="173">
        <v>0</v>
      </c>
      <c r="N142" s="173">
        <v>0</v>
      </c>
      <c r="O142" s="173">
        <v>0.7</v>
      </c>
      <c r="P142" s="486">
        <v>0.93420000000000003</v>
      </c>
      <c r="Q142" s="173">
        <v>0.8</v>
      </c>
      <c r="R142" s="173">
        <v>0</v>
      </c>
    </row>
    <row r="143" spans="10:18" x14ac:dyDescent="0.6">
      <c r="L143" s="90">
        <v>2029</v>
      </c>
      <c r="M143" s="173">
        <v>0</v>
      </c>
      <c r="N143" s="173">
        <v>0</v>
      </c>
      <c r="O143" s="173">
        <v>0.7</v>
      </c>
      <c r="P143" s="481">
        <v>0.87809999999999999</v>
      </c>
      <c r="Q143" s="173">
        <v>0.8</v>
      </c>
      <c r="R143" s="173">
        <v>0</v>
      </c>
    </row>
    <row r="144" spans="10:18" x14ac:dyDescent="0.6">
      <c r="L144" s="90">
        <v>2030</v>
      </c>
      <c r="M144" s="173">
        <v>0</v>
      </c>
      <c r="N144" s="173">
        <v>0</v>
      </c>
      <c r="O144" s="173">
        <v>0.7</v>
      </c>
      <c r="P144" s="481">
        <v>0.87809999999999999</v>
      </c>
      <c r="Q144" s="173">
        <v>0.8</v>
      </c>
      <c r="R144" s="173">
        <v>0</v>
      </c>
    </row>
    <row r="145" spans="12:18" x14ac:dyDescent="0.6">
      <c r="L145" s="90">
        <v>2031</v>
      </c>
      <c r="M145" s="173">
        <v>0</v>
      </c>
      <c r="N145" s="173">
        <v>0</v>
      </c>
      <c r="O145" s="173">
        <v>0</v>
      </c>
      <c r="P145" s="481">
        <v>0.87809999999999999</v>
      </c>
      <c r="Q145" s="173">
        <v>0.8</v>
      </c>
      <c r="R145" s="173">
        <v>0</v>
      </c>
    </row>
    <row r="146" spans="12:18" x14ac:dyDescent="0.6">
      <c r="L146" s="90">
        <v>2032</v>
      </c>
      <c r="M146" s="173">
        <v>0</v>
      </c>
      <c r="N146" s="173">
        <v>0</v>
      </c>
      <c r="O146" s="173">
        <v>0</v>
      </c>
      <c r="P146" s="481">
        <v>0.87809999999999999</v>
      </c>
      <c r="Q146" s="173">
        <v>0.8</v>
      </c>
      <c r="R146" s="173">
        <v>0</v>
      </c>
    </row>
    <row r="147" spans="12:18" x14ac:dyDescent="0.6">
      <c r="L147" s="90">
        <v>2033</v>
      </c>
      <c r="M147" s="173">
        <v>0</v>
      </c>
      <c r="N147" s="173">
        <v>0</v>
      </c>
      <c r="O147" s="173">
        <v>0</v>
      </c>
      <c r="P147" s="483">
        <v>0.84440000000000004</v>
      </c>
      <c r="Q147" s="173">
        <v>0.8</v>
      </c>
      <c r="R147" s="173">
        <v>0</v>
      </c>
    </row>
    <row r="148" spans="12:18" x14ac:dyDescent="0.6">
      <c r="L148" s="90">
        <v>2034</v>
      </c>
      <c r="M148" s="173">
        <v>0</v>
      </c>
      <c r="N148" s="173">
        <v>0</v>
      </c>
      <c r="O148" s="173">
        <v>0</v>
      </c>
      <c r="P148" s="483">
        <v>0.81069999999999998</v>
      </c>
      <c r="Q148" s="173">
        <v>0.8</v>
      </c>
      <c r="R148" s="173">
        <v>0</v>
      </c>
    </row>
    <row r="149" spans="12:18" x14ac:dyDescent="0.6">
      <c r="L149" s="90">
        <v>2035</v>
      </c>
      <c r="M149" s="173">
        <v>0</v>
      </c>
      <c r="N149" s="173">
        <v>0</v>
      </c>
      <c r="O149" s="173">
        <v>0</v>
      </c>
      <c r="P149" s="483">
        <v>0.77700000000000002</v>
      </c>
      <c r="Q149" s="173">
        <v>0.8</v>
      </c>
      <c r="R149" s="173">
        <v>0</v>
      </c>
    </row>
    <row r="150" spans="12:18" x14ac:dyDescent="0.6">
      <c r="L150" s="90">
        <v>2036</v>
      </c>
      <c r="M150" s="173">
        <v>0</v>
      </c>
      <c r="N150" s="173">
        <v>0</v>
      </c>
      <c r="O150" s="173">
        <v>0</v>
      </c>
      <c r="P150" s="483">
        <v>0.77700000000000002</v>
      </c>
      <c r="Q150" s="173">
        <v>0.8</v>
      </c>
      <c r="R150" s="173">
        <v>0</v>
      </c>
    </row>
    <row r="151" spans="12:18" x14ac:dyDescent="0.6">
      <c r="L151" s="90">
        <v>2037</v>
      </c>
      <c r="M151" s="173">
        <v>0</v>
      </c>
      <c r="N151" s="173">
        <v>0</v>
      </c>
      <c r="O151" s="173">
        <v>0</v>
      </c>
      <c r="P151" s="483">
        <v>0.77700000000000002</v>
      </c>
      <c r="Q151" s="173">
        <v>0.8</v>
      </c>
      <c r="R151" s="173">
        <v>0</v>
      </c>
    </row>
    <row r="152" spans="12:18" x14ac:dyDescent="0.6">
      <c r="L152" s="90">
        <v>2038</v>
      </c>
      <c r="M152" s="173">
        <v>0</v>
      </c>
      <c r="N152" s="173">
        <v>0</v>
      </c>
      <c r="O152" s="173">
        <v>0</v>
      </c>
      <c r="P152" s="483">
        <v>0.77700000000000002</v>
      </c>
      <c r="Q152" s="173">
        <v>0.8</v>
      </c>
      <c r="R152" s="173">
        <v>0</v>
      </c>
    </row>
    <row r="153" spans="12:18" x14ac:dyDescent="0.6">
      <c r="L153" s="90">
        <v>2039</v>
      </c>
      <c r="M153" s="173">
        <v>0</v>
      </c>
      <c r="N153" s="173">
        <v>0</v>
      </c>
      <c r="O153" s="173">
        <v>0</v>
      </c>
      <c r="P153" s="483">
        <v>0.77700000000000002</v>
      </c>
      <c r="Q153" s="173">
        <v>0.8</v>
      </c>
      <c r="R153" s="173">
        <v>0</v>
      </c>
    </row>
    <row r="154" spans="12:18" x14ac:dyDescent="0.6">
      <c r="L154" s="90">
        <v>2040</v>
      </c>
      <c r="M154" s="173">
        <v>0</v>
      </c>
      <c r="N154" s="173">
        <v>0</v>
      </c>
      <c r="O154" s="173">
        <v>0</v>
      </c>
      <c r="P154" s="483">
        <v>0.77700000000000002</v>
      </c>
      <c r="Q154" s="173">
        <v>0.8</v>
      </c>
      <c r="R154" s="173">
        <v>0</v>
      </c>
    </row>
    <row r="155" spans="12:18" x14ac:dyDescent="0.6">
      <c r="L155" s="90">
        <v>2041</v>
      </c>
      <c r="M155" s="173">
        <v>0</v>
      </c>
      <c r="N155" s="173">
        <v>0</v>
      </c>
      <c r="O155" s="173">
        <v>0</v>
      </c>
      <c r="P155" s="173">
        <v>0</v>
      </c>
      <c r="Q155" s="173">
        <v>0.8</v>
      </c>
      <c r="R155" s="173">
        <v>0</v>
      </c>
    </row>
    <row r="156" spans="12:18" x14ac:dyDescent="0.6">
      <c r="L156" s="90">
        <v>2042</v>
      </c>
      <c r="M156" s="173">
        <v>0</v>
      </c>
      <c r="N156" s="173">
        <v>0</v>
      </c>
      <c r="O156" s="173">
        <v>0</v>
      </c>
      <c r="P156" s="173">
        <v>0</v>
      </c>
      <c r="Q156" s="173">
        <v>0.8</v>
      </c>
      <c r="R156" s="173">
        <v>0</v>
      </c>
    </row>
    <row r="157" spans="12:18" x14ac:dyDescent="0.6">
      <c r="L157" s="90">
        <v>2043</v>
      </c>
      <c r="M157" s="173">
        <v>0</v>
      </c>
      <c r="N157" s="173">
        <v>0</v>
      </c>
      <c r="O157" s="173">
        <v>0</v>
      </c>
      <c r="P157" s="173">
        <v>0</v>
      </c>
      <c r="Q157" s="173">
        <v>0.8</v>
      </c>
      <c r="R157" s="173">
        <v>0</v>
      </c>
    </row>
    <row r="158" spans="12:18" x14ac:dyDescent="0.6">
      <c r="L158" s="90">
        <v>2044</v>
      </c>
      <c r="M158" s="173">
        <v>0</v>
      </c>
      <c r="N158" s="173">
        <v>0</v>
      </c>
      <c r="O158" s="173">
        <v>0</v>
      </c>
      <c r="P158" s="173">
        <v>0</v>
      </c>
      <c r="Q158" s="173">
        <v>0.8</v>
      </c>
      <c r="R158" s="173">
        <v>0</v>
      </c>
    </row>
    <row r="159" spans="12:18" x14ac:dyDescent="0.6">
      <c r="L159" s="90">
        <v>2045</v>
      </c>
      <c r="M159" s="173">
        <v>0</v>
      </c>
      <c r="N159" s="173">
        <v>0</v>
      </c>
      <c r="O159" s="173">
        <v>0</v>
      </c>
      <c r="P159" s="173">
        <v>0</v>
      </c>
      <c r="Q159" s="173">
        <v>0.8</v>
      </c>
      <c r="R159" s="173">
        <v>0</v>
      </c>
    </row>
    <row r="160" spans="12:18" x14ac:dyDescent="0.6">
      <c r="L160" s="90">
        <v>2046</v>
      </c>
      <c r="M160" s="173">
        <v>0</v>
      </c>
      <c r="N160" s="173">
        <v>0</v>
      </c>
      <c r="O160" s="173">
        <v>0</v>
      </c>
      <c r="P160" s="173">
        <v>0</v>
      </c>
      <c r="Q160" s="173">
        <v>0.8</v>
      </c>
      <c r="R160" s="173">
        <v>0</v>
      </c>
    </row>
    <row r="161" spans="3:18" x14ac:dyDescent="0.6">
      <c r="L161" s="90">
        <v>2047</v>
      </c>
      <c r="M161" s="173">
        <v>0</v>
      </c>
      <c r="N161" s="173">
        <v>0</v>
      </c>
      <c r="O161" s="173">
        <v>0</v>
      </c>
      <c r="P161" s="173">
        <v>0</v>
      </c>
      <c r="Q161" s="173">
        <v>0.8</v>
      </c>
      <c r="R161" s="173">
        <v>0</v>
      </c>
    </row>
    <row r="162" spans="3:18" x14ac:dyDescent="0.6">
      <c r="L162" s="90">
        <v>2048</v>
      </c>
      <c r="M162" s="173">
        <v>0</v>
      </c>
      <c r="N162" s="173">
        <v>0</v>
      </c>
      <c r="O162" s="173">
        <v>0</v>
      </c>
      <c r="P162" s="173">
        <v>0</v>
      </c>
      <c r="Q162" s="173">
        <v>0.8</v>
      </c>
      <c r="R162" s="173">
        <v>0</v>
      </c>
    </row>
    <row r="163" spans="3:18" x14ac:dyDescent="0.6">
      <c r="L163" s="90">
        <v>2049</v>
      </c>
      <c r="M163" s="173">
        <v>0</v>
      </c>
      <c r="N163" s="173">
        <v>0</v>
      </c>
      <c r="O163" s="173">
        <v>0</v>
      </c>
      <c r="P163" s="173">
        <v>0</v>
      </c>
      <c r="Q163" s="173">
        <v>0.8</v>
      </c>
      <c r="R163" s="173">
        <v>0</v>
      </c>
    </row>
    <row r="164" spans="3:18" x14ac:dyDescent="0.6">
      <c r="L164" s="90">
        <v>2050</v>
      </c>
      <c r="M164" s="173">
        <v>0</v>
      </c>
      <c r="N164" s="173">
        <v>0</v>
      </c>
      <c r="O164" s="173">
        <v>0</v>
      </c>
      <c r="P164" s="173">
        <v>0</v>
      </c>
      <c r="Q164" s="173">
        <v>0.8</v>
      </c>
      <c r="R164" s="173">
        <v>0</v>
      </c>
    </row>
    <row r="166" spans="3:18" x14ac:dyDescent="0.6">
      <c r="C166" s="80" t="s">
        <v>26</v>
      </c>
      <c r="D166" s="80" t="s">
        <v>122</v>
      </c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</row>
    <row r="167" spans="3:18" x14ac:dyDescent="0.6">
      <c r="D167" s="75" t="s">
        <v>123</v>
      </c>
    </row>
    <row r="168" spans="3:18" x14ac:dyDescent="0.6">
      <c r="C168" s="75" t="s">
        <v>124</v>
      </c>
    </row>
    <row r="170" spans="3:18" x14ac:dyDescent="0.6">
      <c r="C170" s="149" t="s">
        <v>125</v>
      </c>
      <c r="D170" s="150"/>
    </row>
    <row r="171" spans="3:18" ht="31.5" x14ac:dyDescent="0.6">
      <c r="C171" s="96" t="s">
        <v>126</v>
      </c>
      <c r="D171" s="96" t="s">
        <v>127</v>
      </c>
      <c r="E171" s="96" t="s">
        <v>128</v>
      </c>
      <c r="H171" s="96" t="s">
        <v>30</v>
      </c>
      <c r="I171" s="96" t="s">
        <v>129</v>
      </c>
      <c r="L171" s="96" t="s">
        <v>30</v>
      </c>
      <c r="M171" s="269" t="s">
        <v>130</v>
      </c>
      <c r="O171" s="96" t="s">
        <v>30</v>
      </c>
      <c r="P171" s="269" t="s">
        <v>131</v>
      </c>
    </row>
    <row r="172" spans="3:18" x14ac:dyDescent="0.6">
      <c r="C172" s="156" t="s">
        <v>132</v>
      </c>
      <c r="D172" s="179">
        <f>SUM(D173:D176)</f>
        <v>3072</v>
      </c>
      <c r="E172" s="106"/>
      <c r="F172" s="169"/>
      <c r="G172" s="169"/>
      <c r="H172" s="90">
        <v>2022</v>
      </c>
      <c r="I172" s="173"/>
      <c r="L172" s="90">
        <v>2022</v>
      </c>
      <c r="M172" s="175">
        <v>0.45</v>
      </c>
      <c r="O172" s="90">
        <v>2022</v>
      </c>
      <c r="P172" s="175">
        <v>1</v>
      </c>
    </row>
    <row r="173" spans="3:18" x14ac:dyDescent="0.6">
      <c r="C173" s="106" t="s">
        <v>133</v>
      </c>
      <c r="D173" s="174">
        <v>1327</v>
      </c>
      <c r="E173" s="90" t="s">
        <v>134</v>
      </c>
      <c r="H173" s="90">
        <v>2023</v>
      </c>
      <c r="I173" s="173"/>
      <c r="L173" s="90">
        <v>2023</v>
      </c>
      <c r="M173" s="175">
        <v>0.56030000000000002</v>
      </c>
      <c r="O173" s="90">
        <v>2023</v>
      </c>
      <c r="P173" s="175">
        <v>1</v>
      </c>
    </row>
    <row r="174" spans="3:18" x14ac:dyDescent="0.6">
      <c r="C174" s="106" t="s">
        <v>135</v>
      </c>
      <c r="D174" s="174">
        <v>740</v>
      </c>
      <c r="E174" s="90" t="s">
        <v>134</v>
      </c>
      <c r="H174" s="90">
        <v>2024</v>
      </c>
      <c r="I174" s="173"/>
      <c r="L174" s="90">
        <v>2024</v>
      </c>
      <c r="M174" s="175">
        <v>0.54559999999999997</v>
      </c>
      <c r="O174" s="90">
        <v>2024</v>
      </c>
      <c r="P174" s="175">
        <v>1</v>
      </c>
    </row>
    <row r="175" spans="3:18" x14ac:dyDescent="0.6">
      <c r="C175" s="106" t="s">
        <v>136</v>
      </c>
      <c r="D175" s="174">
        <v>670</v>
      </c>
      <c r="E175" s="90" t="s">
        <v>137</v>
      </c>
      <c r="H175" s="90">
        <v>2025</v>
      </c>
      <c r="I175" s="173"/>
      <c r="L175" s="90">
        <v>2025</v>
      </c>
      <c r="M175" s="175">
        <v>0.626</v>
      </c>
      <c r="O175" s="90">
        <v>2025</v>
      </c>
      <c r="P175" s="175">
        <v>1</v>
      </c>
    </row>
    <row r="176" spans="3:18" x14ac:dyDescent="0.6">
      <c r="C176" s="106" t="s">
        <v>138</v>
      </c>
      <c r="D176" s="174">
        <v>335</v>
      </c>
      <c r="E176" s="90" t="s">
        <v>139</v>
      </c>
      <c r="H176" s="90">
        <v>2026</v>
      </c>
      <c r="I176" s="173"/>
      <c r="L176" s="90">
        <v>2026</v>
      </c>
      <c r="M176" s="175">
        <v>0.14133780969896842</v>
      </c>
      <c r="O176" s="90">
        <v>2026</v>
      </c>
      <c r="P176" s="175">
        <v>1</v>
      </c>
    </row>
    <row r="177" spans="3:16" x14ac:dyDescent="0.6">
      <c r="C177" s="106" t="s">
        <v>140</v>
      </c>
      <c r="D177" s="174">
        <v>1000</v>
      </c>
      <c r="E177" s="90" t="s">
        <v>141</v>
      </c>
      <c r="H177" s="90">
        <v>2027</v>
      </c>
      <c r="I177" s="173"/>
      <c r="L177" s="90">
        <v>2027</v>
      </c>
      <c r="M177" s="175">
        <v>0.1461268140643498</v>
      </c>
      <c r="O177" s="90">
        <v>2027</v>
      </c>
      <c r="P177" s="175">
        <v>1</v>
      </c>
    </row>
    <row r="178" spans="3:16" x14ac:dyDescent="0.6">
      <c r="C178" s="106" t="s">
        <v>142</v>
      </c>
      <c r="D178" s="174">
        <v>2000</v>
      </c>
      <c r="E178" s="90" t="s">
        <v>141</v>
      </c>
      <c r="H178" s="90">
        <v>2028</v>
      </c>
      <c r="I178" s="174">
        <f>SUM(D177:D178)</f>
        <v>3000</v>
      </c>
      <c r="L178" s="90">
        <v>2028</v>
      </c>
      <c r="M178" s="175">
        <v>0.15091581842973117</v>
      </c>
      <c r="O178" s="90">
        <v>2028</v>
      </c>
      <c r="P178" s="175">
        <v>1</v>
      </c>
    </row>
    <row r="179" spans="3:16" x14ac:dyDescent="0.6">
      <c r="H179" s="90">
        <v>2029</v>
      </c>
      <c r="I179" s="173"/>
      <c r="L179" s="90">
        <v>2029</v>
      </c>
      <c r="M179" s="175">
        <v>0.15570482279511255</v>
      </c>
      <c r="O179" s="90">
        <v>2029</v>
      </c>
      <c r="P179" s="175">
        <v>1</v>
      </c>
    </row>
    <row r="180" spans="3:16" x14ac:dyDescent="0.6">
      <c r="C180" s="149" t="s">
        <v>143</v>
      </c>
      <c r="D180" s="150"/>
      <c r="H180" s="90">
        <v>2030</v>
      </c>
      <c r="I180" s="173"/>
      <c r="L180" s="90">
        <v>2030</v>
      </c>
      <c r="M180" s="175">
        <v>0.16049382716049385</v>
      </c>
      <c r="O180" s="90">
        <v>2030</v>
      </c>
      <c r="P180" s="175">
        <v>1</v>
      </c>
    </row>
    <row r="181" spans="3:16" x14ac:dyDescent="0.6">
      <c r="C181" s="106" t="s">
        <v>144</v>
      </c>
      <c r="D181" s="176">
        <v>3.6</v>
      </c>
      <c r="L181" s="90">
        <v>2031</v>
      </c>
      <c r="M181" s="175">
        <v>0.16049382716049385</v>
      </c>
      <c r="O181" s="90">
        <v>2031</v>
      </c>
      <c r="P181" s="175">
        <v>1</v>
      </c>
    </row>
    <row r="182" spans="3:16" x14ac:dyDescent="0.6">
      <c r="C182" s="106" t="s">
        <v>145</v>
      </c>
      <c r="D182" s="175">
        <v>0.4</v>
      </c>
      <c r="L182" s="90">
        <v>2032</v>
      </c>
      <c r="M182" s="175">
        <v>0.16049382716049385</v>
      </c>
      <c r="O182" s="90">
        <v>2032</v>
      </c>
      <c r="P182" s="175">
        <v>1</v>
      </c>
    </row>
    <row r="183" spans="3:16" x14ac:dyDescent="0.6">
      <c r="C183" s="106" t="s">
        <v>146</v>
      </c>
      <c r="D183" s="176">
        <v>36.9</v>
      </c>
      <c r="L183" s="90">
        <v>2033</v>
      </c>
      <c r="M183" s="175">
        <v>0.16049382716049385</v>
      </c>
      <c r="O183" s="90">
        <v>2033</v>
      </c>
      <c r="P183" s="175">
        <v>1</v>
      </c>
    </row>
    <row r="184" spans="3:16" x14ac:dyDescent="0.6">
      <c r="L184" s="90">
        <v>2034</v>
      </c>
      <c r="M184" s="175">
        <v>0.16049382716049385</v>
      </c>
      <c r="O184" s="90">
        <v>2034</v>
      </c>
      <c r="P184" s="175">
        <v>1</v>
      </c>
    </row>
    <row r="185" spans="3:16" x14ac:dyDescent="0.6">
      <c r="L185" s="90">
        <v>2035</v>
      </c>
      <c r="M185" s="175">
        <v>0.16049382716049385</v>
      </c>
      <c r="O185" s="90">
        <v>2035</v>
      </c>
      <c r="P185" s="175">
        <v>1</v>
      </c>
    </row>
    <row r="186" spans="3:16" x14ac:dyDescent="0.6">
      <c r="C186" s="80" t="s">
        <v>26</v>
      </c>
      <c r="D186" s="80" t="s">
        <v>147</v>
      </c>
      <c r="E186" s="80"/>
      <c r="F186" s="80"/>
      <c r="G186" s="80"/>
      <c r="H186" s="80"/>
      <c r="L186" s="90">
        <v>2036</v>
      </c>
      <c r="M186" s="175">
        <v>0.16049382716049385</v>
      </c>
      <c r="O186" s="90">
        <v>2036</v>
      </c>
      <c r="P186" s="175">
        <v>1</v>
      </c>
    </row>
    <row r="187" spans="3:16" x14ac:dyDescent="0.6">
      <c r="L187" s="90">
        <v>2037</v>
      </c>
      <c r="M187" s="175">
        <v>0.16049382716049385</v>
      </c>
      <c r="O187" s="90">
        <v>2037</v>
      </c>
      <c r="P187" s="175">
        <v>1</v>
      </c>
    </row>
    <row r="188" spans="3:16" x14ac:dyDescent="0.6">
      <c r="C188" s="149" t="s">
        <v>148</v>
      </c>
      <c r="D188" s="150"/>
      <c r="E188" s="150"/>
      <c r="L188" s="90">
        <v>2038</v>
      </c>
      <c r="M188" s="175">
        <v>0.16049382716049385</v>
      </c>
      <c r="O188" s="90">
        <v>2038</v>
      </c>
      <c r="P188" s="175">
        <v>1</v>
      </c>
    </row>
    <row r="189" spans="3:16" x14ac:dyDescent="0.6">
      <c r="C189" s="151" t="s">
        <v>30</v>
      </c>
      <c r="D189" s="151" t="s">
        <v>149</v>
      </c>
      <c r="E189" s="151" t="s">
        <v>150</v>
      </c>
      <c r="F189" s="77"/>
      <c r="G189" s="156" t="s">
        <v>52</v>
      </c>
      <c r="H189" s="156" t="s">
        <v>151</v>
      </c>
      <c r="L189" s="90">
        <v>2039</v>
      </c>
      <c r="M189" s="175">
        <v>0.16049382716049385</v>
      </c>
      <c r="O189" s="90">
        <v>2039</v>
      </c>
      <c r="P189" s="175">
        <v>1</v>
      </c>
    </row>
    <row r="190" spans="3:16" x14ac:dyDescent="0.6">
      <c r="C190" s="90">
        <v>2008</v>
      </c>
      <c r="D190" s="174"/>
      <c r="E190" s="174"/>
      <c r="G190" s="174">
        <f t="shared" ref="G190:G232" si="76">SUM(D190:E190)</f>
        <v>0</v>
      </c>
      <c r="H190" s="131">
        <f>(G190/12*3)+(G191/12*9)</f>
        <v>0</v>
      </c>
      <c r="L190" s="90">
        <v>2040</v>
      </c>
      <c r="M190" s="175">
        <v>0.16049382716049385</v>
      </c>
      <c r="O190" s="90">
        <v>2040</v>
      </c>
      <c r="P190" s="175">
        <v>1</v>
      </c>
    </row>
    <row r="191" spans="3:16" x14ac:dyDescent="0.6">
      <c r="C191" s="90">
        <v>2009</v>
      </c>
      <c r="D191" s="174"/>
      <c r="E191" s="174"/>
      <c r="G191" s="174">
        <f t="shared" si="76"/>
        <v>0</v>
      </c>
      <c r="H191" s="131">
        <f>(G191/12*3)+(G192/12*9)</f>
        <v>0</v>
      </c>
      <c r="L191" s="90">
        <v>2041</v>
      </c>
      <c r="M191" s="175">
        <v>0.16049382716049385</v>
      </c>
      <c r="O191" s="90">
        <v>2041</v>
      </c>
      <c r="P191" s="175">
        <v>1</v>
      </c>
    </row>
    <row r="192" spans="3:16" x14ac:dyDescent="0.6">
      <c r="C192" s="90">
        <v>2010</v>
      </c>
      <c r="D192" s="174"/>
      <c r="E192" s="174"/>
      <c r="G192" s="174">
        <f t="shared" si="76"/>
        <v>0</v>
      </c>
      <c r="H192" s="131">
        <f>(G192/12*3)+(G193/12*9)</f>
        <v>0</v>
      </c>
      <c r="L192" s="90">
        <v>2042</v>
      </c>
      <c r="M192" s="175">
        <v>0.16049382716049385</v>
      </c>
      <c r="O192" s="90">
        <v>2042</v>
      </c>
      <c r="P192" s="175">
        <v>1</v>
      </c>
    </row>
    <row r="193" spans="3:16" x14ac:dyDescent="0.6">
      <c r="C193" s="90">
        <v>2011</v>
      </c>
      <c r="D193" s="174"/>
      <c r="E193" s="174"/>
      <c r="G193" s="174">
        <f t="shared" si="76"/>
        <v>0</v>
      </c>
      <c r="H193" s="131">
        <f>(G193/12*3)+(G194/12*9)</f>
        <v>0</v>
      </c>
      <c r="L193" s="90">
        <v>2043</v>
      </c>
      <c r="M193" s="175">
        <v>0.16049382716049385</v>
      </c>
      <c r="O193" s="90">
        <v>2043</v>
      </c>
      <c r="P193" s="175">
        <v>1</v>
      </c>
    </row>
    <row r="194" spans="3:16" x14ac:dyDescent="0.6">
      <c r="C194" s="90">
        <v>2012</v>
      </c>
      <c r="D194" s="174"/>
      <c r="E194" s="174"/>
      <c r="G194" s="174">
        <f t="shared" si="76"/>
        <v>0</v>
      </c>
      <c r="H194" s="132">
        <f>(G194/12*3)+(G195/12*9)/9*12</f>
        <v>1905</v>
      </c>
      <c r="L194" s="90">
        <v>2044</v>
      </c>
      <c r="M194" s="175">
        <v>0.16049382716049385</v>
      </c>
      <c r="O194" s="90">
        <v>2044</v>
      </c>
      <c r="P194" s="175">
        <v>1</v>
      </c>
    </row>
    <row r="195" spans="3:16" x14ac:dyDescent="0.6">
      <c r="C195" s="90">
        <v>2013</v>
      </c>
      <c r="D195" s="174">
        <v>1905</v>
      </c>
      <c r="E195" s="174"/>
      <c r="G195" s="174">
        <f t="shared" si="76"/>
        <v>1905</v>
      </c>
      <c r="H195" s="130">
        <f>(G195/12*3)+(G196/12*9)</f>
        <v>3192</v>
      </c>
      <c r="L195" s="90">
        <v>2045</v>
      </c>
      <c r="M195" s="175">
        <v>0.16049382716049385</v>
      </c>
      <c r="O195" s="90">
        <v>2045</v>
      </c>
      <c r="P195" s="175">
        <v>1</v>
      </c>
    </row>
    <row r="196" spans="3:16" x14ac:dyDescent="0.6">
      <c r="C196" s="90">
        <v>2014</v>
      </c>
      <c r="D196" s="174">
        <v>3621</v>
      </c>
      <c r="E196" s="174"/>
      <c r="G196" s="174">
        <f t="shared" si="76"/>
        <v>3621</v>
      </c>
      <c r="H196" s="130">
        <f>(G196/12*3)+(G197/12*9)</f>
        <v>3687</v>
      </c>
      <c r="L196" s="90">
        <v>2046</v>
      </c>
      <c r="M196" s="175">
        <v>0.16049382716049385</v>
      </c>
      <c r="O196" s="90">
        <v>2046</v>
      </c>
      <c r="P196" s="175">
        <v>1</v>
      </c>
    </row>
    <row r="197" spans="3:16" x14ac:dyDescent="0.6">
      <c r="C197" s="90">
        <v>2015</v>
      </c>
      <c r="D197" s="174">
        <v>3709</v>
      </c>
      <c r="E197" s="174"/>
      <c r="G197" s="174">
        <f t="shared" si="76"/>
        <v>3709</v>
      </c>
      <c r="H197" s="130">
        <f>(G197/12*3)+(G198/12*9)</f>
        <v>3879.25</v>
      </c>
      <c r="L197" s="90">
        <v>2047</v>
      </c>
      <c r="M197" s="175">
        <v>0.16049382716049385</v>
      </c>
      <c r="O197" s="90">
        <v>2047</v>
      </c>
      <c r="P197" s="175">
        <v>1</v>
      </c>
    </row>
    <row r="198" spans="3:16" x14ac:dyDescent="0.6">
      <c r="C198" s="90">
        <v>2016</v>
      </c>
      <c r="D198" s="174">
        <v>3936</v>
      </c>
      <c r="E198" s="174"/>
      <c r="G198" s="174">
        <f t="shared" si="76"/>
        <v>3936</v>
      </c>
      <c r="H198" s="130">
        <f>(G198/12*3)+(29/12*9)</f>
        <v>1005.75</v>
      </c>
      <c r="L198" s="90">
        <v>2048</v>
      </c>
      <c r="M198" s="175">
        <v>0.16049382716049385</v>
      </c>
      <c r="O198" s="90">
        <v>2048</v>
      </c>
      <c r="P198" s="175">
        <v>1</v>
      </c>
    </row>
    <row r="199" spans="3:16" x14ac:dyDescent="0.6">
      <c r="C199" s="90">
        <v>2017</v>
      </c>
      <c r="D199" s="174">
        <v>33.378999999999998</v>
      </c>
      <c r="E199" s="174">
        <v>93.931684999999845</v>
      </c>
      <c r="G199" s="174">
        <f t="shared" si="76"/>
        <v>127.31068499999984</v>
      </c>
      <c r="H199" s="132">
        <f>G199</f>
        <v>127.31068499999984</v>
      </c>
      <c r="L199" s="90">
        <v>2049</v>
      </c>
      <c r="M199" s="175">
        <v>0.16049382716049385</v>
      </c>
      <c r="O199" s="90">
        <v>2049</v>
      </c>
      <c r="P199" s="175">
        <v>1</v>
      </c>
    </row>
    <row r="200" spans="3:16" x14ac:dyDescent="0.6">
      <c r="C200" s="90">
        <v>2018</v>
      </c>
      <c r="D200" s="174">
        <v>510.22641600000003</v>
      </c>
      <c r="E200" s="174">
        <v>388.64481199999972</v>
      </c>
      <c r="G200" s="174">
        <f t="shared" si="76"/>
        <v>898.87122799999975</v>
      </c>
      <c r="H200" s="132">
        <f t="shared" ref="H200:H232" si="77">G200</f>
        <v>898.87122799999975</v>
      </c>
      <c r="L200" s="90">
        <v>2050</v>
      </c>
      <c r="M200" s="175">
        <v>0.16049382716049385</v>
      </c>
      <c r="O200" s="90">
        <v>2050</v>
      </c>
      <c r="P200" s="175">
        <v>1</v>
      </c>
    </row>
    <row r="201" spans="3:16" x14ac:dyDescent="0.6">
      <c r="C201" s="90">
        <v>2019</v>
      </c>
      <c r="D201" s="174">
        <v>1537.9800999999995</v>
      </c>
      <c r="E201" s="174">
        <v>610.7705749999991</v>
      </c>
      <c r="G201" s="174">
        <f t="shared" si="76"/>
        <v>2148.7506749999984</v>
      </c>
      <c r="H201" s="132">
        <f t="shared" si="77"/>
        <v>2148.7506749999984</v>
      </c>
    </row>
    <row r="202" spans="3:16" x14ac:dyDescent="0.6">
      <c r="C202" s="90">
        <v>2020</v>
      </c>
      <c r="D202" s="174">
        <v>1250.98224</v>
      </c>
      <c r="E202" s="174">
        <v>661.40503200000057</v>
      </c>
      <c r="G202" s="174">
        <f t="shared" si="76"/>
        <v>1912.3872720000006</v>
      </c>
      <c r="H202" s="132">
        <f t="shared" si="77"/>
        <v>1912.3872720000006</v>
      </c>
    </row>
    <row r="203" spans="3:16" ht="36.950000000000003" customHeight="1" x14ac:dyDescent="0.6">
      <c r="C203" s="90">
        <v>2021</v>
      </c>
      <c r="D203" s="174">
        <v>2235.4810000000002</v>
      </c>
      <c r="E203" s="174">
        <v>976.05205199999921</v>
      </c>
      <c r="G203" s="174">
        <f t="shared" si="76"/>
        <v>3211.5330519999993</v>
      </c>
      <c r="H203" s="132">
        <f t="shared" si="77"/>
        <v>3211.5330519999993</v>
      </c>
      <c r="L203" s="96" t="s">
        <v>30</v>
      </c>
      <c r="M203" s="269" t="s">
        <v>152</v>
      </c>
      <c r="O203" s="96" t="s">
        <v>30</v>
      </c>
      <c r="P203" s="269" t="s">
        <v>153</v>
      </c>
    </row>
    <row r="204" spans="3:16" x14ac:dyDescent="0.6">
      <c r="C204" s="90">
        <v>2022</v>
      </c>
      <c r="D204" s="174">
        <v>2628.4164799999999</v>
      </c>
      <c r="E204" s="174">
        <v>991.31039099999873</v>
      </c>
      <c r="G204" s="174">
        <f t="shared" si="76"/>
        <v>3619.7268709999985</v>
      </c>
      <c r="H204" s="132">
        <f t="shared" si="77"/>
        <v>3619.7268709999985</v>
      </c>
      <c r="L204" s="90">
        <v>2022</v>
      </c>
      <c r="M204" s="175">
        <v>0.45</v>
      </c>
      <c r="O204" s="90">
        <v>2022</v>
      </c>
      <c r="P204" s="175">
        <v>1</v>
      </c>
    </row>
    <row r="205" spans="3:16" x14ac:dyDescent="0.6">
      <c r="C205" s="90">
        <v>2023</v>
      </c>
      <c r="D205" s="174">
        <v>2903.7064254545298</v>
      </c>
      <c r="E205" s="174">
        <v>1324.5970832727271</v>
      </c>
      <c r="G205" s="174">
        <f t="shared" si="76"/>
        <v>4228.3035087272565</v>
      </c>
      <c r="H205" s="132">
        <f t="shared" si="77"/>
        <v>4228.3035087272565</v>
      </c>
      <c r="L205" s="90">
        <v>2023</v>
      </c>
      <c r="M205" s="175">
        <v>0.56030000000000002</v>
      </c>
      <c r="O205" s="90">
        <v>2023</v>
      </c>
      <c r="P205" s="175">
        <v>1</v>
      </c>
    </row>
    <row r="206" spans="3:16" x14ac:dyDescent="0.6">
      <c r="C206" s="90">
        <v>2024</v>
      </c>
      <c r="D206" s="174">
        <v>1559</v>
      </c>
      <c r="E206" s="174">
        <v>471</v>
      </c>
      <c r="G206" s="174">
        <f t="shared" si="76"/>
        <v>2030</v>
      </c>
      <c r="H206" s="132">
        <f t="shared" si="77"/>
        <v>2030</v>
      </c>
      <c r="L206" s="90">
        <v>2024</v>
      </c>
      <c r="M206" s="175">
        <v>0.54559999999999997</v>
      </c>
      <c r="O206" s="90">
        <v>2024</v>
      </c>
      <c r="P206" s="175">
        <v>1</v>
      </c>
    </row>
    <row r="207" spans="3:16" x14ac:dyDescent="0.6">
      <c r="C207" s="90">
        <v>2025</v>
      </c>
      <c r="D207" s="174">
        <v>2418</v>
      </c>
      <c r="E207" s="174">
        <v>686</v>
      </c>
      <c r="G207" s="174">
        <f t="shared" si="76"/>
        <v>3104</v>
      </c>
      <c r="H207" s="132">
        <f t="shared" si="77"/>
        <v>3104</v>
      </c>
      <c r="L207" s="90">
        <v>2025</v>
      </c>
      <c r="M207" s="175">
        <v>0.626</v>
      </c>
      <c r="O207" s="90">
        <v>2025</v>
      </c>
      <c r="P207" s="175">
        <v>1</v>
      </c>
    </row>
    <row r="208" spans="3:16" x14ac:dyDescent="0.6">
      <c r="C208" s="90">
        <v>2026</v>
      </c>
      <c r="D208" s="174"/>
      <c r="E208" s="174"/>
      <c r="G208" s="174">
        <f t="shared" si="76"/>
        <v>0</v>
      </c>
      <c r="H208" s="132">
        <f t="shared" si="77"/>
        <v>0</v>
      </c>
      <c r="L208" s="90">
        <v>2026</v>
      </c>
      <c r="M208" s="175">
        <v>0.7</v>
      </c>
      <c r="O208" s="90">
        <v>2026</v>
      </c>
      <c r="P208" s="175">
        <v>1</v>
      </c>
    </row>
    <row r="209" spans="3:16" x14ac:dyDescent="0.6">
      <c r="C209" s="90">
        <v>2027</v>
      </c>
      <c r="D209" s="174"/>
      <c r="E209" s="174"/>
      <c r="G209" s="174">
        <f t="shared" si="76"/>
        <v>0</v>
      </c>
      <c r="H209" s="132">
        <f t="shared" si="77"/>
        <v>0</v>
      </c>
      <c r="L209" s="90">
        <v>2027</v>
      </c>
      <c r="M209" s="175">
        <v>0.71</v>
      </c>
      <c r="O209" s="90">
        <v>2027</v>
      </c>
      <c r="P209" s="175">
        <v>1</v>
      </c>
    </row>
    <row r="210" spans="3:16" x14ac:dyDescent="0.6">
      <c r="C210" s="90">
        <v>2028</v>
      </c>
      <c r="D210" s="174"/>
      <c r="E210" s="174"/>
      <c r="G210" s="174">
        <f t="shared" si="76"/>
        <v>0</v>
      </c>
      <c r="H210" s="132">
        <f t="shared" si="77"/>
        <v>0</v>
      </c>
      <c r="L210" s="90">
        <v>2028</v>
      </c>
      <c r="M210" s="175">
        <v>0.7</v>
      </c>
      <c r="O210" s="90">
        <v>2028</v>
      </c>
      <c r="P210" s="175">
        <v>1</v>
      </c>
    </row>
    <row r="211" spans="3:16" x14ac:dyDescent="0.6">
      <c r="C211" s="90">
        <v>2029</v>
      </c>
      <c r="D211" s="174"/>
      <c r="E211" s="174"/>
      <c r="G211" s="174">
        <f t="shared" si="76"/>
        <v>0</v>
      </c>
      <c r="H211" s="132">
        <f t="shared" si="77"/>
        <v>0</v>
      </c>
      <c r="L211" s="90">
        <v>2029</v>
      </c>
      <c r="M211" s="175">
        <v>0.7</v>
      </c>
      <c r="O211" s="90">
        <v>2029</v>
      </c>
      <c r="P211" s="175">
        <v>1</v>
      </c>
    </row>
    <row r="212" spans="3:16" x14ac:dyDescent="0.6">
      <c r="C212" s="90">
        <v>2030</v>
      </c>
      <c r="D212" s="174"/>
      <c r="E212" s="174"/>
      <c r="G212" s="174">
        <f t="shared" si="76"/>
        <v>0</v>
      </c>
      <c r="H212" s="132">
        <f t="shared" si="77"/>
        <v>0</v>
      </c>
      <c r="L212" s="90">
        <v>2030</v>
      </c>
      <c r="M212" s="175">
        <v>0.7</v>
      </c>
      <c r="O212" s="90">
        <v>2030</v>
      </c>
      <c r="P212" s="175">
        <v>1</v>
      </c>
    </row>
    <row r="213" spans="3:16" x14ac:dyDescent="0.6">
      <c r="C213" s="90">
        <v>2031</v>
      </c>
      <c r="D213" s="174"/>
      <c r="E213" s="174"/>
      <c r="G213" s="174">
        <f t="shared" si="76"/>
        <v>0</v>
      </c>
      <c r="H213" s="132">
        <f t="shared" si="77"/>
        <v>0</v>
      </c>
      <c r="L213" s="90">
        <v>2031</v>
      </c>
      <c r="M213" s="175">
        <v>0.7</v>
      </c>
      <c r="O213" s="90">
        <v>2031</v>
      </c>
      <c r="P213" s="175">
        <v>1</v>
      </c>
    </row>
    <row r="214" spans="3:16" x14ac:dyDescent="0.6">
      <c r="C214" s="90">
        <v>2032</v>
      </c>
      <c r="D214" s="174"/>
      <c r="E214" s="174"/>
      <c r="G214" s="174">
        <f t="shared" si="76"/>
        <v>0</v>
      </c>
      <c r="H214" s="132">
        <f t="shared" si="77"/>
        <v>0</v>
      </c>
      <c r="L214" s="90">
        <v>2032</v>
      </c>
      <c r="M214" s="175">
        <v>0.7</v>
      </c>
      <c r="O214" s="90">
        <v>2032</v>
      </c>
      <c r="P214" s="175">
        <v>1</v>
      </c>
    </row>
    <row r="215" spans="3:16" x14ac:dyDescent="0.6">
      <c r="C215" s="90">
        <v>2033</v>
      </c>
      <c r="D215" s="174"/>
      <c r="E215" s="174"/>
      <c r="G215" s="174">
        <f t="shared" si="76"/>
        <v>0</v>
      </c>
      <c r="H215" s="132">
        <f t="shared" si="77"/>
        <v>0</v>
      </c>
      <c r="L215" s="90">
        <v>2033</v>
      </c>
      <c r="M215" s="175">
        <v>0.7</v>
      </c>
      <c r="O215" s="90">
        <v>2033</v>
      </c>
      <c r="P215" s="175">
        <v>1</v>
      </c>
    </row>
    <row r="216" spans="3:16" x14ac:dyDescent="0.6">
      <c r="C216" s="90">
        <v>2034</v>
      </c>
      <c r="D216" s="174"/>
      <c r="E216" s="174"/>
      <c r="G216" s="174">
        <f t="shared" si="76"/>
        <v>0</v>
      </c>
      <c r="H216" s="132">
        <f t="shared" si="77"/>
        <v>0</v>
      </c>
      <c r="L216" s="90">
        <v>2034</v>
      </c>
      <c r="M216" s="175">
        <v>0.7</v>
      </c>
      <c r="O216" s="90">
        <v>2034</v>
      </c>
      <c r="P216" s="175">
        <v>1</v>
      </c>
    </row>
    <row r="217" spans="3:16" x14ac:dyDescent="0.6">
      <c r="C217" s="90">
        <v>2035</v>
      </c>
      <c r="D217" s="174"/>
      <c r="E217" s="174"/>
      <c r="G217" s="174">
        <f t="shared" si="76"/>
        <v>0</v>
      </c>
      <c r="H217" s="132">
        <f t="shared" si="77"/>
        <v>0</v>
      </c>
      <c r="L217" s="90">
        <v>2035</v>
      </c>
      <c r="M217" s="175">
        <v>0.7</v>
      </c>
      <c r="O217" s="90">
        <v>2035</v>
      </c>
      <c r="P217" s="175">
        <v>1</v>
      </c>
    </row>
    <row r="218" spans="3:16" x14ac:dyDescent="0.6">
      <c r="C218" s="90">
        <v>2036</v>
      </c>
      <c r="D218" s="174"/>
      <c r="E218" s="174"/>
      <c r="G218" s="174">
        <f t="shared" si="76"/>
        <v>0</v>
      </c>
      <c r="H218" s="132">
        <f t="shared" si="77"/>
        <v>0</v>
      </c>
      <c r="L218" s="90">
        <v>2036</v>
      </c>
      <c r="M218" s="175">
        <v>0.7</v>
      </c>
      <c r="O218" s="90">
        <v>2036</v>
      </c>
      <c r="P218" s="175">
        <v>1</v>
      </c>
    </row>
    <row r="219" spans="3:16" x14ac:dyDescent="0.6">
      <c r="C219" s="90">
        <v>2037</v>
      </c>
      <c r="D219" s="174"/>
      <c r="E219" s="174"/>
      <c r="G219" s="174">
        <f t="shared" si="76"/>
        <v>0</v>
      </c>
      <c r="H219" s="132">
        <f t="shared" si="77"/>
        <v>0</v>
      </c>
      <c r="L219" s="90">
        <v>2037</v>
      </c>
      <c r="M219" s="175">
        <v>0.7</v>
      </c>
      <c r="O219" s="90">
        <v>2037</v>
      </c>
      <c r="P219" s="175">
        <v>1</v>
      </c>
    </row>
    <row r="220" spans="3:16" x14ac:dyDescent="0.6">
      <c r="C220" s="90">
        <v>2038</v>
      </c>
      <c r="D220" s="174"/>
      <c r="E220" s="174"/>
      <c r="G220" s="174">
        <f t="shared" si="76"/>
        <v>0</v>
      </c>
      <c r="H220" s="132">
        <f t="shared" si="77"/>
        <v>0</v>
      </c>
      <c r="L220" s="90">
        <v>2038</v>
      </c>
      <c r="M220" s="175">
        <v>0.7</v>
      </c>
      <c r="O220" s="90">
        <v>2038</v>
      </c>
      <c r="P220" s="175">
        <v>1</v>
      </c>
    </row>
    <row r="221" spans="3:16" x14ac:dyDescent="0.6">
      <c r="C221" s="90">
        <v>2039</v>
      </c>
      <c r="D221" s="174"/>
      <c r="E221" s="174"/>
      <c r="G221" s="174">
        <f t="shared" si="76"/>
        <v>0</v>
      </c>
      <c r="H221" s="132">
        <f t="shared" si="77"/>
        <v>0</v>
      </c>
      <c r="L221" s="90">
        <v>2039</v>
      </c>
      <c r="M221" s="175">
        <v>0.7</v>
      </c>
      <c r="O221" s="90">
        <v>2039</v>
      </c>
      <c r="P221" s="175">
        <v>1</v>
      </c>
    </row>
    <row r="222" spans="3:16" x14ac:dyDescent="0.6">
      <c r="C222" s="90">
        <v>2040</v>
      </c>
      <c r="D222" s="174"/>
      <c r="E222" s="174"/>
      <c r="G222" s="174">
        <f t="shared" si="76"/>
        <v>0</v>
      </c>
      <c r="H222" s="132">
        <f t="shared" si="77"/>
        <v>0</v>
      </c>
      <c r="L222" s="90">
        <v>2040</v>
      </c>
      <c r="M222" s="175">
        <v>0.7</v>
      </c>
      <c r="O222" s="90">
        <v>2040</v>
      </c>
      <c r="P222" s="175">
        <v>1</v>
      </c>
    </row>
    <row r="223" spans="3:16" x14ac:dyDescent="0.6">
      <c r="C223" s="90">
        <v>2041</v>
      </c>
      <c r="D223" s="174"/>
      <c r="E223" s="174"/>
      <c r="G223" s="174">
        <f t="shared" si="76"/>
        <v>0</v>
      </c>
      <c r="H223" s="132">
        <f t="shared" si="77"/>
        <v>0</v>
      </c>
      <c r="L223" s="90">
        <v>2041</v>
      </c>
      <c r="M223" s="175">
        <v>0.7</v>
      </c>
      <c r="O223" s="90">
        <v>2041</v>
      </c>
      <c r="P223" s="175">
        <v>1</v>
      </c>
    </row>
    <row r="224" spans="3:16" x14ac:dyDescent="0.6">
      <c r="C224" s="90">
        <v>2042</v>
      </c>
      <c r="D224" s="174"/>
      <c r="E224" s="174"/>
      <c r="G224" s="174">
        <f t="shared" si="76"/>
        <v>0</v>
      </c>
      <c r="H224" s="132">
        <f t="shared" si="77"/>
        <v>0</v>
      </c>
      <c r="L224" s="90">
        <v>2042</v>
      </c>
      <c r="M224" s="175">
        <v>0.7</v>
      </c>
      <c r="O224" s="90">
        <v>2042</v>
      </c>
      <c r="P224" s="175">
        <v>1</v>
      </c>
    </row>
    <row r="225" spans="3:16" x14ac:dyDescent="0.6">
      <c r="C225" s="90">
        <v>2043</v>
      </c>
      <c r="D225" s="174"/>
      <c r="E225" s="174"/>
      <c r="G225" s="174">
        <f t="shared" si="76"/>
        <v>0</v>
      </c>
      <c r="H225" s="132">
        <f t="shared" si="77"/>
        <v>0</v>
      </c>
      <c r="L225" s="90">
        <v>2043</v>
      </c>
      <c r="M225" s="175">
        <v>0.7</v>
      </c>
      <c r="O225" s="90">
        <v>2043</v>
      </c>
      <c r="P225" s="175">
        <v>1</v>
      </c>
    </row>
    <row r="226" spans="3:16" x14ac:dyDescent="0.6">
      <c r="C226" s="90">
        <v>2044</v>
      </c>
      <c r="D226" s="174"/>
      <c r="E226" s="174"/>
      <c r="G226" s="174">
        <f t="shared" si="76"/>
        <v>0</v>
      </c>
      <c r="H226" s="132">
        <f t="shared" si="77"/>
        <v>0</v>
      </c>
      <c r="L226" s="90">
        <v>2044</v>
      </c>
      <c r="M226" s="175">
        <v>0.7</v>
      </c>
      <c r="O226" s="90">
        <v>2044</v>
      </c>
      <c r="P226" s="175">
        <v>1</v>
      </c>
    </row>
    <row r="227" spans="3:16" x14ac:dyDescent="0.6">
      <c r="C227" s="90">
        <v>2045</v>
      </c>
      <c r="D227" s="174"/>
      <c r="E227" s="174"/>
      <c r="G227" s="174">
        <f t="shared" si="76"/>
        <v>0</v>
      </c>
      <c r="H227" s="132">
        <f t="shared" si="77"/>
        <v>0</v>
      </c>
      <c r="L227" s="90">
        <v>2045</v>
      </c>
      <c r="M227" s="175">
        <v>0.7</v>
      </c>
      <c r="O227" s="90">
        <v>2045</v>
      </c>
      <c r="P227" s="175">
        <v>1</v>
      </c>
    </row>
    <row r="228" spans="3:16" x14ac:dyDescent="0.6">
      <c r="C228" s="90">
        <v>2046</v>
      </c>
      <c r="D228" s="174"/>
      <c r="E228" s="174"/>
      <c r="G228" s="174">
        <f t="shared" si="76"/>
        <v>0</v>
      </c>
      <c r="H228" s="132">
        <f t="shared" si="77"/>
        <v>0</v>
      </c>
      <c r="L228" s="90">
        <v>2046</v>
      </c>
      <c r="M228" s="175">
        <v>0.7</v>
      </c>
      <c r="O228" s="90">
        <v>2046</v>
      </c>
      <c r="P228" s="175">
        <v>1</v>
      </c>
    </row>
    <row r="229" spans="3:16" x14ac:dyDescent="0.6">
      <c r="C229" s="90">
        <v>2047</v>
      </c>
      <c r="D229" s="174"/>
      <c r="E229" s="174"/>
      <c r="G229" s="174">
        <f t="shared" si="76"/>
        <v>0</v>
      </c>
      <c r="H229" s="132">
        <f t="shared" si="77"/>
        <v>0</v>
      </c>
      <c r="L229" s="90">
        <v>2047</v>
      </c>
      <c r="M229" s="175">
        <v>0.7</v>
      </c>
      <c r="O229" s="90">
        <v>2047</v>
      </c>
      <c r="P229" s="175">
        <v>1</v>
      </c>
    </row>
    <row r="230" spans="3:16" x14ac:dyDescent="0.6">
      <c r="C230" s="90">
        <v>2048</v>
      </c>
      <c r="D230" s="174"/>
      <c r="E230" s="174"/>
      <c r="G230" s="174">
        <f t="shared" si="76"/>
        <v>0</v>
      </c>
      <c r="H230" s="132">
        <f t="shared" si="77"/>
        <v>0</v>
      </c>
      <c r="L230" s="90">
        <v>2048</v>
      </c>
      <c r="M230" s="175">
        <v>0.7</v>
      </c>
      <c r="O230" s="90">
        <v>2048</v>
      </c>
      <c r="P230" s="175">
        <v>1</v>
      </c>
    </row>
    <row r="231" spans="3:16" x14ac:dyDescent="0.6">
      <c r="C231" s="90">
        <v>2049</v>
      </c>
      <c r="D231" s="174"/>
      <c r="E231" s="174"/>
      <c r="G231" s="174">
        <f t="shared" si="76"/>
        <v>0</v>
      </c>
      <c r="H231" s="132">
        <f t="shared" si="77"/>
        <v>0</v>
      </c>
      <c r="L231" s="90">
        <v>2049</v>
      </c>
      <c r="M231" s="175">
        <v>0.7</v>
      </c>
      <c r="O231" s="90">
        <v>2049</v>
      </c>
      <c r="P231" s="175">
        <v>1</v>
      </c>
    </row>
    <row r="232" spans="3:16" x14ac:dyDescent="0.6">
      <c r="C232" s="90">
        <v>2050</v>
      </c>
      <c r="D232" s="174"/>
      <c r="E232" s="174"/>
      <c r="G232" s="174">
        <f t="shared" si="76"/>
        <v>0</v>
      </c>
      <c r="H232" s="132">
        <f t="shared" si="77"/>
        <v>0</v>
      </c>
      <c r="L232" s="90">
        <v>2050</v>
      </c>
      <c r="M232" s="175">
        <v>0.7</v>
      </c>
      <c r="O232" s="90">
        <v>2050</v>
      </c>
      <c r="P232" s="175">
        <v>1</v>
      </c>
    </row>
    <row r="234" spans="3:16" x14ac:dyDescent="0.6">
      <c r="L234" s="517" t="s">
        <v>154</v>
      </c>
      <c r="M234" s="516"/>
      <c r="N234" s="188"/>
      <c r="O234" s="515" t="s">
        <v>155</v>
      </c>
      <c r="P234" s="516"/>
    </row>
    <row r="235" spans="3:16" x14ac:dyDescent="0.6">
      <c r="L235" s="513" t="s">
        <v>156</v>
      </c>
      <c r="M235" s="514"/>
      <c r="O235" s="513" t="s">
        <v>157</v>
      </c>
      <c r="P235" s="514"/>
    </row>
    <row r="236" spans="3:16" x14ac:dyDescent="0.6">
      <c r="C236" s="80" t="s">
        <v>26</v>
      </c>
      <c r="D236" s="80" t="s">
        <v>158</v>
      </c>
      <c r="E236" s="80"/>
      <c r="F236" s="80"/>
      <c r="L236" s="151" t="s">
        <v>30</v>
      </c>
      <c r="M236" s="166" t="s">
        <v>159</v>
      </c>
      <c r="O236" s="151" t="s">
        <v>30</v>
      </c>
      <c r="P236" s="166" t="s">
        <v>159</v>
      </c>
    </row>
    <row r="237" spans="3:16" x14ac:dyDescent="0.6">
      <c r="C237" s="75" t="s">
        <v>160</v>
      </c>
      <c r="L237" s="90">
        <v>2024</v>
      </c>
      <c r="M237" s="175">
        <v>0.02</v>
      </c>
      <c r="O237" s="90">
        <v>2024</v>
      </c>
      <c r="P237" s="174">
        <v>34</v>
      </c>
    </row>
    <row r="238" spans="3:16" ht="31.5" x14ac:dyDescent="0.6">
      <c r="C238" s="96" t="s">
        <v>30</v>
      </c>
      <c r="D238" s="88" t="s">
        <v>50</v>
      </c>
      <c r="E238" s="88" t="s">
        <v>161</v>
      </c>
      <c r="F238" s="88" t="s">
        <v>62</v>
      </c>
      <c r="L238" s="90">
        <v>2025</v>
      </c>
      <c r="M238" s="175">
        <v>0.01</v>
      </c>
      <c r="O238" s="90">
        <v>2025</v>
      </c>
      <c r="P238" s="174">
        <v>25</v>
      </c>
    </row>
    <row r="239" spans="3:16" x14ac:dyDescent="0.6">
      <c r="C239" s="90">
        <v>2010</v>
      </c>
      <c r="D239" s="174">
        <v>1923070.9</v>
      </c>
      <c r="E239" s="174">
        <v>1456111.4500000002</v>
      </c>
      <c r="F239" s="174">
        <v>257622</v>
      </c>
      <c r="H239" s="83"/>
      <c r="L239" s="90">
        <v>2026</v>
      </c>
      <c r="M239" s="175">
        <v>0.02</v>
      </c>
      <c r="O239" s="90">
        <v>2026</v>
      </c>
      <c r="P239" s="174">
        <v>84</v>
      </c>
    </row>
    <row r="240" spans="3:16" x14ac:dyDescent="0.6">
      <c r="C240" s="90">
        <v>2011</v>
      </c>
      <c r="D240" s="174">
        <v>1990199.9999999998</v>
      </c>
      <c r="E240" s="174">
        <v>1513803.7</v>
      </c>
      <c r="F240" s="174">
        <v>265405</v>
      </c>
      <c r="H240" s="83"/>
      <c r="L240" s="90">
        <v>2027</v>
      </c>
      <c r="M240" s="175">
        <v>0.03</v>
      </c>
      <c r="O240" s="90">
        <v>2027</v>
      </c>
      <c r="P240" s="174">
        <v>235</v>
      </c>
    </row>
    <row r="241" spans="3:16" x14ac:dyDescent="0.6">
      <c r="C241" s="90">
        <v>2012</v>
      </c>
      <c r="D241" s="174">
        <v>2062221.7250000001</v>
      </c>
      <c r="E241" s="174">
        <v>1573520.4</v>
      </c>
      <c r="F241" s="174">
        <v>273220</v>
      </c>
      <c r="H241" s="83"/>
      <c r="L241" s="90">
        <v>2028</v>
      </c>
      <c r="M241" s="175">
        <v>0.04</v>
      </c>
      <c r="O241" s="90">
        <v>2028</v>
      </c>
      <c r="P241" s="174">
        <v>323</v>
      </c>
    </row>
    <row r="242" spans="3:16" x14ac:dyDescent="0.6">
      <c r="C242" s="90">
        <v>2013</v>
      </c>
      <c r="D242" s="174">
        <v>2132132.5499999998</v>
      </c>
      <c r="E242" s="174">
        <v>1632529.2999999998</v>
      </c>
      <c r="F242" s="174">
        <v>280880</v>
      </c>
      <c r="H242" s="83"/>
      <c r="L242" s="90">
        <v>2029</v>
      </c>
      <c r="M242" s="175">
        <v>0.04</v>
      </c>
      <c r="O242" s="90">
        <v>2029</v>
      </c>
      <c r="P242" s="174">
        <v>323</v>
      </c>
    </row>
    <row r="243" spans="3:16" x14ac:dyDescent="0.6">
      <c r="C243" s="90">
        <v>2014</v>
      </c>
      <c r="D243" s="174">
        <v>2201490.1250000005</v>
      </c>
      <c r="E243" s="174">
        <v>1687509.2750000004</v>
      </c>
      <c r="F243" s="174">
        <v>288262</v>
      </c>
      <c r="H243" s="83"/>
      <c r="L243" s="90">
        <v>2030</v>
      </c>
      <c r="M243" s="175">
        <v>0.04</v>
      </c>
      <c r="O243" s="90">
        <v>2030</v>
      </c>
      <c r="P243" s="174">
        <v>323</v>
      </c>
    </row>
    <row r="244" spans="3:16" x14ac:dyDescent="0.6">
      <c r="C244" s="90">
        <v>2015</v>
      </c>
      <c r="D244" s="174">
        <v>2222399</v>
      </c>
      <c r="E244" s="174">
        <v>1685294</v>
      </c>
      <c r="F244" s="174">
        <v>293088</v>
      </c>
      <c r="H244" s="83"/>
      <c r="L244" s="90">
        <v>2031</v>
      </c>
      <c r="M244" s="175">
        <v>0.04</v>
      </c>
      <c r="O244" s="90">
        <v>2031</v>
      </c>
      <c r="P244" s="174">
        <v>323</v>
      </c>
    </row>
    <row r="245" spans="3:16" x14ac:dyDescent="0.6">
      <c r="C245" s="90">
        <v>2016</v>
      </c>
      <c r="D245" s="174">
        <v>2357700</v>
      </c>
      <c r="E245" s="174">
        <v>1781777</v>
      </c>
      <c r="F245" s="174">
        <v>295995</v>
      </c>
      <c r="H245" s="83"/>
      <c r="L245" s="90">
        <v>2032</v>
      </c>
      <c r="M245" s="175">
        <v>0.04</v>
      </c>
      <c r="O245" s="90">
        <v>2032</v>
      </c>
      <c r="P245" s="174">
        <v>323</v>
      </c>
    </row>
    <row r="246" spans="3:16" x14ac:dyDescent="0.6">
      <c r="C246" s="90">
        <v>2017</v>
      </c>
      <c r="D246" s="174">
        <v>2400630</v>
      </c>
      <c r="E246" s="174">
        <v>1813227</v>
      </c>
      <c r="F246" s="174">
        <v>296241</v>
      </c>
      <c r="H246" s="83"/>
      <c r="L246" s="90">
        <v>2033</v>
      </c>
      <c r="M246" s="175">
        <v>0.04</v>
      </c>
      <c r="O246" s="90">
        <v>2033</v>
      </c>
      <c r="P246" s="174">
        <v>323</v>
      </c>
    </row>
    <row r="247" spans="3:16" x14ac:dyDescent="0.6">
      <c r="C247" s="90">
        <v>2018</v>
      </c>
      <c r="D247" s="174">
        <v>2424097.6749999998</v>
      </c>
      <c r="E247" s="174">
        <v>1854946.075</v>
      </c>
      <c r="F247" s="174">
        <v>300880</v>
      </c>
      <c r="H247" s="83"/>
      <c r="L247" s="90">
        <v>2034</v>
      </c>
      <c r="M247" s="175">
        <v>0.04</v>
      </c>
      <c r="O247" s="90">
        <v>2034</v>
      </c>
      <c r="P247" s="174">
        <v>323</v>
      </c>
    </row>
    <row r="248" spans="3:16" x14ac:dyDescent="0.6">
      <c r="C248" s="90">
        <v>2019</v>
      </c>
      <c r="D248" s="190">
        <v>2468511.75</v>
      </c>
      <c r="E248" s="174">
        <v>1888297.75</v>
      </c>
      <c r="F248" s="174">
        <v>302580</v>
      </c>
      <c r="H248" s="83"/>
      <c r="L248" s="90">
        <v>2035</v>
      </c>
      <c r="M248" s="175">
        <v>0.04</v>
      </c>
      <c r="O248" s="90">
        <v>2035</v>
      </c>
      <c r="P248" s="174">
        <v>323</v>
      </c>
    </row>
    <row r="249" spans="3:16" x14ac:dyDescent="0.6">
      <c r="C249" s="90">
        <v>2020</v>
      </c>
      <c r="D249" s="174">
        <v>2470356.7750000004</v>
      </c>
      <c r="E249" s="174">
        <v>1890171.35</v>
      </c>
      <c r="F249" s="174">
        <v>300071</v>
      </c>
      <c r="H249" s="83"/>
      <c r="L249" s="90">
        <v>2036</v>
      </c>
      <c r="M249" s="175">
        <v>0.04</v>
      </c>
      <c r="O249" s="90">
        <v>2036</v>
      </c>
      <c r="P249" s="174">
        <v>323</v>
      </c>
    </row>
    <row r="250" spans="3:16" x14ac:dyDescent="0.6">
      <c r="C250" s="90">
        <v>2021</v>
      </c>
      <c r="D250" s="174">
        <v>2523720.3500000006</v>
      </c>
      <c r="E250" s="174">
        <v>1934731.8500000003</v>
      </c>
      <c r="F250" s="174">
        <v>389112</v>
      </c>
      <c r="H250" s="83"/>
      <c r="L250" s="90">
        <v>2037</v>
      </c>
      <c r="M250" s="175">
        <v>0.04</v>
      </c>
      <c r="O250" s="90">
        <v>2037</v>
      </c>
      <c r="P250" s="174">
        <v>323</v>
      </c>
    </row>
    <row r="251" spans="3:16" x14ac:dyDescent="0.6">
      <c r="C251" s="90">
        <v>2022</v>
      </c>
      <c r="D251" s="190">
        <v>2743752.5750000002</v>
      </c>
      <c r="E251" s="174">
        <v>2158152.9500000002</v>
      </c>
      <c r="F251" s="174">
        <v>385845</v>
      </c>
      <c r="H251" s="83"/>
      <c r="L251" s="90">
        <v>2038</v>
      </c>
      <c r="M251" s="175">
        <v>0.04</v>
      </c>
      <c r="O251" s="90">
        <v>2038</v>
      </c>
      <c r="P251" s="174">
        <v>323</v>
      </c>
    </row>
    <row r="252" spans="3:16" x14ac:dyDescent="0.6">
      <c r="C252" s="90">
        <v>2023</v>
      </c>
      <c r="D252" s="174">
        <v>2535765</v>
      </c>
      <c r="E252" s="174">
        <v>1945351</v>
      </c>
      <c r="F252" s="174">
        <v>392349</v>
      </c>
      <c r="H252" s="83"/>
      <c r="J252" s="397"/>
      <c r="L252" s="90">
        <v>2039</v>
      </c>
      <c r="M252" s="175">
        <v>0.04</v>
      </c>
      <c r="O252" s="90">
        <v>2039</v>
      </c>
      <c r="P252" s="174">
        <v>323</v>
      </c>
    </row>
    <row r="253" spans="3:16" x14ac:dyDescent="0.6">
      <c r="C253" s="90">
        <v>2024</v>
      </c>
      <c r="D253" s="174">
        <v>2650145.4253970026</v>
      </c>
      <c r="E253" s="174">
        <v>1987551.0509040791</v>
      </c>
      <c r="F253" s="174">
        <v>398542</v>
      </c>
      <c r="G253" s="83"/>
      <c r="I253" s="77"/>
      <c r="L253" s="90">
        <v>2040</v>
      </c>
      <c r="M253" s="175">
        <v>0.04</v>
      </c>
      <c r="O253" s="90">
        <v>2040</v>
      </c>
      <c r="P253" s="174">
        <v>323</v>
      </c>
    </row>
    <row r="254" spans="3:16" x14ac:dyDescent="0.6">
      <c r="C254" s="90">
        <v>2025</v>
      </c>
      <c r="D254" s="174">
        <v>2709244.7483642837</v>
      </c>
      <c r="E254" s="174">
        <v>2025776.6253598132</v>
      </c>
      <c r="F254" s="174">
        <v>403589.40125085606</v>
      </c>
      <c r="G254" s="83"/>
      <c r="H254" s="398"/>
      <c r="L254" s="90">
        <v>2041</v>
      </c>
      <c r="M254" s="175">
        <v>0.04</v>
      </c>
      <c r="O254" s="90">
        <v>2041</v>
      </c>
      <c r="P254" s="174">
        <v>323</v>
      </c>
    </row>
    <row r="255" spans="3:16" x14ac:dyDescent="0.6">
      <c r="C255" s="90">
        <v>2026</v>
      </c>
      <c r="D255" s="174"/>
      <c r="E255" s="174"/>
      <c r="F255" s="174"/>
      <c r="L255" s="90">
        <v>2042</v>
      </c>
      <c r="M255" s="175">
        <v>0.04</v>
      </c>
      <c r="O255" s="90">
        <v>2042</v>
      </c>
      <c r="P255" s="174">
        <v>323</v>
      </c>
    </row>
    <row r="256" spans="3:16" x14ac:dyDescent="0.6">
      <c r="C256" s="90">
        <v>2027</v>
      </c>
      <c r="D256" s="174"/>
      <c r="E256" s="174"/>
      <c r="F256" s="174"/>
      <c r="L256" s="90">
        <v>2043</v>
      </c>
      <c r="M256" s="175">
        <v>0.04</v>
      </c>
      <c r="O256" s="90">
        <v>2043</v>
      </c>
      <c r="P256" s="174">
        <v>323</v>
      </c>
    </row>
    <row r="257" spans="3:16" x14ac:dyDescent="0.6">
      <c r="C257" s="90">
        <v>2028</v>
      </c>
      <c r="D257" s="174"/>
      <c r="E257" s="174"/>
      <c r="F257" s="174"/>
      <c r="L257" s="90">
        <v>2044</v>
      </c>
      <c r="M257" s="175">
        <v>0.04</v>
      </c>
      <c r="O257" s="90">
        <v>2044</v>
      </c>
      <c r="P257" s="174">
        <v>323</v>
      </c>
    </row>
    <row r="258" spans="3:16" x14ac:dyDescent="0.6">
      <c r="C258" s="90">
        <v>2029</v>
      </c>
      <c r="D258" s="174"/>
      <c r="E258" s="174"/>
      <c r="F258" s="174"/>
      <c r="L258" s="90">
        <v>2045</v>
      </c>
      <c r="M258" s="175">
        <v>0.04</v>
      </c>
      <c r="O258" s="90">
        <v>2045</v>
      </c>
      <c r="P258" s="174">
        <v>323</v>
      </c>
    </row>
    <row r="259" spans="3:16" x14ac:dyDescent="0.6">
      <c r="C259" s="90">
        <v>2030</v>
      </c>
      <c r="D259" s="174"/>
      <c r="E259" s="174"/>
      <c r="F259" s="174"/>
      <c r="L259" s="90">
        <v>2046</v>
      </c>
      <c r="M259" s="175">
        <v>0.04</v>
      </c>
      <c r="O259" s="90">
        <v>2046</v>
      </c>
      <c r="P259" s="174">
        <v>323</v>
      </c>
    </row>
    <row r="260" spans="3:16" x14ac:dyDescent="0.6">
      <c r="C260" s="90">
        <v>2031</v>
      </c>
      <c r="D260" s="174"/>
      <c r="E260" s="174"/>
      <c r="F260" s="174"/>
      <c r="H260" s="83"/>
      <c r="I260" s="83"/>
      <c r="J260" s="83"/>
      <c r="L260" s="90">
        <v>2047</v>
      </c>
      <c r="M260" s="175">
        <v>0.04</v>
      </c>
      <c r="O260" s="90">
        <v>2047</v>
      </c>
      <c r="P260" s="174">
        <v>323</v>
      </c>
    </row>
    <row r="261" spans="3:16" x14ac:dyDescent="0.6">
      <c r="C261" s="90">
        <v>2032</v>
      </c>
      <c r="D261" s="174"/>
      <c r="E261" s="174"/>
      <c r="F261" s="174"/>
      <c r="H261" s="83"/>
      <c r="I261" s="83"/>
      <c r="J261" s="83"/>
      <c r="L261" s="90">
        <v>2048</v>
      </c>
      <c r="M261" s="175">
        <v>0.04</v>
      </c>
      <c r="O261" s="90">
        <v>2048</v>
      </c>
      <c r="P261" s="174">
        <v>323</v>
      </c>
    </row>
    <row r="262" spans="3:16" x14ac:dyDescent="0.6">
      <c r="C262" s="90">
        <v>2033</v>
      </c>
      <c r="D262" s="174"/>
      <c r="E262" s="174"/>
      <c r="F262" s="174"/>
      <c r="H262" s="83"/>
      <c r="I262" s="83"/>
      <c r="L262" s="90">
        <v>2049</v>
      </c>
      <c r="M262" s="175">
        <v>0.04</v>
      </c>
      <c r="O262" s="90">
        <v>2049</v>
      </c>
      <c r="P262" s="174">
        <v>323</v>
      </c>
    </row>
    <row r="263" spans="3:16" x14ac:dyDescent="0.6">
      <c r="C263" s="90">
        <v>2034</v>
      </c>
      <c r="D263" s="174"/>
      <c r="E263" s="174"/>
      <c r="F263" s="174"/>
      <c r="H263" s="83"/>
      <c r="J263" s="83"/>
      <c r="L263" s="90">
        <v>2050</v>
      </c>
      <c r="M263" s="175">
        <v>0.04</v>
      </c>
      <c r="O263" s="90">
        <v>2050</v>
      </c>
      <c r="P263" s="174">
        <v>323</v>
      </c>
    </row>
    <row r="264" spans="3:16" x14ac:dyDescent="0.6">
      <c r="C264" s="90">
        <v>2035</v>
      </c>
      <c r="D264" s="174"/>
      <c r="E264" s="174"/>
      <c r="F264" s="174"/>
      <c r="H264" s="83"/>
      <c r="I264" s="83"/>
    </row>
    <row r="265" spans="3:16" x14ac:dyDescent="0.6">
      <c r="C265" s="90">
        <v>2036</v>
      </c>
      <c r="D265" s="174"/>
      <c r="E265" s="174"/>
      <c r="F265" s="174"/>
      <c r="H265" s="83"/>
      <c r="I265" s="83"/>
    </row>
    <row r="266" spans="3:16" x14ac:dyDescent="0.6">
      <c r="C266" s="90">
        <v>2037</v>
      </c>
      <c r="D266" s="174"/>
      <c r="E266" s="174"/>
      <c r="F266" s="174"/>
      <c r="H266" s="83"/>
      <c r="I266" s="83"/>
      <c r="L266" s="96" t="s">
        <v>30</v>
      </c>
      <c r="M266" s="269" t="s">
        <v>162</v>
      </c>
      <c r="O266" s="96" t="s">
        <v>30</v>
      </c>
      <c r="P266" s="269" t="s">
        <v>162</v>
      </c>
    </row>
    <row r="267" spans="3:16" x14ac:dyDescent="0.6">
      <c r="C267" s="90">
        <v>2038</v>
      </c>
      <c r="D267" s="174"/>
      <c r="E267" s="174"/>
      <c r="F267" s="174"/>
      <c r="H267" s="83"/>
      <c r="I267" s="83"/>
      <c r="L267" s="90">
        <v>2024</v>
      </c>
      <c r="M267" s="175">
        <v>0.15</v>
      </c>
      <c r="O267" s="90">
        <v>2024</v>
      </c>
      <c r="P267" s="174">
        <v>31578</v>
      </c>
    </row>
    <row r="268" spans="3:16" x14ac:dyDescent="0.6">
      <c r="C268" s="90">
        <v>2039</v>
      </c>
      <c r="D268" s="174"/>
      <c r="E268" s="174"/>
      <c r="F268" s="174"/>
      <c r="H268" s="83"/>
      <c r="I268" s="83"/>
      <c r="L268" s="90">
        <v>2025</v>
      </c>
      <c r="M268" s="175">
        <v>0.15</v>
      </c>
      <c r="O268" s="90">
        <v>2025</v>
      </c>
      <c r="P268" s="174">
        <v>29341</v>
      </c>
    </row>
    <row r="269" spans="3:16" x14ac:dyDescent="0.6">
      <c r="C269" s="90">
        <v>2040</v>
      </c>
      <c r="D269" s="174"/>
      <c r="E269" s="174"/>
      <c r="F269" s="174"/>
      <c r="H269" s="83"/>
      <c r="I269" s="83"/>
      <c r="L269" s="90">
        <v>2026</v>
      </c>
      <c r="M269" s="175">
        <v>0.15</v>
      </c>
      <c r="O269" s="90">
        <v>2026</v>
      </c>
      <c r="P269" s="174">
        <v>39587</v>
      </c>
    </row>
    <row r="270" spans="3:16" x14ac:dyDescent="0.6">
      <c r="C270" s="90">
        <v>2041</v>
      </c>
      <c r="D270" s="174"/>
      <c r="E270" s="174"/>
      <c r="F270" s="174"/>
      <c r="H270" s="83"/>
      <c r="I270" s="83"/>
      <c r="L270" s="90">
        <v>2027</v>
      </c>
      <c r="M270" s="175">
        <v>0.15</v>
      </c>
      <c r="O270" s="90">
        <v>2027</v>
      </c>
      <c r="P270" s="174">
        <v>41103</v>
      </c>
    </row>
    <row r="271" spans="3:16" x14ac:dyDescent="0.6">
      <c r="C271" s="90">
        <v>2042</v>
      </c>
      <c r="D271" s="174"/>
      <c r="E271" s="174"/>
      <c r="F271" s="174"/>
      <c r="H271" s="83"/>
      <c r="I271" s="83"/>
      <c r="L271" s="90">
        <v>2028</v>
      </c>
      <c r="M271" s="175">
        <v>0.15</v>
      </c>
      <c r="O271" s="90">
        <v>2028</v>
      </c>
      <c r="P271" s="174">
        <v>40743</v>
      </c>
    </row>
    <row r="272" spans="3:16" x14ac:dyDescent="0.6">
      <c r="C272" s="90">
        <v>2043</v>
      </c>
      <c r="D272" s="174"/>
      <c r="E272" s="174"/>
      <c r="F272" s="174"/>
      <c r="H272" s="83"/>
      <c r="I272" s="83"/>
      <c r="L272" s="90">
        <v>2029</v>
      </c>
      <c r="M272" s="175">
        <v>0.15</v>
      </c>
      <c r="O272" s="90">
        <v>2029</v>
      </c>
      <c r="P272" s="174">
        <v>40743</v>
      </c>
    </row>
    <row r="273" spans="3:16" x14ac:dyDescent="0.6">
      <c r="C273" s="90">
        <v>2044</v>
      </c>
      <c r="D273" s="174"/>
      <c r="E273" s="174"/>
      <c r="F273" s="174"/>
      <c r="H273" s="83"/>
      <c r="I273" s="83"/>
      <c r="L273" s="90">
        <v>2030</v>
      </c>
      <c r="M273" s="175">
        <v>0.15</v>
      </c>
      <c r="O273" s="90">
        <v>2030</v>
      </c>
      <c r="P273" s="174">
        <v>40743</v>
      </c>
    </row>
    <row r="274" spans="3:16" x14ac:dyDescent="0.6">
      <c r="C274" s="90">
        <v>2045</v>
      </c>
      <c r="D274" s="174"/>
      <c r="E274" s="174"/>
      <c r="F274" s="174"/>
      <c r="L274" s="90">
        <v>2031</v>
      </c>
      <c r="M274" s="175">
        <v>0.18</v>
      </c>
      <c r="O274" s="90">
        <v>2031</v>
      </c>
      <c r="P274" s="174">
        <v>40743</v>
      </c>
    </row>
    <row r="275" spans="3:16" x14ac:dyDescent="0.6">
      <c r="C275" s="90">
        <v>2046</v>
      </c>
      <c r="D275" s="174"/>
      <c r="E275" s="174"/>
      <c r="F275" s="174"/>
      <c r="L275" s="90">
        <v>2032</v>
      </c>
      <c r="M275" s="175">
        <v>0.18</v>
      </c>
      <c r="O275" s="90">
        <v>2032</v>
      </c>
      <c r="P275" s="174">
        <v>40743</v>
      </c>
    </row>
    <row r="276" spans="3:16" x14ac:dyDescent="0.6">
      <c r="C276" s="90">
        <v>2047</v>
      </c>
      <c r="D276" s="174"/>
      <c r="E276" s="174"/>
      <c r="F276" s="174"/>
      <c r="L276" s="90">
        <v>2033</v>
      </c>
      <c r="M276" s="175">
        <v>0.18</v>
      </c>
      <c r="O276" s="90">
        <v>2033</v>
      </c>
      <c r="P276" s="174">
        <v>40743</v>
      </c>
    </row>
    <row r="277" spans="3:16" x14ac:dyDescent="0.6">
      <c r="C277" s="90">
        <v>2048</v>
      </c>
      <c r="D277" s="174"/>
      <c r="E277" s="174"/>
      <c r="F277" s="174"/>
      <c r="L277" s="90">
        <v>2034</v>
      </c>
      <c r="M277" s="175">
        <v>0.18</v>
      </c>
      <c r="O277" s="90">
        <v>2034</v>
      </c>
      <c r="P277" s="174">
        <v>40743</v>
      </c>
    </row>
    <row r="278" spans="3:16" x14ac:dyDescent="0.6">
      <c r="C278" s="90">
        <v>2049</v>
      </c>
      <c r="D278" s="174"/>
      <c r="E278" s="174"/>
      <c r="F278" s="174"/>
      <c r="L278" s="90">
        <v>2035</v>
      </c>
      <c r="M278" s="175">
        <v>0.18</v>
      </c>
      <c r="O278" s="90">
        <v>2035</v>
      </c>
      <c r="P278" s="174">
        <v>40743</v>
      </c>
    </row>
    <row r="279" spans="3:16" x14ac:dyDescent="0.6">
      <c r="C279" s="90">
        <v>2050</v>
      </c>
      <c r="D279" s="174"/>
      <c r="E279" s="174"/>
      <c r="F279" s="174"/>
      <c r="L279" s="90">
        <v>2036</v>
      </c>
      <c r="M279" s="175">
        <v>0.2</v>
      </c>
      <c r="O279" s="90">
        <v>2036</v>
      </c>
      <c r="P279" s="174">
        <v>40743</v>
      </c>
    </row>
    <row r="280" spans="3:16" x14ac:dyDescent="0.6">
      <c r="L280" s="90">
        <v>2037</v>
      </c>
      <c r="M280" s="175">
        <v>0.2</v>
      </c>
      <c r="O280" s="90">
        <v>2037</v>
      </c>
      <c r="P280" s="174">
        <v>40743</v>
      </c>
    </row>
    <row r="281" spans="3:16" x14ac:dyDescent="0.6">
      <c r="L281" s="90">
        <v>2038</v>
      </c>
      <c r="M281" s="175">
        <v>0.2</v>
      </c>
      <c r="O281" s="90">
        <v>2038</v>
      </c>
      <c r="P281" s="174">
        <v>40743</v>
      </c>
    </row>
    <row r="282" spans="3:16" x14ac:dyDescent="0.6">
      <c r="L282" s="90">
        <v>2039</v>
      </c>
      <c r="M282" s="175">
        <v>0.2</v>
      </c>
      <c r="O282" s="90">
        <v>2039</v>
      </c>
      <c r="P282" s="174">
        <v>40743</v>
      </c>
    </row>
    <row r="283" spans="3:16" x14ac:dyDescent="0.6">
      <c r="C283" s="149" t="s">
        <v>163</v>
      </c>
      <c r="D283" s="150"/>
      <c r="E283" s="150"/>
      <c r="L283" s="90">
        <v>2040</v>
      </c>
      <c r="M283" s="175">
        <v>0.2</v>
      </c>
      <c r="O283" s="90">
        <v>2040</v>
      </c>
      <c r="P283" s="174">
        <v>40743</v>
      </c>
    </row>
    <row r="284" spans="3:16" x14ac:dyDescent="0.6">
      <c r="L284" s="90">
        <v>2041</v>
      </c>
      <c r="M284" s="175">
        <v>0.7</v>
      </c>
      <c r="O284" s="90">
        <v>2041</v>
      </c>
      <c r="P284" s="174">
        <v>40743</v>
      </c>
    </row>
    <row r="285" spans="3:16" x14ac:dyDescent="0.6">
      <c r="L285" s="90">
        <v>2042</v>
      </c>
      <c r="M285" s="175">
        <v>0.7</v>
      </c>
      <c r="O285" s="90">
        <v>2042</v>
      </c>
      <c r="P285" s="174">
        <v>40743</v>
      </c>
    </row>
    <row r="286" spans="3:16" ht="31.5" x14ac:dyDescent="0.6">
      <c r="C286" s="96" t="s">
        <v>164</v>
      </c>
      <c r="D286" s="88" t="s">
        <v>165</v>
      </c>
      <c r="E286" s="88" t="s">
        <v>166</v>
      </c>
      <c r="L286" s="90">
        <v>2043</v>
      </c>
      <c r="M286" s="175">
        <v>0.7</v>
      </c>
      <c r="O286" s="90">
        <v>2043</v>
      </c>
      <c r="P286" s="174">
        <v>40743</v>
      </c>
    </row>
    <row r="287" spans="3:16" x14ac:dyDescent="0.6">
      <c r="C287" s="106" t="s">
        <v>167</v>
      </c>
      <c r="D287" s="175">
        <v>0.3</v>
      </c>
      <c r="E287" s="175">
        <v>0.9</v>
      </c>
      <c r="L287" s="90">
        <v>2044</v>
      </c>
      <c r="M287" s="175">
        <v>0.7</v>
      </c>
      <c r="O287" s="90">
        <v>2044</v>
      </c>
      <c r="P287" s="174">
        <v>40743</v>
      </c>
    </row>
    <row r="288" spans="3:16" x14ac:dyDescent="0.6">
      <c r="C288" s="106" t="s">
        <v>168</v>
      </c>
      <c r="D288" s="174">
        <v>2040</v>
      </c>
      <c r="E288" s="174">
        <v>2036</v>
      </c>
      <c r="L288" s="90">
        <v>2045</v>
      </c>
      <c r="M288" s="175">
        <v>0.7</v>
      </c>
      <c r="O288" s="90">
        <v>2045</v>
      </c>
      <c r="P288" s="174">
        <v>40743</v>
      </c>
    </row>
    <row r="289" spans="3:16" x14ac:dyDescent="0.6">
      <c r="C289" s="106" t="s">
        <v>169</v>
      </c>
      <c r="D289" s="174">
        <v>3</v>
      </c>
      <c r="E289" s="174">
        <v>2</v>
      </c>
      <c r="L289" s="90">
        <v>2046</v>
      </c>
      <c r="M289" s="175">
        <v>0.7</v>
      </c>
      <c r="O289" s="90">
        <v>2046</v>
      </c>
      <c r="P289" s="174">
        <v>40743</v>
      </c>
    </row>
    <row r="290" spans="3:16" x14ac:dyDescent="0.6">
      <c r="L290" s="90">
        <v>2047</v>
      </c>
      <c r="M290" s="175">
        <v>0.7</v>
      </c>
      <c r="O290" s="90">
        <v>2047</v>
      </c>
      <c r="P290" s="174">
        <v>40743</v>
      </c>
    </row>
    <row r="291" spans="3:16" x14ac:dyDescent="0.6">
      <c r="L291" s="90">
        <v>2048</v>
      </c>
      <c r="M291" s="175">
        <v>0.7</v>
      </c>
      <c r="O291" s="90">
        <v>2048</v>
      </c>
      <c r="P291" s="174">
        <v>40743</v>
      </c>
    </row>
    <row r="292" spans="3:16" x14ac:dyDescent="0.6">
      <c r="L292" s="90">
        <v>2049</v>
      </c>
      <c r="M292" s="175">
        <v>0.7</v>
      </c>
      <c r="O292" s="90">
        <v>2049</v>
      </c>
      <c r="P292" s="174">
        <v>40743</v>
      </c>
    </row>
    <row r="293" spans="3:16" x14ac:dyDescent="0.6">
      <c r="L293" s="90">
        <v>2050</v>
      </c>
      <c r="M293" s="175">
        <v>0.7</v>
      </c>
      <c r="O293" s="90">
        <v>2050</v>
      </c>
      <c r="P293" s="174">
        <v>40743</v>
      </c>
    </row>
    <row r="297" spans="3:16" x14ac:dyDescent="0.6">
      <c r="L297" s="80" t="s">
        <v>26</v>
      </c>
      <c r="M297" s="80" t="s">
        <v>170</v>
      </c>
      <c r="N297" s="80"/>
    </row>
    <row r="299" spans="3:16" ht="31.5" x14ac:dyDescent="0.6">
      <c r="L299" s="96" t="s">
        <v>30</v>
      </c>
      <c r="M299" s="88" t="s">
        <v>171</v>
      </c>
      <c r="N299" s="88" t="s">
        <v>172</v>
      </c>
    </row>
    <row r="300" spans="3:16" x14ac:dyDescent="0.6">
      <c r="L300" s="90">
        <v>2008</v>
      </c>
      <c r="M300" s="174">
        <v>725799000</v>
      </c>
      <c r="N300" s="174">
        <v>545824000</v>
      </c>
    </row>
    <row r="301" spans="3:16" x14ac:dyDescent="0.6">
      <c r="L301" s="90">
        <v>2009</v>
      </c>
      <c r="M301" s="174">
        <v>666873000</v>
      </c>
      <c r="N301" s="174">
        <v>486528000</v>
      </c>
    </row>
    <row r="302" spans="3:16" x14ac:dyDescent="0.6">
      <c r="L302" s="90">
        <v>2010</v>
      </c>
      <c r="M302" s="174">
        <v>698802000</v>
      </c>
      <c r="N302" s="174">
        <v>516022000</v>
      </c>
    </row>
    <row r="303" spans="3:16" x14ac:dyDescent="0.6">
      <c r="L303" s="90">
        <v>2011</v>
      </c>
      <c r="M303" s="174">
        <v>754153000</v>
      </c>
      <c r="N303" s="174">
        <v>558637000</v>
      </c>
    </row>
    <row r="304" spans="3:16" x14ac:dyDescent="0.6">
      <c r="L304" s="90">
        <v>2012</v>
      </c>
      <c r="M304" s="174">
        <v>766291000</v>
      </c>
      <c r="N304" s="174">
        <v>559027000</v>
      </c>
    </row>
    <row r="305" spans="12:14" x14ac:dyDescent="0.6">
      <c r="L305" s="90">
        <v>2013</v>
      </c>
      <c r="M305" s="174">
        <v>781418000</v>
      </c>
      <c r="N305" s="174">
        <v>568128000</v>
      </c>
    </row>
    <row r="306" spans="12:14" x14ac:dyDescent="0.6">
      <c r="L306" s="90">
        <v>2014</v>
      </c>
      <c r="M306" s="174">
        <v>830645000</v>
      </c>
      <c r="N306" s="174">
        <v>608701000</v>
      </c>
    </row>
    <row r="307" spans="12:14" x14ac:dyDescent="0.6">
      <c r="L307" s="90">
        <v>2015</v>
      </c>
      <c r="M307" s="174">
        <v>805722000</v>
      </c>
      <c r="N307" s="174">
        <v>584740000</v>
      </c>
    </row>
    <row r="308" spans="12:14" x14ac:dyDescent="0.6">
      <c r="L308" s="90">
        <v>2016</v>
      </c>
      <c r="M308" s="174">
        <v>823300000</v>
      </c>
      <c r="N308" s="174">
        <v>606365000</v>
      </c>
    </row>
    <row r="309" spans="12:14" x14ac:dyDescent="0.6">
      <c r="L309" s="90">
        <v>2017</v>
      </c>
      <c r="M309" s="174">
        <v>895150000</v>
      </c>
      <c r="N309" s="174">
        <v>667908000</v>
      </c>
    </row>
    <row r="310" spans="12:14" x14ac:dyDescent="0.6">
      <c r="L310" s="90">
        <v>2018</v>
      </c>
      <c r="M310" s="174">
        <v>946454000</v>
      </c>
      <c r="N310" s="174">
        <v>727979000</v>
      </c>
    </row>
    <row r="311" spans="12:14" x14ac:dyDescent="0.6">
      <c r="L311" s="90">
        <v>2019</v>
      </c>
      <c r="M311" s="174">
        <v>923684000</v>
      </c>
      <c r="N311" s="174">
        <v>707740000</v>
      </c>
    </row>
    <row r="312" spans="12:14" x14ac:dyDescent="0.6">
      <c r="L312" s="90">
        <v>2020</v>
      </c>
      <c r="M312" s="174">
        <v>815622000</v>
      </c>
      <c r="N312" s="174">
        <v>623654000</v>
      </c>
    </row>
    <row r="313" spans="12:14" x14ac:dyDescent="0.6">
      <c r="L313" s="90">
        <v>2021</v>
      </c>
      <c r="M313" s="174">
        <v>852442000</v>
      </c>
      <c r="N313" s="174">
        <v>674535000</v>
      </c>
    </row>
    <row r="314" spans="12:14" x14ac:dyDescent="0.6">
      <c r="L314" s="90">
        <v>2022</v>
      </c>
      <c r="M314" s="174">
        <v>993897000</v>
      </c>
      <c r="N314" s="174">
        <v>839218000</v>
      </c>
    </row>
    <row r="315" spans="12:14" x14ac:dyDescent="0.6">
      <c r="L315" s="90">
        <v>2023</v>
      </c>
      <c r="M315" s="174">
        <v>989792000</v>
      </c>
      <c r="N315" s="174">
        <v>837112000</v>
      </c>
    </row>
    <row r="316" spans="12:14" x14ac:dyDescent="0.6">
      <c r="L316" s="90">
        <v>2024</v>
      </c>
      <c r="M316" s="174">
        <v>1141616000</v>
      </c>
      <c r="N316" s="174">
        <v>980518000</v>
      </c>
    </row>
    <row r="317" spans="12:14" x14ac:dyDescent="0.6">
      <c r="L317" s="90">
        <v>2025</v>
      </c>
      <c r="M317" s="174">
        <v>1136000282.2751639</v>
      </c>
      <c r="N317" s="174">
        <v>970558422.97112715</v>
      </c>
    </row>
    <row r="318" spans="12:14" x14ac:dyDescent="0.6">
      <c r="L318" s="90">
        <v>2026</v>
      </c>
      <c r="M318" s="174"/>
      <c r="N318" s="174"/>
    </row>
    <row r="319" spans="12:14" x14ac:dyDescent="0.6">
      <c r="L319" s="90">
        <v>2027</v>
      </c>
      <c r="M319" s="174"/>
      <c r="N319" s="174"/>
    </row>
    <row r="320" spans="12:14" x14ac:dyDescent="0.6">
      <c r="L320" s="90">
        <v>2028</v>
      </c>
      <c r="M320" s="174"/>
      <c r="N320" s="174"/>
    </row>
    <row r="321" spans="12:14" x14ac:dyDescent="0.6">
      <c r="L321" s="90">
        <v>2029</v>
      </c>
      <c r="M321" s="174"/>
      <c r="N321" s="174"/>
    </row>
    <row r="322" spans="12:14" x14ac:dyDescent="0.6">
      <c r="L322" s="90">
        <v>2030</v>
      </c>
      <c r="M322" s="174"/>
      <c r="N322" s="174"/>
    </row>
    <row r="323" spans="12:14" x14ac:dyDescent="0.6">
      <c r="L323" s="90">
        <v>2031</v>
      </c>
      <c r="M323" s="174"/>
      <c r="N323" s="174"/>
    </row>
    <row r="324" spans="12:14" x14ac:dyDescent="0.6">
      <c r="L324" s="90">
        <v>2032</v>
      </c>
      <c r="M324" s="174"/>
      <c r="N324" s="174"/>
    </row>
    <row r="325" spans="12:14" x14ac:dyDescent="0.6">
      <c r="L325" s="90">
        <v>2033</v>
      </c>
      <c r="M325" s="174"/>
      <c r="N325" s="174"/>
    </row>
    <row r="326" spans="12:14" x14ac:dyDescent="0.6">
      <c r="L326" s="90">
        <v>2034</v>
      </c>
      <c r="M326" s="174"/>
      <c r="N326" s="174"/>
    </row>
    <row r="327" spans="12:14" x14ac:dyDescent="0.6">
      <c r="L327" s="90">
        <v>2035</v>
      </c>
      <c r="M327" s="174"/>
      <c r="N327" s="174"/>
    </row>
    <row r="328" spans="12:14" x14ac:dyDescent="0.6">
      <c r="L328" s="90">
        <v>2036</v>
      </c>
      <c r="M328" s="174"/>
      <c r="N328" s="174"/>
    </row>
    <row r="329" spans="12:14" x14ac:dyDescent="0.6">
      <c r="L329" s="90">
        <v>2037</v>
      </c>
      <c r="M329" s="174"/>
      <c r="N329" s="174"/>
    </row>
    <row r="330" spans="12:14" x14ac:dyDescent="0.6">
      <c r="L330" s="90">
        <v>2038</v>
      </c>
      <c r="M330" s="174"/>
      <c r="N330" s="174"/>
    </row>
    <row r="331" spans="12:14" x14ac:dyDescent="0.6">
      <c r="L331" s="90">
        <v>2039</v>
      </c>
      <c r="M331" s="174"/>
      <c r="N331" s="174"/>
    </row>
    <row r="332" spans="12:14" x14ac:dyDescent="0.6">
      <c r="L332" s="90">
        <v>2040</v>
      </c>
      <c r="M332" s="174"/>
      <c r="N332" s="174"/>
    </row>
    <row r="333" spans="12:14" x14ac:dyDescent="0.6">
      <c r="L333" s="90">
        <v>2041</v>
      </c>
      <c r="M333" s="174"/>
      <c r="N333" s="174"/>
    </row>
    <row r="334" spans="12:14" x14ac:dyDescent="0.6">
      <c r="L334" s="90">
        <v>2042</v>
      </c>
      <c r="M334" s="174"/>
      <c r="N334" s="174"/>
    </row>
    <row r="335" spans="12:14" x14ac:dyDescent="0.6">
      <c r="L335" s="90">
        <v>2043</v>
      </c>
      <c r="M335" s="174"/>
      <c r="N335" s="174"/>
    </row>
    <row r="336" spans="12:14" x14ac:dyDescent="0.6">
      <c r="L336" s="90">
        <v>2044</v>
      </c>
      <c r="M336" s="174"/>
      <c r="N336" s="174"/>
    </row>
    <row r="337" spans="12:15" x14ac:dyDescent="0.6">
      <c r="L337" s="90">
        <v>2045</v>
      </c>
      <c r="M337" s="174"/>
      <c r="N337" s="174"/>
    </row>
    <row r="338" spans="12:15" x14ac:dyDescent="0.6">
      <c r="L338" s="90">
        <v>2046</v>
      </c>
      <c r="M338" s="174"/>
      <c r="N338" s="174"/>
    </row>
    <row r="339" spans="12:15" x14ac:dyDescent="0.6">
      <c r="L339" s="90">
        <v>2047</v>
      </c>
      <c r="M339" s="174"/>
      <c r="N339" s="174"/>
    </row>
    <row r="340" spans="12:15" x14ac:dyDescent="0.6">
      <c r="L340" s="90">
        <v>2048</v>
      </c>
      <c r="M340" s="174"/>
      <c r="N340" s="174"/>
    </row>
    <row r="341" spans="12:15" x14ac:dyDescent="0.6">
      <c r="L341" s="90">
        <v>2049</v>
      </c>
      <c r="M341" s="174"/>
      <c r="N341" s="174"/>
    </row>
    <row r="342" spans="12:15" x14ac:dyDescent="0.6">
      <c r="L342" s="90">
        <v>2050</v>
      </c>
      <c r="M342" s="174"/>
      <c r="N342" s="174"/>
    </row>
    <row r="346" spans="12:15" x14ac:dyDescent="0.6">
      <c r="L346" s="80" t="s">
        <v>26</v>
      </c>
      <c r="M346" s="197" t="s">
        <v>173</v>
      </c>
      <c r="N346" s="80"/>
      <c r="O346" s="80"/>
    </row>
    <row r="347" spans="12:15" x14ac:dyDescent="0.6">
      <c r="L347" s="80" t="s">
        <v>26</v>
      </c>
      <c r="M347" s="80" t="s">
        <v>174</v>
      </c>
      <c r="N347" s="80"/>
      <c r="O347" s="80"/>
    </row>
    <row r="349" spans="12:15" x14ac:dyDescent="0.6">
      <c r="L349" s="96" t="s">
        <v>30</v>
      </c>
      <c r="M349" s="88" t="s">
        <v>175</v>
      </c>
      <c r="N349" s="88" t="s">
        <v>176</v>
      </c>
      <c r="O349" s="88" t="s">
        <v>177</v>
      </c>
    </row>
    <row r="350" spans="12:15" x14ac:dyDescent="0.6">
      <c r="L350" s="90">
        <v>2008</v>
      </c>
      <c r="M350" s="176">
        <v>8.8933333333333309</v>
      </c>
      <c r="N350" s="176">
        <v>0.64839110099925001</v>
      </c>
      <c r="O350" s="176">
        <f t="shared" ref="O350:O367" si="78">M350/N350</f>
        <v>13.716001529983394</v>
      </c>
    </row>
    <row r="351" spans="12:15" x14ac:dyDescent="0.6">
      <c r="L351" s="90">
        <v>2009</v>
      </c>
      <c r="M351" s="176">
        <v>7.2799999999999985</v>
      </c>
      <c r="N351" s="176">
        <v>0.71962334735502809</v>
      </c>
      <c r="O351" s="176">
        <f t="shared" si="78"/>
        <v>10.11640329174644</v>
      </c>
    </row>
    <row r="352" spans="12:15" x14ac:dyDescent="0.6">
      <c r="L352" s="90">
        <v>2010</v>
      </c>
      <c r="M352" s="176">
        <v>8.1474999999999991</v>
      </c>
      <c r="N352" s="176">
        <v>0.7708677259201796</v>
      </c>
      <c r="O352" s="176">
        <f t="shared" si="78"/>
        <v>10.569258156805544</v>
      </c>
    </row>
    <row r="353" spans="12:15" x14ac:dyDescent="0.6">
      <c r="L353" s="90">
        <v>2011</v>
      </c>
      <c r="M353" s="176">
        <v>9.8616666666666681</v>
      </c>
      <c r="N353" s="176">
        <v>0.80373752575341606</v>
      </c>
      <c r="O353" s="176">
        <f t="shared" si="78"/>
        <v>12.269760152634946</v>
      </c>
    </row>
    <row r="354" spans="12:15" x14ac:dyDescent="0.6">
      <c r="L354" s="90">
        <v>2012</v>
      </c>
      <c r="M354" s="176">
        <v>11.434166666666664</v>
      </c>
      <c r="N354" s="176">
        <v>0.84380384141222375</v>
      </c>
      <c r="O354" s="176">
        <f t="shared" si="78"/>
        <v>13.550740237837728</v>
      </c>
    </row>
    <row r="355" spans="12:15" x14ac:dyDescent="0.6">
      <c r="L355" s="90">
        <v>2013</v>
      </c>
      <c r="M355" s="176">
        <v>12.739166666666664</v>
      </c>
      <c r="N355" s="176">
        <v>0.89125936945324724</v>
      </c>
      <c r="O355" s="176">
        <f t="shared" si="78"/>
        <v>14.293444875066665</v>
      </c>
    </row>
    <row r="356" spans="12:15" x14ac:dyDescent="0.6">
      <c r="L356" s="90">
        <v>2014</v>
      </c>
      <c r="M356" s="176">
        <v>13.695833333333335</v>
      </c>
      <c r="N356" s="176">
        <v>0.94259590913375435</v>
      </c>
      <c r="O356" s="176">
        <f t="shared" si="78"/>
        <v>14.529909583333335</v>
      </c>
    </row>
    <row r="357" spans="12:15" x14ac:dyDescent="0.6">
      <c r="L357" s="90">
        <v>2015</v>
      </c>
      <c r="M357" s="176">
        <v>12.244166666666667</v>
      </c>
      <c r="N357" s="176">
        <v>1</v>
      </c>
      <c r="O357" s="176">
        <f t="shared" si="78"/>
        <v>12.244166666666667</v>
      </c>
    </row>
    <row r="358" spans="12:15" x14ac:dyDescent="0.6">
      <c r="L358" s="90">
        <v>2016</v>
      </c>
      <c r="M358" s="176">
        <v>12.392916666666665</v>
      </c>
      <c r="N358" s="176">
        <v>1.06341</v>
      </c>
      <c r="O358" s="176">
        <f t="shared" si="78"/>
        <v>11.653940311513589</v>
      </c>
    </row>
    <row r="359" spans="12:15" x14ac:dyDescent="0.6">
      <c r="L359" s="90">
        <v>2017</v>
      </c>
      <c r="M359" s="176">
        <v>13.416153846153843</v>
      </c>
      <c r="N359" s="176">
        <v>1.1194836093</v>
      </c>
      <c r="O359" s="176">
        <f t="shared" si="78"/>
        <v>11.984234279716526</v>
      </c>
    </row>
    <row r="360" spans="12:15" x14ac:dyDescent="0.6">
      <c r="L360" s="90">
        <v>2018</v>
      </c>
      <c r="M360" s="176">
        <v>15.139999999999999</v>
      </c>
      <c r="N360" s="176">
        <v>1.1712037520496601</v>
      </c>
      <c r="O360" s="176">
        <f t="shared" si="78"/>
        <v>12.926871155855082</v>
      </c>
    </row>
    <row r="361" spans="12:15" x14ac:dyDescent="0.6">
      <c r="L361" s="90">
        <v>2019</v>
      </c>
      <c r="M361" s="176">
        <v>15.421249999999999</v>
      </c>
      <c r="N361" s="176">
        <v>1.2195744670093109</v>
      </c>
      <c r="O361" s="176">
        <f t="shared" si="78"/>
        <v>12.644779320295711</v>
      </c>
    </row>
    <row r="362" spans="12:15" x14ac:dyDescent="0.6">
      <c r="L362" s="90">
        <v>2020</v>
      </c>
      <c r="M362" s="176">
        <v>14.406666666666666</v>
      </c>
      <c r="N362" s="176">
        <v>1.2594301605911753</v>
      </c>
      <c r="O362" s="176">
        <f t="shared" si="78"/>
        <v>11.439035777818907</v>
      </c>
    </row>
    <row r="363" spans="12:15" x14ac:dyDescent="0.6">
      <c r="L363" s="90">
        <v>2021</v>
      </c>
      <c r="M363" s="176">
        <v>17.559999999999999</v>
      </c>
      <c r="N363" s="176">
        <v>1.3150214078796698</v>
      </c>
      <c r="O363" s="176">
        <f t="shared" si="78"/>
        <v>13.353394777286253</v>
      </c>
    </row>
    <row r="364" spans="12:15" x14ac:dyDescent="0.6">
      <c r="L364" s="90">
        <v>2022</v>
      </c>
      <c r="M364" s="176">
        <v>22.68</v>
      </c>
      <c r="N364" s="176">
        <v>1.41</v>
      </c>
      <c r="O364" s="176">
        <f t="shared" si="78"/>
        <v>16.085106382978726</v>
      </c>
    </row>
    <row r="365" spans="12:15" x14ac:dyDescent="0.6">
      <c r="L365" s="90">
        <v>2023</v>
      </c>
      <c r="M365" s="176">
        <v>22.79</v>
      </c>
      <c r="N365" s="176">
        <v>1.41</v>
      </c>
      <c r="O365" s="176">
        <f t="shared" si="78"/>
        <v>16.163120567375888</v>
      </c>
    </row>
    <row r="366" spans="12:15" x14ac:dyDescent="0.6">
      <c r="L366" s="90">
        <v>2024</v>
      </c>
      <c r="M366" s="176">
        <v>22.2</v>
      </c>
      <c r="N366" s="176">
        <v>1.4319999999999999</v>
      </c>
      <c r="O366" s="176">
        <f t="shared" si="78"/>
        <v>15.502793296089386</v>
      </c>
    </row>
    <row r="367" spans="12:15" x14ac:dyDescent="0.6">
      <c r="L367" s="90">
        <v>2025</v>
      </c>
      <c r="M367" s="176">
        <v>21.59</v>
      </c>
      <c r="N367" s="176">
        <v>1.57</v>
      </c>
      <c r="O367" s="176">
        <f t="shared" si="78"/>
        <v>13.751592356687897</v>
      </c>
    </row>
    <row r="368" spans="12:15" x14ac:dyDescent="0.6">
      <c r="L368" s="90">
        <v>2026</v>
      </c>
      <c r="M368" s="176"/>
      <c r="N368" s="176"/>
      <c r="O368" s="176"/>
    </row>
    <row r="369" spans="12:15" x14ac:dyDescent="0.6">
      <c r="L369" s="90">
        <v>2027</v>
      </c>
      <c r="M369" s="176"/>
      <c r="N369" s="176"/>
      <c r="O369" s="176"/>
    </row>
    <row r="370" spans="12:15" x14ac:dyDescent="0.6">
      <c r="L370" s="90">
        <v>2028</v>
      </c>
      <c r="M370" s="176"/>
      <c r="N370" s="176"/>
      <c r="O370" s="176"/>
    </row>
    <row r="371" spans="12:15" x14ac:dyDescent="0.6">
      <c r="L371" s="90">
        <v>2029</v>
      </c>
      <c r="M371" s="176"/>
      <c r="N371" s="176"/>
      <c r="O371" s="176"/>
    </row>
    <row r="372" spans="12:15" x14ac:dyDescent="0.6">
      <c r="L372" s="90">
        <v>2030</v>
      </c>
      <c r="M372" s="176"/>
      <c r="N372" s="176"/>
      <c r="O372" s="176"/>
    </row>
    <row r="373" spans="12:15" x14ac:dyDescent="0.6">
      <c r="L373" s="90">
        <v>2031</v>
      </c>
      <c r="M373" s="176"/>
      <c r="N373" s="176"/>
      <c r="O373" s="176"/>
    </row>
    <row r="374" spans="12:15" x14ac:dyDescent="0.6">
      <c r="L374" s="90">
        <v>2032</v>
      </c>
      <c r="M374" s="176"/>
      <c r="N374" s="176"/>
      <c r="O374" s="176"/>
    </row>
    <row r="375" spans="12:15" x14ac:dyDescent="0.6">
      <c r="L375" s="90">
        <v>2033</v>
      </c>
      <c r="M375" s="176"/>
      <c r="N375" s="176"/>
      <c r="O375" s="176"/>
    </row>
    <row r="376" spans="12:15" x14ac:dyDescent="0.6">
      <c r="L376" s="90">
        <v>2034</v>
      </c>
      <c r="M376" s="176"/>
      <c r="N376" s="176"/>
      <c r="O376" s="176"/>
    </row>
    <row r="377" spans="12:15" x14ac:dyDescent="0.6">
      <c r="L377" s="90">
        <v>2035</v>
      </c>
      <c r="M377" s="176"/>
      <c r="N377" s="176"/>
      <c r="O377" s="176"/>
    </row>
    <row r="378" spans="12:15" x14ac:dyDescent="0.6">
      <c r="L378" s="90">
        <v>2036</v>
      </c>
      <c r="M378" s="176"/>
      <c r="N378" s="176"/>
      <c r="O378" s="176"/>
    </row>
    <row r="379" spans="12:15" x14ac:dyDescent="0.6">
      <c r="L379" s="90">
        <v>2037</v>
      </c>
      <c r="M379" s="176"/>
      <c r="N379" s="176"/>
      <c r="O379" s="176"/>
    </row>
    <row r="380" spans="12:15" x14ac:dyDescent="0.6">
      <c r="L380" s="90">
        <v>2038</v>
      </c>
      <c r="M380" s="176"/>
      <c r="N380" s="176"/>
      <c r="O380" s="176"/>
    </row>
    <row r="381" spans="12:15" x14ac:dyDescent="0.6">
      <c r="L381" s="90">
        <v>2039</v>
      </c>
      <c r="M381" s="176"/>
      <c r="N381" s="176"/>
      <c r="O381" s="176"/>
    </row>
    <row r="382" spans="12:15" x14ac:dyDescent="0.6">
      <c r="L382" s="90">
        <v>2040</v>
      </c>
      <c r="M382" s="176"/>
      <c r="N382" s="176"/>
      <c r="O382" s="176"/>
    </row>
    <row r="383" spans="12:15" x14ac:dyDescent="0.6">
      <c r="L383" s="90">
        <v>2041</v>
      </c>
      <c r="M383" s="176"/>
      <c r="N383" s="176"/>
      <c r="O383" s="176"/>
    </row>
    <row r="384" spans="12:15" x14ac:dyDescent="0.6">
      <c r="L384" s="90">
        <v>2042</v>
      </c>
      <c r="M384" s="176"/>
      <c r="N384" s="176"/>
      <c r="O384" s="176"/>
    </row>
    <row r="385" spans="12:15" x14ac:dyDescent="0.6">
      <c r="L385" s="90">
        <v>2043</v>
      </c>
      <c r="M385" s="176"/>
      <c r="N385" s="176"/>
      <c r="O385" s="176"/>
    </row>
    <row r="386" spans="12:15" x14ac:dyDescent="0.6">
      <c r="L386" s="90">
        <v>2044</v>
      </c>
      <c r="M386" s="176"/>
      <c r="N386" s="176"/>
      <c r="O386" s="176"/>
    </row>
    <row r="387" spans="12:15" x14ac:dyDescent="0.6">
      <c r="L387" s="90">
        <v>2045</v>
      </c>
      <c r="M387" s="176"/>
      <c r="N387" s="176"/>
      <c r="O387" s="176"/>
    </row>
    <row r="388" spans="12:15" x14ac:dyDescent="0.6">
      <c r="L388" s="90">
        <v>2046</v>
      </c>
      <c r="M388" s="176"/>
      <c r="N388" s="176"/>
      <c r="O388" s="176"/>
    </row>
    <row r="389" spans="12:15" x14ac:dyDescent="0.6">
      <c r="L389" s="90">
        <v>2047</v>
      </c>
      <c r="M389" s="176"/>
      <c r="N389" s="176"/>
      <c r="O389" s="176"/>
    </row>
    <row r="390" spans="12:15" x14ac:dyDescent="0.6">
      <c r="L390" s="90">
        <v>2048</v>
      </c>
      <c r="M390" s="176"/>
      <c r="N390" s="176"/>
      <c r="O390" s="176"/>
    </row>
    <row r="391" spans="12:15" x14ac:dyDescent="0.6">
      <c r="L391" s="90">
        <v>2049</v>
      </c>
      <c r="M391" s="176"/>
      <c r="N391" s="176"/>
      <c r="O391" s="176"/>
    </row>
    <row r="392" spans="12:15" x14ac:dyDescent="0.6">
      <c r="L392" s="90">
        <v>2050</v>
      </c>
      <c r="M392" s="176"/>
      <c r="N392" s="176"/>
      <c r="O392" s="176"/>
    </row>
  </sheetData>
  <mergeCells count="26">
    <mergeCell ref="C45:D45"/>
    <mergeCell ref="C46:D46"/>
    <mergeCell ref="C47:D47"/>
    <mergeCell ref="H45:I45"/>
    <mergeCell ref="H46:I46"/>
    <mergeCell ref="H47:I47"/>
    <mergeCell ref="L45:M45"/>
    <mergeCell ref="L46:M46"/>
    <mergeCell ref="L47:M47"/>
    <mergeCell ref="E45:G45"/>
    <mergeCell ref="E46:G46"/>
    <mergeCell ref="E47:G47"/>
    <mergeCell ref="Z3:AH5"/>
    <mergeCell ref="H3:W5"/>
    <mergeCell ref="G7:J7"/>
    <mergeCell ref="C7:F7"/>
    <mergeCell ref="H44:I44"/>
    <mergeCell ref="L44:M44"/>
    <mergeCell ref="E44:G44"/>
    <mergeCell ref="C44:D44"/>
    <mergeCell ref="C53:E53"/>
    <mergeCell ref="G53:I53"/>
    <mergeCell ref="L235:M235"/>
    <mergeCell ref="O235:P235"/>
    <mergeCell ref="O234:P234"/>
    <mergeCell ref="L234:M234"/>
  </mergeCells>
  <phoneticPr fontId="3" type="noConversion"/>
  <hyperlinks>
    <hyperlink ref="C4" r:id="rId1" xr:uid="{73CF50B1-22AE-45AC-80F1-A6FF771123DB}"/>
    <hyperlink ref="D89" r:id="rId2" xr:uid="{27FE274D-F2F7-4B9C-AE9C-4091BFD5720B}"/>
    <hyperlink ref="M346" r:id="rId3" xr:uid="{4DCB659F-D867-48F4-9677-5D5DBA1EAD50}"/>
    <hyperlink ref="I94" r:id="rId4" display="https://www.businesslive.co.za/bd/national/2024-07-17-mantashe-wants-private-investors-for-sapref-refinery-rebuild/" xr:uid="{65C6B786-6C40-4B48-8E47-BCC378FB8302}"/>
  </hyperlinks>
  <pageMargins left="0.7" right="0.7" top="0.75" bottom="0.75" header="0.3" footer="0.3"/>
  <pageSetup orientation="portrait" r:id="rId5"/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4275-57E3-4731-A576-5BDF53D0D6AA}">
  <sheetPr codeName="Sheet4">
    <tabColor rgb="FF7030A0"/>
  </sheetPr>
  <dimension ref="B3:Z78"/>
  <sheetViews>
    <sheetView showGridLines="0" topLeftCell="A9" zoomScale="62" zoomScaleNormal="62" workbookViewId="0">
      <selection activeCell="A57" sqref="A57:XFD58"/>
    </sheetView>
  </sheetViews>
  <sheetFormatPr defaultColWidth="8.86328125" defaultRowHeight="15.75" x14ac:dyDescent="0.6"/>
  <cols>
    <col min="1" max="1" width="2.1328125" style="75" customWidth="1"/>
    <col min="2" max="2" width="13.59765625" style="75" customWidth="1"/>
    <col min="3" max="3" width="16.1328125" style="75" bestFit="1" customWidth="1"/>
    <col min="4" max="5" width="15.1328125" style="75" bestFit="1" customWidth="1"/>
    <col min="6" max="6" width="19.1328125" style="75" bestFit="1" customWidth="1"/>
    <col min="7" max="8" width="15.1328125" style="75" bestFit="1" customWidth="1"/>
    <col min="9" max="9" width="18.3984375" style="75" bestFit="1" customWidth="1"/>
    <col min="10" max="10" width="14.1328125" style="75" bestFit="1" customWidth="1"/>
    <col min="11" max="11" width="24.3984375" style="75" customWidth="1"/>
    <col min="12" max="12" width="17.1328125" style="75" bestFit="1" customWidth="1"/>
    <col min="13" max="15" width="14.3984375" style="75" bestFit="1" customWidth="1"/>
    <col min="16" max="16" width="8.86328125" style="75" bestFit="1" customWidth="1"/>
    <col min="17" max="17" width="14.3984375" style="75" bestFit="1" customWidth="1"/>
    <col min="18" max="18" width="11.86328125" style="75" bestFit="1" customWidth="1"/>
    <col min="19" max="19" width="15.86328125" style="75" bestFit="1" customWidth="1"/>
    <col min="20" max="21" width="17.3984375" style="75" bestFit="1" customWidth="1"/>
    <col min="22" max="22" width="11.86328125" style="75" bestFit="1" customWidth="1"/>
    <col min="23" max="23" width="8.86328125" style="75"/>
    <col min="24" max="24" width="12" style="75" bestFit="1" customWidth="1"/>
    <col min="25" max="26" width="15.59765625" style="75" bestFit="1" customWidth="1"/>
    <col min="27" max="16384" width="8.86328125" style="75"/>
  </cols>
  <sheetData>
    <row r="3" spans="2:26" ht="39.950000000000003" customHeight="1" x14ac:dyDescent="0.6">
      <c r="B3" s="88" t="s">
        <v>178</v>
      </c>
      <c r="C3" s="88" t="s">
        <v>104</v>
      </c>
      <c r="D3" s="88" t="s">
        <v>105</v>
      </c>
      <c r="E3" s="88" t="s">
        <v>106</v>
      </c>
      <c r="F3" s="88" t="s">
        <v>107</v>
      </c>
      <c r="G3" s="88" t="s">
        <v>108</v>
      </c>
      <c r="H3" s="88" t="s">
        <v>94</v>
      </c>
    </row>
    <row r="4" spans="2:26" x14ac:dyDescent="0.6">
      <c r="B4" s="156" t="s">
        <v>111</v>
      </c>
      <c r="C4" s="129">
        <f>INDEX(Refinery,MATCH($B4,Assumptions!$L$93:$L$98,0),MATCH(C$3,Assumptions!$L$93:$R$93,0))*Crude_oil_litresPerBarrel*(INDEX(Refinery_capacity,2,MATCH(C$3,Assumptions!$L$93:$R$93,0)))*Operational_days*1000</f>
        <v>3133633770</v>
      </c>
      <c r="D4" s="129">
        <f>INDEX(Refinery,MATCH($B4,Assumptions!$L$93:$L$98,0),MATCH(D$3,Assumptions!$L$93:$R$93,0))*Crude_oil_litresPerBarrel*(INDEX(Refinery_capacity,2,MATCH(D$3,Assumptions!$L$93:$R$93,0)))*Operational_days*1000</f>
        <v>4700450655</v>
      </c>
      <c r="E4" s="129">
        <f>INDEX(Refinery,MATCH($B4,Assumptions!$L$93:$L$98,0),MATCH(E$3,Assumptions!$L$93:$R$93,0))*Crude_oil_litresPerBarrel*(INDEX(Refinery_capacity,2,MATCH(E$3,Assumptions!$L$93:$R$93,0)))*Operational_days*1000</f>
        <v>2833327200.375</v>
      </c>
      <c r="F4" s="129">
        <f>INDEX(Refinery,MATCH($B4,Assumptions!$L$93:$L$98,0),MATCH(F$3,Assumptions!$L$93:$R$93,0))*Crude_oil_litresPerBarrel*(INDEX(Refinery_capacity,2,MATCH(F$3,Assumptions!$L$93:$R$93,0)))*Operational_days*1000</f>
        <v>3699428756.2499995</v>
      </c>
      <c r="G4" s="129">
        <f>INDEX(Refinery,MATCH($B4,Assumptions!$L$93:$L$98,0),MATCH(G$3,Assumptions!$L$93:$R$93,0))*Crude_oil_litresPerBarrel*(INDEX(Refinery_capacity,2,MATCH(G$3,Assumptions!$L$93:$R$93,0)))*Operational_days*1000</f>
        <v>2611361475</v>
      </c>
      <c r="H4" s="129">
        <f>INDEX(Refinery,MATCH($B4,Assumptions!$L$93:$L$98,0),MATCH(H$3,Assumptions!$L$93:$R$93,0))*Crude_oil_litresPerBarrel*(INDEX(Refinery_capacity,2,MATCH(H$3,Assumptions!$L$93:$R$93,0)))*Operational_days*1000</f>
        <v>2219657253.7499995</v>
      </c>
    </row>
    <row r="5" spans="2:26" x14ac:dyDescent="0.6">
      <c r="B5" s="156" t="s">
        <v>112</v>
      </c>
      <c r="C5" s="129">
        <f>INDEX(Refinery,MATCH($B5,Assumptions!$L$93:$L$98,0),MATCH(C$3,Assumptions!$L$93:$R$93,0))*Crude_oil_litresPerBarrel*(INDEX(Refinery_capacity,2,MATCH(C$3,Assumptions!$L$93:$R$93,0)))*Operational_days*1000</f>
        <v>1740907650</v>
      </c>
      <c r="D5" s="129">
        <f>INDEX(Refinery,MATCH($B5,Assumptions!$L$93:$L$98,0),MATCH(D$3,Assumptions!$L$93:$R$93,0))*Crude_oil_litresPerBarrel*(INDEX(Refinery_capacity,2,MATCH(D$3,Assumptions!$L$93:$R$93,0)))*Operational_days*1000</f>
        <v>2611361475</v>
      </c>
      <c r="E5" s="129">
        <f>INDEX(Refinery,MATCH($B5,Assumptions!$L$93:$L$98,0),MATCH(E$3,Assumptions!$L$93:$R$93,0))*Crude_oil_litresPerBarrel*(INDEX(Refinery_capacity,2,MATCH(E$3,Assumptions!$L$93:$R$93,0)))*Operational_days*1000</f>
        <v>1574070666.8749998</v>
      </c>
      <c r="F5" s="129">
        <f>INDEX(Refinery,MATCH($B5,Assumptions!$L$93:$L$98,0),MATCH(F$3,Assumptions!$L$93:$R$93,0))*Crude_oil_litresPerBarrel*(INDEX(Refinery_capacity,2,MATCH(F$3,Assumptions!$L$93:$R$93,0)))*Operational_days*1000</f>
        <v>652840368.75</v>
      </c>
      <c r="G5" s="129">
        <f>INDEX(Refinery,MATCH($B5,Assumptions!$L$93:$L$98,0),MATCH(G$3,Assumptions!$L$93:$R$93,0))*Crude_oil_litresPerBarrel*(INDEX(Refinery_capacity,2,MATCH(G$3,Assumptions!$L$93:$R$93,0)))*Operational_days*1000</f>
        <v>1450756375</v>
      </c>
      <c r="H5" s="129">
        <f>INDEX(Refinery,MATCH($B5,Assumptions!$L$93:$L$98,0),MATCH(H$3,Assumptions!$L$93:$R$93,0))*Crude_oil_litresPerBarrel*(INDEX(Refinery_capacity,2,MATCH(H$3,Assumptions!$L$93:$R$93,0)))*Operational_days*1000</f>
        <v>391704221.24999994</v>
      </c>
    </row>
    <row r="6" spans="2:26" x14ac:dyDescent="0.6">
      <c r="B6" s="156" t="s">
        <v>113</v>
      </c>
      <c r="C6" s="129">
        <f>INDEX(Refinery,MATCH($B6,Assumptions!$L$93:$L$98,0),MATCH(C$3,Assumptions!$L$93:$R$93,0))*Crude_oil_litresPerBarrel*(INDEX(Refinery_capacity,2,MATCH(C$3,Assumptions!$L$93:$R$93,0)))*Operational_days*1000</f>
        <v>0</v>
      </c>
      <c r="D6" s="129">
        <f>INDEX(Refinery,MATCH($B6,Assumptions!$L$93:$L$98,0),MATCH(D$3,Assumptions!$L$93:$R$93,0))*Crude_oil_litresPerBarrel*(INDEX(Refinery_capacity,2,MATCH(D$3,Assumptions!$L$93:$R$93,0)))*Operational_days*1000</f>
        <v>1044544590.0000001</v>
      </c>
      <c r="E6" s="129">
        <f>INDEX(Refinery,MATCH($B6,Assumptions!$L$93:$L$98,0),MATCH(E$3,Assumptions!$L$93:$R$93,0))*Crude_oil_litresPerBarrel*(INDEX(Refinery_capacity,2,MATCH(E$3,Assumptions!$L$93:$R$93,0)))*Operational_days*1000</f>
        <v>629628266.75</v>
      </c>
      <c r="F6" s="129">
        <f>INDEX(Refinery,MATCH($B6,Assumptions!$L$93:$L$98,0),MATCH(F$3,Assumptions!$L$93:$R$93,0))*Crude_oil_litresPerBarrel*(INDEX(Refinery_capacity,2,MATCH(F$3,Assumptions!$L$93:$R$93,0)))*Operational_days*1000</f>
        <v>0</v>
      </c>
      <c r="G6" s="129">
        <f>INDEX(Refinery,MATCH($B6,Assumptions!$L$93:$L$98,0),MATCH(G$3,Assumptions!$L$93:$R$93,0))*Crude_oil_litresPerBarrel*(INDEX(Refinery_capacity,2,MATCH(G$3,Assumptions!$L$93:$R$93,0)))*Operational_days*1000</f>
        <v>580302549.99999988</v>
      </c>
      <c r="H6" s="129">
        <f>INDEX(Refinery,MATCH($B6,Assumptions!$L$93:$L$98,0),MATCH(H$3,Assumptions!$L$93:$R$93,0))*Crude_oil_litresPerBarrel*(INDEX(Refinery_capacity,2,MATCH(H$3,Assumptions!$L$93:$R$93,0)))*Operational_days*1000</f>
        <v>0</v>
      </c>
      <c r="I6" s="164"/>
    </row>
    <row r="7" spans="2:26" x14ac:dyDescent="0.6">
      <c r="B7" s="156" t="s">
        <v>52</v>
      </c>
      <c r="C7" s="129">
        <f>INDEX(Refinery,MATCH($B7,Assumptions!$L$93:$L$98,0),MATCH(C$3,Assumptions!$L$93:$R$93,0))*Crude_oil_litresPerBarrel*(INDEX(Refinery_capacity,2,MATCH(C$3,Assumptions!$L$93:$R$93,0)))*Operational_days*1000</f>
        <v>4874541420</v>
      </c>
      <c r="D7" s="129">
        <f>INDEX(Refinery,MATCH($B7,Assumptions!$L$93:$L$98,0),MATCH(D$3,Assumptions!$L$93:$R$93,0))*Crude_oil_litresPerBarrel*(INDEX(Refinery_capacity,2,MATCH(D$3,Assumptions!$L$93:$R$93,0)))*Operational_days*1000</f>
        <v>8356356719.999999</v>
      </c>
      <c r="E7" s="129">
        <f>INDEX(Refinery,MATCH($B7,Assumptions!$L$93:$L$98,0),MATCH(E$3,Assumptions!$L$93:$R$93,0))*Crude_oil_litresPerBarrel*(INDEX(Refinery_capacity,2,MATCH(E$3,Assumptions!$L$93:$R$93,0)))*Operational_days*1000</f>
        <v>5037026133.999999</v>
      </c>
      <c r="F7" s="129">
        <f>INDEX(Refinery,MATCH($B7,Assumptions!$L$93:$L$98,0),MATCH(F$3,Assumptions!$L$93:$R$93,0))*Crude_oil_litresPerBarrel*(INDEX(Refinery_capacity,2,MATCH(F$3,Assumptions!$L$93:$R$93,0)))*Operational_days*1000</f>
        <v>4352269125</v>
      </c>
      <c r="G7" s="129">
        <f>INDEX(Refinery,MATCH($B7,Assumptions!$L$93:$L$98,0),MATCH(G$3,Assumptions!$L$93:$R$93,0))*Crude_oil_litresPerBarrel*(INDEX(Refinery_capacity,2,MATCH(G$3,Assumptions!$L$93:$R$93,0)))*Operational_days*1000</f>
        <v>4642420399.999999</v>
      </c>
      <c r="H7" s="129">
        <f>INDEX(Refinery,MATCH($B7,Assumptions!$L$93:$L$98,0),MATCH(H$3,Assumptions!$L$93:$R$93,0))*Crude_oil_litresPerBarrel*(INDEX(Refinery_capacity,2,MATCH(H$3,Assumptions!$L$93:$R$93,0)))*Operational_days*1000</f>
        <v>2611361475</v>
      </c>
    </row>
    <row r="8" spans="2:26" x14ac:dyDescent="0.6">
      <c r="B8" s="77"/>
      <c r="C8" s="365"/>
      <c r="D8" s="365"/>
      <c r="E8" s="365"/>
      <c r="F8" s="365"/>
      <c r="G8" s="365"/>
      <c r="H8" s="365"/>
    </row>
    <row r="9" spans="2:26" x14ac:dyDescent="0.6">
      <c r="B9" s="139" t="s">
        <v>179</v>
      </c>
      <c r="C9" s="367">
        <v>2</v>
      </c>
      <c r="D9" s="368">
        <v>3</v>
      </c>
      <c r="E9" s="368">
        <v>4</v>
      </c>
      <c r="F9" s="368">
        <v>5</v>
      </c>
      <c r="G9" s="368">
        <v>6</v>
      </c>
      <c r="H9" s="368">
        <v>7</v>
      </c>
    </row>
    <row r="10" spans="2:26" x14ac:dyDescent="0.6">
      <c r="B10" s="200">
        <v>2028</v>
      </c>
      <c r="C10" s="366">
        <f>C$7*VLOOKUP($B10,Assumptions!$L$103:$R$131,C$9)*Refinery_availability</f>
        <v>0</v>
      </c>
      <c r="D10" s="366">
        <f>D$7*VLOOKUP($B10,Assumptions!$L$103:$R$131,D$9)*Refinery_availability</f>
        <v>0</v>
      </c>
      <c r="E10" s="366">
        <f>E$7*VLOOKUP($B10,Assumptions!$L$103:$R$131,E$9)*Refinery_availability</f>
        <v>3853324992.5099993</v>
      </c>
      <c r="F10" s="366">
        <f>F$7*VLOOKUP($B10,Assumptions!$L$103:$R$131,F$9)*Refinery_availability</f>
        <v>3814024002.3112497</v>
      </c>
      <c r="G10" s="366">
        <f>G$7*VLOOKUP($B10,Assumptions!$L$103:$R$131,G$9)*Refinery_availability</f>
        <v>3760360523.999999</v>
      </c>
      <c r="H10" s="366">
        <f>H$7*VLOOKUP($B10,Assumptions!$L$103:$R$131,H$9)*Refinery_availability</f>
        <v>0</v>
      </c>
      <c r="I10" s="108"/>
    </row>
    <row r="11" spans="2:26" x14ac:dyDescent="0.6">
      <c r="C11" s="137" t="b">
        <f t="shared" ref="C11:H11" si="0">C10=VLOOKUP($B$10,$B$17:$H$45,C$9)</f>
        <v>1</v>
      </c>
      <c r="D11" s="137" t="b">
        <f t="shared" si="0"/>
        <v>1</v>
      </c>
      <c r="E11" s="137" t="b">
        <f t="shared" si="0"/>
        <v>0</v>
      </c>
      <c r="F11" s="137" t="b">
        <f t="shared" si="0"/>
        <v>0</v>
      </c>
      <c r="G11" s="137" t="b">
        <f t="shared" si="0"/>
        <v>0</v>
      </c>
      <c r="H11" s="137" t="b">
        <f t="shared" si="0"/>
        <v>1</v>
      </c>
      <c r="I11" s="108"/>
    </row>
    <row r="12" spans="2:26" ht="16.149999999999999" thickBot="1" x14ac:dyDescent="0.65">
      <c r="C12" s="83"/>
      <c r="D12" s="83"/>
      <c r="E12" s="83"/>
      <c r="F12" s="83"/>
      <c r="G12" s="83"/>
      <c r="H12" s="83"/>
      <c r="I12" s="108"/>
    </row>
    <row r="13" spans="2:26" ht="16.149999999999999" thickBot="1" x14ac:dyDescent="0.65">
      <c r="E13" s="387">
        <f>IF((Product_select="Total"),(INDEX(Refinery,MATCH("Jet Fuel",Assumptions!$L$93:$L$98,0),MATCH(E$16,Assumptions!$L$93:$R$93,0))*Crude_oil_litresPerBarrel*(INDEX(Refinery_capacity,2,MATCH(E$16,Assumptions!$L$93:$R$93,0)))*Operational_days*1000*Refinery_availability*INDEX(Production_High,MATCH($B$23,Assumptions!$L$102:$L$131,0),MATCH(E$16,Assumptions!$L$102:$R$102,0))),0)</f>
        <v>0</v>
      </c>
      <c r="F13" s="364" t="s">
        <v>180</v>
      </c>
      <c r="G13" s="199"/>
      <c r="H13" s="199"/>
    </row>
    <row r="14" spans="2:26" ht="29.1" customHeight="1" x14ac:dyDescent="0.6">
      <c r="B14" s="200" t="s">
        <v>111</v>
      </c>
      <c r="C14" s="201" t="s">
        <v>181</v>
      </c>
      <c r="E14" s="164"/>
    </row>
    <row r="15" spans="2:26" x14ac:dyDescent="0.6">
      <c r="B15" s="537" t="s">
        <v>115</v>
      </c>
      <c r="C15" s="538"/>
      <c r="D15" s="538"/>
      <c r="E15" s="538"/>
      <c r="F15" s="538"/>
      <c r="G15" s="538"/>
      <c r="H15" s="538"/>
      <c r="I15" s="529"/>
      <c r="J15" s="529"/>
      <c r="K15" s="529"/>
      <c r="L15" s="529"/>
      <c r="X15" s="75">
        <v>2022</v>
      </c>
      <c r="Y15" s="83">
        <f>I50</f>
        <v>5205036198.729825</v>
      </c>
      <c r="Z15" s="83">
        <f>I17</f>
        <v>5222682473.8971367</v>
      </c>
    </row>
    <row r="16" spans="2:26" ht="47.25" x14ac:dyDescent="0.6">
      <c r="B16" s="88" t="s">
        <v>30</v>
      </c>
      <c r="C16" s="88" t="str">
        <f>C3</f>
        <v>Enref</v>
      </c>
      <c r="D16" s="88" t="str">
        <f t="shared" ref="D16:H16" si="1">D3</f>
        <v>SAPREF</v>
      </c>
      <c r="E16" s="88" t="str">
        <f t="shared" si="1"/>
        <v>Natref</v>
      </c>
      <c r="F16" s="88" t="s">
        <v>107</v>
      </c>
      <c r="G16" s="88" t="str">
        <f t="shared" si="1"/>
        <v>Astron</v>
      </c>
      <c r="H16" s="88" t="str">
        <f t="shared" si="1"/>
        <v>PetroSA</v>
      </c>
      <c r="I16" s="88" t="str">
        <f>IF(Product_select="Total", "Total Liquid Fuels", "Total ")&amp;IF(Product_select="Total","",Product_select)&amp;" High Supply (Litres)"</f>
        <v>Total Gasoline High Supply (Litres)</v>
      </c>
      <c r="J16" s="88" t="str">
        <f>IF(Product_select="Total", "Total Liquid Fuels", "Total ")&amp;IF(Product_select="Total","",Product_select)&amp;" High Supply (kbpd)"</f>
        <v>Total Gasoline High Supply (kbpd)</v>
      </c>
      <c r="K16" s="88" t="str">
        <f>IF(Product_select="Total", "Specified Market Total Liquid Fuels", "Total ")&amp;IF(Product_select="Total","",Product_select)&amp;" High Supply (Litres)"</f>
        <v>Total Gasoline High Supply (Litres)</v>
      </c>
      <c r="L16" s="88" t="str">
        <f>IF(Product_select="Total", "Specified Market Total Liquid Fuels", "Total ")&amp;IF(Product_select="Total","",Product_select)&amp;" High Supply (kbpd)"</f>
        <v>Total Gasoline High Supply (kbpd)</v>
      </c>
      <c r="N16" s="75" t="s">
        <v>182</v>
      </c>
      <c r="X16" s="75">
        <v>2023</v>
      </c>
      <c r="Y16" s="83">
        <f t="shared" ref="Y16:Y33" si="2">I51</f>
        <v>6407223458.2526245</v>
      </c>
      <c r="Z16" s="83">
        <f t="shared" ref="Z16:Z33" si="3">I18</f>
        <v>6443847802.9394989</v>
      </c>
    </row>
    <row r="17" spans="2:26" x14ac:dyDescent="0.6">
      <c r="B17" s="90">
        <v>2022</v>
      </c>
      <c r="C17" s="129">
        <f>INDEX(Refinery,MATCH(Product_select,Assumptions!$L$93:$L$98,0),MATCH("Enref",Assumptions!$L$93:$R$93,0))*Crude_oil_litresPerBarrel*(INDEX(Refinery_capacity,2,MATCH("Enref",Assumptions!$L$93:$R$93,0)))*Operational_days*1000*Refinery_availability*INDEX(Production_High,MATCH($B17,Assumptions!$L$102:$L$131,0),MATCH("Enref",Assumptions!$L$102:$R$102,0))</f>
        <v>0</v>
      </c>
      <c r="D17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17,Assumptions!$L$102:$L$131,0),MATCH(D$16,Assumptions!$L$102:$R$102,0))</f>
        <v>0</v>
      </c>
      <c r="E17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17,Assumptions!$L$102:$L$131,0),MATCH(E$16,Assumptions!$L$102:$R$102,0))</f>
        <v>2226145181.3346376</v>
      </c>
      <c r="F17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17,Assumptions!$L$102:$L$131,0),MATCH(F$16,Assumptions!$L$102:$R$102,0))</f>
        <v>2996537292.5624995</v>
      </c>
      <c r="G17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17,Assumptions!$L$102:$L$131,0),MATCH(G$16,Assumptions!$L$102:$R$102,0))</f>
        <v>0</v>
      </c>
      <c r="H17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17,Assumptions!$L$102:$L$131,0),MATCH(H$16,Assumptions!$L$102:$R$102,0))</f>
        <v>0</v>
      </c>
      <c r="I17" s="130">
        <f>SUM(C17:H17)</f>
        <v>5222682473.8971367</v>
      </c>
      <c r="J17" s="130">
        <f>I17/Crude_oil_litresPerBarrel/Operational_days/1000</f>
        <v>89.999302499999985</v>
      </c>
      <c r="K17" s="130">
        <f>SUM(C17:H17)</f>
        <v>5222682473.8971367</v>
      </c>
      <c r="L17" s="130">
        <f>K17/Crude_oil_litresPerBarrel/Operational_days/1000</f>
        <v>89.999302499999985</v>
      </c>
      <c r="N17" s="83">
        <f>E17+F17</f>
        <v>5222682473.8971367</v>
      </c>
      <c r="X17" s="75">
        <v>2024</v>
      </c>
      <c r="Y17" s="83">
        <f t="shared" si="2"/>
        <v>6688016629.2556877</v>
      </c>
      <c r="Z17" s="83">
        <f t="shared" si="3"/>
        <v>7437640582.6728745</v>
      </c>
    </row>
    <row r="18" spans="2:26" x14ac:dyDescent="0.6">
      <c r="B18" s="90">
        <v>2023</v>
      </c>
      <c r="C18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18,Assumptions!$L$102:$L$131,0),MATCH(C$16,Assumptions!$L$102:$R$102,0))</f>
        <v>0</v>
      </c>
      <c r="D18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18,Assumptions!$L$102:$L$131,0),MATCH(D$16,Assumptions!$L$102:$R$102,0))</f>
        <v>0</v>
      </c>
      <c r="E18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18,Assumptions!$L$102:$L$131,0),MATCH(E$16,Assumptions!$L$102:$R$102,0))</f>
        <v>2231245170.2953124</v>
      </c>
      <c r="F18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18,Assumptions!$L$102:$L$131,0),MATCH(F$16,Assumptions!$L$102:$R$102,0))</f>
        <v>3037489968.894187</v>
      </c>
      <c r="G18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18,Assumptions!$L$102:$L$131,0),MATCH(G$16,Assumptions!$L$102:$R$102,0))</f>
        <v>1175112663.75</v>
      </c>
      <c r="H18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18,Assumptions!$L$102:$L$131,0),MATCH(H$16,Assumptions!$L$102:$R$102,0))</f>
        <v>0</v>
      </c>
      <c r="I18" s="130">
        <f t="shared" ref="I18:I25" si="4">SUM(C18:H18)</f>
        <v>6443847802.9394989</v>
      </c>
      <c r="J18" s="130">
        <f t="shared" ref="J18:J25" si="5">I18/Crude_oil_litresPerBarrel/Operational_days/1000</f>
        <v>111.04289999999997</v>
      </c>
      <c r="K18" s="130">
        <f t="shared" ref="K18:K25" si="6">SUM(C18:H18)</f>
        <v>6443847802.9394989</v>
      </c>
      <c r="L18" s="130">
        <f t="shared" ref="L18:L25" si="7">K18/Crude_oil_litresPerBarrel/Operational_days/1000</f>
        <v>111.04289999999997</v>
      </c>
      <c r="N18" s="83">
        <f t="shared" ref="N18:N45" si="8">E18+F18</f>
        <v>5268735139.1894989</v>
      </c>
      <c r="X18" s="75">
        <v>2025</v>
      </c>
      <c r="Y18" s="83">
        <f t="shared" si="2"/>
        <v>6709991236.067812</v>
      </c>
      <c r="Z18" s="83">
        <f t="shared" si="3"/>
        <v>7402093424.5944366</v>
      </c>
    </row>
    <row r="19" spans="2:26" x14ac:dyDescent="0.6">
      <c r="B19" s="90">
        <v>2024</v>
      </c>
      <c r="C19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19,Assumptions!$L$102:$L$131,0),MATCH(C$16,Assumptions!$L$102:$R$102,0))</f>
        <v>0</v>
      </c>
      <c r="D19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19,Assumptions!$L$102:$L$131,0),MATCH(D$16,Assumptions!$L$102:$R$102,0))</f>
        <v>0</v>
      </c>
      <c r="E19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19,Assumptions!$L$102:$L$131,0),MATCH(E$16,Assumptions!$L$102:$R$102,0))</f>
        <v>2243995142.697</v>
      </c>
      <c r="F19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19,Assumptions!$L$102:$L$131,0),MATCH(F$16,Assumptions!$L$102:$R$102,0))</f>
        <v>3078442645.2258744</v>
      </c>
      <c r="G19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19,Assumptions!$L$102:$L$131,0),MATCH(G$16,Assumptions!$L$102:$R$102,0))</f>
        <v>2115202794.75</v>
      </c>
      <c r="H19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19,Assumptions!$L$102:$L$131,0),MATCH(H$16,Assumptions!$L$102:$R$102,0))</f>
        <v>0</v>
      </c>
      <c r="I19" s="130">
        <f t="shared" si="4"/>
        <v>7437640582.6728745</v>
      </c>
      <c r="J19" s="130">
        <f t="shared" si="5"/>
        <v>128.16832500000001</v>
      </c>
      <c r="K19" s="130">
        <f t="shared" si="6"/>
        <v>7437640582.6728745</v>
      </c>
      <c r="L19" s="130">
        <f t="shared" si="7"/>
        <v>128.16832500000001</v>
      </c>
      <c r="N19" s="83">
        <f t="shared" si="8"/>
        <v>5322437787.9228745</v>
      </c>
      <c r="X19" s="75">
        <v>2026</v>
      </c>
      <c r="Y19" s="83">
        <f t="shared" si="2"/>
        <v>6731965842.8799372</v>
      </c>
      <c r="Z19" s="83">
        <f t="shared" si="3"/>
        <v>7443046100.9261246</v>
      </c>
    </row>
    <row r="20" spans="2:26" x14ac:dyDescent="0.6">
      <c r="B20" s="90">
        <v>2025</v>
      </c>
      <c r="C20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20,Assumptions!$L$102:$L$131,0),MATCH(C$16,Assumptions!$L$102:$R$102,0))</f>
        <v>0</v>
      </c>
      <c r="D20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20,Assumptions!$L$102:$L$131,0),MATCH(D$16,Assumptions!$L$102:$R$102,0))</f>
        <v>0</v>
      </c>
      <c r="E20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20,Assumptions!$L$102:$L$131,0),MATCH(E$16,Assumptions!$L$102:$R$102,0))</f>
        <v>2167495308.2868752</v>
      </c>
      <c r="F20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20,Assumptions!$L$102:$L$131,0),MATCH(F$16,Assumptions!$L$102:$R$102,0))</f>
        <v>3119395321.5575619</v>
      </c>
      <c r="G20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20,Assumptions!$L$102:$L$131,0),MATCH(G$16,Assumptions!$L$102:$R$102,0))</f>
        <v>2115202794.75</v>
      </c>
      <c r="H20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20,Assumptions!$L$102:$L$131,0),MATCH(H$16,Assumptions!$L$102:$R$102,0))</f>
        <v>0</v>
      </c>
      <c r="I20" s="130">
        <f t="shared" si="4"/>
        <v>7402093424.5944366</v>
      </c>
      <c r="J20" s="130">
        <f t="shared" si="5"/>
        <v>127.55576249999999</v>
      </c>
      <c r="K20" s="130">
        <f t="shared" si="6"/>
        <v>7402093424.5944366</v>
      </c>
      <c r="L20" s="130">
        <f t="shared" si="7"/>
        <v>127.55576249999999</v>
      </c>
      <c r="N20" s="83">
        <f t="shared" si="8"/>
        <v>5286890629.8444366</v>
      </c>
      <c r="X20" s="75">
        <v>2027</v>
      </c>
      <c r="Y20" s="83">
        <f t="shared" si="2"/>
        <v>6753940449.6920624</v>
      </c>
      <c r="Z20" s="83">
        <f t="shared" si="3"/>
        <v>7483998777.2578125</v>
      </c>
    </row>
    <row r="21" spans="2:26" x14ac:dyDescent="0.6">
      <c r="B21" s="90">
        <v>2026</v>
      </c>
      <c r="C21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21,Assumptions!$L$102:$L$131,0),MATCH(C$16,Assumptions!$L$102:$R$102,0))</f>
        <v>0</v>
      </c>
      <c r="D21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21,Assumptions!$L$102:$L$131,0),MATCH(D$16,Assumptions!$L$102:$R$102,0))</f>
        <v>0</v>
      </c>
      <c r="E21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21,Assumptions!$L$102:$L$131,0),MATCH(E$16,Assumptions!$L$102:$R$102,0))</f>
        <v>2167495308.2868752</v>
      </c>
      <c r="F21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21,Assumptions!$L$102:$L$131,0),MATCH(F$16,Assumptions!$L$102:$R$102,0))</f>
        <v>3160347997.8892498</v>
      </c>
      <c r="G21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21,Assumptions!$L$102:$L$131,0),MATCH(G$16,Assumptions!$L$102:$R$102,0))</f>
        <v>2115202794.75</v>
      </c>
      <c r="H21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21,Assumptions!$L$102:$L$131,0),MATCH(H$16,Assumptions!$L$102:$R$102,0))</f>
        <v>0</v>
      </c>
      <c r="I21" s="130">
        <f t="shared" si="4"/>
        <v>7443046100.9261246</v>
      </c>
      <c r="J21" s="130">
        <f t="shared" si="5"/>
        <v>128.26147500000002</v>
      </c>
      <c r="K21" s="130">
        <f t="shared" si="6"/>
        <v>7443046100.9261246</v>
      </c>
      <c r="L21" s="130">
        <f t="shared" si="7"/>
        <v>128.26147500000002</v>
      </c>
      <c r="N21" s="83">
        <f t="shared" si="8"/>
        <v>5327843306.1761246</v>
      </c>
      <c r="X21" s="75">
        <v>2028</v>
      </c>
      <c r="Y21" s="83">
        <f t="shared" si="2"/>
        <v>6775582107.9161243</v>
      </c>
      <c r="Z21" s="83">
        <f t="shared" si="3"/>
        <v>7524618505.0014372</v>
      </c>
    </row>
    <row r="22" spans="2:26" x14ac:dyDescent="0.6">
      <c r="B22" s="90">
        <v>2027</v>
      </c>
      <c r="C22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22,Assumptions!$L$102:$L$131,0),MATCH(C$16,Assumptions!$L$102:$R$102,0))</f>
        <v>0</v>
      </c>
      <c r="D22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22,Assumptions!$L$102:$L$131,0),MATCH(D$16,Assumptions!$L$102:$R$102,0))</f>
        <v>0</v>
      </c>
      <c r="E22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22,Assumptions!$L$102:$L$131,0),MATCH(E$16,Assumptions!$L$102:$R$102,0))</f>
        <v>2167495308.2868752</v>
      </c>
      <c r="F22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22,Assumptions!$L$102:$L$131,0),MATCH(F$16,Assumptions!$L$102:$R$102,0))</f>
        <v>3201300674.2209373</v>
      </c>
      <c r="G22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22,Assumptions!$L$102:$L$131,0),MATCH(G$16,Assumptions!$L$102:$R$102,0))</f>
        <v>2115202794.75</v>
      </c>
      <c r="H22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22,Assumptions!$L$102:$L$131,0),MATCH(H$16,Assumptions!$L$102:$R$102,0))</f>
        <v>0</v>
      </c>
      <c r="I22" s="130">
        <f t="shared" si="4"/>
        <v>7483998777.2578125</v>
      </c>
      <c r="J22" s="130">
        <f t="shared" si="5"/>
        <v>128.96718749999999</v>
      </c>
      <c r="K22" s="130">
        <f t="shared" si="6"/>
        <v>7483998777.2578125</v>
      </c>
      <c r="L22" s="130">
        <f t="shared" si="7"/>
        <v>128.96718749999999</v>
      </c>
      <c r="N22" s="83">
        <f t="shared" si="8"/>
        <v>5368795982.5078125</v>
      </c>
      <c r="X22" s="75">
        <v>2029</v>
      </c>
      <c r="Y22" s="83">
        <f t="shared" si="2"/>
        <v>6588797950.0130615</v>
      </c>
      <c r="Z22" s="83">
        <f t="shared" si="3"/>
        <v>7424733928.5826874</v>
      </c>
    </row>
    <row r="23" spans="2:26" x14ac:dyDescent="0.6">
      <c r="B23" s="90">
        <v>2028</v>
      </c>
      <c r="C23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23,Assumptions!$L$102:$L$131,0),MATCH(C$16,Assumptions!$L$102:$R$102,0))</f>
        <v>0</v>
      </c>
      <c r="D23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23,Assumptions!$L$102:$L$131,0),MATCH(D$16,Assumptions!$L$102:$R$102,0))</f>
        <v>0</v>
      </c>
      <c r="E23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23,Assumptions!$L$102:$L$131,0),MATCH(E$16,Assumptions!$L$102:$R$102,0))</f>
        <v>2167495308.2868752</v>
      </c>
      <c r="F23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23,Assumptions!$L$102:$L$131,0),MATCH(F$16,Assumptions!$L$102:$R$102,0))</f>
        <v>3241920401.9645619</v>
      </c>
      <c r="G23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23,Assumptions!$L$102:$L$131,0),MATCH(G$16,Assumptions!$L$102:$R$102,0))</f>
        <v>2115202794.75</v>
      </c>
      <c r="H23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23,Assumptions!$L$102:$L$131,0),MATCH(H$16,Assumptions!$L$102:$R$102,0))</f>
        <v>0</v>
      </c>
      <c r="I23" s="130">
        <f t="shared" si="4"/>
        <v>7524618505.0014372</v>
      </c>
      <c r="J23" s="130">
        <f t="shared" si="5"/>
        <v>129.66716250000002</v>
      </c>
      <c r="K23" s="130">
        <f t="shared" si="6"/>
        <v>7524618505.0014372</v>
      </c>
      <c r="L23" s="130">
        <f t="shared" si="7"/>
        <v>129.66716250000002</v>
      </c>
      <c r="N23" s="83">
        <f t="shared" si="8"/>
        <v>5409415710.2514372</v>
      </c>
      <c r="X23" s="75">
        <v>2030</v>
      </c>
      <c r="Y23" s="83">
        <f t="shared" si="2"/>
        <v>6588797950.0130615</v>
      </c>
      <c r="Z23" s="83">
        <f t="shared" si="3"/>
        <v>7424733928.5826874</v>
      </c>
    </row>
    <row r="24" spans="2:26" x14ac:dyDescent="0.6">
      <c r="B24" s="90">
        <v>2029</v>
      </c>
      <c r="C24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24,Assumptions!$L$102:$L$131,0),MATCH(C$16,Assumptions!$L$102:$R$102,0))</f>
        <v>0</v>
      </c>
      <c r="D24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24,Assumptions!$L$102:$L$131,0),MATCH(D$16,Assumptions!$L$102:$R$102,0))</f>
        <v>0</v>
      </c>
      <c r="E24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24,Assumptions!$L$102:$L$131,0),MATCH(E$16,Assumptions!$L$102:$R$102,0))</f>
        <v>2167495308.2868752</v>
      </c>
      <c r="F24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24,Assumptions!$L$102:$L$131,0),MATCH(F$16,Assumptions!$L$102:$R$102,0))</f>
        <v>3142035825.5458121</v>
      </c>
      <c r="G24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24,Assumptions!$L$102:$L$131,0),MATCH(G$16,Assumptions!$L$102:$R$102,0))</f>
        <v>2115202794.75</v>
      </c>
      <c r="H24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24,Assumptions!$L$102:$L$131,0),MATCH(H$16,Assumptions!$L$102:$R$102,0))</f>
        <v>0</v>
      </c>
      <c r="I24" s="130">
        <f t="shared" si="4"/>
        <v>7424733928.5826874</v>
      </c>
      <c r="J24" s="130">
        <f t="shared" si="5"/>
        <v>127.94591250000001</v>
      </c>
      <c r="K24" s="130">
        <f t="shared" si="6"/>
        <v>7424733928.5826874</v>
      </c>
      <c r="L24" s="130">
        <f t="shared" si="7"/>
        <v>127.94591250000001</v>
      </c>
      <c r="N24" s="83">
        <f t="shared" si="8"/>
        <v>5309531133.8326874</v>
      </c>
      <c r="X24" s="75">
        <v>2031</v>
      </c>
      <c r="Y24" s="83">
        <f t="shared" si="2"/>
        <v>4803801813.7768116</v>
      </c>
      <c r="Z24" s="83">
        <f t="shared" si="3"/>
        <v>10552627672.46343</v>
      </c>
    </row>
    <row r="25" spans="2:26" x14ac:dyDescent="0.6">
      <c r="B25" s="90">
        <v>2030</v>
      </c>
      <c r="C25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25,Assumptions!$L$102:$L$131,0),MATCH(C$16,Assumptions!$L$102:$R$102,0))</f>
        <v>0</v>
      </c>
      <c r="D25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25,Assumptions!$L$102:$L$131,0),MATCH(D$16,Assumptions!$L$102:$R$102,0))</f>
        <v>0</v>
      </c>
      <c r="E25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25,Assumptions!$L$102:$L$131,0),MATCH(E$16,Assumptions!$L$102:$R$102,0))</f>
        <v>2167495308.2868752</v>
      </c>
      <c r="F25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25,Assumptions!$L$102:$L$131,0),MATCH(F$16,Assumptions!$L$102:$R$102,0))</f>
        <v>3142035825.5458121</v>
      </c>
      <c r="G25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25,Assumptions!$L$102:$L$131,0),MATCH(G$16,Assumptions!$L$102:$R$102,0))</f>
        <v>2115202794.75</v>
      </c>
      <c r="H25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25,Assumptions!$L$102:$L$131,0),MATCH(H$16,Assumptions!$L$102:$R$102,0))</f>
        <v>0</v>
      </c>
      <c r="I25" s="130">
        <f t="shared" si="4"/>
        <v>7424733928.5826874</v>
      </c>
      <c r="J25" s="130">
        <f t="shared" si="5"/>
        <v>127.94591250000001</v>
      </c>
      <c r="K25" s="130">
        <f t="shared" si="6"/>
        <v>7424733928.5826874</v>
      </c>
      <c r="L25" s="130">
        <f t="shared" si="7"/>
        <v>127.94591250000001</v>
      </c>
      <c r="N25" s="83">
        <f t="shared" si="8"/>
        <v>5309531133.8326874</v>
      </c>
      <c r="X25" s="75">
        <v>2032</v>
      </c>
      <c r="Y25" s="83">
        <f t="shared" si="2"/>
        <v>4803801813.7768116</v>
      </c>
      <c r="Z25" s="83">
        <f t="shared" si="3"/>
        <v>10586311490.061907</v>
      </c>
    </row>
    <row r="26" spans="2:26" x14ac:dyDescent="0.6">
      <c r="B26" s="90">
        <v>2031</v>
      </c>
      <c r="C26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26,Assumptions!$L$102:$L$131,0),MATCH(C$16,Assumptions!$L$102:$R$102,0))+
IF(
    INDEX(Production_High,MATCH($B26,Assumptions!$L$102:$L$131,0),MATCH(C$16,Assumptions!$L$102:$R$102,0))&gt;0,
    IF(Product_select="Diesel",
         INDEX(fDiesel!$J$30:$J$45, MATCH($B26, fDiesel!$B$30:$B$45,0)) * INDEX(Assumptions!$U$110:$U$112, MATCH("Diesel", Assumptions!$T$110:$T$112,0)),
     IF(Product_select="Gasoline",
         INDEX(fGasoline!$L$30:$L$45, MATCH($B26, fGasoline!$B$30:$B$45,0)) * INDEX(Assumptions!$U$110:$U$112, MATCH("Gasoline", Assumptions!$T$110:$T$112,0)),
     IF(Product_select="Total",
         INDEX(fDiesel!$J$30:$J$45, MATCH($B26, fDiesel!$B$30:$B$45,0)) * INDEX(Assumptions!$U$110:$U$112, MATCH("Diesel", Assumptions!$T$110:$T$112,0))
         +
         INDEX(fGasoline!$L$30:$L$45, MATCH($B26, fGasoline!$B$30:$B$45,0)) * INDEX(Assumptions!$U$110:$U$112, MATCH("Gasoline", Assumptions!$T$110:$T$112,0))
     )
     )
    ),
    0
)</f>
        <v>0</v>
      </c>
      <c r="D26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26,Assumptions!$L$102:$L$131,0),MATCH(D$16,Assumptions!$L$102:$R$102,0))+
IF(
    INDEX(Production_High,MATCH($B26,Assumptions!$L$102:$L$131,0),MATCH(D$16,Assumptions!$L$102:$R$102,0))&gt;0,
    IF(Product_select="Diesel",
         INDEX(fDiesel!$J$30:$J$45, MATCH($B26, fDiesel!$B$30:$B$45,0)) * INDEX(Assumptions!$U$110:$U$112, MATCH("Diesel", Assumptions!$T$110:$T$112,0)),
     IF(Product_select="Gasoline",
         INDEX(fGasoline!$L$30:$L$45, MATCH($B26, fGasoline!$B$30:$B$45,0)) * INDEX(Assumptions!$U$110:$U$112, MATCH("Gasoline", Assumptions!$T$110:$T$112,0)),
     IF(Product_select="Total",
         INDEX(fDiesel!$J$30:$J$45, MATCH($B26, fDiesel!$B$30:$B$45,0)) * INDEX(Assumptions!$U$110:$U$112, MATCH("Diesel", Assumptions!$T$110:$T$112,0))
         +
         INDEX(fGasoline!$L$30:$L$45, MATCH($B26, fGasoline!$B$30:$B$45,0)) * INDEX(Assumptions!$U$110:$U$112, MATCH("Gasoline", Assumptions!$T$110:$T$112,0))
     )
     )
    ),
    0
)</f>
        <v>0</v>
      </c>
      <c r="E26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26,Assumptions!$L$102:$L$131,0),MATCH(E$16,Assumptions!$L$102:$R$102,0))+
IF(
    INDEX(Production_High,MATCH($B26,Assumptions!$L$102:$L$131,0),MATCH(E$16,Assumptions!$L$102:$R$102,0))&gt;0,
    IF(Product_select="Diesel",
         INDEX(fDiesel!$J$30:$J$45, MATCH($B26, fDiesel!$B$30:$B$45,0)) * INDEX(Assumptions!$U$110:$U$112, MATCH("Diesel", Assumptions!$T$110:$T$112,0)),
     IF(Product_select="Gasoline",
         INDEX(fGasoline!$L$30:$L$45, MATCH($B26, fGasoline!$B$30:$B$45,0)) * INDEX(Assumptions!$U$110:$U$112, MATCH("Gasoline", Assumptions!$T$110:$T$112,0)),
     IF(Product_select="Total",
         INDEX(fDiesel!$J$30:$J$45, MATCH($B26, fDiesel!$B$30:$B$45,0)) * INDEX(Assumptions!$U$110:$U$112, MATCH("Diesel", Assumptions!$T$110:$T$112,0))
         +
         INDEX(fGasoline!$L$30:$L$45, MATCH($B26, fGasoline!$B$30:$B$45,0)) * INDEX(Assumptions!$U$110:$U$112, MATCH("Gasoline", Assumptions!$T$110:$T$112,0))
     )
     )
    ),
    0
)</f>
        <v>3176831697.4408731</v>
      </c>
      <c r="F26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26,Assumptions!$L$102:$L$131,0),MATCH(F$16,Assumptions!$L$102:$R$102,0))+
IF(
    INDEX(Production_High,MATCH($B26,Assumptions!$L$102:$L$131,0),MATCH(F$16,Assumptions!$L$102:$R$102,0))&gt;0,
    IF(Product_select="Diesel",
         INDEX(fDiesel!$J$30:$J$45, MATCH($B26, fDiesel!$B$30:$B$45,0)) * INDEX(Assumptions!$U$110:$U$112, MATCH("Diesel", Assumptions!$T$110:$T$112,0)),
     IF(Product_select="Gasoline",
         INDEX(fGasoline!$L$30:$L$45, MATCH($B26, fGasoline!$B$30:$B$45,0)) * INDEX(Assumptions!$U$110:$U$112, MATCH("Gasoline", Assumptions!$T$110:$T$112,0)),
     IF(Product_select="Total",
         INDEX(fDiesel!$J$30:$J$45, MATCH($B26, fDiesel!$B$30:$B$45,0)) * INDEX(Assumptions!$U$110:$U$112, MATCH("Diesel", Assumptions!$T$110:$T$112,0))
         +
         INDEX(fGasoline!$L$30:$L$45, MATCH($B26, fGasoline!$B$30:$B$45,0)) * INDEX(Assumptions!$U$110:$U$112, MATCH("Gasoline", Assumptions!$T$110:$T$112,0))
     )
     )
    ),
    0
)</f>
        <v>4251256791.1185598</v>
      </c>
      <c r="G26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26,Assumptions!$L$102:$L$131,0),MATCH(G$16,Assumptions!$L$102:$R$102,0))+
IF(
    INDEX(Production_High,MATCH($B26,Assumptions!$L$102:$L$131,0),MATCH(G$16,Assumptions!$L$102:$R$102,0))&gt;0,
    IF(Product_select="Diesel",
         INDEX(fDiesel!$J$30:$J$45, MATCH($B26, fDiesel!$B$30:$B$45,0)) * INDEX(Assumptions!$U$110:$U$112, MATCH("Diesel", Assumptions!$T$110:$T$112,0)),
     IF(Product_select="Gasoline",
         INDEX(fGasoline!$L$30:$L$45, MATCH($B26, fGasoline!$B$30:$B$45,0)) * INDEX(Assumptions!$U$110:$U$112, MATCH("Gasoline", Assumptions!$T$110:$T$112,0)),
     IF(Product_select="Total",
         INDEX(fDiesel!$J$30:$J$45, MATCH($B26, fDiesel!$B$30:$B$45,0)) * INDEX(Assumptions!$U$110:$U$112, MATCH("Diesel", Assumptions!$T$110:$T$112,0))
         +
         INDEX(fGasoline!$L$30:$L$45, MATCH($B26, fGasoline!$B$30:$B$45,0)) * INDEX(Assumptions!$U$110:$U$112, MATCH("Gasoline", Assumptions!$T$110:$T$112,0))
     )
     )
    ),
    0
)</f>
        <v>3124539183.9039979</v>
      </c>
      <c r="H26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26,Assumptions!$L$102:$L$131,0),MATCH(H$16,Assumptions!$L$102:$R$102,0))+
IF(
    INDEX(Production_High,MATCH($B26,Assumptions!$L$102:$L$131,0),MATCH(H$16,Assumptions!$L$102:$R$102,0))&gt;0,
    IF(Product_select="Diesel",
         INDEX(fDiesel!$J$30:$J$45, MATCH($B26, fDiesel!$B$30:$B$45,0)) * INDEX(Assumptions!$U$110:$U$112, MATCH("Diesel", Assumptions!$T$110:$T$112,0)),
     IF(Product_select="Gasoline",
         INDEX(fGasoline!$L$30:$L$45, MATCH($B26, fGasoline!$B$30:$B$45,0)) * INDEX(Assumptions!$U$110:$U$112, MATCH("Gasoline", Assumptions!$T$110:$T$112,0)),
     IF(Product_select="Total",
         INDEX(fDiesel!$J$30:$J$45, MATCH($B26, fDiesel!$B$30:$B$45,0)) * INDEX(Assumptions!$U$110:$U$112, MATCH("Diesel", Assumptions!$T$110:$T$112,0))
         +
         INDEX(fGasoline!$L$30:$L$45, MATCH($B26, fGasoline!$B$30:$B$45,0)) * INDEX(Assumptions!$U$110:$U$112, MATCH("Gasoline", Assumptions!$T$110:$T$112,0))
     )
     )
    ),
    0
)</f>
        <v>0</v>
      </c>
      <c r="I26" s="130">
        <f t="shared" ref="I26:I45" si="9">SUM(C26:H26)</f>
        <v>10552627672.46343</v>
      </c>
      <c r="J26" s="130">
        <f t="shared" ref="J26:J45" si="10">I26/Crude_oil_litresPerBarrel/Operational_days/1000</f>
        <v>181.84699812991397</v>
      </c>
      <c r="K26" s="130">
        <f t="shared" ref="K26:K45" si="11">SUM(C26:H26)</f>
        <v>10552627672.46343</v>
      </c>
      <c r="L26" s="130">
        <f t="shared" ref="L26:L45" si="12">K26/Crude_oil_litresPerBarrel/Operational_days/1000</f>
        <v>181.84699812991397</v>
      </c>
      <c r="N26" s="83">
        <f t="shared" si="8"/>
        <v>7428088488.559433</v>
      </c>
      <c r="X26" s="75">
        <v>2033</v>
      </c>
      <c r="Y26" s="83">
        <f t="shared" si="2"/>
        <v>4691598139.5997496</v>
      </c>
      <c r="Z26" s="83">
        <f t="shared" si="3"/>
        <v>10521500569.532545</v>
      </c>
    </row>
    <row r="27" spans="2:26" x14ac:dyDescent="0.6">
      <c r="B27" s="90">
        <v>2032</v>
      </c>
      <c r="C27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27,Assumptions!$L$102:$L$131,0),MATCH(C$16,Assumptions!$L$102:$R$102,0))+
IF(
    INDEX(Production_High,MATCH($B27,Assumptions!$L$102:$L$131,0),MATCH(C$16,Assumptions!$L$102:$R$102,0))&gt;0,
    IF(Product_select="Diesel",
         INDEX(fDiesel!$J$30:$J$45, MATCH($B27, fDiesel!$B$30:$B$45,0)) * INDEX(Assumptions!$U$110:$U$112, MATCH("Diesel", Assumptions!$T$110:$T$112,0)),
     IF(Product_select="Gasoline",
         INDEX(fGasoline!$L$30:$L$45, MATCH($B27, fGasoline!$B$30:$B$45,0)) * INDEX(Assumptions!$U$110:$U$112, MATCH("Gasoline", Assumptions!$T$110:$T$112,0)),
     IF(Product_select="Total",
         INDEX(fDiesel!$J$30:$J$45, MATCH($B27, fDiesel!$B$30:$B$45,0)) * INDEX(Assumptions!$U$110:$U$112, MATCH("Diesel", Assumptions!$T$110:$T$112,0))
         +
         INDEX(fGasoline!$L$30:$L$45, MATCH($B27, fGasoline!$B$30:$B$45,0)) * INDEX(Assumptions!$U$110:$U$112, MATCH("Gasoline", Assumptions!$T$110:$T$112,0))
     )
     )
    ),
    0
)</f>
        <v>0</v>
      </c>
      <c r="D27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27,Assumptions!$L$102:$L$131,0),MATCH(D$16,Assumptions!$L$102:$R$102,0))+
IF(
    INDEX(Production_High,MATCH($B27,Assumptions!$L$102:$L$131,0),MATCH(D$16,Assumptions!$L$102:$R$102,0))&gt;0,
    IF(Product_select="Diesel",
         INDEX(fDiesel!$J$30:$J$45, MATCH($B27, fDiesel!$B$30:$B$45,0)) * INDEX(Assumptions!$U$110:$U$112, MATCH("Diesel", Assumptions!$T$110:$T$112,0)),
     IF(Product_select="Gasoline",
         INDEX(fGasoline!$L$30:$L$45, MATCH($B27, fGasoline!$B$30:$B$45,0)) * INDEX(Assumptions!$U$110:$U$112, MATCH("Gasoline", Assumptions!$T$110:$T$112,0)),
     IF(Product_select="Total",
         INDEX(fDiesel!$J$30:$J$45, MATCH($B27, fDiesel!$B$30:$B$45,0)) * INDEX(Assumptions!$U$110:$U$112, MATCH("Diesel", Assumptions!$T$110:$T$112,0))
         +
         INDEX(fGasoline!$L$30:$L$45, MATCH($B27, fGasoline!$B$30:$B$45,0)) * INDEX(Assumptions!$U$110:$U$112, MATCH("Gasoline", Assumptions!$T$110:$T$112,0))
     )
     )
    ),
    0
)</f>
        <v>0</v>
      </c>
      <c r="E27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27,Assumptions!$L$102:$L$131,0),MATCH(E$16,Assumptions!$L$102:$R$102,0))+
IF(
    INDEX(Production_High,MATCH($B27,Assumptions!$L$102:$L$131,0),MATCH(E$16,Assumptions!$L$102:$R$102,0))&gt;0,
    IF(Product_select="Diesel",
         INDEX(fDiesel!$J$30:$J$45, MATCH($B27, fDiesel!$B$30:$B$45,0)) * INDEX(Assumptions!$U$110:$U$112, MATCH("Diesel", Assumptions!$T$110:$T$112,0)),
     IF(Product_select="Gasoline",
         INDEX(fGasoline!$L$30:$L$45, MATCH($B27, fGasoline!$B$30:$B$45,0)) * INDEX(Assumptions!$U$110:$U$112, MATCH("Gasoline", Assumptions!$T$110:$T$112,0)),
     IF(Product_select="Total",
         INDEX(fDiesel!$J$30:$J$45, MATCH($B27, fDiesel!$B$30:$B$45,0)) * INDEX(Assumptions!$U$110:$U$112, MATCH("Diesel", Assumptions!$T$110:$T$112,0))
         +
         INDEX(fGasoline!$L$30:$L$45, MATCH($B27, fGasoline!$B$30:$B$45,0)) * INDEX(Assumptions!$U$110:$U$112, MATCH("Gasoline", Assumptions!$T$110:$T$112,0))
     )
     )
    ),
    0
)</f>
        <v>3188059636.6403651</v>
      </c>
      <c r="F27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27,Assumptions!$L$102:$L$131,0),MATCH(F$16,Assumptions!$L$102:$R$102,0))+
IF(
    INDEX(Production_High,MATCH($B27,Assumptions!$L$102:$L$131,0),MATCH(F$16,Assumptions!$L$102:$R$102,0))&gt;0,
    IF(Product_select="Diesel",
         INDEX(fDiesel!$J$30:$J$45, MATCH($B27, fDiesel!$B$30:$B$45,0)) * INDEX(Assumptions!$U$110:$U$112, MATCH("Diesel", Assumptions!$T$110:$T$112,0)),
     IF(Product_select="Gasoline",
         INDEX(fGasoline!$L$30:$L$45, MATCH($B27, fGasoline!$B$30:$B$45,0)) * INDEX(Assumptions!$U$110:$U$112, MATCH("Gasoline", Assumptions!$T$110:$T$112,0)),
     IF(Product_select="Total",
         INDEX(fDiesel!$J$30:$J$45, MATCH($B27, fDiesel!$B$30:$B$45,0)) * INDEX(Assumptions!$U$110:$U$112, MATCH("Diesel", Assumptions!$T$110:$T$112,0))
         +
         INDEX(fGasoline!$L$30:$L$45, MATCH($B27, fGasoline!$B$30:$B$45,0)) * INDEX(Assumptions!$U$110:$U$112, MATCH("Gasoline", Assumptions!$T$110:$T$112,0))
     )
     )
    ),
    0
)</f>
        <v>4262484730.3180518</v>
      </c>
      <c r="G27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27,Assumptions!$L$102:$L$131,0),MATCH(G$16,Assumptions!$L$102:$R$102,0))+
IF(
    INDEX(Production_High,MATCH($B27,Assumptions!$L$102:$L$131,0),MATCH(G$16,Assumptions!$L$102:$R$102,0))&gt;0,
    IF(Product_select="Diesel",
         INDEX(fDiesel!$J$30:$J$45, MATCH($B27, fDiesel!$B$30:$B$45,0)) * INDEX(Assumptions!$U$110:$U$112, MATCH("Diesel", Assumptions!$T$110:$T$112,0)),
     IF(Product_select="Gasoline",
         INDEX(fGasoline!$L$30:$L$45, MATCH($B27, fGasoline!$B$30:$B$45,0)) * INDEX(Assumptions!$U$110:$U$112, MATCH("Gasoline", Assumptions!$T$110:$T$112,0)),
     IF(Product_select="Total",
         INDEX(fDiesel!$J$30:$J$45, MATCH($B27, fDiesel!$B$30:$B$45,0)) * INDEX(Assumptions!$U$110:$U$112, MATCH("Diesel", Assumptions!$T$110:$T$112,0))
         +
         INDEX(fGasoline!$L$30:$L$45, MATCH($B27, fGasoline!$B$30:$B$45,0)) * INDEX(Assumptions!$U$110:$U$112, MATCH("Gasoline", Assumptions!$T$110:$T$112,0))
     )
     )
    ),
    0
)</f>
        <v>3135767123.1034899</v>
      </c>
      <c r="H27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27,Assumptions!$L$102:$L$131,0),MATCH(H$16,Assumptions!$L$102:$R$102,0))+
IF(
    INDEX(Production_High,MATCH($B27,Assumptions!$L$102:$L$131,0),MATCH(H$16,Assumptions!$L$102:$R$102,0))&gt;0,
    IF(Product_select="Diesel",
         INDEX(fDiesel!$J$30:$J$45, MATCH($B27, fDiesel!$B$30:$B$45,0)) * INDEX(Assumptions!$U$110:$U$112, MATCH("Diesel", Assumptions!$T$110:$T$112,0)),
     IF(Product_select="Gasoline",
         INDEX(fGasoline!$L$30:$L$45, MATCH($B27, fGasoline!$B$30:$B$45,0)) * INDEX(Assumptions!$U$110:$U$112, MATCH("Gasoline", Assumptions!$T$110:$T$112,0)),
     IF(Product_select="Total",
         INDEX(fDiesel!$J$30:$J$45, MATCH($B27, fDiesel!$B$30:$B$45,0)) * INDEX(Assumptions!$U$110:$U$112, MATCH("Diesel", Assumptions!$T$110:$T$112,0))
         +
         INDEX(fGasoline!$L$30:$L$45, MATCH($B27, fGasoline!$B$30:$B$45,0)) * INDEX(Assumptions!$U$110:$U$112, MATCH("Gasoline", Assumptions!$T$110:$T$112,0))
     )
     )
    ),
    0
)</f>
        <v>0</v>
      </c>
      <c r="I27" s="130">
        <f t="shared" si="9"/>
        <v>10586311490.061907</v>
      </c>
      <c r="J27" s="130">
        <f t="shared" si="10"/>
        <v>182.42745081960965</v>
      </c>
      <c r="K27" s="130">
        <f t="shared" si="11"/>
        <v>10586311490.061907</v>
      </c>
      <c r="L27" s="130">
        <f t="shared" si="12"/>
        <v>182.42745081960965</v>
      </c>
      <c r="N27" s="83">
        <f t="shared" si="8"/>
        <v>7450544366.9584169</v>
      </c>
      <c r="X27" s="75">
        <v>2034</v>
      </c>
      <c r="Y27" s="83">
        <f t="shared" si="2"/>
        <v>4579394465.4226875</v>
      </c>
      <c r="Z27" s="83">
        <f t="shared" si="3"/>
        <v>10431509406.853691</v>
      </c>
    </row>
    <row r="28" spans="2:26" x14ac:dyDescent="0.6">
      <c r="B28" s="90">
        <v>2033</v>
      </c>
      <c r="C28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28,Assumptions!$L$102:$L$131,0),MATCH(C$16,Assumptions!$L$102:$R$102,0))+
IF(
    INDEX(Production_High,MATCH($B28,Assumptions!$L$102:$L$131,0),MATCH(C$16,Assumptions!$L$102:$R$102,0))&gt;0,
    IF(Product_select="Diesel",
         INDEX(fDiesel!$J$30:$J$45, MATCH($B28, fDiesel!$B$30:$B$45,0)) * INDEX(Assumptions!$U$110:$U$112, MATCH("Diesel", Assumptions!$T$110:$T$112,0)),
     IF(Product_select="Gasoline",
         INDEX(fGasoline!$L$30:$L$45, MATCH($B28, fGasoline!$B$30:$B$45,0)) * INDEX(Assumptions!$U$110:$U$112, MATCH("Gasoline", Assumptions!$T$110:$T$112,0)),
     IF(Product_select="Total",
         INDEX(fDiesel!$J$30:$J$45, MATCH($B28, fDiesel!$B$30:$B$45,0)) * INDEX(Assumptions!$U$110:$U$112, MATCH("Diesel", Assumptions!$T$110:$T$112,0))
         +
         INDEX(fGasoline!$L$30:$L$45, MATCH($B28, fGasoline!$B$30:$B$45,0)) * INDEX(Assumptions!$U$110:$U$112, MATCH("Gasoline", Assumptions!$T$110:$T$112,0))
     )
     )
    ),
    0
)</f>
        <v>0</v>
      </c>
      <c r="D28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28,Assumptions!$L$102:$L$131,0),MATCH(D$16,Assumptions!$L$102:$R$102,0))+
IF(
    INDEX(Production_High,MATCH($B28,Assumptions!$L$102:$L$131,0),MATCH(D$16,Assumptions!$L$102:$R$102,0))&gt;0,
    IF(Product_select="Diesel",
         INDEX(fDiesel!$J$30:$J$45, MATCH($B28, fDiesel!$B$30:$B$45,0)) * INDEX(Assumptions!$U$110:$U$112, MATCH("Diesel", Assumptions!$T$110:$T$112,0)),
     IF(Product_select="Gasoline",
         INDEX(fGasoline!$L$30:$L$45, MATCH($B28, fGasoline!$B$30:$B$45,0)) * INDEX(Assumptions!$U$110:$U$112, MATCH("Gasoline", Assumptions!$T$110:$T$112,0)),
     IF(Product_select="Total",
         INDEX(fDiesel!$J$30:$J$45, MATCH($B28, fDiesel!$B$30:$B$45,0)) * INDEX(Assumptions!$U$110:$U$112, MATCH("Diesel", Assumptions!$T$110:$T$112,0))
         +
         INDEX(fGasoline!$L$30:$L$45, MATCH($B28, fGasoline!$B$30:$B$45,0)) * INDEX(Assumptions!$U$110:$U$112, MATCH("Gasoline", Assumptions!$T$110:$T$112,0))
     )
     )
    ),
    0
)</f>
        <v>0</v>
      </c>
      <c r="E28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28,Assumptions!$L$102:$L$131,0),MATCH(E$16,Assumptions!$L$102:$R$102,0))+
IF(
    INDEX(Production_High,MATCH($B28,Assumptions!$L$102:$L$131,0),MATCH(E$16,Assumptions!$L$102:$R$102,0))&gt;0,
    IF(Product_select="Diesel",
         INDEX(fDiesel!$J$30:$J$45, MATCH($B28, fDiesel!$B$30:$B$45,0)) * INDEX(Assumptions!$U$110:$U$112, MATCH("Diesel", Assumptions!$T$110:$T$112,0)),
     IF(Product_select="Gasoline",
         INDEX(fGasoline!$L$30:$L$45, MATCH($B28, fGasoline!$B$30:$B$45,0)) * INDEX(Assumptions!$U$110:$U$112, MATCH("Gasoline", Assumptions!$T$110:$T$112,0)),
     IF(Product_select="Total",
         INDEX(fDiesel!$J$30:$J$45, MATCH($B28, fDiesel!$B$30:$B$45,0)) * INDEX(Assumptions!$U$110:$U$112, MATCH("Diesel", Assumptions!$T$110:$T$112,0))
         +
         INDEX(fGasoline!$L$30:$L$45, MATCH($B28, fGasoline!$B$30:$B$45,0)) * INDEX(Assumptions!$U$110:$U$112, MATCH("Gasoline", Assumptions!$T$110:$T$112,0))
     )
     )
    ),
    0
)</f>
        <v>3198752009.5059738</v>
      </c>
      <c r="F28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28,Assumptions!$L$102:$L$131,0),MATCH(F$16,Assumptions!$L$102:$R$102,0))+
IF(
    INDEX(Production_High,MATCH($B28,Assumptions!$L$102:$L$131,0),MATCH(F$16,Assumptions!$L$102:$R$102,0))&gt;0,
    IF(Product_select="Diesel",
         INDEX(fDiesel!$J$30:$J$45, MATCH($B28, fDiesel!$B$30:$B$45,0)) * INDEX(Assumptions!$U$110:$U$112, MATCH("Diesel", Assumptions!$T$110:$T$112,0)),
     IF(Product_select="Gasoline",
         INDEX(fGasoline!$L$30:$L$45, MATCH($B28, fGasoline!$B$30:$B$45,0)) * INDEX(Assumptions!$U$110:$U$112, MATCH("Gasoline", Assumptions!$T$110:$T$112,0)),
     IF(Product_select="Total",
         INDEX(fDiesel!$J$30:$J$45, MATCH($B28, fDiesel!$B$30:$B$45,0)) * INDEX(Assumptions!$U$110:$U$112, MATCH("Diesel", Assumptions!$T$110:$T$112,0))
         +
         INDEX(fGasoline!$L$30:$L$45, MATCH($B28, fGasoline!$B$30:$B$45,0)) * INDEX(Assumptions!$U$110:$U$112, MATCH("Gasoline", Assumptions!$T$110:$T$112,0))
     )
     )
    ),
    0
)</f>
        <v>4176289064.0574732</v>
      </c>
      <c r="G28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28,Assumptions!$L$102:$L$131,0),MATCH(G$16,Assumptions!$L$102:$R$102,0))+
IF(
    INDEX(Production_High,MATCH($B28,Assumptions!$L$102:$L$131,0),MATCH(G$16,Assumptions!$L$102:$R$102,0))&gt;0,
    IF(Product_select="Diesel",
         INDEX(fDiesel!$J$30:$J$45, MATCH($B28, fDiesel!$B$30:$B$45,0)) * INDEX(Assumptions!$U$110:$U$112, MATCH("Diesel", Assumptions!$T$110:$T$112,0)),
     IF(Product_select="Gasoline",
         INDEX(fGasoline!$L$30:$L$45, MATCH($B28, fGasoline!$B$30:$B$45,0)) * INDEX(Assumptions!$U$110:$U$112, MATCH("Gasoline", Assumptions!$T$110:$T$112,0)),
     IF(Product_select="Total",
         INDEX(fDiesel!$J$30:$J$45, MATCH($B28, fDiesel!$B$30:$B$45,0)) * INDEX(Assumptions!$U$110:$U$112, MATCH("Diesel", Assumptions!$T$110:$T$112,0))
         +
         INDEX(fGasoline!$L$30:$L$45, MATCH($B28, fGasoline!$B$30:$B$45,0)) * INDEX(Assumptions!$U$110:$U$112, MATCH("Gasoline", Assumptions!$T$110:$T$112,0))
     )
     )
    ),
    0
)</f>
        <v>3146459495.9690986</v>
      </c>
      <c r="H28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28,Assumptions!$L$102:$L$131,0),MATCH(H$16,Assumptions!$L$102:$R$102,0))+
IF(
    INDEX(Production_High,MATCH($B28,Assumptions!$L$102:$L$131,0),MATCH(H$16,Assumptions!$L$102:$R$102,0))&gt;0,
    IF(Product_select="Diesel",
         INDEX(fDiesel!$J$30:$J$45, MATCH($B28, fDiesel!$B$30:$B$45,0)) * INDEX(Assumptions!$U$110:$U$112, MATCH("Diesel", Assumptions!$T$110:$T$112,0)),
     IF(Product_select="Gasoline",
         INDEX(fGasoline!$L$30:$L$45, MATCH($B28, fGasoline!$B$30:$B$45,0)) * INDEX(Assumptions!$U$110:$U$112, MATCH("Gasoline", Assumptions!$T$110:$T$112,0)),
     IF(Product_select="Total",
         INDEX(fDiesel!$J$30:$J$45, MATCH($B28, fDiesel!$B$30:$B$45,0)) * INDEX(Assumptions!$U$110:$U$112, MATCH("Diesel", Assumptions!$T$110:$T$112,0))
         +
         INDEX(fGasoline!$L$30:$L$45, MATCH($B28, fGasoline!$B$30:$B$45,0)) * INDEX(Assumptions!$U$110:$U$112, MATCH("Gasoline", Assumptions!$T$110:$T$112,0))
     )
     )
    ),
    0
)</f>
        <v>0</v>
      </c>
      <c r="I28" s="130">
        <f t="shared" si="9"/>
        <v>10521500569.532545</v>
      </c>
      <c r="J28" s="130">
        <f t="shared" si="10"/>
        <v>181.31060374510753</v>
      </c>
      <c r="K28" s="130">
        <f t="shared" si="11"/>
        <v>10521500569.532545</v>
      </c>
      <c r="L28" s="130">
        <f t="shared" si="12"/>
        <v>181.31060374510753</v>
      </c>
      <c r="N28" s="83">
        <f t="shared" si="8"/>
        <v>7375041073.563447</v>
      </c>
      <c r="X28" s="75">
        <v>2035</v>
      </c>
      <c r="Y28" s="83">
        <f t="shared" si="2"/>
        <v>4467190791.2456245</v>
      </c>
      <c r="Z28" s="83">
        <f t="shared" si="3"/>
        <v>10338853764.084564</v>
      </c>
    </row>
    <row r="29" spans="2:26" x14ac:dyDescent="0.6">
      <c r="B29" s="90">
        <v>2034</v>
      </c>
      <c r="C29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29,Assumptions!$L$102:$L$131,0),MATCH(C$16,Assumptions!$L$102:$R$102,0))+
IF(
    INDEX(Production_High,MATCH($B29,Assumptions!$L$102:$L$131,0),MATCH(C$16,Assumptions!$L$102:$R$102,0))&gt;0,
    IF(Product_select="Diesel",
         INDEX(fDiesel!$J$30:$J$45, MATCH($B29, fDiesel!$B$30:$B$45,0)) * INDEX(Assumptions!$U$110:$U$112, MATCH("Diesel", Assumptions!$T$110:$T$112,0)),
     IF(Product_select="Gasoline",
         INDEX(fGasoline!$L$30:$L$45, MATCH($B29, fGasoline!$B$30:$B$45,0)) * INDEX(Assumptions!$U$110:$U$112, MATCH("Gasoline", Assumptions!$T$110:$T$112,0)),
     IF(Product_select="Total",
         INDEX(fDiesel!$J$30:$J$45, MATCH($B29, fDiesel!$B$30:$B$45,0)) * INDEX(Assumptions!$U$110:$U$112, MATCH("Diesel", Assumptions!$T$110:$T$112,0))
         +
         INDEX(fGasoline!$L$30:$L$45, MATCH($B29, fGasoline!$B$30:$B$45,0)) * INDEX(Assumptions!$U$110:$U$112, MATCH("Gasoline", Assumptions!$T$110:$T$112,0))
     )
     )
    ),
    0
)</f>
        <v>0</v>
      </c>
      <c r="D29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29,Assumptions!$L$102:$L$131,0),MATCH(D$16,Assumptions!$L$102:$R$102,0))+
IF(
    INDEX(Production_High,MATCH($B29,Assumptions!$L$102:$L$131,0),MATCH(D$16,Assumptions!$L$102:$R$102,0))&gt;0,
    IF(Product_select="Diesel",
         INDEX(fDiesel!$J$30:$J$45, MATCH($B29, fDiesel!$B$30:$B$45,0)) * INDEX(Assumptions!$U$110:$U$112, MATCH("Diesel", Assumptions!$T$110:$T$112,0)),
     IF(Product_select="Gasoline",
         INDEX(fGasoline!$L$30:$L$45, MATCH($B29, fGasoline!$B$30:$B$45,0)) * INDEX(Assumptions!$U$110:$U$112, MATCH("Gasoline", Assumptions!$T$110:$T$112,0)),
     IF(Product_select="Total",
         INDEX(fDiesel!$J$30:$J$45, MATCH($B29, fDiesel!$B$30:$B$45,0)) * INDEX(Assumptions!$U$110:$U$112, MATCH("Diesel", Assumptions!$T$110:$T$112,0))
         +
         INDEX(fGasoline!$L$30:$L$45, MATCH($B29, fGasoline!$B$30:$B$45,0)) * INDEX(Assumptions!$U$110:$U$112, MATCH("Gasoline", Assumptions!$T$110:$T$112,0))
     )
     )
    ),
    0
)</f>
        <v>0</v>
      </c>
      <c r="E29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29,Assumptions!$L$102:$L$131,0),MATCH(E$16,Assumptions!$L$102:$R$102,0))+
IF(
    INDEX(Production_High,MATCH($B29,Assumptions!$L$102:$L$131,0),MATCH(E$16,Assumptions!$L$102:$R$102,0))&gt;0,
    IF(Product_select="Diesel",
         INDEX(fDiesel!$J$30:$J$45, MATCH($B29, fDiesel!$B$30:$B$45,0)) * INDEX(Assumptions!$U$110:$U$112, MATCH("Diesel", Assumptions!$T$110:$T$112,0)),
     IF(Product_select="Gasoline",
         INDEX(fGasoline!$L$30:$L$45, MATCH($B29, fGasoline!$B$30:$B$45,0)) * INDEX(Assumptions!$U$110:$U$112, MATCH("Gasoline", Assumptions!$T$110:$T$112,0)),
     IF(Product_select="Total",
         INDEX(fDiesel!$J$30:$J$45, MATCH($B29, fDiesel!$B$30:$B$45,0)) * INDEX(Assumptions!$U$110:$U$112, MATCH("Diesel", Assumptions!$T$110:$T$112,0))
         +
         INDEX(fGasoline!$L$30:$L$45, MATCH($B29, fGasoline!$B$30:$B$45,0)) * INDEX(Assumptions!$U$110:$U$112, MATCH("Gasoline", Assumptions!$T$110:$T$112,0))
     )
     )
    ),
    0
)</f>
        <v>3201050968.3217516</v>
      </c>
      <c r="F29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29,Assumptions!$L$102:$L$131,0),MATCH(F$16,Assumptions!$L$102:$R$102,0))+
IF(
    INDEX(Production_High,MATCH($B29,Assumptions!$L$102:$L$131,0),MATCH(F$16,Assumptions!$L$102:$R$102,0))&gt;0,
    IF(Product_select="Diesel",
         INDEX(fDiesel!$J$30:$J$45, MATCH($B29, fDiesel!$B$30:$B$45,0)) * INDEX(Assumptions!$U$110:$U$112, MATCH("Diesel", Assumptions!$T$110:$T$112,0)),
     IF(Product_select="Gasoline",
         INDEX(fGasoline!$L$30:$L$45, MATCH($B29, fGasoline!$B$30:$B$45,0)) * INDEX(Assumptions!$U$110:$U$112, MATCH("Gasoline", Assumptions!$T$110:$T$112,0)),
     IF(Product_select="Total",
         INDEX(fDiesel!$J$30:$J$45, MATCH($B29, fDiesel!$B$30:$B$45,0)) * INDEX(Assumptions!$U$110:$U$112, MATCH("Diesel", Assumptions!$T$110:$T$112,0))
         +
         INDEX(fGasoline!$L$30:$L$45, MATCH($B29, fGasoline!$B$30:$B$45,0)) * INDEX(Assumptions!$U$110:$U$112, MATCH("Gasoline", Assumptions!$T$110:$T$112,0))
     )
     )
    ),
    0
)</f>
        <v>4081699983.7470627</v>
      </c>
      <c r="G29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29,Assumptions!$L$102:$L$131,0),MATCH(G$16,Assumptions!$L$102:$R$102,0))+
IF(
    INDEX(Production_High,MATCH($B29,Assumptions!$L$102:$L$131,0),MATCH(G$16,Assumptions!$L$102:$R$102,0))&gt;0,
    IF(Product_select="Diesel",
         INDEX(fDiesel!$J$30:$J$45, MATCH($B29, fDiesel!$B$30:$B$45,0)) * INDEX(Assumptions!$U$110:$U$112, MATCH("Diesel", Assumptions!$T$110:$T$112,0)),
     IF(Product_select="Gasoline",
         INDEX(fGasoline!$L$30:$L$45, MATCH($B29, fGasoline!$B$30:$B$45,0)) * INDEX(Assumptions!$U$110:$U$112, MATCH("Gasoline", Assumptions!$T$110:$T$112,0)),
     IF(Product_select="Total",
         INDEX(fDiesel!$J$30:$J$45, MATCH($B29, fDiesel!$B$30:$B$45,0)) * INDEX(Assumptions!$U$110:$U$112, MATCH("Diesel", Assumptions!$T$110:$T$112,0))
         +
         INDEX(fGasoline!$L$30:$L$45, MATCH($B29, fGasoline!$B$30:$B$45,0)) * INDEX(Assumptions!$U$110:$U$112, MATCH("Gasoline", Assumptions!$T$110:$T$112,0))
     )
     )
    ),
    0
)</f>
        <v>3148758454.7848759</v>
      </c>
      <c r="H29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29,Assumptions!$L$102:$L$131,0),MATCH(H$16,Assumptions!$L$102:$R$102,0))+
IF(
    INDEX(Production_High,MATCH($B29,Assumptions!$L$102:$L$131,0),MATCH(H$16,Assumptions!$L$102:$R$102,0))&gt;0,
    IF(Product_select="Diesel",
         INDEX(fDiesel!$J$30:$J$45, MATCH($B29, fDiesel!$B$30:$B$45,0)) * INDEX(Assumptions!$U$110:$U$112, MATCH("Diesel", Assumptions!$T$110:$T$112,0)),
     IF(Product_select="Gasoline",
         INDEX(fGasoline!$L$30:$L$45, MATCH($B29, fGasoline!$B$30:$B$45,0)) * INDEX(Assumptions!$U$110:$U$112, MATCH("Gasoline", Assumptions!$T$110:$T$112,0)),
     IF(Product_select="Total",
         INDEX(fDiesel!$J$30:$J$45, MATCH($B29, fDiesel!$B$30:$B$45,0)) * INDEX(Assumptions!$U$110:$U$112, MATCH("Diesel", Assumptions!$T$110:$T$112,0))
         +
         INDEX(fGasoline!$L$30:$L$45, MATCH($B29, fGasoline!$B$30:$B$45,0)) * INDEX(Assumptions!$U$110:$U$112, MATCH("Gasoline", Assumptions!$T$110:$T$112,0))
     )
     )
    ),
    0
)</f>
        <v>0</v>
      </c>
      <c r="I29" s="130">
        <f t="shared" si="9"/>
        <v>10431509406.853691</v>
      </c>
      <c r="J29" s="130">
        <f t="shared" si="10"/>
        <v>179.75984091149851</v>
      </c>
      <c r="K29" s="130">
        <f t="shared" si="11"/>
        <v>10431509406.853691</v>
      </c>
      <c r="L29" s="130">
        <f t="shared" si="12"/>
        <v>179.75984091149851</v>
      </c>
      <c r="N29" s="83">
        <f t="shared" si="8"/>
        <v>7282750952.0688143</v>
      </c>
      <c r="X29" s="75">
        <v>2036</v>
      </c>
      <c r="Y29" s="83">
        <f t="shared" si="2"/>
        <v>4467190791.2456245</v>
      </c>
      <c r="Z29" s="83">
        <f t="shared" si="3"/>
        <v>10026379441.983055</v>
      </c>
    </row>
    <row r="30" spans="2:26" x14ac:dyDescent="0.6">
      <c r="B30" s="90">
        <v>2035</v>
      </c>
      <c r="C30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30,Assumptions!$L$102:$L$131,0),MATCH(C$16,Assumptions!$L$102:$R$102,0))+
IF(
    INDEX(Production_High,MATCH($B30,Assumptions!$L$102:$L$131,0),MATCH(C$16,Assumptions!$L$102:$R$102,0))&gt;0,
    IF(Product_select="Diesel",
         INDEX(fDiesel!$J$30:$J$45, MATCH($B30, fDiesel!$B$30:$B$45,0)) * INDEX(Assumptions!$U$110:$U$112, MATCH("Diesel", Assumptions!$T$110:$T$112,0)),
     IF(Product_select="Gasoline",
         INDEX(fGasoline!$L$30:$L$45, MATCH($B30, fGasoline!$B$30:$B$45,0)) * INDEX(Assumptions!$U$110:$U$112, MATCH("Gasoline", Assumptions!$T$110:$T$112,0)),
     IF(Product_select="Total",
         INDEX(fDiesel!$J$30:$J$45, MATCH($B30, fDiesel!$B$30:$B$45,0)) * INDEX(Assumptions!$U$110:$U$112, MATCH("Diesel", Assumptions!$T$110:$T$112,0))
         +
         INDEX(fGasoline!$L$30:$L$45, MATCH($B30, fGasoline!$B$30:$B$45,0)) * INDEX(Assumptions!$U$110:$U$112, MATCH("Gasoline", Assumptions!$T$110:$T$112,0))
     )
     )
    ),
    0
)</f>
        <v>0</v>
      </c>
      <c r="D30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30,Assumptions!$L$102:$L$131,0),MATCH(D$16,Assumptions!$L$102:$R$102,0))+
IF(
    INDEX(Production_High,MATCH($B30,Assumptions!$L$102:$L$131,0),MATCH(D$16,Assumptions!$L$102:$R$102,0))&gt;0,
    IF(Product_select="Diesel",
         INDEX(fDiesel!$J$30:$J$45, MATCH($B30, fDiesel!$B$30:$B$45,0)) * INDEX(Assumptions!$U$110:$U$112, MATCH("Diesel", Assumptions!$T$110:$T$112,0)),
     IF(Product_select="Gasoline",
         INDEX(fGasoline!$L$30:$L$45, MATCH($B30, fGasoline!$B$30:$B$45,0)) * INDEX(Assumptions!$U$110:$U$112, MATCH("Gasoline", Assumptions!$T$110:$T$112,0)),
     IF(Product_select="Total",
         INDEX(fDiesel!$J$30:$J$45, MATCH($B30, fDiesel!$B$30:$B$45,0)) * INDEX(Assumptions!$U$110:$U$112, MATCH("Diesel", Assumptions!$T$110:$T$112,0))
         +
         INDEX(fGasoline!$L$30:$L$45, MATCH($B30, fGasoline!$B$30:$B$45,0)) * INDEX(Assumptions!$U$110:$U$112, MATCH("Gasoline", Assumptions!$T$110:$T$112,0))
     )
     )
    ),
    0
)</f>
        <v>0</v>
      </c>
      <c r="E30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30,Assumptions!$L$102:$L$131,0),MATCH(E$16,Assumptions!$L$102:$R$102,0))+
IF(
    INDEX(Production_High,MATCH($B30,Assumptions!$L$102:$L$131,0),MATCH(E$16,Assumptions!$L$102:$R$102,0))&gt;0,
    IF(Product_select="Diesel",
         INDEX(fDiesel!$J$30:$J$45, MATCH($B30, fDiesel!$B$30:$B$45,0)) * INDEX(Assumptions!$U$110:$U$112, MATCH("Diesel", Assumptions!$T$110:$T$112,0)),
     IF(Product_select="Gasoline",
         INDEX(fGasoline!$L$30:$L$45, MATCH($B30, fGasoline!$B$30:$B$45,0)) * INDEX(Assumptions!$U$110:$U$112, MATCH("Gasoline", Assumptions!$T$110:$T$112,0)),
     IF(Product_select="Total",
         INDEX(fDiesel!$J$30:$J$45, MATCH($B30, fDiesel!$B$30:$B$45,0)) * INDEX(Assumptions!$U$110:$U$112, MATCH("Diesel", Assumptions!$T$110:$T$112,0))
         +
         INDEX(fGasoline!$L$30:$L$45, MATCH($B30, fGasoline!$B$30:$B$45,0)) * INDEX(Assumptions!$U$110:$U$112, MATCH("Gasoline", Assumptions!$T$110:$T$112,0))
     )
     )
    ),
    0
)</f>
        <v>3202572749.9701257</v>
      </c>
      <c r="F30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30,Assumptions!$L$102:$L$131,0),MATCH(F$16,Assumptions!$L$102:$R$102,0))+
IF(
    INDEX(Production_High,MATCH($B30,Assumptions!$L$102:$L$131,0),MATCH(F$16,Assumptions!$L$102:$R$102,0))&gt;0,
    IF(Product_select="Diesel",
         INDEX(fDiesel!$J$30:$J$45, MATCH($B30, fDiesel!$B$30:$B$45,0)) * INDEX(Assumptions!$U$110:$U$112, MATCH("Diesel", Assumptions!$T$110:$T$112,0)),
     IF(Product_select="Gasoline",
         INDEX(fGasoline!$L$30:$L$45, MATCH($B30, fGasoline!$B$30:$B$45,0)) * INDEX(Assumptions!$U$110:$U$112, MATCH("Gasoline", Assumptions!$T$110:$T$112,0)),
     IF(Product_select="Total",
         INDEX(fDiesel!$J$30:$J$45, MATCH($B30, fDiesel!$B$30:$B$45,0)) * INDEX(Assumptions!$U$110:$U$112, MATCH("Diesel", Assumptions!$T$110:$T$112,0))
         +
         INDEX(fGasoline!$L$30:$L$45, MATCH($B30, fGasoline!$B$30:$B$45,0)) * INDEX(Assumptions!$U$110:$U$112, MATCH("Gasoline", Assumptions!$T$110:$T$112,0))
     )
     )
    ),
    0
)</f>
        <v>3986000777.6811876</v>
      </c>
      <c r="G30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30,Assumptions!$L$102:$L$131,0),MATCH(G$16,Assumptions!$L$102:$R$102,0))+
IF(
    INDEX(Production_High,MATCH($B30,Assumptions!$L$102:$L$131,0),MATCH(G$16,Assumptions!$L$102:$R$102,0))&gt;0,
    IF(Product_select="Diesel",
         INDEX(fDiesel!$J$30:$J$45, MATCH($B30, fDiesel!$B$30:$B$45,0)) * INDEX(Assumptions!$U$110:$U$112, MATCH("Diesel", Assumptions!$T$110:$T$112,0)),
     IF(Product_select="Gasoline",
         INDEX(fGasoline!$L$30:$L$45, MATCH($B30, fGasoline!$B$30:$B$45,0)) * INDEX(Assumptions!$U$110:$U$112, MATCH("Gasoline", Assumptions!$T$110:$T$112,0)),
     IF(Product_select="Total",
         INDEX(fDiesel!$J$30:$J$45, MATCH($B30, fDiesel!$B$30:$B$45,0)) * INDEX(Assumptions!$U$110:$U$112, MATCH("Diesel", Assumptions!$T$110:$T$112,0))
         +
         INDEX(fGasoline!$L$30:$L$45, MATCH($B30, fGasoline!$B$30:$B$45,0)) * INDEX(Assumptions!$U$110:$U$112, MATCH("Gasoline", Assumptions!$T$110:$T$112,0))
     )
     )
    ),
    0
)</f>
        <v>3150280236.4332504</v>
      </c>
      <c r="H30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30,Assumptions!$L$102:$L$131,0),MATCH(H$16,Assumptions!$L$102:$R$102,0))+
IF(
    INDEX(Production_High,MATCH($B30,Assumptions!$L$102:$L$131,0),MATCH(H$16,Assumptions!$L$102:$R$102,0))&gt;0,
    IF(Product_select="Diesel",
         INDEX(fDiesel!$J$30:$J$45, MATCH($B30, fDiesel!$B$30:$B$45,0)) * INDEX(Assumptions!$U$110:$U$112, MATCH("Diesel", Assumptions!$T$110:$T$112,0)),
     IF(Product_select="Gasoline",
         INDEX(fGasoline!$L$30:$L$45, MATCH($B30, fGasoline!$B$30:$B$45,0)) * INDEX(Assumptions!$U$110:$U$112, MATCH("Gasoline", Assumptions!$T$110:$T$112,0)),
     IF(Product_select="Total",
         INDEX(fDiesel!$J$30:$J$45, MATCH($B30, fDiesel!$B$30:$B$45,0)) * INDEX(Assumptions!$U$110:$U$112, MATCH("Diesel", Assumptions!$T$110:$T$112,0))
         +
         INDEX(fGasoline!$L$30:$L$45, MATCH($B30, fGasoline!$B$30:$B$45,0)) * INDEX(Assumptions!$U$110:$U$112, MATCH("Gasoline", Assumptions!$T$110:$T$112,0))
     )
     )
    ),
    0
)</f>
        <v>0</v>
      </c>
      <c r="I30" s="130">
        <f t="shared" si="9"/>
        <v>10338853764.084564</v>
      </c>
      <c r="J30" s="130">
        <f t="shared" si="10"/>
        <v>178.16316271718199</v>
      </c>
      <c r="K30" s="130">
        <f t="shared" si="11"/>
        <v>10338853764.084564</v>
      </c>
      <c r="L30" s="130">
        <f t="shared" si="12"/>
        <v>178.16316271718199</v>
      </c>
      <c r="N30" s="83">
        <f t="shared" si="8"/>
        <v>7188573527.6513138</v>
      </c>
      <c r="X30" s="75">
        <v>2037</v>
      </c>
      <c r="Y30" s="83">
        <f t="shared" si="2"/>
        <v>4467190791.2456245</v>
      </c>
      <c r="Z30" s="83">
        <f t="shared" si="3"/>
        <v>10024000698.419155</v>
      </c>
    </row>
    <row r="31" spans="2:26" x14ac:dyDescent="0.6">
      <c r="B31" s="90">
        <v>2036</v>
      </c>
      <c r="C31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31,Assumptions!$L$102:$L$131,0),MATCH(C$16,Assumptions!$L$102:$R$102,0))+
IF(
    INDEX(Production_High,MATCH($B31,Assumptions!$L$102:$L$131,0),MATCH(C$16,Assumptions!$L$102:$R$102,0))&gt;0,
    IF(Product_select="Diesel",
         INDEX(fDiesel!$J$30:$J$45, MATCH($B31, fDiesel!$B$30:$B$45,0)) * INDEX(Assumptions!$U$110:$U$112, MATCH("Diesel", Assumptions!$T$110:$T$112,0)),
     IF(Product_select="Gasoline",
         INDEX(fGasoline!$L$30:$L$45, MATCH($B31, fGasoline!$B$30:$B$45,0)) * INDEX(Assumptions!$U$110:$U$112, MATCH("Gasoline", Assumptions!$T$110:$T$112,0)),
     IF(Product_select="Total",
         INDEX(fDiesel!$J$30:$J$45, MATCH($B31, fDiesel!$B$30:$B$45,0)) * INDEX(Assumptions!$U$110:$U$112, MATCH("Diesel", Assumptions!$T$110:$T$112,0))
         +
         INDEX(fGasoline!$L$30:$L$45, MATCH($B31, fGasoline!$B$30:$B$45,0)) * INDEX(Assumptions!$U$110:$U$112, MATCH("Gasoline", Assumptions!$T$110:$T$112,0))
     )
     )
    ),
    0
)</f>
        <v>0</v>
      </c>
      <c r="D31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31,Assumptions!$L$102:$L$131,0),MATCH(D$16,Assumptions!$L$102:$R$102,0))+
IF(
    INDEX(Production_High,MATCH($B31,Assumptions!$L$102:$L$131,0),MATCH(D$16,Assumptions!$L$102:$R$102,0))&gt;0,
    IF(Product_select="Diesel",
         INDEX(fDiesel!$J$30:$J$45, MATCH($B31, fDiesel!$B$30:$B$45,0)) * INDEX(Assumptions!$U$110:$U$112, MATCH("Diesel", Assumptions!$T$110:$T$112,0)),
     IF(Product_select="Gasoline",
         INDEX(fGasoline!$L$30:$L$45, MATCH($B31, fGasoline!$B$30:$B$45,0)) * INDEX(Assumptions!$U$110:$U$112, MATCH("Gasoline", Assumptions!$T$110:$T$112,0)),
     IF(Product_select="Total",
         INDEX(fDiesel!$J$30:$J$45, MATCH($B31, fDiesel!$B$30:$B$45,0)) * INDEX(Assumptions!$U$110:$U$112, MATCH("Diesel", Assumptions!$T$110:$T$112,0))
         +
         INDEX(fGasoline!$L$30:$L$45, MATCH($B31, fGasoline!$B$30:$B$45,0)) * INDEX(Assumptions!$U$110:$U$112, MATCH("Gasoline", Assumptions!$T$110:$T$112,0))
     )
     )
    ),
    0
)</f>
        <v>0</v>
      </c>
      <c r="E31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31,Assumptions!$L$102:$L$131,0),MATCH(E$16,Assumptions!$L$102:$R$102,0))+
IF(
    INDEX(Production_High,MATCH($B31,Assumptions!$L$102:$L$131,0),MATCH(E$16,Assumptions!$L$102:$R$102,0))&gt;0,
    IF(Product_select="Diesel",
         INDEX(fDiesel!$J$30:$J$45, MATCH($B31, fDiesel!$B$30:$B$45,0)) * INDEX(Assumptions!$U$110:$U$112, MATCH("Diesel", Assumptions!$T$110:$T$112,0)),
     IF(Product_select="Gasoline",
         INDEX(fGasoline!$L$30:$L$45, MATCH($B31, fGasoline!$B$30:$B$45,0)) * INDEX(Assumptions!$U$110:$U$112, MATCH("Gasoline", Assumptions!$T$110:$T$112,0)),
     IF(Product_select="Total",
         INDEX(fDiesel!$J$30:$J$45, MATCH($B31, fDiesel!$B$30:$B$45,0)) * INDEX(Assumptions!$U$110:$U$112, MATCH("Diesel", Assumptions!$T$110:$T$112,0))
         +
         INDEX(fGasoline!$L$30:$L$45, MATCH($B31, fGasoline!$B$30:$B$45,0)) * INDEX(Assumptions!$U$110:$U$112, MATCH("Gasoline", Assumptions!$T$110:$T$112,0))
     )
     )
    ),
    0
)</f>
        <v>3203071482.1172686</v>
      </c>
      <c r="F31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31,Assumptions!$L$102:$L$131,0),MATCH(F$16,Assumptions!$L$102:$R$102,0))+
IF(
    INDEX(Production_High,MATCH($B31,Assumptions!$L$102:$L$131,0),MATCH(F$16,Assumptions!$L$102:$R$102,0))&gt;0,
    IF(Product_select="Diesel",
         INDEX(fDiesel!$J$30:$J$45, MATCH($B31, fDiesel!$B$30:$B$45,0)) * INDEX(Assumptions!$U$110:$U$112, MATCH("Diesel", Assumptions!$T$110:$T$112,0)),
     IF(Product_select="Gasoline",
         INDEX(fGasoline!$L$30:$L$45, MATCH($B31, fGasoline!$B$30:$B$45,0)) * INDEX(Assumptions!$U$110:$U$112, MATCH("Gasoline", Assumptions!$T$110:$T$112,0)),
     IF(Product_select="Total",
         INDEX(fDiesel!$J$30:$J$45, MATCH($B31, fDiesel!$B$30:$B$45,0)) * INDEX(Assumptions!$U$110:$U$112, MATCH("Diesel", Assumptions!$T$110:$T$112,0))
         +
         INDEX(fGasoline!$L$30:$L$45, MATCH($B31, fGasoline!$B$30:$B$45,0)) * INDEX(Assumptions!$U$110:$U$112, MATCH("Gasoline", Assumptions!$T$110:$T$112,0))
     )
     )
    ),
    0
)</f>
        <v>3672528991.2853932</v>
      </c>
      <c r="G31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31,Assumptions!$L$102:$L$131,0),MATCH(G$16,Assumptions!$L$102:$R$102,0))+
IF(
    INDEX(Production_High,MATCH($B31,Assumptions!$L$102:$L$131,0),MATCH(G$16,Assumptions!$L$102:$R$102,0))&gt;0,
    IF(Product_select="Diesel",
         INDEX(fDiesel!$J$30:$J$45, MATCH($B31, fDiesel!$B$30:$B$45,0)) * INDEX(Assumptions!$U$110:$U$112, MATCH("Diesel", Assumptions!$T$110:$T$112,0)),
     IF(Product_select="Gasoline",
         INDEX(fGasoline!$L$30:$L$45, MATCH($B31, fGasoline!$B$30:$B$45,0)) * INDEX(Assumptions!$U$110:$U$112, MATCH("Gasoline", Assumptions!$T$110:$T$112,0)),
     IF(Product_select="Total",
         INDEX(fDiesel!$J$30:$J$45, MATCH($B31, fDiesel!$B$30:$B$45,0)) * INDEX(Assumptions!$U$110:$U$112, MATCH("Diesel", Assumptions!$T$110:$T$112,0))
         +
         INDEX(fGasoline!$L$30:$L$45, MATCH($B31, fGasoline!$B$30:$B$45,0)) * INDEX(Assumptions!$U$110:$U$112, MATCH("Gasoline", Assumptions!$T$110:$T$112,0))
     )
     )
    ),
    0
)</f>
        <v>3150778968.5803933</v>
      </c>
      <c r="H31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31,Assumptions!$L$102:$L$131,0),MATCH(H$16,Assumptions!$L$102:$R$102,0))+
IF(
    INDEX(Production_High,MATCH($B31,Assumptions!$L$102:$L$131,0),MATCH(H$16,Assumptions!$L$102:$R$102,0))&gt;0,
    IF(Product_select="Diesel",
         INDEX(fDiesel!$J$30:$J$45, MATCH($B31, fDiesel!$B$30:$B$45,0)) * INDEX(Assumptions!$U$110:$U$112, MATCH("Diesel", Assumptions!$T$110:$T$112,0)),
     IF(Product_select="Gasoline",
         INDEX(fGasoline!$L$30:$L$45, MATCH($B31, fGasoline!$B$30:$B$45,0)) * INDEX(Assumptions!$U$110:$U$112, MATCH("Gasoline", Assumptions!$T$110:$T$112,0)),
     IF(Product_select="Total",
         INDEX(fDiesel!$J$30:$J$45, MATCH($B31, fDiesel!$B$30:$B$45,0)) * INDEX(Assumptions!$U$110:$U$112, MATCH("Diesel", Assumptions!$T$110:$T$112,0))
         +
         INDEX(fGasoline!$L$30:$L$45, MATCH($B31, fGasoline!$B$30:$B$45,0)) * INDEX(Assumptions!$U$110:$U$112, MATCH("Gasoline", Assumptions!$T$110:$T$112,0))
     )
     )
    ),
    0
)</f>
        <v>0</v>
      </c>
      <c r="I31" s="130">
        <f t="shared" si="9"/>
        <v>10026379441.983055</v>
      </c>
      <c r="J31" s="130">
        <f t="shared" si="10"/>
        <v>172.77848325813932</v>
      </c>
      <c r="K31" s="130">
        <f t="shared" si="11"/>
        <v>10026379441.983055</v>
      </c>
      <c r="L31" s="130">
        <f t="shared" si="12"/>
        <v>172.77848325813932</v>
      </c>
      <c r="N31" s="83">
        <f t="shared" si="8"/>
        <v>6875600473.4026623</v>
      </c>
      <c r="X31" s="75">
        <v>2038</v>
      </c>
      <c r="Y31" s="83">
        <f t="shared" si="2"/>
        <v>4467190791.2456245</v>
      </c>
      <c r="Z31" s="83">
        <f t="shared" si="3"/>
        <v>10016949109.179676</v>
      </c>
    </row>
    <row r="32" spans="2:26" x14ac:dyDescent="0.6">
      <c r="B32" s="90">
        <v>2037</v>
      </c>
      <c r="C32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32,Assumptions!$L$102:$L$131,0),MATCH(C$16,Assumptions!$L$102:$R$102,0))+
IF(
    INDEX(Production_High,MATCH($B32,Assumptions!$L$102:$L$131,0),MATCH(C$16,Assumptions!$L$102:$R$102,0))&gt;0,
    IF(Product_select="Diesel",
         INDEX(fDiesel!$J$30:$J$45, MATCH($B32, fDiesel!$B$30:$B$45,0)) * INDEX(Assumptions!$U$110:$U$112, MATCH("Diesel", Assumptions!$T$110:$T$112,0)),
     IF(Product_select="Gasoline",
         INDEX(fGasoline!$L$30:$L$45, MATCH($B32, fGasoline!$B$30:$B$45,0)) * INDEX(Assumptions!$U$110:$U$112, MATCH("Gasoline", Assumptions!$T$110:$T$112,0)),
     IF(Product_select="Total",
         INDEX(fDiesel!$J$30:$J$45, MATCH($B32, fDiesel!$B$30:$B$45,0)) * INDEX(Assumptions!$U$110:$U$112, MATCH("Diesel", Assumptions!$T$110:$T$112,0))
         +
         INDEX(fGasoline!$L$30:$L$45, MATCH($B32, fGasoline!$B$30:$B$45,0)) * INDEX(Assumptions!$U$110:$U$112, MATCH("Gasoline", Assumptions!$T$110:$T$112,0))
     )
     )
    ),
    0
)</f>
        <v>0</v>
      </c>
      <c r="D32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32,Assumptions!$L$102:$L$131,0),MATCH(D$16,Assumptions!$L$102:$R$102,0))+
IF(
    INDEX(Production_High,MATCH($B32,Assumptions!$L$102:$L$131,0),MATCH(D$16,Assumptions!$L$102:$R$102,0))&gt;0,
    IF(Product_select="Diesel",
         INDEX(fDiesel!$J$30:$J$45, MATCH($B32, fDiesel!$B$30:$B$45,0)) * INDEX(Assumptions!$U$110:$U$112, MATCH("Diesel", Assumptions!$T$110:$T$112,0)),
     IF(Product_select="Gasoline",
         INDEX(fGasoline!$L$30:$L$45, MATCH($B32, fGasoline!$B$30:$B$45,0)) * INDEX(Assumptions!$U$110:$U$112, MATCH("Gasoline", Assumptions!$T$110:$T$112,0)),
     IF(Product_select="Total",
         INDEX(fDiesel!$J$30:$J$45, MATCH($B32, fDiesel!$B$30:$B$45,0)) * INDEX(Assumptions!$U$110:$U$112, MATCH("Diesel", Assumptions!$T$110:$T$112,0))
         +
         INDEX(fGasoline!$L$30:$L$45, MATCH($B32, fGasoline!$B$30:$B$45,0)) * INDEX(Assumptions!$U$110:$U$112, MATCH("Gasoline", Assumptions!$T$110:$T$112,0))
     )
     )
    ),
    0
)</f>
        <v>0</v>
      </c>
      <c r="E32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32,Assumptions!$L$102:$L$131,0),MATCH(E$16,Assumptions!$L$102:$R$102,0))+
IF(
    INDEX(Production_High,MATCH($B32,Assumptions!$L$102:$L$131,0),MATCH(E$16,Assumptions!$L$102:$R$102,0))&gt;0,
    IF(Product_select="Diesel",
         INDEX(fDiesel!$J$30:$J$45, MATCH($B32, fDiesel!$B$30:$B$45,0)) * INDEX(Assumptions!$U$110:$U$112, MATCH("Diesel", Assumptions!$T$110:$T$112,0)),
     IF(Product_select="Gasoline",
         INDEX(fGasoline!$L$30:$L$45, MATCH($B32, fGasoline!$B$30:$B$45,0)) * INDEX(Assumptions!$U$110:$U$112, MATCH("Gasoline", Assumptions!$T$110:$T$112,0)),
     IF(Product_select="Total",
         INDEX(fDiesel!$J$30:$J$45, MATCH($B32, fDiesel!$B$30:$B$45,0)) * INDEX(Assumptions!$U$110:$U$112, MATCH("Diesel", Assumptions!$T$110:$T$112,0))
         +
         INDEX(fGasoline!$L$30:$L$45, MATCH($B32, fGasoline!$B$30:$B$45,0)) * INDEX(Assumptions!$U$110:$U$112, MATCH("Gasoline", Assumptions!$T$110:$T$112,0))
     )
     )
    ),
    0
)</f>
        <v>3202278567.5959687</v>
      </c>
      <c r="F32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32,Assumptions!$L$102:$L$131,0),MATCH(F$16,Assumptions!$L$102:$R$102,0))+
IF(
    INDEX(Production_High,MATCH($B32,Assumptions!$L$102:$L$131,0),MATCH(F$16,Assumptions!$L$102:$R$102,0))&gt;0,
    IF(Product_select="Diesel",
         INDEX(fDiesel!$J$30:$J$45, MATCH($B32, fDiesel!$B$30:$B$45,0)) * INDEX(Assumptions!$U$110:$U$112, MATCH("Diesel", Assumptions!$T$110:$T$112,0)),
     IF(Product_select="Gasoline",
         INDEX(fGasoline!$L$30:$L$45, MATCH($B32, fGasoline!$B$30:$B$45,0)) * INDEX(Assumptions!$U$110:$U$112, MATCH("Gasoline", Assumptions!$T$110:$T$112,0)),
     IF(Product_select="Total",
         INDEX(fDiesel!$J$30:$J$45, MATCH($B32, fDiesel!$B$30:$B$45,0)) * INDEX(Assumptions!$U$110:$U$112, MATCH("Diesel", Assumptions!$T$110:$T$112,0))
         +
         INDEX(fGasoline!$L$30:$L$45, MATCH($B32, fGasoline!$B$30:$B$45,0)) * INDEX(Assumptions!$U$110:$U$112, MATCH("Gasoline", Assumptions!$T$110:$T$112,0))
     )
     )
    ),
    0
)</f>
        <v>3671736076.7640934</v>
      </c>
      <c r="G32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32,Assumptions!$L$102:$L$131,0),MATCH(G$16,Assumptions!$L$102:$R$102,0))+
IF(
    INDEX(Production_High,MATCH($B32,Assumptions!$L$102:$L$131,0),MATCH(G$16,Assumptions!$L$102:$R$102,0))&gt;0,
    IF(Product_select="Diesel",
         INDEX(fDiesel!$J$30:$J$45, MATCH($B32, fDiesel!$B$30:$B$45,0)) * INDEX(Assumptions!$U$110:$U$112, MATCH("Diesel", Assumptions!$T$110:$T$112,0)),
     IF(Product_select="Gasoline",
         INDEX(fGasoline!$L$30:$L$45, MATCH($B32, fGasoline!$B$30:$B$45,0)) * INDEX(Assumptions!$U$110:$U$112, MATCH("Gasoline", Assumptions!$T$110:$T$112,0)),
     IF(Product_select="Total",
         INDEX(fDiesel!$J$30:$J$45, MATCH($B32, fDiesel!$B$30:$B$45,0)) * INDEX(Assumptions!$U$110:$U$112, MATCH("Diesel", Assumptions!$T$110:$T$112,0))
         +
         INDEX(fGasoline!$L$30:$L$45, MATCH($B32, fGasoline!$B$30:$B$45,0)) * INDEX(Assumptions!$U$110:$U$112, MATCH("Gasoline", Assumptions!$T$110:$T$112,0))
     )
     )
    ),
    0
)</f>
        <v>3149986054.0590935</v>
      </c>
      <c r="H32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32,Assumptions!$L$102:$L$131,0),MATCH(H$16,Assumptions!$L$102:$R$102,0))+
IF(
    INDEX(Production_High,MATCH($B32,Assumptions!$L$102:$L$131,0),MATCH(H$16,Assumptions!$L$102:$R$102,0))&gt;0,
    IF(Product_select="Diesel",
         INDEX(fDiesel!$J$30:$J$45, MATCH($B32, fDiesel!$B$30:$B$45,0)) * INDEX(Assumptions!$U$110:$U$112, MATCH("Diesel", Assumptions!$T$110:$T$112,0)),
     IF(Product_select="Gasoline",
         INDEX(fGasoline!$L$30:$L$45, MATCH($B32, fGasoline!$B$30:$B$45,0)) * INDEX(Assumptions!$U$110:$U$112, MATCH("Gasoline", Assumptions!$T$110:$T$112,0)),
     IF(Product_select="Total",
         INDEX(fDiesel!$J$30:$J$45, MATCH($B32, fDiesel!$B$30:$B$45,0)) * INDEX(Assumptions!$U$110:$U$112, MATCH("Diesel", Assumptions!$T$110:$T$112,0))
         +
         INDEX(fGasoline!$L$30:$L$45, MATCH($B32, fGasoline!$B$30:$B$45,0)) * INDEX(Assumptions!$U$110:$U$112, MATCH("Gasoline", Assumptions!$T$110:$T$112,0))
     )
     )
    ),
    0
)</f>
        <v>0</v>
      </c>
      <c r="I32" s="130">
        <f t="shared" si="9"/>
        <v>10024000698.419155</v>
      </c>
      <c r="J32" s="130">
        <f t="shared" si="10"/>
        <v>172.73749182076065</v>
      </c>
      <c r="K32" s="130">
        <f t="shared" si="11"/>
        <v>10024000698.419155</v>
      </c>
      <c r="L32" s="130">
        <f t="shared" si="12"/>
        <v>172.73749182076065</v>
      </c>
      <c r="N32" s="83">
        <f t="shared" si="8"/>
        <v>6874014644.3600616</v>
      </c>
      <c r="X32" s="75">
        <v>2039</v>
      </c>
      <c r="Y32" s="83">
        <f t="shared" si="2"/>
        <v>4467190791.2456245</v>
      </c>
      <c r="Z32" s="83">
        <f t="shared" si="3"/>
        <v>10004539877.873194</v>
      </c>
    </row>
    <row r="33" spans="2:26" x14ac:dyDescent="0.6">
      <c r="B33" s="90">
        <v>2038</v>
      </c>
      <c r="C33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33,Assumptions!$L$102:$L$131,0),MATCH(C$16,Assumptions!$L$102:$R$102,0))+
IF(
    INDEX(Production_High,MATCH($B33,Assumptions!$L$102:$L$131,0),MATCH(C$16,Assumptions!$L$102:$R$102,0))&gt;0,
    IF(Product_select="Diesel",
         INDEX(fDiesel!$J$30:$J$45, MATCH($B33, fDiesel!$B$30:$B$45,0)) * INDEX(Assumptions!$U$110:$U$112, MATCH("Diesel", Assumptions!$T$110:$T$112,0)),
     IF(Product_select="Gasoline",
         INDEX(fGasoline!$L$30:$L$45, MATCH($B33, fGasoline!$B$30:$B$45,0)) * INDEX(Assumptions!$U$110:$U$112, MATCH("Gasoline", Assumptions!$T$110:$T$112,0)),
     IF(Product_select="Total",
         INDEX(fDiesel!$J$30:$J$45, MATCH($B33, fDiesel!$B$30:$B$45,0)) * INDEX(Assumptions!$U$110:$U$112, MATCH("Diesel", Assumptions!$T$110:$T$112,0))
         +
         INDEX(fGasoline!$L$30:$L$45, MATCH($B33, fGasoline!$B$30:$B$45,0)) * INDEX(Assumptions!$U$110:$U$112, MATCH("Gasoline", Assumptions!$T$110:$T$112,0))
     )
     )
    ),
    0
)</f>
        <v>0</v>
      </c>
      <c r="D33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33,Assumptions!$L$102:$L$131,0),MATCH(D$16,Assumptions!$L$102:$R$102,0))+
IF(
    INDEX(Production_High,MATCH($B33,Assumptions!$L$102:$L$131,0),MATCH(D$16,Assumptions!$L$102:$R$102,0))&gt;0,
    IF(Product_select="Diesel",
         INDEX(fDiesel!$J$30:$J$45, MATCH($B33, fDiesel!$B$30:$B$45,0)) * INDEX(Assumptions!$U$110:$U$112, MATCH("Diesel", Assumptions!$T$110:$T$112,0)),
     IF(Product_select="Gasoline",
         INDEX(fGasoline!$L$30:$L$45, MATCH($B33, fGasoline!$B$30:$B$45,0)) * INDEX(Assumptions!$U$110:$U$112, MATCH("Gasoline", Assumptions!$T$110:$T$112,0)),
     IF(Product_select="Total",
         INDEX(fDiesel!$J$30:$J$45, MATCH($B33, fDiesel!$B$30:$B$45,0)) * INDEX(Assumptions!$U$110:$U$112, MATCH("Diesel", Assumptions!$T$110:$T$112,0))
         +
         INDEX(fGasoline!$L$30:$L$45, MATCH($B33, fGasoline!$B$30:$B$45,0)) * INDEX(Assumptions!$U$110:$U$112, MATCH("Gasoline", Assumptions!$T$110:$T$112,0))
     )
     )
    ),
    0
)</f>
        <v>0</v>
      </c>
      <c r="E33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33,Assumptions!$L$102:$L$131,0),MATCH(E$16,Assumptions!$L$102:$R$102,0))+
IF(
    INDEX(Production_High,MATCH($B33,Assumptions!$L$102:$L$131,0),MATCH(E$16,Assumptions!$L$102:$R$102,0))&gt;0,
    IF(Product_select="Diesel",
         INDEX(fDiesel!$J$30:$J$45, MATCH($B33, fDiesel!$B$30:$B$45,0)) * INDEX(Assumptions!$U$110:$U$112, MATCH("Diesel", Assumptions!$T$110:$T$112,0)),
     IF(Product_select="Gasoline",
         INDEX(fGasoline!$L$30:$L$45, MATCH($B33, fGasoline!$B$30:$B$45,0)) * INDEX(Assumptions!$U$110:$U$112, MATCH("Gasoline", Assumptions!$T$110:$T$112,0)),
     IF(Product_select="Total",
         INDEX(fDiesel!$J$30:$J$45, MATCH($B33, fDiesel!$B$30:$B$45,0)) * INDEX(Assumptions!$U$110:$U$112, MATCH("Diesel", Assumptions!$T$110:$T$112,0))
         +
         INDEX(fGasoline!$L$30:$L$45, MATCH($B33, fGasoline!$B$30:$B$45,0)) * INDEX(Assumptions!$U$110:$U$112, MATCH("Gasoline", Assumptions!$T$110:$T$112,0))
     )
     )
    ),
    0
)</f>
        <v>3199928037.8494754</v>
      </c>
      <c r="F33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33,Assumptions!$L$102:$L$131,0),MATCH(F$16,Assumptions!$L$102:$R$102,0))+
IF(
    INDEX(Production_High,MATCH($B33,Assumptions!$L$102:$L$131,0),MATCH(F$16,Assumptions!$L$102:$R$102,0))&gt;0,
    IF(Product_select="Diesel",
         INDEX(fDiesel!$J$30:$J$45, MATCH($B33, fDiesel!$B$30:$B$45,0)) * INDEX(Assumptions!$U$110:$U$112, MATCH("Diesel", Assumptions!$T$110:$T$112,0)),
     IF(Product_select="Gasoline",
         INDEX(fGasoline!$L$30:$L$45, MATCH($B33, fGasoline!$B$30:$B$45,0)) * INDEX(Assumptions!$U$110:$U$112, MATCH("Gasoline", Assumptions!$T$110:$T$112,0)),
     IF(Product_select="Total",
         INDEX(fDiesel!$J$30:$J$45, MATCH($B33, fDiesel!$B$30:$B$45,0)) * INDEX(Assumptions!$U$110:$U$112, MATCH("Diesel", Assumptions!$T$110:$T$112,0))
         +
         INDEX(fGasoline!$L$30:$L$45, MATCH($B33, fGasoline!$B$30:$B$45,0)) * INDEX(Assumptions!$U$110:$U$112, MATCH("Gasoline", Assumptions!$T$110:$T$112,0))
     )
     )
    ),
    0
)</f>
        <v>3669385547.0176001</v>
      </c>
      <c r="G33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33,Assumptions!$L$102:$L$131,0),MATCH(G$16,Assumptions!$L$102:$R$102,0))+
IF(
    INDEX(Production_High,MATCH($B33,Assumptions!$L$102:$L$131,0),MATCH(G$16,Assumptions!$L$102:$R$102,0))&gt;0,
    IF(Product_select="Diesel",
         INDEX(fDiesel!$J$30:$J$45, MATCH($B33, fDiesel!$B$30:$B$45,0)) * INDEX(Assumptions!$U$110:$U$112, MATCH("Diesel", Assumptions!$T$110:$T$112,0)),
     IF(Product_select="Gasoline",
         INDEX(fGasoline!$L$30:$L$45, MATCH($B33, fGasoline!$B$30:$B$45,0)) * INDEX(Assumptions!$U$110:$U$112, MATCH("Gasoline", Assumptions!$T$110:$T$112,0)),
     IF(Product_select="Total",
         INDEX(fDiesel!$J$30:$J$45, MATCH($B33, fDiesel!$B$30:$B$45,0)) * INDEX(Assumptions!$U$110:$U$112, MATCH("Diesel", Assumptions!$T$110:$T$112,0))
         +
         INDEX(fGasoline!$L$30:$L$45, MATCH($B33, fGasoline!$B$30:$B$45,0)) * INDEX(Assumptions!$U$110:$U$112, MATCH("Gasoline", Assumptions!$T$110:$T$112,0))
     )
     )
    ),
    0
)</f>
        <v>3147635524.3126001</v>
      </c>
      <c r="H33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33,Assumptions!$L$102:$L$131,0),MATCH(H$16,Assumptions!$L$102:$R$102,0))+
IF(
    INDEX(Production_High,MATCH($B33,Assumptions!$L$102:$L$131,0),MATCH(H$16,Assumptions!$L$102:$R$102,0))&gt;0,
    IF(Product_select="Diesel",
         INDEX(fDiesel!$J$30:$J$45, MATCH($B33, fDiesel!$B$30:$B$45,0)) * INDEX(Assumptions!$U$110:$U$112, MATCH("Diesel", Assumptions!$T$110:$T$112,0)),
     IF(Product_select="Gasoline",
         INDEX(fGasoline!$L$30:$L$45, MATCH($B33, fGasoline!$B$30:$B$45,0)) * INDEX(Assumptions!$U$110:$U$112, MATCH("Gasoline", Assumptions!$T$110:$T$112,0)),
     IF(Product_select="Total",
         INDEX(fDiesel!$J$30:$J$45, MATCH($B33, fDiesel!$B$30:$B$45,0)) * INDEX(Assumptions!$U$110:$U$112, MATCH("Diesel", Assumptions!$T$110:$T$112,0))
         +
         INDEX(fGasoline!$L$30:$L$45, MATCH($B33, fGasoline!$B$30:$B$45,0)) * INDEX(Assumptions!$U$110:$U$112, MATCH("Gasoline", Assumptions!$T$110:$T$112,0))
     )
     )
    ),
    0
)</f>
        <v>0</v>
      </c>
      <c r="I33" s="130">
        <f t="shared" si="9"/>
        <v>10016949109.179676</v>
      </c>
      <c r="J33" s="130">
        <f t="shared" si="10"/>
        <v>172.61597608316001</v>
      </c>
      <c r="K33" s="130">
        <f t="shared" si="11"/>
        <v>10016949109.179676</v>
      </c>
      <c r="L33" s="130">
        <f t="shared" si="12"/>
        <v>172.61597608316001</v>
      </c>
      <c r="N33" s="83">
        <f t="shared" si="8"/>
        <v>6869313584.867075</v>
      </c>
      <c r="X33" s="75">
        <v>2040</v>
      </c>
      <c r="Y33" s="83">
        <f t="shared" si="2"/>
        <v>4467190791.2456245</v>
      </c>
      <c r="Z33" s="83">
        <f t="shared" si="3"/>
        <v>9986312183.0927734</v>
      </c>
    </row>
    <row r="34" spans="2:26" x14ac:dyDescent="0.6">
      <c r="B34" s="90">
        <v>2039</v>
      </c>
      <c r="C34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34,Assumptions!$L$102:$L$131,0),MATCH(C$16,Assumptions!$L$102:$R$102,0))+
IF(
    INDEX(Production_High,MATCH($B34,Assumptions!$L$102:$L$131,0),MATCH(C$16,Assumptions!$L$102:$R$102,0))&gt;0,
    IF(Product_select="Diesel",
         INDEX(fDiesel!$J$30:$J$45, MATCH($B34, fDiesel!$B$30:$B$45,0)) * INDEX(Assumptions!$U$110:$U$112, MATCH("Diesel", Assumptions!$T$110:$T$112,0)),
     IF(Product_select="Gasoline",
         INDEX(fGasoline!$L$30:$L$45, MATCH($B34, fGasoline!$B$30:$B$45,0)) * INDEX(Assumptions!$U$110:$U$112, MATCH("Gasoline", Assumptions!$T$110:$T$112,0)),
     IF(Product_select="Total",
         INDEX(fDiesel!$J$30:$J$45, MATCH($B34, fDiesel!$B$30:$B$45,0)) * INDEX(Assumptions!$U$110:$U$112, MATCH("Diesel", Assumptions!$T$110:$T$112,0))
         +
         INDEX(fGasoline!$L$30:$L$45, MATCH($B34, fGasoline!$B$30:$B$45,0)) * INDEX(Assumptions!$U$110:$U$112, MATCH("Gasoline", Assumptions!$T$110:$T$112,0))
     )
     )
    ),
    0
)</f>
        <v>0</v>
      </c>
      <c r="D34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34,Assumptions!$L$102:$L$131,0),MATCH(D$16,Assumptions!$L$102:$R$102,0))+
IF(
    INDEX(Production_High,MATCH($B34,Assumptions!$L$102:$L$131,0),MATCH(D$16,Assumptions!$L$102:$R$102,0))&gt;0,
    IF(Product_select="Diesel",
         INDEX(fDiesel!$J$30:$J$45, MATCH($B34, fDiesel!$B$30:$B$45,0)) * INDEX(Assumptions!$U$110:$U$112, MATCH("Diesel", Assumptions!$T$110:$T$112,0)),
     IF(Product_select="Gasoline",
         INDEX(fGasoline!$L$30:$L$45, MATCH($B34, fGasoline!$B$30:$B$45,0)) * INDEX(Assumptions!$U$110:$U$112, MATCH("Gasoline", Assumptions!$T$110:$T$112,0)),
     IF(Product_select="Total",
         INDEX(fDiesel!$J$30:$J$45, MATCH($B34, fDiesel!$B$30:$B$45,0)) * INDEX(Assumptions!$U$110:$U$112, MATCH("Diesel", Assumptions!$T$110:$T$112,0))
         +
         INDEX(fGasoline!$L$30:$L$45, MATCH($B34, fGasoline!$B$30:$B$45,0)) * INDEX(Assumptions!$U$110:$U$112, MATCH("Gasoline", Assumptions!$T$110:$T$112,0))
     )
     )
    ),
    0
)</f>
        <v>0</v>
      </c>
      <c r="E34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34,Assumptions!$L$102:$L$131,0),MATCH(E$16,Assumptions!$L$102:$R$102,0))+
IF(
    INDEX(Production_High,MATCH($B34,Assumptions!$L$102:$L$131,0),MATCH(E$16,Assumptions!$L$102:$R$102,0))&gt;0,
    IF(Product_select="Diesel",
         INDEX(fDiesel!$J$30:$J$45, MATCH($B34, fDiesel!$B$30:$B$45,0)) * INDEX(Assumptions!$U$110:$U$112, MATCH("Diesel", Assumptions!$T$110:$T$112,0)),
     IF(Product_select="Gasoline",
         INDEX(fGasoline!$L$30:$L$45, MATCH($B34, fGasoline!$B$30:$B$45,0)) * INDEX(Assumptions!$U$110:$U$112, MATCH("Gasoline", Assumptions!$T$110:$T$112,0)),
     IF(Product_select="Total",
         INDEX(fDiesel!$J$30:$J$45, MATCH($B34, fDiesel!$B$30:$B$45,0)) * INDEX(Assumptions!$U$110:$U$112, MATCH("Diesel", Assumptions!$T$110:$T$112,0))
         +
         INDEX(fGasoline!$L$30:$L$45, MATCH($B34, fGasoline!$B$30:$B$45,0)) * INDEX(Assumptions!$U$110:$U$112, MATCH("Gasoline", Assumptions!$T$110:$T$112,0))
     )
     )
    ),
    0
)</f>
        <v>3195791627.4139814</v>
      </c>
      <c r="F34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34,Assumptions!$L$102:$L$131,0),MATCH(F$16,Assumptions!$L$102:$R$102,0))+
IF(
    INDEX(Production_High,MATCH($B34,Assumptions!$L$102:$L$131,0),MATCH(F$16,Assumptions!$L$102:$R$102,0))&gt;0,
    IF(Product_select="Diesel",
         INDEX(fDiesel!$J$30:$J$45, MATCH($B34, fDiesel!$B$30:$B$45,0)) * INDEX(Assumptions!$U$110:$U$112, MATCH("Diesel", Assumptions!$T$110:$T$112,0)),
     IF(Product_select="Gasoline",
         INDEX(fGasoline!$L$30:$L$45, MATCH($B34, fGasoline!$B$30:$B$45,0)) * INDEX(Assumptions!$U$110:$U$112, MATCH("Gasoline", Assumptions!$T$110:$T$112,0)),
     IF(Product_select="Total",
         INDEX(fDiesel!$J$30:$J$45, MATCH($B34, fDiesel!$B$30:$B$45,0)) * INDEX(Assumptions!$U$110:$U$112, MATCH("Diesel", Assumptions!$T$110:$T$112,0))
         +
         INDEX(fGasoline!$L$30:$L$45, MATCH($B34, fGasoline!$B$30:$B$45,0)) * INDEX(Assumptions!$U$110:$U$112, MATCH("Gasoline", Assumptions!$T$110:$T$112,0))
     )
     )
    ),
    0
)</f>
        <v>3665249136.5821061</v>
      </c>
      <c r="G34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34,Assumptions!$L$102:$L$131,0),MATCH(G$16,Assumptions!$L$102:$R$102,0))+
IF(
    INDEX(Production_High,MATCH($B34,Assumptions!$L$102:$L$131,0),MATCH(G$16,Assumptions!$L$102:$R$102,0))&gt;0,
    IF(Product_select="Diesel",
         INDEX(fDiesel!$J$30:$J$45, MATCH($B34, fDiesel!$B$30:$B$45,0)) * INDEX(Assumptions!$U$110:$U$112, MATCH("Diesel", Assumptions!$T$110:$T$112,0)),
     IF(Product_select="Gasoline",
         INDEX(fGasoline!$L$30:$L$45, MATCH($B34, fGasoline!$B$30:$B$45,0)) * INDEX(Assumptions!$U$110:$U$112, MATCH("Gasoline", Assumptions!$T$110:$T$112,0)),
     IF(Product_select="Total",
         INDEX(fDiesel!$J$30:$J$45, MATCH($B34, fDiesel!$B$30:$B$45,0)) * INDEX(Assumptions!$U$110:$U$112, MATCH("Diesel", Assumptions!$T$110:$T$112,0))
         +
         INDEX(fGasoline!$L$30:$L$45, MATCH($B34, fGasoline!$B$30:$B$45,0)) * INDEX(Assumptions!$U$110:$U$112, MATCH("Gasoline", Assumptions!$T$110:$T$112,0))
     )
     )
    ),
    0
)</f>
        <v>3143499113.8771062</v>
      </c>
      <c r="H34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34,Assumptions!$L$102:$L$131,0),MATCH(H$16,Assumptions!$L$102:$R$102,0))+
IF(
    INDEX(Production_High,MATCH($B34,Assumptions!$L$102:$L$131,0),MATCH(H$16,Assumptions!$L$102:$R$102,0))&gt;0,
    IF(Product_select="Diesel",
         INDEX(fDiesel!$J$30:$J$45, MATCH($B34, fDiesel!$B$30:$B$45,0)) * INDEX(Assumptions!$U$110:$U$112, MATCH("Diesel", Assumptions!$T$110:$T$112,0)),
     IF(Product_select="Gasoline",
         INDEX(fGasoline!$L$30:$L$45, MATCH($B34, fGasoline!$B$30:$B$45,0)) * INDEX(Assumptions!$U$110:$U$112, MATCH("Gasoline", Assumptions!$T$110:$T$112,0)),
     IF(Product_select="Total",
         INDEX(fDiesel!$J$30:$J$45, MATCH($B34, fDiesel!$B$30:$B$45,0)) * INDEX(Assumptions!$U$110:$U$112, MATCH("Diesel", Assumptions!$T$110:$T$112,0))
         +
         INDEX(fGasoline!$L$30:$L$45, MATCH($B34, fGasoline!$B$30:$B$45,0)) * INDEX(Assumptions!$U$110:$U$112, MATCH("Gasoline", Assumptions!$T$110:$T$112,0))
     )
     )
    ),
    0
)</f>
        <v>0</v>
      </c>
      <c r="I34" s="130">
        <f t="shared" si="9"/>
        <v>10004539877.873194</v>
      </c>
      <c r="J34" s="130">
        <f t="shared" si="10"/>
        <v>172.40213536668406</v>
      </c>
      <c r="K34" s="130">
        <f t="shared" si="11"/>
        <v>10004539877.873194</v>
      </c>
      <c r="L34" s="130">
        <f t="shared" si="12"/>
        <v>172.40213536668406</v>
      </c>
      <c r="N34" s="83">
        <f t="shared" si="8"/>
        <v>6861040763.996088</v>
      </c>
    </row>
    <row r="35" spans="2:26" x14ac:dyDescent="0.6">
      <c r="B35" s="90">
        <v>2040</v>
      </c>
      <c r="C35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35,Assumptions!$L$102:$L$131,0),MATCH(C$16,Assumptions!$L$102:$R$102,0))+
IF(
    INDEX(Production_High,MATCH($B35,Assumptions!$L$102:$L$131,0),MATCH(C$16,Assumptions!$L$102:$R$102,0))&gt;0,
    IF(Product_select="Diesel",
         INDEX(fDiesel!$J$30:$J$45, MATCH($B35, fDiesel!$B$30:$B$45,0)) * INDEX(Assumptions!$U$110:$U$112, MATCH("Diesel", Assumptions!$T$110:$T$112,0)),
     IF(Product_select="Gasoline",
         INDEX(fGasoline!$L$30:$L$45, MATCH($B35, fGasoline!$B$30:$B$45,0)) * INDEX(Assumptions!$U$110:$U$112, MATCH("Gasoline", Assumptions!$T$110:$T$112,0)),
     IF(Product_select="Total",
         INDEX(fDiesel!$J$30:$J$45, MATCH($B35, fDiesel!$B$30:$B$45,0)) * INDEX(Assumptions!$U$110:$U$112, MATCH("Diesel", Assumptions!$T$110:$T$112,0))
         +
         INDEX(fGasoline!$L$30:$L$45, MATCH($B35, fGasoline!$B$30:$B$45,0)) * INDEX(Assumptions!$U$110:$U$112, MATCH("Gasoline", Assumptions!$T$110:$T$112,0))
     )
     )
    ),
    0
)</f>
        <v>0</v>
      </c>
      <c r="D35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35,Assumptions!$L$102:$L$131,0),MATCH(D$16,Assumptions!$L$102:$R$102,0))+
IF(
    INDEX(Production_High,MATCH($B35,Assumptions!$L$102:$L$131,0),MATCH(D$16,Assumptions!$L$102:$R$102,0))&gt;0,
    IF(Product_select="Diesel",
         INDEX(fDiesel!$J$30:$J$45, MATCH($B35, fDiesel!$B$30:$B$45,0)) * INDEX(Assumptions!$U$110:$U$112, MATCH("Diesel", Assumptions!$T$110:$T$112,0)),
     IF(Product_select="Gasoline",
         INDEX(fGasoline!$L$30:$L$45, MATCH($B35, fGasoline!$B$30:$B$45,0)) * INDEX(Assumptions!$U$110:$U$112, MATCH("Gasoline", Assumptions!$T$110:$T$112,0)),
     IF(Product_select="Total",
         INDEX(fDiesel!$J$30:$J$45, MATCH($B35, fDiesel!$B$30:$B$45,0)) * INDEX(Assumptions!$U$110:$U$112, MATCH("Diesel", Assumptions!$T$110:$T$112,0))
         +
         INDEX(fGasoline!$L$30:$L$45, MATCH($B35, fGasoline!$B$30:$B$45,0)) * INDEX(Assumptions!$U$110:$U$112, MATCH("Gasoline", Assumptions!$T$110:$T$112,0))
     )
     )
    ),
    0
)</f>
        <v>0</v>
      </c>
      <c r="E35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35,Assumptions!$L$102:$L$131,0),MATCH(E$16,Assumptions!$L$102:$R$102,0))+
IF(
    INDEX(Production_High,MATCH($B35,Assumptions!$L$102:$L$131,0),MATCH(E$16,Assumptions!$L$102:$R$102,0))&gt;0,
    IF(Product_select="Diesel",
         INDEX(fDiesel!$J$30:$J$45, MATCH($B35, fDiesel!$B$30:$B$45,0)) * INDEX(Assumptions!$U$110:$U$112, MATCH("Diesel", Assumptions!$T$110:$T$112,0)),
     IF(Product_select="Gasoline",
         INDEX(fGasoline!$L$30:$L$45, MATCH($B35, fGasoline!$B$30:$B$45,0)) * INDEX(Assumptions!$U$110:$U$112, MATCH("Gasoline", Assumptions!$T$110:$T$112,0)),
     IF(Product_select="Total",
         INDEX(fDiesel!$J$30:$J$45, MATCH($B35, fDiesel!$B$30:$B$45,0)) * INDEX(Assumptions!$U$110:$U$112, MATCH("Diesel", Assumptions!$T$110:$T$112,0))
         +
         INDEX(fGasoline!$L$30:$L$45, MATCH($B35, fGasoline!$B$30:$B$45,0)) * INDEX(Assumptions!$U$110:$U$112, MATCH("Gasoline", Assumptions!$T$110:$T$112,0))
     )
     )
    ),
    0
)</f>
        <v>3189715729.153842</v>
      </c>
      <c r="F35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35,Assumptions!$L$102:$L$131,0),MATCH(F$16,Assumptions!$L$102:$R$102,0))+
IF(
    INDEX(Production_High,MATCH($B35,Assumptions!$L$102:$L$131,0),MATCH(F$16,Assumptions!$L$102:$R$102,0))&gt;0,
    IF(Product_select="Diesel",
         INDEX(fDiesel!$J$30:$J$45, MATCH($B35, fDiesel!$B$30:$B$45,0)) * INDEX(Assumptions!$U$110:$U$112, MATCH("Diesel", Assumptions!$T$110:$T$112,0)),
     IF(Product_select="Gasoline",
         INDEX(fGasoline!$L$30:$L$45, MATCH($B35, fGasoline!$B$30:$B$45,0)) * INDEX(Assumptions!$U$110:$U$112, MATCH("Gasoline", Assumptions!$T$110:$T$112,0)),
     IF(Product_select="Total",
         INDEX(fDiesel!$J$30:$J$45, MATCH($B35, fDiesel!$B$30:$B$45,0)) * INDEX(Assumptions!$U$110:$U$112, MATCH("Diesel", Assumptions!$T$110:$T$112,0))
         +
         INDEX(fGasoline!$L$30:$L$45, MATCH($B35, fGasoline!$B$30:$B$45,0)) * INDEX(Assumptions!$U$110:$U$112, MATCH("Gasoline", Assumptions!$T$110:$T$112,0))
     )
     )
    ),
    0
)</f>
        <v>3659173238.3219662</v>
      </c>
      <c r="G35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35,Assumptions!$L$102:$L$131,0),MATCH(G$16,Assumptions!$L$102:$R$102,0))+
IF(
    INDEX(Production_High,MATCH($B35,Assumptions!$L$102:$L$131,0),MATCH(G$16,Assumptions!$L$102:$R$102,0))&gt;0,
    IF(Product_select="Diesel",
         INDEX(fDiesel!$J$30:$J$45, MATCH($B35, fDiesel!$B$30:$B$45,0)) * INDEX(Assumptions!$U$110:$U$112, MATCH("Diesel", Assumptions!$T$110:$T$112,0)),
     IF(Product_select="Gasoline",
         INDEX(fGasoline!$L$30:$L$45, MATCH($B35, fGasoline!$B$30:$B$45,0)) * INDEX(Assumptions!$U$110:$U$112, MATCH("Gasoline", Assumptions!$T$110:$T$112,0)),
     IF(Product_select="Total",
         INDEX(fDiesel!$J$30:$J$45, MATCH($B35, fDiesel!$B$30:$B$45,0)) * INDEX(Assumptions!$U$110:$U$112, MATCH("Diesel", Assumptions!$T$110:$T$112,0))
         +
         INDEX(fGasoline!$L$30:$L$45, MATCH($B35, fGasoline!$B$30:$B$45,0)) * INDEX(Assumptions!$U$110:$U$112, MATCH("Gasoline", Assumptions!$T$110:$T$112,0))
     )
     )
    ),
    0
)</f>
        <v>3137423215.6169662</v>
      </c>
      <c r="H35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35,Assumptions!$L$102:$L$131,0),MATCH(H$16,Assumptions!$L$102:$R$102,0))+
IF(
    INDEX(Production_High,MATCH($B35,Assumptions!$L$102:$L$131,0),MATCH(H$16,Assumptions!$L$102:$R$102,0))&gt;0,
    IF(Product_select="Diesel",
         INDEX(fDiesel!$J$30:$J$45, MATCH($B35, fDiesel!$B$30:$B$45,0)) * INDEX(Assumptions!$U$110:$U$112, MATCH("Diesel", Assumptions!$T$110:$T$112,0)),
     IF(Product_select="Gasoline",
         INDEX(fGasoline!$L$30:$L$45, MATCH($B35, fGasoline!$B$30:$B$45,0)) * INDEX(Assumptions!$U$110:$U$112, MATCH("Gasoline", Assumptions!$T$110:$T$112,0)),
     IF(Product_select="Total",
         INDEX(fDiesel!$J$30:$J$45, MATCH($B35, fDiesel!$B$30:$B$45,0)) * INDEX(Assumptions!$U$110:$U$112, MATCH("Diesel", Assumptions!$T$110:$T$112,0))
         +
         INDEX(fGasoline!$L$30:$L$45, MATCH($B35, fGasoline!$B$30:$B$45,0)) * INDEX(Assumptions!$U$110:$U$112, MATCH("Gasoline", Assumptions!$T$110:$T$112,0))
     )
     )
    ),
    0
)</f>
        <v>0</v>
      </c>
      <c r="I35" s="130">
        <f t="shared" si="9"/>
        <v>9986312183.0927734</v>
      </c>
      <c r="J35" s="130">
        <f t="shared" si="10"/>
        <v>172.08802861701665</v>
      </c>
      <c r="K35" s="130">
        <f t="shared" si="11"/>
        <v>9986312183.0927734</v>
      </c>
      <c r="L35" s="130">
        <f t="shared" si="12"/>
        <v>172.08802861701665</v>
      </c>
      <c r="N35" s="83">
        <f t="shared" si="8"/>
        <v>6848888967.4758081</v>
      </c>
    </row>
    <row r="36" spans="2:26" x14ac:dyDescent="0.6">
      <c r="B36" s="90">
        <v>2041</v>
      </c>
      <c r="C36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36,Assumptions!$L$102:$L$131,0),MATCH(C$16,Assumptions!$L$102:$R$102,0))+
IF(
    INDEX(Production_High,MATCH($B36,Assumptions!$L$102:$L$131,0),MATCH(C$16,Assumptions!$L$102:$R$102,0))&gt;0,
    IF(Product_select="Diesel",
         INDEX(fDiesel!$J$30:$J$45, MATCH($B36, fDiesel!$B$30:$B$45,0)) * INDEX(Assumptions!$U$110:$U$112, MATCH("Diesel", Assumptions!$T$110:$T$112,0)),
     IF(Product_select="Gasoline",
         INDEX(fGasoline!$L$30:$L$45, MATCH($B36, fGasoline!$B$30:$B$45,0)) * INDEX(Assumptions!$U$110:$U$112, MATCH("Gasoline", Assumptions!$T$110:$T$112,0)),
     IF(Product_select="Total",
         INDEX(fDiesel!$J$30:$J$45, MATCH($B36, fDiesel!$B$30:$B$45,0)) * INDEX(Assumptions!$U$110:$U$112, MATCH("Diesel", Assumptions!$T$110:$T$112,0))
         +
         INDEX(fGasoline!$L$30:$L$45, MATCH($B36, fGasoline!$B$30:$B$45,0)) * INDEX(Assumptions!$U$110:$U$112, MATCH("Gasoline", Assumptions!$T$110:$T$112,0))
     )
     )
    ),
    0
)</f>
        <v>0</v>
      </c>
      <c r="D36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36,Assumptions!$L$102:$L$131,0),MATCH(D$16,Assumptions!$L$102:$R$102,0))+
IF(
    INDEX(Production_High,MATCH($B36,Assumptions!$L$102:$L$131,0),MATCH(D$16,Assumptions!$L$102:$R$102,0))&gt;0,
    IF(Product_select="Diesel",
         INDEX(fDiesel!$J$30:$J$45, MATCH($B36, fDiesel!$B$30:$B$45,0)) * INDEX(Assumptions!$U$110:$U$112, MATCH("Diesel", Assumptions!$T$110:$T$112,0)),
     IF(Product_select="Gasoline",
         INDEX(fGasoline!$L$30:$L$45, MATCH($B36, fGasoline!$B$30:$B$45,0)) * INDEX(Assumptions!$U$110:$U$112, MATCH("Gasoline", Assumptions!$T$110:$T$112,0)),
     IF(Product_select="Total",
         INDEX(fDiesel!$J$30:$J$45, MATCH($B36, fDiesel!$B$30:$B$45,0)) * INDEX(Assumptions!$U$110:$U$112, MATCH("Diesel", Assumptions!$T$110:$T$112,0))
         +
         INDEX(fGasoline!$L$30:$L$45, MATCH($B36, fGasoline!$B$30:$B$45,0)) * INDEX(Assumptions!$U$110:$U$112, MATCH("Gasoline", Assumptions!$T$110:$T$112,0))
     )
     )
    ),
    0
)</f>
        <v>0</v>
      </c>
      <c r="E36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36,Assumptions!$L$102:$L$131,0),MATCH(E$16,Assumptions!$L$102:$R$102,0))+
IF(
    INDEX(Production_High,MATCH($B36,Assumptions!$L$102:$L$131,0),MATCH(E$16,Assumptions!$L$102:$R$102,0))&gt;0,
    IF(Product_select="Diesel",
         INDEX(fDiesel!$J$30:$J$45, MATCH($B36, fDiesel!$B$30:$B$45,0)) * INDEX(Assumptions!$U$110:$U$112, MATCH("Diesel", Assumptions!$T$110:$T$112,0)),
     IF(Product_select="Gasoline",
         INDEX(fGasoline!$L$30:$L$45, MATCH($B36, fGasoline!$B$30:$B$45,0)) * INDEX(Assumptions!$U$110:$U$112, MATCH("Gasoline", Assumptions!$T$110:$T$112,0)),
     IF(Product_select="Total",
         INDEX(fDiesel!$J$30:$J$45, MATCH($B36, fDiesel!$B$30:$B$45,0)) * INDEX(Assumptions!$U$110:$U$112, MATCH("Diesel", Assumptions!$T$110:$T$112,0))
         +
         INDEX(fGasoline!$L$30:$L$45, MATCH($B36, fGasoline!$B$30:$B$45,0)) * INDEX(Assumptions!$U$110:$U$112, MATCH("Gasoline", Assumptions!$T$110:$T$112,0))
     )
     )
    ),
    0
)</f>
        <v>3181648400.755126</v>
      </c>
      <c r="F36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36,Assumptions!$L$102:$L$131,0),MATCH(F$16,Assumptions!$L$102:$R$102,0))+
IF(
    INDEX(Production_High,MATCH($B36,Assumptions!$L$102:$L$131,0),MATCH(F$16,Assumptions!$L$102:$R$102,0))&gt;0,
    IF(Product_select="Diesel",
         INDEX(fDiesel!$J$30:$J$45, MATCH($B36, fDiesel!$B$30:$B$45,0)) * INDEX(Assumptions!$U$110:$U$112, MATCH("Diesel", Assumptions!$T$110:$T$112,0)),
     IF(Product_select="Gasoline",
         INDEX(fGasoline!$L$30:$L$45, MATCH($B36, fGasoline!$B$30:$B$45,0)) * INDEX(Assumptions!$U$110:$U$112, MATCH("Gasoline", Assumptions!$T$110:$T$112,0)),
     IF(Product_select="Total",
         INDEX(fDiesel!$J$30:$J$45, MATCH($B36, fDiesel!$B$30:$B$45,0)) * INDEX(Assumptions!$U$110:$U$112, MATCH("Diesel", Assumptions!$T$110:$T$112,0))
         +
         INDEX(fGasoline!$L$30:$L$45, MATCH($B36, fGasoline!$B$30:$B$45,0)) * INDEX(Assumptions!$U$110:$U$112, MATCH("Gasoline", Assumptions!$T$110:$T$112,0))
     )
     )
    ),
    0
)</f>
        <v>3651105909.9232507</v>
      </c>
      <c r="G36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36,Assumptions!$L$102:$L$131,0),MATCH(G$16,Assumptions!$L$102:$R$102,0))+
IF(
    INDEX(Production_High,MATCH($B36,Assumptions!$L$102:$L$131,0),MATCH(G$16,Assumptions!$L$102:$R$102,0))&gt;0,
    IF(Product_select="Diesel",
         INDEX(fDiesel!$J$30:$J$45, MATCH($B36, fDiesel!$B$30:$B$45,0)) * INDEX(Assumptions!$U$110:$U$112, MATCH("Diesel", Assumptions!$T$110:$T$112,0)),
     IF(Product_select="Gasoline",
         INDEX(fGasoline!$L$30:$L$45, MATCH($B36, fGasoline!$B$30:$B$45,0)) * INDEX(Assumptions!$U$110:$U$112, MATCH("Gasoline", Assumptions!$T$110:$T$112,0)),
     IF(Product_select="Total",
         INDEX(fDiesel!$J$30:$J$45, MATCH($B36, fDiesel!$B$30:$B$45,0)) * INDEX(Assumptions!$U$110:$U$112, MATCH("Diesel", Assumptions!$T$110:$T$112,0))
         +
         INDEX(fGasoline!$L$30:$L$45, MATCH($B36, fGasoline!$B$30:$B$45,0)) * INDEX(Assumptions!$U$110:$U$112, MATCH("Gasoline", Assumptions!$T$110:$T$112,0))
     )
     )
    ),
    0
)</f>
        <v>3129355887.2182508</v>
      </c>
      <c r="H36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36,Assumptions!$L$102:$L$131,0),MATCH(H$16,Assumptions!$L$102:$R$102,0))+
IF(
    INDEX(Production_High,MATCH($B36,Assumptions!$L$102:$L$131,0),MATCH(H$16,Assumptions!$L$102:$R$102,0))&gt;0,
    IF(Product_select="Diesel",
         INDEX(fDiesel!$J$30:$J$45, MATCH($B36, fDiesel!$B$30:$B$45,0)) * INDEX(Assumptions!$U$110:$U$112, MATCH("Diesel", Assumptions!$T$110:$T$112,0)),
     IF(Product_select="Gasoline",
         INDEX(fGasoline!$L$30:$L$45, MATCH($B36, fGasoline!$B$30:$B$45,0)) * INDEX(Assumptions!$U$110:$U$112, MATCH("Gasoline", Assumptions!$T$110:$T$112,0)),
     IF(Product_select="Total",
         INDEX(fDiesel!$J$30:$J$45, MATCH($B36, fDiesel!$B$30:$B$45,0)) * INDEX(Assumptions!$U$110:$U$112, MATCH("Diesel", Assumptions!$T$110:$T$112,0))
         +
         INDEX(fGasoline!$L$30:$L$45, MATCH($B36, fGasoline!$B$30:$B$45,0)) * INDEX(Assumptions!$U$110:$U$112, MATCH("Gasoline", Assumptions!$T$110:$T$112,0))
     )
     )
    ),
    0
)</f>
        <v>0</v>
      </c>
      <c r="I36" s="130">
        <f t="shared" si="9"/>
        <v>9962110197.8966274</v>
      </c>
      <c r="J36" s="130">
        <f t="shared" si="10"/>
        <v>171.67097056348672</v>
      </c>
      <c r="K36" s="130">
        <f t="shared" si="11"/>
        <v>9962110197.8966274</v>
      </c>
      <c r="L36" s="130">
        <f t="shared" si="12"/>
        <v>171.67097056348672</v>
      </c>
      <c r="N36" s="83">
        <f t="shared" si="8"/>
        <v>6832754310.6783772</v>
      </c>
      <c r="O36" s="83">
        <f>E25</f>
        <v>2167495308.2868752</v>
      </c>
      <c r="P36" s="75">
        <v>475190934.72787547</v>
      </c>
      <c r="Q36" s="83">
        <f>SUM(O36:P36)</f>
        <v>2642686243.0147505</v>
      </c>
    </row>
    <row r="37" spans="2:26" x14ac:dyDescent="0.6">
      <c r="B37" s="90">
        <v>2042</v>
      </c>
      <c r="C37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37,Assumptions!$L$102:$L$131,0),MATCH(C$16,Assumptions!$L$102:$R$102,0))+
IF(
    INDEX(Production_High,MATCH($B37,Assumptions!$L$102:$L$131,0),MATCH(C$16,Assumptions!$L$102:$R$102,0))&gt;0,
    IF(Product_select="Diesel",
         INDEX(fDiesel!$J$30:$J$45, MATCH($B37, fDiesel!$B$30:$B$45,0)) * INDEX(Assumptions!$U$110:$U$112, MATCH("Diesel", Assumptions!$T$110:$T$112,0)),
     IF(Product_select="Gasoline",
         INDEX(fGasoline!$L$30:$L$45, MATCH($B37, fGasoline!$B$30:$B$45,0)) * INDEX(Assumptions!$U$110:$U$112, MATCH("Gasoline", Assumptions!$T$110:$T$112,0)),
     IF(Product_select="Total",
         INDEX(fDiesel!$J$30:$J$45, MATCH($B37, fDiesel!$B$30:$B$45,0)) * INDEX(Assumptions!$U$110:$U$112, MATCH("Diesel", Assumptions!$T$110:$T$112,0))
         +
         INDEX(fGasoline!$L$30:$L$45, MATCH($B37, fGasoline!$B$30:$B$45,0)) * INDEX(Assumptions!$U$110:$U$112, MATCH("Gasoline", Assumptions!$T$110:$T$112,0))
     )
     )
    ),
    0
)</f>
        <v>0</v>
      </c>
      <c r="D37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37,Assumptions!$L$102:$L$131,0),MATCH(D$16,Assumptions!$L$102:$R$102,0))+
IF(
    INDEX(Production_High,MATCH($B37,Assumptions!$L$102:$L$131,0),MATCH(D$16,Assumptions!$L$102:$R$102,0))&gt;0,
    IF(Product_select="Diesel",
         INDEX(fDiesel!$J$30:$J$45, MATCH($B37, fDiesel!$B$30:$B$45,0)) * INDEX(Assumptions!$U$110:$U$112, MATCH("Diesel", Assumptions!$T$110:$T$112,0)),
     IF(Product_select="Gasoline",
         INDEX(fGasoline!$L$30:$L$45, MATCH($B37, fGasoline!$B$30:$B$45,0)) * INDEX(Assumptions!$U$110:$U$112, MATCH("Gasoline", Assumptions!$T$110:$T$112,0)),
     IF(Product_select="Total",
         INDEX(fDiesel!$J$30:$J$45, MATCH($B37, fDiesel!$B$30:$B$45,0)) * INDEX(Assumptions!$U$110:$U$112, MATCH("Diesel", Assumptions!$T$110:$T$112,0))
         +
         INDEX(fGasoline!$L$30:$L$45, MATCH($B37, fGasoline!$B$30:$B$45,0)) * INDEX(Assumptions!$U$110:$U$112, MATCH("Gasoline", Assumptions!$T$110:$T$112,0))
     )
     )
    ),
    0
)</f>
        <v>0</v>
      </c>
      <c r="E37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37,Assumptions!$L$102:$L$131,0),MATCH(E$16,Assumptions!$L$102:$R$102,0))+
IF(
    INDEX(Production_High,MATCH($B37,Assumptions!$L$102:$L$131,0),MATCH(E$16,Assumptions!$L$102:$R$102,0))&gt;0,
    IF(Product_select="Diesel",
         INDEX(fDiesel!$J$30:$J$45, MATCH($B37, fDiesel!$B$30:$B$45,0)) * INDEX(Assumptions!$U$110:$U$112, MATCH("Diesel", Assumptions!$T$110:$T$112,0)),
     IF(Product_select="Gasoline",
         INDEX(fGasoline!$L$30:$L$45, MATCH($B37, fGasoline!$B$30:$B$45,0)) * INDEX(Assumptions!$U$110:$U$112, MATCH("Gasoline", Assumptions!$T$110:$T$112,0)),
     IF(Product_select="Total",
         INDEX(fDiesel!$J$30:$J$45, MATCH($B37, fDiesel!$B$30:$B$45,0)) * INDEX(Assumptions!$U$110:$U$112, MATCH("Diesel", Assumptions!$T$110:$T$112,0))
         +
         INDEX(fGasoline!$L$30:$L$45, MATCH($B37, fGasoline!$B$30:$B$45,0)) * INDEX(Assumptions!$U$110:$U$112, MATCH("Gasoline", Assumptions!$T$110:$T$112,0))
     )
     )
    ),
    0
)</f>
        <v>3171646362.5165977</v>
      </c>
      <c r="F37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37,Assumptions!$L$102:$L$131,0),MATCH(F$16,Assumptions!$L$102:$R$102,0))+
IF(
    INDEX(Production_High,MATCH($B37,Assumptions!$L$102:$L$131,0),MATCH(F$16,Assumptions!$L$102:$R$102,0))&gt;0,
    IF(Product_select="Diesel",
         INDEX(fDiesel!$J$30:$J$45, MATCH($B37, fDiesel!$B$30:$B$45,0)) * INDEX(Assumptions!$U$110:$U$112, MATCH("Diesel", Assumptions!$T$110:$T$112,0)),
     IF(Product_select="Gasoline",
         INDEX(fGasoline!$L$30:$L$45, MATCH($B37, fGasoline!$B$30:$B$45,0)) * INDEX(Assumptions!$U$110:$U$112, MATCH("Gasoline", Assumptions!$T$110:$T$112,0)),
     IF(Product_select="Total",
         INDEX(fDiesel!$J$30:$J$45, MATCH($B37, fDiesel!$B$30:$B$45,0)) * INDEX(Assumptions!$U$110:$U$112, MATCH("Diesel", Assumptions!$T$110:$T$112,0))
         +
         INDEX(fGasoline!$L$30:$L$45, MATCH($B37, fGasoline!$B$30:$B$45,0)) * INDEX(Assumptions!$U$110:$U$112, MATCH("Gasoline", Assumptions!$T$110:$T$112,0))
     )
     )
    ),
    0
)</f>
        <v>3641103871.6847224</v>
      </c>
      <c r="G37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37,Assumptions!$L$102:$L$131,0),MATCH(G$16,Assumptions!$L$102:$R$102,0))+
IF(
    INDEX(Production_High,MATCH($B37,Assumptions!$L$102:$L$131,0),MATCH(G$16,Assumptions!$L$102:$R$102,0))&gt;0,
    IF(Product_select="Diesel",
         INDEX(fDiesel!$J$30:$J$45, MATCH($B37, fDiesel!$B$30:$B$45,0)) * INDEX(Assumptions!$U$110:$U$112, MATCH("Diesel", Assumptions!$T$110:$T$112,0)),
     IF(Product_select="Gasoline",
         INDEX(fGasoline!$L$30:$L$45, MATCH($B37, fGasoline!$B$30:$B$45,0)) * INDEX(Assumptions!$U$110:$U$112, MATCH("Gasoline", Assumptions!$T$110:$T$112,0)),
     IF(Product_select="Total",
         INDEX(fDiesel!$J$30:$J$45, MATCH($B37, fDiesel!$B$30:$B$45,0)) * INDEX(Assumptions!$U$110:$U$112, MATCH("Diesel", Assumptions!$T$110:$T$112,0))
         +
         INDEX(fGasoline!$L$30:$L$45, MATCH($B37, fGasoline!$B$30:$B$45,0)) * INDEX(Assumptions!$U$110:$U$112, MATCH("Gasoline", Assumptions!$T$110:$T$112,0))
     )
     )
    ),
    0
)</f>
        <v>3119353848.9797225</v>
      </c>
      <c r="H37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37,Assumptions!$L$102:$L$131,0),MATCH(H$16,Assumptions!$L$102:$R$102,0))+
IF(
    INDEX(Production_High,MATCH($B37,Assumptions!$L$102:$L$131,0),MATCH(H$16,Assumptions!$L$102:$R$102,0))&gt;0,
    IF(Product_select="Diesel",
         INDEX(fDiesel!$J$30:$J$45, MATCH($B37, fDiesel!$B$30:$B$45,0)) * INDEX(Assumptions!$U$110:$U$112, MATCH("Diesel", Assumptions!$T$110:$T$112,0)),
     IF(Product_select="Gasoline",
         INDEX(fGasoline!$L$30:$L$45, MATCH($B37, fGasoline!$B$30:$B$45,0)) * INDEX(Assumptions!$U$110:$U$112, MATCH("Gasoline", Assumptions!$T$110:$T$112,0)),
     IF(Product_select="Total",
         INDEX(fDiesel!$J$30:$J$45, MATCH($B37, fDiesel!$B$30:$B$45,0)) * INDEX(Assumptions!$U$110:$U$112, MATCH("Diesel", Assumptions!$T$110:$T$112,0))
         +
         INDEX(fGasoline!$L$30:$L$45, MATCH($B37, fGasoline!$B$30:$B$45,0)) * INDEX(Assumptions!$U$110:$U$112, MATCH("Gasoline", Assumptions!$T$110:$T$112,0))
     )
     )
    ),
    0
)</f>
        <v>0</v>
      </c>
      <c r="I37" s="130">
        <f t="shared" si="9"/>
        <v>9932104083.1810436</v>
      </c>
      <c r="J37" s="130">
        <f t="shared" si="10"/>
        <v>171.15389348506298</v>
      </c>
      <c r="K37" s="130">
        <f t="shared" si="11"/>
        <v>9932104083.1810436</v>
      </c>
      <c r="L37" s="130">
        <f t="shared" si="12"/>
        <v>171.15389348506298</v>
      </c>
      <c r="N37" s="83">
        <f t="shared" si="8"/>
        <v>6812750234.2013206</v>
      </c>
    </row>
    <row r="38" spans="2:26" x14ac:dyDescent="0.6">
      <c r="B38" s="90">
        <v>2043</v>
      </c>
      <c r="C38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38,Assumptions!$L$102:$L$131,0),MATCH(C$16,Assumptions!$L$102:$R$102,0))+
IF(
    INDEX(Production_High,MATCH($B38,Assumptions!$L$102:$L$131,0),MATCH(C$16,Assumptions!$L$102:$R$102,0))&gt;0,
    IF(Product_select="Diesel",
         INDEX(fDiesel!$J$30:$J$45, MATCH($B38, fDiesel!$B$30:$B$45,0)) * INDEX(Assumptions!$U$110:$U$112, MATCH("Diesel", Assumptions!$T$110:$T$112,0)),
     IF(Product_select="Gasoline",
         INDEX(fGasoline!$L$30:$L$45, MATCH($B38, fGasoline!$B$30:$B$45,0)) * INDEX(Assumptions!$U$110:$U$112, MATCH("Gasoline", Assumptions!$T$110:$T$112,0)),
     IF(Product_select="Total",
         INDEX(fDiesel!$J$30:$J$45, MATCH($B38, fDiesel!$B$30:$B$45,0)) * INDEX(Assumptions!$U$110:$U$112, MATCH("Diesel", Assumptions!$T$110:$T$112,0))
         +
         INDEX(fGasoline!$L$30:$L$45, MATCH($B38, fGasoline!$B$30:$B$45,0)) * INDEX(Assumptions!$U$110:$U$112, MATCH("Gasoline", Assumptions!$T$110:$T$112,0))
     )
     )
    ),
    0
)</f>
        <v>0</v>
      </c>
      <c r="D38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38,Assumptions!$L$102:$L$131,0),MATCH(D$16,Assumptions!$L$102:$R$102,0))+
IF(
    INDEX(Production_High,MATCH($B38,Assumptions!$L$102:$L$131,0),MATCH(D$16,Assumptions!$L$102:$R$102,0))&gt;0,
    IF(Product_select="Diesel",
         INDEX(fDiesel!$J$30:$J$45, MATCH($B38, fDiesel!$B$30:$B$45,0)) * INDEX(Assumptions!$U$110:$U$112, MATCH("Diesel", Assumptions!$T$110:$T$112,0)),
     IF(Product_select="Gasoline",
         INDEX(fGasoline!$L$30:$L$45, MATCH($B38, fGasoline!$B$30:$B$45,0)) * INDEX(Assumptions!$U$110:$U$112, MATCH("Gasoline", Assumptions!$T$110:$T$112,0)),
     IF(Product_select="Total",
         INDEX(fDiesel!$J$30:$J$45, MATCH($B38, fDiesel!$B$30:$B$45,0)) * INDEX(Assumptions!$U$110:$U$112, MATCH("Diesel", Assumptions!$T$110:$T$112,0))
         +
         INDEX(fGasoline!$L$30:$L$45, MATCH($B38, fGasoline!$B$30:$B$45,0)) * INDEX(Assumptions!$U$110:$U$112, MATCH("Gasoline", Assumptions!$T$110:$T$112,0))
     )
     )
    ),
    0
)</f>
        <v>0</v>
      </c>
      <c r="E38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38,Assumptions!$L$102:$L$131,0),MATCH(E$16,Assumptions!$L$102:$R$102,0))+
IF(
    INDEX(Production_High,MATCH($B38,Assumptions!$L$102:$L$131,0),MATCH(E$16,Assumptions!$L$102:$R$102,0))&gt;0,
    IF(Product_select="Diesel",
         INDEX(fDiesel!$J$30:$J$45, MATCH($B38, fDiesel!$B$30:$B$45,0)) * INDEX(Assumptions!$U$110:$U$112, MATCH("Diesel", Assumptions!$T$110:$T$112,0)),
     IF(Product_select="Gasoline",
         INDEX(fGasoline!$L$30:$L$45, MATCH($B38, fGasoline!$B$30:$B$45,0)) * INDEX(Assumptions!$U$110:$U$112, MATCH("Gasoline", Assumptions!$T$110:$T$112,0)),
     IF(Product_select="Total",
         INDEX(fDiesel!$J$30:$J$45, MATCH($B38, fDiesel!$B$30:$B$45,0)) * INDEX(Assumptions!$U$110:$U$112, MATCH("Diesel", Assumptions!$T$110:$T$112,0))
         +
         INDEX(fGasoline!$L$30:$L$45, MATCH($B38, fGasoline!$B$30:$B$45,0)) * INDEX(Assumptions!$U$110:$U$112, MATCH("Gasoline", Assumptions!$T$110:$T$112,0))
     )
     )
    ),
    0
)</f>
        <v>3159859761.011375</v>
      </c>
      <c r="F38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38,Assumptions!$L$102:$L$131,0),MATCH(F$16,Assumptions!$L$102:$R$102,0))+
IF(
    INDEX(Production_High,MATCH($B38,Assumptions!$L$102:$L$131,0),MATCH(F$16,Assumptions!$L$102:$R$102,0))&gt;0,
    IF(Product_select="Diesel",
         INDEX(fDiesel!$J$30:$J$45, MATCH($B38, fDiesel!$B$30:$B$45,0)) * INDEX(Assumptions!$U$110:$U$112, MATCH("Diesel", Assumptions!$T$110:$T$112,0)),
     IF(Product_select="Gasoline",
         INDEX(fGasoline!$L$30:$L$45, MATCH($B38, fGasoline!$B$30:$B$45,0)) * INDEX(Assumptions!$U$110:$U$112, MATCH("Gasoline", Assumptions!$T$110:$T$112,0)),
     IF(Product_select="Total",
         INDEX(fDiesel!$J$30:$J$45, MATCH($B38, fDiesel!$B$30:$B$45,0)) * INDEX(Assumptions!$U$110:$U$112, MATCH("Diesel", Assumptions!$T$110:$T$112,0))
         +
         INDEX(fGasoline!$L$30:$L$45, MATCH($B38, fGasoline!$B$30:$B$45,0)) * INDEX(Assumptions!$U$110:$U$112, MATCH("Gasoline", Assumptions!$T$110:$T$112,0))
     )
     )
    ),
    0
)</f>
        <v>3629317270.1794996</v>
      </c>
      <c r="G38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38,Assumptions!$L$102:$L$131,0),MATCH(G$16,Assumptions!$L$102:$R$102,0))+
IF(
    INDEX(Production_High,MATCH($B38,Assumptions!$L$102:$L$131,0),MATCH(G$16,Assumptions!$L$102:$R$102,0))&gt;0,
    IF(Product_select="Diesel",
         INDEX(fDiesel!$J$30:$J$45, MATCH($B38, fDiesel!$B$30:$B$45,0)) * INDEX(Assumptions!$U$110:$U$112, MATCH("Diesel", Assumptions!$T$110:$T$112,0)),
     IF(Product_select="Gasoline",
         INDEX(fGasoline!$L$30:$L$45, MATCH($B38, fGasoline!$B$30:$B$45,0)) * INDEX(Assumptions!$U$110:$U$112, MATCH("Gasoline", Assumptions!$T$110:$T$112,0)),
     IF(Product_select="Total",
         INDEX(fDiesel!$J$30:$J$45, MATCH($B38, fDiesel!$B$30:$B$45,0)) * INDEX(Assumptions!$U$110:$U$112, MATCH("Diesel", Assumptions!$T$110:$T$112,0))
         +
         INDEX(fGasoline!$L$30:$L$45, MATCH($B38, fGasoline!$B$30:$B$45,0)) * INDEX(Assumptions!$U$110:$U$112, MATCH("Gasoline", Assumptions!$T$110:$T$112,0))
     )
     )
    ),
    0
)</f>
        <v>3107567247.4744997</v>
      </c>
      <c r="H38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38,Assumptions!$L$102:$L$131,0),MATCH(H$16,Assumptions!$L$102:$R$102,0))+
IF(
    INDEX(Production_High,MATCH($B38,Assumptions!$L$102:$L$131,0),MATCH(H$16,Assumptions!$L$102:$R$102,0))&gt;0,
    IF(Product_select="Diesel",
         INDEX(fDiesel!$J$30:$J$45, MATCH($B38, fDiesel!$B$30:$B$45,0)) * INDEX(Assumptions!$U$110:$U$112, MATCH("Diesel", Assumptions!$T$110:$T$112,0)),
     IF(Product_select="Gasoline",
         INDEX(fGasoline!$L$30:$L$45, MATCH($B38, fGasoline!$B$30:$B$45,0)) * INDEX(Assumptions!$U$110:$U$112, MATCH("Gasoline", Assumptions!$T$110:$T$112,0)),
     IF(Product_select="Total",
         INDEX(fDiesel!$J$30:$J$45, MATCH($B38, fDiesel!$B$30:$B$45,0)) * INDEX(Assumptions!$U$110:$U$112, MATCH("Diesel", Assumptions!$T$110:$T$112,0))
         +
         INDEX(fGasoline!$L$30:$L$45, MATCH($B38, fGasoline!$B$30:$B$45,0)) * INDEX(Assumptions!$U$110:$U$112, MATCH("Gasoline", Assumptions!$T$110:$T$112,0))
     )
     )
    ),
    0
)</f>
        <v>0</v>
      </c>
      <c r="I38" s="130">
        <f t="shared" si="9"/>
        <v>9896744278.6653748</v>
      </c>
      <c r="J38" s="130">
        <f t="shared" si="10"/>
        <v>170.54455953476986</v>
      </c>
      <c r="K38" s="130">
        <f t="shared" si="11"/>
        <v>9896744278.6653748</v>
      </c>
      <c r="L38" s="130">
        <f t="shared" si="12"/>
        <v>170.54455953476986</v>
      </c>
      <c r="N38" s="83">
        <f t="shared" si="8"/>
        <v>6789177031.1908741</v>
      </c>
    </row>
    <row r="39" spans="2:26" x14ac:dyDescent="0.6">
      <c r="B39" s="90">
        <v>2044</v>
      </c>
      <c r="C39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39,Assumptions!$L$102:$L$131,0),MATCH(C$16,Assumptions!$L$102:$R$102,0))+
IF(
    INDEX(Production_High,MATCH($B39,Assumptions!$L$102:$L$131,0),MATCH(C$16,Assumptions!$L$102:$R$102,0))&gt;0,
    IF(Product_select="Diesel",
         INDEX(fDiesel!$J$30:$J$45, MATCH($B39, fDiesel!$B$30:$B$45,0)) * INDEX(Assumptions!$U$110:$U$112, MATCH("Diesel", Assumptions!$T$110:$T$112,0)),
     IF(Product_select="Gasoline",
         INDEX(fGasoline!$L$30:$L$45, MATCH($B39, fGasoline!$B$30:$B$45,0)) * INDEX(Assumptions!$U$110:$U$112, MATCH("Gasoline", Assumptions!$T$110:$T$112,0)),
     IF(Product_select="Total",
         INDEX(fDiesel!$J$30:$J$45, MATCH($B39, fDiesel!$B$30:$B$45,0)) * INDEX(Assumptions!$U$110:$U$112, MATCH("Diesel", Assumptions!$T$110:$T$112,0))
         +
         INDEX(fGasoline!$L$30:$L$45, MATCH($B39, fGasoline!$B$30:$B$45,0)) * INDEX(Assumptions!$U$110:$U$112, MATCH("Gasoline", Assumptions!$T$110:$T$112,0))
     )
     )
    ),
    0
)</f>
        <v>0</v>
      </c>
      <c r="D39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39,Assumptions!$L$102:$L$131,0),MATCH(D$16,Assumptions!$L$102:$R$102,0))+
IF(
    INDEX(Production_High,MATCH($B39,Assumptions!$L$102:$L$131,0),MATCH(D$16,Assumptions!$L$102:$R$102,0))&gt;0,
    IF(Product_select="Diesel",
         INDEX(fDiesel!$J$30:$J$45, MATCH($B39, fDiesel!$B$30:$B$45,0)) * INDEX(Assumptions!$U$110:$U$112, MATCH("Diesel", Assumptions!$T$110:$T$112,0)),
     IF(Product_select="Gasoline",
         INDEX(fGasoline!$L$30:$L$45, MATCH($B39, fGasoline!$B$30:$B$45,0)) * INDEX(Assumptions!$U$110:$U$112, MATCH("Gasoline", Assumptions!$T$110:$T$112,0)),
     IF(Product_select="Total",
         INDEX(fDiesel!$J$30:$J$45, MATCH($B39, fDiesel!$B$30:$B$45,0)) * INDEX(Assumptions!$U$110:$U$112, MATCH("Diesel", Assumptions!$T$110:$T$112,0))
         +
         INDEX(fGasoline!$L$30:$L$45, MATCH($B39, fGasoline!$B$30:$B$45,0)) * INDEX(Assumptions!$U$110:$U$112, MATCH("Gasoline", Assumptions!$T$110:$T$112,0))
     )
     )
    ),
    0
)</f>
        <v>0</v>
      </c>
      <c r="E39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39,Assumptions!$L$102:$L$131,0),MATCH(E$16,Assumptions!$L$102:$R$102,0))+
IF(
    INDEX(Production_High,MATCH($B39,Assumptions!$L$102:$L$131,0),MATCH(E$16,Assumptions!$L$102:$R$102,0))&gt;0,
    IF(Product_select="Diesel",
         INDEX(fDiesel!$J$30:$J$45, MATCH($B39, fDiesel!$B$30:$B$45,0)) * INDEX(Assumptions!$U$110:$U$112, MATCH("Diesel", Assumptions!$T$110:$T$112,0)),
     IF(Product_select="Gasoline",
         INDEX(fGasoline!$L$30:$L$45, MATCH($B39, fGasoline!$B$30:$B$45,0)) * INDEX(Assumptions!$U$110:$U$112, MATCH("Gasoline", Assumptions!$T$110:$T$112,0)),
     IF(Product_select="Total",
         INDEX(fDiesel!$J$30:$J$45, MATCH($B39, fDiesel!$B$30:$B$45,0)) * INDEX(Assumptions!$U$110:$U$112, MATCH("Diesel", Assumptions!$T$110:$T$112,0))
         +
         INDEX(fGasoline!$L$30:$L$45, MATCH($B39, fGasoline!$B$30:$B$45,0)) * INDEX(Assumptions!$U$110:$U$112, MATCH("Gasoline", Assumptions!$T$110:$T$112,0))
     )
     )
    ),
    0
)</f>
        <v>3146501523.2946901</v>
      </c>
      <c r="F39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39,Assumptions!$L$102:$L$131,0),MATCH(F$16,Assumptions!$L$102:$R$102,0))+
IF(
    INDEX(Production_High,MATCH($B39,Assumptions!$L$102:$L$131,0),MATCH(F$16,Assumptions!$L$102:$R$102,0))&gt;0,
    IF(Product_select="Diesel",
         INDEX(fDiesel!$J$30:$J$45, MATCH($B39, fDiesel!$B$30:$B$45,0)) * INDEX(Assumptions!$U$110:$U$112, MATCH("Diesel", Assumptions!$T$110:$T$112,0)),
     IF(Product_select="Gasoline",
         INDEX(fGasoline!$L$30:$L$45, MATCH($B39, fGasoline!$B$30:$B$45,0)) * INDEX(Assumptions!$U$110:$U$112, MATCH("Gasoline", Assumptions!$T$110:$T$112,0)),
     IF(Product_select="Total",
         INDEX(fDiesel!$J$30:$J$45, MATCH($B39, fDiesel!$B$30:$B$45,0)) * INDEX(Assumptions!$U$110:$U$112, MATCH("Diesel", Assumptions!$T$110:$T$112,0))
         +
         INDEX(fGasoline!$L$30:$L$45, MATCH($B39, fGasoline!$B$30:$B$45,0)) * INDEX(Assumptions!$U$110:$U$112, MATCH("Gasoline", Assumptions!$T$110:$T$112,0))
     )
     )
    ),
    0
)</f>
        <v>3615959032.4628148</v>
      </c>
      <c r="G39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39,Assumptions!$L$102:$L$131,0),MATCH(G$16,Assumptions!$L$102:$R$102,0))+
IF(
    INDEX(Production_High,MATCH($B39,Assumptions!$L$102:$L$131,0),MATCH(G$16,Assumptions!$L$102:$R$102,0))&gt;0,
    IF(Product_select="Diesel",
         INDEX(fDiesel!$J$30:$J$45, MATCH($B39, fDiesel!$B$30:$B$45,0)) * INDEX(Assumptions!$U$110:$U$112, MATCH("Diesel", Assumptions!$T$110:$T$112,0)),
     IF(Product_select="Gasoline",
         INDEX(fGasoline!$L$30:$L$45, MATCH($B39, fGasoline!$B$30:$B$45,0)) * INDEX(Assumptions!$U$110:$U$112, MATCH("Gasoline", Assumptions!$T$110:$T$112,0)),
     IF(Product_select="Total",
         INDEX(fDiesel!$J$30:$J$45, MATCH($B39, fDiesel!$B$30:$B$45,0)) * INDEX(Assumptions!$U$110:$U$112, MATCH("Diesel", Assumptions!$T$110:$T$112,0))
         +
         INDEX(fGasoline!$L$30:$L$45, MATCH($B39, fGasoline!$B$30:$B$45,0)) * INDEX(Assumptions!$U$110:$U$112, MATCH("Gasoline", Assumptions!$T$110:$T$112,0))
     )
     )
    ),
    0
)</f>
        <v>3094209009.7578149</v>
      </c>
      <c r="H39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39,Assumptions!$L$102:$L$131,0),MATCH(H$16,Assumptions!$L$102:$R$102,0))+
IF(
    INDEX(Production_High,MATCH($B39,Assumptions!$L$102:$L$131,0),MATCH(H$16,Assumptions!$L$102:$R$102,0))&gt;0,
    IF(Product_select="Diesel",
         INDEX(fDiesel!$J$30:$J$45, MATCH($B39, fDiesel!$B$30:$B$45,0)) * INDEX(Assumptions!$U$110:$U$112, MATCH("Diesel", Assumptions!$T$110:$T$112,0)),
     IF(Product_select="Gasoline",
         INDEX(fGasoline!$L$30:$L$45, MATCH($B39, fGasoline!$B$30:$B$45,0)) * INDEX(Assumptions!$U$110:$U$112, MATCH("Gasoline", Assumptions!$T$110:$T$112,0)),
     IF(Product_select="Total",
         INDEX(fDiesel!$J$30:$J$45, MATCH($B39, fDiesel!$B$30:$B$45,0)) * INDEX(Assumptions!$U$110:$U$112, MATCH("Diesel", Assumptions!$T$110:$T$112,0))
         +
         INDEX(fGasoline!$L$30:$L$45, MATCH($B39, fGasoline!$B$30:$B$45,0)) * INDEX(Assumptions!$U$110:$U$112, MATCH("Gasoline", Assumptions!$T$110:$T$112,0))
     )
     )
    ),
    0
)</f>
        <v>0</v>
      </c>
      <c r="I39" s="130">
        <f t="shared" si="9"/>
        <v>9856669565.5153198</v>
      </c>
      <c r="J39" s="130">
        <f t="shared" si="10"/>
        <v>169.85397643893381</v>
      </c>
      <c r="K39" s="130">
        <f t="shared" si="11"/>
        <v>9856669565.5153198</v>
      </c>
      <c r="L39" s="130">
        <f t="shared" si="12"/>
        <v>169.85397643893381</v>
      </c>
      <c r="N39" s="83">
        <f t="shared" si="8"/>
        <v>6762460555.7575054</v>
      </c>
    </row>
    <row r="40" spans="2:26" x14ac:dyDescent="0.6">
      <c r="B40" s="90">
        <v>2045</v>
      </c>
      <c r="C40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40,Assumptions!$L$102:$L$131,0),MATCH(C$16,Assumptions!$L$102:$R$102,0))+
IF(
    INDEX(Production_High,MATCH($B40,Assumptions!$L$102:$L$131,0),MATCH(C$16,Assumptions!$L$102:$R$102,0))&gt;0,
    IF(Product_select="Diesel",
         INDEX(fDiesel!$J$30:$J$45, MATCH($B40, fDiesel!$B$30:$B$45,0)) * INDEX(Assumptions!$U$110:$U$112, MATCH("Diesel", Assumptions!$T$110:$T$112,0)),
     IF(Product_select="Gasoline",
         INDEX(fGasoline!$L$30:$L$45, MATCH($B40, fGasoline!$B$30:$B$45,0)) * INDEX(Assumptions!$U$110:$U$112, MATCH("Gasoline", Assumptions!$T$110:$T$112,0)),
     IF(Product_select="Total",
         INDEX(fDiesel!$J$30:$J$45, MATCH($B40, fDiesel!$B$30:$B$45,0)) * INDEX(Assumptions!$U$110:$U$112, MATCH("Diesel", Assumptions!$T$110:$T$112,0))
         +
         INDEX(fGasoline!$L$30:$L$45, MATCH($B40, fGasoline!$B$30:$B$45,0)) * INDEX(Assumptions!$U$110:$U$112, MATCH("Gasoline", Assumptions!$T$110:$T$112,0))
     )
     )
    ),
    0
)</f>
        <v>0</v>
      </c>
      <c r="D40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40,Assumptions!$L$102:$L$131,0),MATCH(D$16,Assumptions!$L$102:$R$102,0))+
IF(
    INDEX(Production_High,MATCH($B40,Assumptions!$L$102:$L$131,0),MATCH(D$16,Assumptions!$L$102:$R$102,0))&gt;0,
    IF(Product_select="Diesel",
         INDEX(fDiesel!$J$30:$J$45, MATCH($B40, fDiesel!$B$30:$B$45,0)) * INDEX(Assumptions!$U$110:$U$112, MATCH("Diesel", Assumptions!$T$110:$T$112,0)),
     IF(Product_select="Gasoline",
         INDEX(fGasoline!$L$30:$L$45, MATCH($B40, fGasoline!$B$30:$B$45,0)) * INDEX(Assumptions!$U$110:$U$112, MATCH("Gasoline", Assumptions!$T$110:$T$112,0)),
     IF(Product_select="Total",
         INDEX(fDiesel!$J$30:$J$45, MATCH($B40, fDiesel!$B$30:$B$45,0)) * INDEX(Assumptions!$U$110:$U$112, MATCH("Diesel", Assumptions!$T$110:$T$112,0))
         +
         INDEX(fGasoline!$L$30:$L$45, MATCH($B40, fGasoline!$B$30:$B$45,0)) * INDEX(Assumptions!$U$110:$U$112, MATCH("Gasoline", Assumptions!$T$110:$T$112,0))
     )
     )
    ),
    0
)</f>
        <v>0</v>
      </c>
      <c r="E40" s="129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40,Assumptions!$L$102:$L$131,0),MATCH(E$16,Assumptions!$L$102:$R$102,0))+
IF(
    INDEX(Production_High,MATCH($B40,Assumptions!$L$102:$L$131,0),MATCH(E$16,Assumptions!$L$102:$R$102,0))&gt;0,
    IF(Product_select="Diesel",
         INDEX(fDiesel!$J$30:$J$45, MATCH($B40, fDiesel!$B$30:$B$45,0)) * INDEX(Assumptions!$U$110:$U$112, MATCH("Diesel", Assumptions!$T$110:$T$112,0)),
     IF(Product_select="Gasoline",
         INDEX(fGasoline!$L$30:$L$45, MATCH($B40, fGasoline!$B$30:$B$45,0)) * INDEX(Assumptions!$U$110:$U$112, MATCH("Gasoline", Assumptions!$T$110:$T$112,0)),
     IF(Product_select="Total",
         INDEX(fDiesel!$J$30:$J$45, MATCH($B40, fDiesel!$B$30:$B$45,0)) * INDEX(Assumptions!$U$110:$U$112, MATCH("Diesel", Assumptions!$T$110:$T$112,0))
         +
         INDEX(fGasoline!$L$30:$L$45, MATCH($B40, fGasoline!$B$30:$B$45,0)) * INDEX(Assumptions!$U$110:$U$112, MATCH("Gasoline", Assumptions!$T$110:$T$112,0))
     )
     )
    ),
    0
)</f>
        <v>3131812568.1746588</v>
      </c>
      <c r="F40" s="129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40,Assumptions!$L$102:$L$131,0),MATCH(F$16,Assumptions!$L$102:$R$102,0))+
IF(
    INDEX(Production_High,MATCH($B40,Assumptions!$L$102:$L$131,0),MATCH(F$16,Assumptions!$L$102:$R$102,0))&gt;0,
    IF(Product_select="Diesel",
         INDEX(fDiesel!$J$30:$J$45, MATCH($B40, fDiesel!$B$30:$B$45,0)) * INDEX(Assumptions!$U$110:$U$112, MATCH("Diesel", Assumptions!$T$110:$T$112,0)),
     IF(Product_select="Gasoline",
         INDEX(fGasoline!$L$30:$L$45, MATCH($B40, fGasoline!$B$30:$B$45,0)) * INDEX(Assumptions!$U$110:$U$112, MATCH("Gasoline", Assumptions!$T$110:$T$112,0)),
     IF(Product_select="Total",
         INDEX(fDiesel!$J$30:$J$45, MATCH($B40, fDiesel!$B$30:$B$45,0)) * INDEX(Assumptions!$U$110:$U$112, MATCH("Diesel", Assumptions!$T$110:$T$112,0))
         +
         INDEX(fGasoline!$L$30:$L$45, MATCH($B40, fGasoline!$B$30:$B$45,0)) * INDEX(Assumptions!$U$110:$U$112, MATCH("Gasoline", Assumptions!$T$110:$T$112,0))
     )
     )
    ),
    0
)</f>
        <v>3601270077.342783</v>
      </c>
      <c r="G40" s="129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40,Assumptions!$L$102:$L$131,0),MATCH(G$16,Assumptions!$L$102:$R$102,0))+
IF(
    INDEX(Production_High,MATCH($B40,Assumptions!$L$102:$L$131,0),MATCH(G$16,Assumptions!$L$102:$R$102,0))&gt;0,
    IF(Product_select="Diesel",
         INDEX(fDiesel!$J$30:$J$45, MATCH($B40, fDiesel!$B$30:$B$45,0)) * INDEX(Assumptions!$U$110:$U$112, MATCH("Diesel", Assumptions!$T$110:$T$112,0)),
     IF(Product_select="Gasoline",
         INDEX(fGasoline!$L$30:$L$45, MATCH($B40, fGasoline!$B$30:$B$45,0)) * INDEX(Assumptions!$U$110:$U$112, MATCH("Gasoline", Assumptions!$T$110:$T$112,0)),
     IF(Product_select="Total",
         INDEX(fDiesel!$J$30:$J$45, MATCH($B40, fDiesel!$B$30:$B$45,0)) * INDEX(Assumptions!$U$110:$U$112, MATCH("Diesel", Assumptions!$T$110:$T$112,0))
         +
         INDEX(fGasoline!$L$30:$L$45, MATCH($B40, fGasoline!$B$30:$B$45,0)) * INDEX(Assumptions!$U$110:$U$112, MATCH("Gasoline", Assumptions!$T$110:$T$112,0))
     )
     )
    ),
    0
)</f>
        <v>3079520054.6377831</v>
      </c>
      <c r="H40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40,Assumptions!$L$102:$L$131,0),MATCH(H$16,Assumptions!$L$102:$R$102,0))+
IF(
    INDEX(Production_High,MATCH($B40,Assumptions!$L$102:$L$131,0),MATCH(H$16,Assumptions!$L$102:$R$102,0))&gt;0,
    IF(Product_select="Diesel",
         INDEX(fDiesel!$J$30:$J$45, MATCH($B40, fDiesel!$B$30:$B$45,0)) * INDEX(Assumptions!$U$110:$U$112, MATCH("Diesel", Assumptions!$T$110:$T$112,0)),
     IF(Product_select="Gasoline",
         INDEX(fGasoline!$L$30:$L$45, MATCH($B40, fGasoline!$B$30:$B$45,0)) * INDEX(Assumptions!$U$110:$U$112, MATCH("Gasoline", Assumptions!$T$110:$T$112,0)),
     IF(Product_select="Total",
         INDEX(fDiesel!$J$30:$J$45, MATCH($B40, fDiesel!$B$30:$B$45,0)) * INDEX(Assumptions!$U$110:$U$112, MATCH("Diesel", Assumptions!$T$110:$T$112,0))
         +
         INDEX(fGasoline!$L$30:$L$45, MATCH($B40, fGasoline!$B$30:$B$45,0)) * INDEX(Assumptions!$U$110:$U$112, MATCH("Gasoline", Assumptions!$T$110:$T$112,0))
     )
     )
    ),
    0
)</f>
        <v>0</v>
      </c>
      <c r="I40" s="130">
        <f t="shared" si="9"/>
        <v>9812602700.1552238</v>
      </c>
      <c r="J40" s="130">
        <f t="shared" si="10"/>
        <v>169.09459901830905</v>
      </c>
      <c r="K40" s="130">
        <f t="shared" si="11"/>
        <v>9812602700.1552238</v>
      </c>
      <c r="L40" s="130">
        <f t="shared" si="12"/>
        <v>169.09459901830905</v>
      </c>
      <c r="N40" s="83">
        <f t="shared" si="8"/>
        <v>6733082645.5174417</v>
      </c>
      <c r="S40" s="108"/>
      <c r="T40" s="108"/>
      <c r="U40" s="108"/>
    </row>
    <row r="41" spans="2:26" x14ac:dyDescent="0.6">
      <c r="B41" s="90">
        <v>2046</v>
      </c>
      <c r="C41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41,Assumptions!$L$102:$L$131,0),MATCH(C$16,Assumptions!$L$102:$R$102,0))+
IF(
    INDEX(Production_High,MATCH($B41,Assumptions!$L$102:$L$131,0),MATCH(C$16,Assumptions!$L$102:$R$102,0))&gt;0,
    IF(Product_select="Diesel",
         INDEX(fDiesel!$J$30:$J$45, MATCH($B41, fDiesel!$B$30:$B$45,0)) * INDEX(Assumptions!$U$110:$U$112, MATCH("Diesel", Assumptions!$T$110:$T$112,0)),
     IF(Product_select="Gasoline",
         INDEX(fGasoline!$L$30:$L$45, MATCH($B41, fGasoline!$B$30:$B$45,0)) * INDEX(Assumptions!$U$110:$U$112, MATCH("Gasoline", Assumptions!$T$110:$T$112,0)),
     IF(Product_select="Total",
         INDEX(fDiesel!$J$30:$J$45, MATCH($B41, fDiesel!$B$30:$B$45,0)) * INDEX(Assumptions!$U$110:$U$112, MATCH("Diesel", Assumptions!$T$110:$T$112,0))
         +
         INDEX(fGasoline!$L$30:$L$45, MATCH($B41, fGasoline!$B$30:$B$45,0)) * INDEX(Assumptions!$U$110:$U$112, MATCH("Gasoline", Assumptions!$T$110:$T$112,0))
     )
     )
    ),
    0
)</f>
        <v>0</v>
      </c>
      <c r="D41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41,Assumptions!$L$102:$L$131,0),MATCH(D$16,Assumptions!$L$102:$R$102,0))+
IF(
    INDEX(Production_High,MATCH($B41,Assumptions!$L$102:$L$131,0),MATCH(D$16,Assumptions!$L$102:$R$102,0))&gt;0,
    IF(Product_select="Diesel",
         INDEX(fDiesel!$J$30:$J$45, MATCH($B41, fDiesel!$B$30:$B$45,0)) * INDEX(Assumptions!$U$110:$U$112, MATCH("Diesel", Assumptions!$T$110:$T$112,0)),
     IF(Product_select="Gasoline",
         INDEX(fGasoline!$L$30:$L$45, MATCH($B41, fGasoline!$B$30:$B$45,0)) * INDEX(Assumptions!$U$110:$U$112, MATCH("Gasoline", Assumptions!$T$110:$T$112,0)),
     IF(Product_select="Total",
         INDEX(fDiesel!$J$30:$J$45, MATCH($B41, fDiesel!$B$30:$B$45,0)) * INDEX(Assumptions!$U$110:$U$112, MATCH("Diesel", Assumptions!$T$110:$T$112,0))
         +
         INDEX(fGasoline!$L$30:$L$45, MATCH($B41, fGasoline!$B$30:$B$45,0)) * INDEX(Assumptions!$U$110:$U$112, MATCH("Gasoline", Assumptions!$T$110:$T$112,0))
     )
     )
    ),
    0
)</f>
        <v>0</v>
      </c>
      <c r="E41" s="129" t="e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41,Assumptions!$L$102:$L$131,0),MATCH(E$16,Assumptions!$L$102:$R$102,0))+
IF(
    INDEX(Production_High,MATCH($B41,Assumptions!$L$102:$L$131,0),MATCH(E$16,Assumptions!$L$102:$R$102,0))&gt;0,
    IF(Product_select="Diesel",
         INDEX(fDiesel!$J$30:$J$45, MATCH($B41, fDiesel!$B$30:$B$45,0)) * INDEX(Assumptions!$U$110:$U$112, MATCH("Diesel", Assumptions!$T$110:$T$112,0)),
     IF(Product_select="Gasoline",
         INDEX(fGasoline!$L$30:$L$45, MATCH($B41, fGasoline!$B$30:$B$45,0)) * INDEX(Assumptions!$U$110:$U$112, MATCH("Gasoline", Assumptions!$T$110:$T$112,0)),
     IF(Product_select="Total",
         INDEX(fDiesel!$J$30:$J$45, MATCH($B41, fDiesel!$B$30:$B$45,0)) * INDEX(Assumptions!$U$110:$U$112, MATCH("Diesel", Assumptions!$T$110:$T$112,0))
         +
         INDEX(fGasoline!$L$30:$L$45, MATCH($B41, fGasoline!$B$30:$B$45,0)) * INDEX(Assumptions!$U$110:$U$112, MATCH("Gasoline", Assumptions!$T$110:$T$112,0))
     )
     )
    ),
    0
)</f>
        <v>#N/A</v>
      </c>
      <c r="F41" s="129" t="e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41,Assumptions!$L$102:$L$131,0),MATCH(F$16,Assumptions!$L$102:$R$102,0))+
IF(
    INDEX(Production_High,MATCH($B41,Assumptions!$L$102:$L$131,0),MATCH(F$16,Assumptions!$L$102:$R$102,0))&gt;0,
    IF(Product_select="Diesel",
         INDEX(fDiesel!$J$30:$J$45, MATCH($B41, fDiesel!$B$30:$B$45,0)) * INDEX(Assumptions!$U$110:$U$112, MATCH("Diesel", Assumptions!$T$110:$T$112,0)),
     IF(Product_select="Gasoline",
         INDEX(fGasoline!$L$30:$L$45, MATCH($B41, fGasoline!$B$30:$B$45,0)) * INDEX(Assumptions!$U$110:$U$112, MATCH("Gasoline", Assumptions!$T$110:$T$112,0)),
     IF(Product_select="Total",
         INDEX(fDiesel!$J$30:$J$45, MATCH($B41, fDiesel!$B$30:$B$45,0)) * INDEX(Assumptions!$U$110:$U$112, MATCH("Diesel", Assumptions!$T$110:$T$112,0))
         +
         INDEX(fGasoline!$L$30:$L$45, MATCH($B41, fGasoline!$B$30:$B$45,0)) * INDEX(Assumptions!$U$110:$U$112, MATCH("Gasoline", Assumptions!$T$110:$T$112,0))
     )
     )
    ),
    0
)</f>
        <v>#N/A</v>
      </c>
      <c r="G41" s="129" t="e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41,Assumptions!$L$102:$L$131,0),MATCH(G$16,Assumptions!$L$102:$R$102,0))+
IF(
    INDEX(Production_High,MATCH($B41,Assumptions!$L$102:$L$131,0),MATCH(G$16,Assumptions!$L$102:$R$102,0))&gt;0,
    IF(Product_select="Diesel",
         INDEX(fDiesel!$J$30:$J$45, MATCH($B41, fDiesel!$B$30:$B$45,0)) * INDEX(Assumptions!$U$110:$U$112, MATCH("Diesel", Assumptions!$T$110:$T$112,0)),
     IF(Product_select="Gasoline",
         INDEX(fGasoline!$L$30:$L$45, MATCH($B41, fGasoline!$B$30:$B$45,0)) * INDEX(Assumptions!$U$110:$U$112, MATCH("Gasoline", Assumptions!$T$110:$T$112,0)),
     IF(Product_select="Total",
         INDEX(fDiesel!$J$30:$J$45, MATCH($B41, fDiesel!$B$30:$B$45,0)) * INDEX(Assumptions!$U$110:$U$112, MATCH("Diesel", Assumptions!$T$110:$T$112,0))
         +
         INDEX(fGasoline!$L$30:$L$45, MATCH($B41, fGasoline!$B$30:$B$45,0)) * INDEX(Assumptions!$U$110:$U$112, MATCH("Gasoline", Assumptions!$T$110:$T$112,0))
     )
     )
    ),
    0
)</f>
        <v>#N/A</v>
      </c>
      <c r="H41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41,Assumptions!$L$102:$L$131,0),MATCH(H$16,Assumptions!$L$102:$R$102,0))+
IF(
    INDEX(Production_High,MATCH($B41,Assumptions!$L$102:$L$131,0),MATCH(H$16,Assumptions!$L$102:$R$102,0))&gt;0,
    IF(Product_select="Diesel",
         INDEX(fDiesel!$J$30:$J$45, MATCH($B41, fDiesel!$B$30:$B$45,0)) * INDEX(Assumptions!$U$110:$U$112, MATCH("Diesel", Assumptions!$T$110:$T$112,0)),
     IF(Product_select="Gasoline",
         INDEX(fGasoline!$L$30:$L$45, MATCH($B41, fGasoline!$B$30:$B$45,0)) * INDEX(Assumptions!$U$110:$U$112, MATCH("Gasoline", Assumptions!$T$110:$T$112,0)),
     IF(Product_select="Total",
         INDEX(fDiesel!$J$30:$J$45, MATCH($B41, fDiesel!$B$30:$B$45,0)) * INDEX(Assumptions!$U$110:$U$112, MATCH("Diesel", Assumptions!$T$110:$T$112,0))
         +
         INDEX(fGasoline!$L$30:$L$45, MATCH($B41, fGasoline!$B$30:$B$45,0)) * INDEX(Assumptions!$U$110:$U$112, MATCH("Gasoline", Assumptions!$T$110:$T$112,0))
     )
     )
    ),
    0
)</f>
        <v>0</v>
      </c>
      <c r="I41" s="130" t="e">
        <f t="shared" si="9"/>
        <v>#N/A</v>
      </c>
      <c r="J41" s="130" t="e">
        <f t="shared" si="10"/>
        <v>#N/A</v>
      </c>
      <c r="K41" s="130" t="e">
        <f t="shared" si="11"/>
        <v>#N/A</v>
      </c>
      <c r="L41" s="130" t="e">
        <f t="shared" si="12"/>
        <v>#N/A</v>
      </c>
      <c r="N41" s="83" t="e">
        <f t="shared" si="8"/>
        <v>#N/A</v>
      </c>
      <c r="S41" s="108"/>
      <c r="T41" s="108"/>
      <c r="U41" s="108"/>
    </row>
    <row r="42" spans="2:26" x14ac:dyDescent="0.6">
      <c r="B42" s="90">
        <v>2047</v>
      </c>
      <c r="C42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42,Assumptions!$L$102:$L$131,0),MATCH(C$16,Assumptions!$L$102:$R$102,0))+
IF(
    INDEX(Production_High,MATCH($B42,Assumptions!$L$102:$L$131,0),MATCH(C$16,Assumptions!$L$102:$R$102,0))&gt;0,
    IF(Product_select="Diesel",
         INDEX(fDiesel!$J$30:$J$45, MATCH($B42, fDiesel!$B$30:$B$45,0)) * INDEX(Assumptions!$U$110:$U$112, MATCH("Diesel", Assumptions!$T$110:$T$112,0)),
     IF(Product_select="Gasoline",
         INDEX(fGasoline!$L$30:$L$45, MATCH($B42, fGasoline!$B$30:$B$45,0)) * INDEX(Assumptions!$U$110:$U$112, MATCH("Gasoline", Assumptions!$T$110:$T$112,0)),
     IF(Product_select="Total",
         INDEX(fDiesel!$J$30:$J$45, MATCH($B42, fDiesel!$B$30:$B$45,0)) * INDEX(Assumptions!$U$110:$U$112, MATCH("Diesel", Assumptions!$T$110:$T$112,0))
         +
         INDEX(fGasoline!$L$30:$L$45, MATCH($B42, fGasoline!$B$30:$B$45,0)) * INDEX(Assumptions!$U$110:$U$112, MATCH("Gasoline", Assumptions!$T$110:$T$112,0))
     )
     )
    ),
    0
)</f>
        <v>0</v>
      </c>
      <c r="D42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42,Assumptions!$L$102:$L$131,0),MATCH(D$16,Assumptions!$L$102:$R$102,0))+
IF(
    INDEX(Production_High,MATCH($B42,Assumptions!$L$102:$L$131,0),MATCH(D$16,Assumptions!$L$102:$R$102,0))&gt;0,
    IF(Product_select="Diesel",
         INDEX(fDiesel!$J$30:$J$45, MATCH($B42, fDiesel!$B$30:$B$45,0)) * INDEX(Assumptions!$U$110:$U$112, MATCH("Diesel", Assumptions!$T$110:$T$112,0)),
     IF(Product_select="Gasoline",
         INDEX(fGasoline!$L$30:$L$45, MATCH($B42, fGasoline!$B$30:$B$45,0)) * INDEX(Assumptions!$U$110:$U$112, MATCH("Gasoline", Assumptions!$T$110:$T$112,0)),
     IF(Product_select="Total",
         INDEX(fDiesel!$J$30:$J$45, MATCH($B42, fDiesel!$B$30:$B$45,0)) * INDEX(Assumptions!$U$110:$U$112, MATCH("Diesel", Assumptions!$T$110:$T$112,0))
         +
         INDEX(fGasoline!$L$30:$L$45, MATCH($B42, fGasoline!$B$30:$B$45,0)) * INDEX(Assumptions!$U$110:$U$112, MATCH("Gasoline", Assumptions!$T$110:$T$112,0))
     )
     )
    ),
    0
)</f>
        <v>0</v>
      </c>
      <c r="E42" s="129" t="e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42,Assumptions!$L$102:$L$131,0),MATCH(E$16,Assumptions!$L$102:$R$102,0))+
IF(
    INDEX(Production_High,MATCH($B42,Assumptions!$L$102:$L$131,0),MATCH(E$16,Assumptions!$L$102:$R$102,0))&gt;0,
    IF(Product_select="Diesel",
         INDEX(fDiesel!$J$30:$J$45, MATCH($B42, fDiesel!$B$30:$B$45,0)) * INDEX(Assumptions!$U$110:$U$112, MATCH("Diesel", Assumptions!$T$110:$T$112,0)),
     IF(Product_select="Gasoline",
         INDEX(fGasoline!$L$30:$L$45, MATCH($B42, fGasoline!$B$30:$B$45,0)) * INDEX(Assumptions!$U$110:$U$112, MATCH("Gasoline", Assumptions!$T$110:$T$112,0)),
     IF(Product_select="Total",
         INDEX(fDiesel!$J$30:$J$45, MATCH($B42, fDiesel!$B$30:$B$45,0)) * INDEX(Assumptions!$U$110:$U$112, MATCH("Diesel", Assumptions!$T$110:$T$112,0))
         +
         INDEX(fGasoline!$L$30:$L$45, MATCH($B42, fGasoline!$B$30:$B$45,0)) * INDEX(Assumptions!$U$110:$U$112, MATCH("Gasoline", Assumptions!$T$110:$T$112,0))
     )
     )
    ),
    0
)</f>
        <v>#N/A</v>
      </c>
      <c r="F42" s="129" t="e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42,Assumptions!$L$102:$L$131,0),MATCH(F$16,Assumptions!$L$102:$R$102,0))+
IF(
    INDEX(Production_High,MATCH($B42,Assumptions!$L$102:$L$131,0),MATCH(F$16,Assumptions!$L$102:$R$102,0))&gt;0,
    IF(Product_select="Diesel",
         INDEX(fDiesel!$J$30:$J$45, MATCH($B42, fDiesel!$B$30:$B$45,0)) * INDEX(Assumptions!$U$110:$U$112, MATCH("Diesel", Assumptions!$T$110:$T$112,0)),
     IF(Product_select="Gasoline",
         INDEX(fGasoline!$L$30:$L$45, MATCH($B42, fGasoline!$B$30:$B$45,0)) * INDEX(Assumptions!$U$110:$U$112, MATCH("Gasoline", Assumptions!$T$110:$T$112,0)),
     IF(Product_select="Total",
         INDEX(fDiesel!$J$30:$J$45, MATCH($B42, fDiesel!$B$30:$B$45,0)) * INDEX(Assumptions!$U$110:$U$112, MATCH("Diesel", Assumptions!$T$110:$T$112,0))
         +
         INDEX(fGasoline!$L$30:$L$45, MATCH($B42, fGasoline!$B$30:$B$45,0)) * INDEX(Assumptions!$U$110:$U$112, MATCH("Gasoline", Assumptions!$T$110:$T$112,0))
     )
     )
    ),
    0
)</f>
        <v>#N/A</v>
      </c>
      <c r="G42" s="129" t="e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42,Assumptions!$L$102:$L$131,0),MATCH(G$16,Assumptions!$L$102:$R$102,0))+
IF(
    INDEX(Production_High,MATCH($B42,Assumptions!$L$102:$L$131,0),MATCH(G$16,Assumptions!$L$102:$R$102,0))&gt;0,
    IF(Product_select="Diesel",
         INDEX(fDiesel!$J$30:$J$45, MATCH($B42, fDiesel!$B$30:$B$45,0)) * INDEX(Assumptions!$U$110:$U$112, MATCH("Diesel", Assumptions!$T$110:$T$112,0)),
     IF(Product_select="Gasoline",
         INDEX(fGasoline!$L$30:$L$45, MATCH($B42, fGasoline!$B$30:$B$45,0)) * INDEX(Assumptions!$U$110:$U$112, MATCH("Gasoline", Assumptions!$T$110:$T$112,0)),
     IF(Product_select="Total",
         INDEX(fDiesel!$J$30:$J$45, MATCH($B42, fDiesel!$B$30:$B$45,0)) * INDEX(Assumptions!$U$110:$U$112, MATCH("Diesel", Assumptions!$T$110:$T$112,0))
         +
         INDEX(fGasoline!$L$30:$L$45, MATCH($B42, fGasoline!$B$30:$B$45,0)) * INDEX(Assumptions!$U$110:$U$112, MATCH("Gasoline", Assumptions!$T$110:$T$112,0))
     )
     )
    ),
    0
)</f>
        <v>#N/A</v>
      </c>
      <c r="H42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42,Assumptions!$L$102:$L$131,0),MATCH(H$16,Assumptions!$L$102:$R$102,0))+
IF(
    INDEX(Production_High,MATCH($B42,Assumptions!$L$102:$L$131,0),MATCH(H$16,Assumptions!$L$102:$R$102,0))&gt;0,
    IF(Product_select="Diesel",
         INDEX(fDiesel!$J$30:$J$45, MATCH($B42, fDiesel!$B$30:$B$45,0)) * INDEX(Assumptions!$U$110:$U$112, MATCH("Diesel", Assumptions!$T$110:$T$112,0)),
     IF(Product_select="Gasoline",
         INDEX(fGasoline!$L$30:$L$45, MATCH($B42, fGasoline!$B$30:$B$45,0)) * INDEX(Assumptions!$U$110:$U$112, MATCH("Gasoline", Assumptions!$T$110:$T$112,0)),
     IF(Product_select="Total",
         INDEX(fDiesel!$J$30:$J$45, MATCH($B42, fDiesel!$B$30:$B$45,0)) * INDEX(Assumptions!$U$110:$U$112, MATCH("Diesel", Assumptions!$T$110:$T$112,0))
         +
         INDEX(fGasoline!$L$30:$L$45, MATCH($B42, fGasoline!$B$30:$B$45,0)) * INDEX(Assumptions!$U$110:$U$112, MATCH("Gasoline", Assumptions!$T$110:$T$112,0))
     )
     )
    ),
    0
)</f>
        <v>0</v>
      </c>
      <c r="I42" s="130" t="e">
        <f t="shared" si="9"/>
        <v>#N/A</v>
      </c>
      <c r="J42" s="130" t="e">
        <f t="shared" si="10"/>
        <v>#N/A</v>
      </c>
      <c r="K42" s="130" t="e">
        <f t="shared" si="11"/>
        <v>#N/A</v>
      </c>
      <c r="L42" s="130" t="e">
        <f t="shared" si="12"/>
        <v>#N/A</v>
      </c>
      <c r="N42" s="83" t="e">
        <f t="shared" si="8"/>
        <v>#N/A</v>
      </c>
      <c r="S42" s="108"/>
      <c r="T42" s="108"/>
      <c r="U42" s="108"/>
    </row>
    <row r="43" spans="2:26" x14ac:dyDescent="0.6">
      <c r="B43" s="90">
        <v>2048</v>
      </c>
      <c r="C43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43,Assumptions!$L$102:$L$131,0),MATCH(C$16,Assumptions!$L$102:$R$102,0))+
IF(
    INDEX(Production_High,MATCH($B43,Assumptions!$L$102:$L$131,0),MATCH(C$16,Assumptions!$L$102:$R$102,0))&gt;0,
    IF(Product_select="Diesel",
         INDEX(fDiesel!$J$30:$J$45, MATCH($B43, fDiesel!$B$30:$B$45,0)) * INDEX(Assumptions!$U$110:$U$112, MATCH("Diesel", Assumptions!$T$110:$T$112,0)),
     IF(Product_select="Gasoline",
         INDEX(fGasoline!$L$30:$L$45, MATCH($B43, fGasoline!$B$30:$B$45,0)) * INDEX(Assumptions!$U$110:$U$112, MATCH("Gasoline", Assumptions!$T$110:$T$112,0)),
     IF(Product_select="Total",
         INDEX(fDiesel!$J$30:$J$45, MATCH($B43, fDiesel!$B$30:$B$45,0)) * INDEX(Assumptions!$U$110:$U$112, MATCH("Diesel", Assumptions!$T$110:$T$112,0))
         +
         INDEX(fGasoline!$L$30:$L$45, MATCH($B43, fGasoline!$B$30:$B$45,0)) * INDEX(Assumptions!$U$110:$U$112, MATCH("Gasoline", Assumptions!$T$110:$T$112,0))
     )
     )
    ),
    0
)</f>
        <v>0</v>
      </c>
      <c r="D43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43,Assumptions!$L$102:$L$131,0),MATCH(D$16,Assumptions!$L$102:$R$102,0))+
IF(
    INDEX(Production_High,MATCH($B43,Assumptions!$L$102:$L$131,0),MATCH(D$16,Assumptions!$L$102:$R$102,0))&gt;0,
    IF(Product_select="Diesel",
         INDEX(fDiesel!$J$30:$J$45, MATCH($B43, fDiesel!$B$30:$B$45,0)) * INDEX(Assumptions!$U$110:$U$112, MATCH("Diesel", Assumptions!$T$110:$T$112,0)),
     IF(Product_select="Gasoline",
         INDEX(fGasoline!$L$30:$L$45, MATCH($B43, fGasoline!$B$30:$B$45,0)) * INDEX(Assumptions!$U$110:$U$112, MATCH("Gasoline", Assumptions!$T$110:$T$112,0)),
     IF(Product_select="Total",
         INDEX(fDiesel!$J$30:$J$45, MATCH($B43, fDiesel!$B$30:$B$45,0)) * INDEX(Assumptions!$U$110:$U$112, MATCH("Diesel", Assumptions!$T$110:$T$112,0))
         +
         INDEX(fGasoline!$L$30:$L$45, MATCH($B43, fGasoline!$B$30:$B$45,0)) * INDEX(Assumptions!$U$110:$U$112, MATCH("Gasoline", Assumptions!$T$110:$T$112,0))
     )
     )
    ),
    0
)</f>
        <v>0</v>
      </c>
      <c r="E43" s="129" t="e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43,Assumptions!$L$102:$L$131,0),MATCH(E$16,Assumptions!$L$102:$R$102,0))+
IF(
    INDEX(Production_High,MATCH($B43,Assumptions!$L$102:$L$131,0),MATCH(E$16,Assumptions!$L$102:$R$102,0))&gt;0,
    IF(Product_select="Diesel",
         INDEX(fDiesel!$J$30:$J$45, MATCH($B43, fDiesel!$B$30:$B$45,0)) * INDEX(Assumptions!$U$110:$U$112, MATCH("Diesel", Assumptions!$T$110:$T$112,0)),
     IF(Product_select="Gasoline",
         INDEX(fGasoline!$L$30:$L$45, MATCH($B43, fGasoline!$B$30:$B$45,0)) * INDEX(Assumptions!$U$110:$U$112, MATCH("Gasoline", Assumptions!$T$110:$T$112,0)),
     IF(Product_select="Total",
         INDEX(fDiesel!$J$30:$J$45, MATCH($B43, fDiesel!$B$30:$B$45,0)) * INDEX(Assumptions!$U$110:$U$112, MATCH("Diesel", Assumptions!$T$110:$T$112,0))
         +
         INDEX(fGasoline!$L$30:$L$45, MATCH($B43, fGasoline!$B$30:$B$45,0)) * INDEX(Assumptions!$U$110:$U$112, MATCH("Gasoline", Assumptions!$T$110:$T$112,0))
     )
     )
    ),
    0
)</f>
        <v>#N/A</v>
      </c>
      <c r="F43" s="129" t="e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43,Assumptions!$L$102:$L$131,0),MATCH(F$16,Assumptions!$L$102:$R$102,0))+
IF(
    INDEX(Production_High,MATCH($B43,Assumptions!$L$102:$L$131,0),MATCH(F$16,Assumptions!$L$102:$R$102,0))&gt;0,
    IF(Product_select="Diesel",
         INDEX(fDiesel!$J$30:$J$45, MATCH($B43, fDiesel!$B$30:$B$45,0)) * INDEX(Assumptions!$U$110:$U$112, MATCH("Diesel", Assumptions!$T$110:$T$112,0)),
     IF(Product_select="Gasoline",
         INDEX(fGasoline!$L$30:$L$45, MATCH($B43, fGasoline!$B$30:$B$45,0)) * INDEX(Assumptions!$U$110:$U$112, MATCH("Gasoline", Assumptions!$T$110:$T$112,0)),
     IF(Product_select="Total",
         INDEX(fDiesel!$J$30:$J$45, MATCH($B43, fDiesel!$B$30:$B$45,0)) * INDEX(Assumptions!$U$110:$U$112, MATCH("Diesel", Assumptions!$T$110:$T$112,0))
         +
         INDEX(fGasoline!$L$30:$L$45, MATCH($B43, fGasoline!$B$30:$B$45,0)) * INDEX(Assumptions!$U$110:$U$112, MATCH("Gasoline", Assumptions!$T$110:$T$112,0))
     )
     )
    ),
    0
)</f>
        <v>#N/A</v>
      </c>
      <c r="G43" s="129" t="e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43,Assumptions!$L$102:$L$131,0),MATCH(G$16,Assumptions!$L$102:$R$102,0))+
IF(
    INDEX(Production_High,MATCH($B43,Assumptions!$L$102:$L$131,0),MATCH(G$16,Assumptions!$L$102:$R$102,0))&gt;0,
    IF(Product_select="Diesel",
         INDEX(fDiesel!$J$30:$J$45, MATCH($B43, fDiesel!$B$30:$B$45,0)) * INDEX(Assumptions!$U$110:$U$112, MATCH("Diesel", Assumptions!$T$110:$T$112,0)),
     IF(Product_select="Gasoline",
         INDEX(fGasoline!$L$30:$L$45, MATCH($B43, fGasoline!$B$30:$B$45,0)) * INDEX(Assumptions!$U$110:$U$112, MATCH("Gasoline", Assumptions!$T$110:$T$112,0)),
     IF(Product_select="Total",
         INDEX(fDiesel!$J$30:$J$45, MATCH($B43, fDiesel!$B$30:$B$45,0)) * INDEX(Assumptions!$U$110:$U$112, MATCH("Diesel", Assumptions!$T$110:$T$112,0))
         +
         INDEX(fGasoline!$L$30:$L$45, MATCH($B43, fGasoline!$B$30:$B$45,0)) * INDEX(Assumptions!$U$110:$U$112, MATCH("Gasoline", Assumptions!$T$110:$T$112,0))
     )
     )
    ),
    0
)</f>
        <v>#N/A</v>
      </c>
      <c r="H43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43,Assumptions!$L$102:$L$131,0),MATCH(H$16,Assumptions!$L$102:$R$102,0))+
IF(
    INDEX(Production_High,MATCH($B43,Assumptions!$L$102:$L$131,0),MATCH(H$16,Assumptions!$L$102:$R$102,0))&gt;0,
    IF(Product_select="Diesel",
         INDEX(fDiesel!$J$30:$J$45, MATCH($B43, fDiesel!$B$30:$B$45,0)) * INDEX(Assumptions!$U$110:$U$112, MATCH("Diesel", Assumptions!$T$110:$T$112,0)),
     IF(Product_select="Gasoline",
         INDEX(fGasoline!$L$30:$L$45, MATCH($B43, fGasoline!$B$30:$B$45,0)) * INDEX(Assumptions!$U$110:$U$112, MATCH("Gasoline", Assumptions!$T$110:$T$112,0)),
     IF(Product_select="Total",
         INDEX(fDiesel!$J$30:$J$45, MATCH($B43, fDiesel!$B$30:$B$45,0)) * INDEX(Assumptions!$U$110:$U$112, MATCH("Diesel", Assumptions!$T$110:$T$112,0))
         +
         INDEX(fGasoline!$L$30:$L$45, MATCH($B43, fGasoline!$B$30:$B$45,0)) * INDEX(Assumptions!$U$110:$U$112, MATCH("Gasoline", Assumptions!$T$110:$T$112,0))
     )
     )
    ),
    0
)</f>
        <v>0</v>
      </c>
      <c r="I43" s="130" t="e">
        <f t="shared" si="9"/>
        <v>#N/A</v>
      </c>
      <c r="J43" s="130" t="e">
        <f t="shared" si="10"/>
        <v>#N/A</v>
      </c>
      <c r="K43" s="130" t="e">
        <f t="shared" si="11"/>
        <v>#N/A</v>
      </c>
      <c r="L43" s="130" t="e">
        <f t="shared" si="12"/>
        <v>#N/A</v>
      </c>
      <c r="N43" s="83" t="e">
        <f t="shared" si="8"/>
        <v>#N/A</v>
      </c>
      <c r="S43" s="108"/>
      <c r="T43" s="108"/>
      <c r="U43" s="108"/>
    </row>
    <row r="44" spans="2:26" x14ac:dyDescent="0.6">
      <c r="B44" s="90">
        <v>2049</v>
      </c>
      <c r="C44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44,Assumptions!$L$102:$L$131,0),MATCH(C$16,Assumptions!$L$102:$R$102,0))+
IF(
    INDEX(Production_High,MATCH($B44,Assumptions!$L$102:$L$131,0),MATCH(C$16,Assumptions!$L$102:$R$102,0))&gt;0,
    IF(Product_select="Diesel",
         INDEX(fDiesel!$J$30:$J$45, MATCH($B44, fDiesel!$B$30:$B$45,0)) * INDEX(Assumptions!$U$110:$U$112, MATCH("Diesel", Assumptions!$T$110:$T$112,0)),
     IF(Product_select="Gasoline",
         INDEX(fGasoline!$L$30:$L$45, MATCH($B44, fGasoline!$B$30:$B$45,0)) * INDEX(Assumptions!$U$110:$U$112, MATCH("Gasoline", Assumptions!$T$110:$T$112,0)),
     IF(Product_select="Total",
         INDEX(fDiesel!$J$30:$J$45, MATCH($B44, fDiesel!$B$30:$B$45,0)) * INDEX(Assumptions!$U$110:$U$112, MATCH("Diesel", Assumptions!$T$110:$T$112,0))
         +
         INDEX(fGasoline!$L$30:$L$45, MATCH($B44, fGasoline!$B$30:$B$45,0)) * INDEX(Assumptions!$U$110:$U$112, MATCH("Gasoline", Assumptions!$T$110:$T$112,0))
     )
     )
    ),
    0
)</f>
        <v>0</v>
      </c>
      <c r="D44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44,Assumptions!$L$102:$L$131,0),MATCH(D$16,Assumptions!$L$102:$R$102,0))+
IF(
    INDEX(Production_High,MATCH($B44,Assumptions!$L$102:$L$131,0),MATCH(D$16,Assumptions!$L$102:$R$102,0))&gt;0,
    IF(Product_select="Diesel",
         INDEX(fDiesel!$J$30:$J$45, MATCH($B44, fDiesel!$B$30:$B$45,0)) * INDEX(Assumptions!$U$110:$U$112, MATCH("Diesel", Assumptions!$T$110:$T$112,0)),
     IF(Product_select="Gasoline",
         INDEX(fGasoline!$L$30:$L$45, MATCH($B44, fGasoline!$B$30:$B$45,0)) * INDEX(Assumptions!$U$110:$U$112, MATCH("Gasoline", Assumptions!$T$110:$T$112,0)),
     IF(Product_select="Total",
         INDEX(fDiesel!$J$30:$J$45, MATCH($B44, fDiesel!$B$30:$B$45,0)) * INDEX(Assumptions!$U$110:$U$112, MATCH("Diesel", Assumptions!$T$110:$T$112,0))
         +
         INDEX(fGasoline!$L$30:$L$45, MATCH($B44, fGasoline!$B$30:$B$45,0)) * INDEX(Assumptions!$U$110:$U$112, MATCH("Gasoline", Assumptions!$T$110:$T$112,0))
     )
     )
    ),
    0
)</f>
        <v>0</v>
      </c>
      <c r="E44" s="129" t="e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44,Assumptions!$L$102:$L$131,0),MATCH(E$16,Assumptions!$L$102:$R$102,0))+
IF(
    INDEX(Production_High,MATCH($B44,Assumptions!$L$102:$L$131,0),MATCH(E$16,Assumptions!$L$102:$R$102,0))&gt;0,
    IF(Product_select="Diesel",
         INDEX(fDiesel!$J$30:$J$45, MATCH($B44, fDiesel!$B$30:$B$45,0)) * INDEX(Assumptions!$U$110:$U$112, MATCH("Diesel", Assumptions!$T$110:$T$112,0)),
     IF(Product_select="Gasoline",
         INDEX(fGasoline!$L$30:$L$45, MATCH($B44, fGasoline!$B$30:$B$45,0)) * INDEX(Assumptions!$U$110:$U$112, MATCH("Gasoline", Assumptions!$T$110:$T$112,0)),
     IF(Product_select="Total",
         INDEX(fDiesel!$J$30:$J$45, MATCH($B44, fDiesel!$B$30:$B$45,0)) * INDEX(Assumptions!$U$110:$U$112, MATCH("Diesel", Assumptions!$T$110:$T$112,0))
         +
         INDEX(fGasoline!$L$30:$L$45, MATCH($B44, fGasoline!$B$30:$B$45,0)) * INDEX(Assumptions!$U$110:$U$112, MATCH("Gasoline", Assumptions!$T$110:$T$112,0))
     )
     )
    ),
    0
)</f>
        <v>#N/A</v>
      </c>
      <c r="F44" s="129" t="e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44,Assumptions!$L$102:$L$131,0),MATCH(F$16,Assumptions!$L$102:$R$102,0))+
IF(
    INDEX(Production_High,MATCH($B44,Assumptions!$L$102:$L$131,0),MATCH(F$16,Assumptions!$L$102:$R$102,0))&gt;0,
    IF(Product_select="Diesel",
         INDEX(fDiesel!$J$30:$J$45, MATCH($B44, fDiesel!$B$30:$B$45,0)) * INDEX(Assumptions!$U$110:$U$112, MATCH("Diesel", Assumptions!$T$110:$T$112,0)),
     IF(Product_select="Gasoline",
         INDEX(fGasoline!$L$30:$L$45, MATCH($B44, fGasoline!$B$30:$B$45,0)) * INDEX(Assumptions!$U$110:$U$112, MATCH("Gasoline", Assumptions!$T$110:$T$112,0)),
     IF(Product_select="Total",
         INDEX(fDiesel!$J$30:$J$45, MATCH($B44, fDiesel!$B$30:$B$45,0)) * INDEX(Assumptions!$U$110:$U$112, MATCH("Diesel", Assumptions!$T$110:$T$112,0))
         +
         INDEX(fGasoline!$L$30:$L$45, MATCH($B44, fGasoline!$B$30:$B$45,0)) * INDEX(Assumptions!$U$110:$U$112, MATCH("Gasoline", Assumptions!$T$110:$T$112,0))
     )
     )
    ),
    0
)</f>
        <v>#N/A</v>
      </c>
      <c r="G44" s="129" t="e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44,Assumptions!$L$102:$L$131,0),MATCH(G$16,Assumptions!$L$102:$R$102,0))+
IF(
    INDEX(Production_High,MATCH($B44,Assumptions!$L$102:$L$131,0),MATCH(G$16,Assumptions!$L$102:$R$102,0))&gt;0,
    IF(Product_select="Diesel",
         INDEX(fDiesel!$J$30:$J$45, MATCH($B44, fDiesel!$B$30:$B$45,0)) * INDEX(Assumptions!$U$110:$U$112, MATCH("Diesel", Assumptions!$T$110:$T$112,0)),
     IF(Product_select="Gasoline",
         INDEX(fGasoline!$L$30:$L$45, MATCH($B44, fGasoline!$B$30:$B$45,0)) * INDEX(Assumptions!$U$110:$U$112, MATCH("Gasoline", Assumptions!$T$110:$T$112,0)),
     IF(Product_select="Total",
         INDEX(fDiesel!$J$30:$J$45, MATCH($B44, fDiesel!$B$30:$B$45,0)) * INDEX(Assumptions!$U$110:$U$112, MATCH("Diesel", Assumptions!$T$110:$T$112,0))
         +
         INDEX(fGasoline!$L$30:$L$45, MATCH($B44, fGasoline!$B$30:$B$45,0)) * INDEX(Assumptions!$U$110:$U$112, MATCH("Gasoline", Assumptions!$T$110:$T$112,0))
     )
     )
    ),
    0
)</f>
        <v>#N/A</v>
      </c>
      <c r="H44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44,Assumptions!$L$102:$L$131,0),MATCH(H$16,Assumptions!$L$102:$R$102,0))+
IF(
    INDEX(Production_High,MATCH($B44,Assumptions!$L$102:$L$131,0),MATCH(H$16,Assumptions!$L$102:$R$102,0))&gt;0,
    IF(Product_select="Diesel",
         INDEX(fDiesel!$J$30:$J$45, MATCH($B44, fDiesel!$B$30:$B$45,0)) * INDEX(Assumptions!$U$110:$U$112, MATCH("Diesel", Assumptions!$T$110:$T$112,0)),
     IF(Product_select="Gasoline",
         INDEX(fGasoline!$L$30:$L$45, MATCH($B44, fGasoline!$B$30:$B$45,0)) * INDEX(Assumptions!$U$110:$U$112, MATCH("Gasoline", Assumptions!$T$110:$T$112,0)),
     IF(Product_select="Total",
         INDEX(fDiesel!$J$30:$J$45, MATCH($B44, fDiesel!$B$30:$B$45,0)) * INDEX(Assumptions!$U$110:$U$112, MATCH("Diesel", Assumptions!$T$110:$T$112,0))
         +
         INDEX(fGasoline!$L$30:$L$45, MATCH($B44, fGasoline!$B$30:$B$45,0)) * INDEX(Assumptions!$U$110:$U$112, MATCH("Gasoline", Assumptions!$T$110:$T$112,0))
     )
     )
    ),
    0
)</f>
        <v>0</v>
      </c>
      <c r="I44" s="130" t="e">
        <f t="shared" si="9"/>
        <v>#N/A</v>
      </c>
      <c r="J44" s="130" t="e">
        <f t="shared" si="10"/>
        <v>#N/A</v>
      </c>
      <c r="K44" s="130" t="e">
        <f t="shared" si="11"/>
        <v>#N/A</v>
      </c>
      <c r="L44" s="130" t="e">
        <f t="shared" si="12"/>
        <v>#N/A</v>
      </c>
      <c r="N44" s="83" t="e">
        <f t="shared" si="8"/>
        <v>#N/A</v>
      </c>
      <c r="S44" s="108"/>
      <c r="T44" s="108"/>
      <c r="U44" s="108"/>
    </row>
    <row r="45" spans="2:26" x14ac:dyDescent="0.6">
      <c r="B45" s="90">
        <v>2050</v>
      </c>
      <c r="C45" s="129">
        <f>INDEX(Refinery,MATCH(Product_select,Assumptions!$L$93:$L$98,0),MATCH(C$16,Assumptions!$L$93:$R$93,0))*Crude_oil_litresPerBarrel*(INDEX(Refinery_capacity,2,MATCH(C$16,Assumptions!$L$93:$R$93,0)))*Operational_days*1000*Refinery_availability*INDEX(Production_High,MATCH($B45,Assumptions!$L$102:$L$131,0),MATCH(C$16,Assumptions!$L$102:$R$102,0))+
IF(
    INDEX(Production_High,MATCH($B45,Assumptions!$L$102:$L$131,0),MATCH(C$16,Assumptions!$L$102:$R$102,0))&gt;0,
    IF(Product_select="Diesel",
         INDEX(fDiesel!$J$30:$J$45, MATCH($B45, fDiesel!$B$30:$B$45,0)) * INDEX(Assumptions!$U$110:$U$112, MATCH("Diesel", Assumptions!$T$110:$T$112,0)),
     IF(Product_select="Gasoline",
         INDEX(fGasoline!$L$30:$L$45, MATCH($B45, fGasoline!$B$30:$B$45,0)) * INDEX(Assumptions!$U$110:$U$112, MATCH("Gasoline", Assumptions!$T$110:$T$112,0)),
     IF(Product_select="Total",
         INDEX(fDiesel!$J$30:$J$45, MATCH($B45, fDiesel!$B$30:$B$45,0)) * INDEX(Assumptions!$U$110:$U$112, MATCH("Diesel", Assumptions!$T$110:$T$112,0))
         +
         INDEX(fGasoline!$L$30:$L$45, MATCH($B45, fGasoline!$B$30:$B$45,0)) * INDEX(Assumptions!$U$110:$U$112, MATCH("Gasoline", Assumptions!$T$110:$T$112,0))
     )
     )
    ),
    0
)</f>
        <v>0</v>
      </c>
      <c r="D45" s="129">
        <f>INDEX(Refinery,MATCH(Product_select,Assumptions!$L$93:$L$98,0),MATCH(D$16,Assumptions!$L$93:$R$93,0))*Crude_oil_litresPerBarrel*(INDEX(Refinery_capacity,2,MATCH(D$16,Assumptions!$L$93:$R$93,0)))*Operational_days*1000*Refinery_availability*INDEX(Production_High,MATCH($B45,Assumptions!$L$102:$L$131,0),MATCH(D$16,Assumptions!$L$102:$R$102,0))+
IF(
    INDEX(Production_High,MATCH($B45,Assumptions!$L$102:$L$131,0),MATCH(D$16,Assumptions!$L$102:$R$102,0))&gt;0,
    IF(Product_select="Diesel",
         INDEX(fDiesel!$J$30:$J$45, MATCH($B45, fDiesel!$B$30:$B$45,0)) * INDEX(Assumptions!$U$110:$U$112, MATCH("Diesel", Assumptions!$T$110:$T$112,0)),
     IF(Product_select="Gasoline",
         INDEX(fGasoline!$L$30:$L$45, MATCH($B45, fGasoline!$B$30:$B$45,0)) * INDEX(Assumptions!$U$110:$U$112, MATCH("Gasoline", Assumptions!$T$110:$T$112,0)),
     IF(Product_select="Total",
         INDEX(fDiesel!$J$30:$J$45, MATCH($B45, fDiesel!$B$30:$B$45,0)) * INDEX(Assumptions!$U$110:$U$112, MATCH("Diesel", Assumptions!$T$110:$T$112,0))
         +
         INDEX(fGasoline!$L$30:$L$45, MATCH($B45, fGasoline!$B$30:$B$45,0)) * INDEX(Assumptions!$U$110:$U$112, MATCH("Gasoline", Assumptions!$T$110:$T$112,0))
     )
     )
    ),
    0
)</f>
        <v>0</v>
      </c>
      <c r="E45" s="129" t="e">
        <f>INDEX(Refinery,MATCH(Product_select,Assumptions!$L$93:$L$98,0),MATCH(E$16,Assumptions!$L$93:$R$93,0))*Crude_oil_litresPerBarrel*(INDEX(Refinery_capacity,2,MATCH(E$16,Assumptions!$L$93:$R$93,0)))*Operational_days*1000*Refinery_availability*INDEX(Production_High,MATCH($B45,Assumptions!$L$102:$L$131,0),MATCH(E$16,Assumptions!$L$102:$R$102,0))+
IF(
    INDEX(Production_High,MATCH($B45,Assumptions!$L$102:$L$131,0),MATCH(E$16,Assumptions!$L$102:$R$102,0))&gt;0,
    IF(Product_select="Diesel",
         INDEX(fDiesel!$J$30:$J$45, MATCH($B45, fDiesel!$B$30:$B$45,0)) * INDEX(Assumptions!$U$110:$U$112, MATCH("Diesel", Assumptions!$T$110:$T$112,0)),
     IF(Product_select="Gasoline",
         INDEX(fGasoline!$L$30:$L$45, MATCH($B45, fGasoline!$B$30:$B$45,0)) * INDEX(Assumptions!$U$110:$U$112, MATCH("Gasoline", Assumptions!$T$110:$T$112,0)),
     IF(Product_select="Total",
         INDEX(fDiesel!$J$30:$J$45, MATCH($B45, fDiesel!$B$30:$B$45,0)) * INDEX(Assumptions!$U$110:$U$112, MATCH("Diesel", Assumptions!$T$110:$T$112,0))
         +
         INDEX(fGasoline!$L$30:$L$45, MATCH($B45, fGasoline!$B$30:$B$45,0)) * INDEX(Assumptions!$U$110:$U$112, MATCH("Gasoline", Assumptions!$T$110:$T$112,0))
     )
     )
    ),
    0
)</f>
        <v>#N/A</v>
      </c>
      <c r="F45" s="129" t="e">
        <f>INDEX(Refinery,MATCH(Product_select,Assumptions!$L$93:$L$98,0),MATCH(F$16,Assumptions!$L$93:$R$93,0))*Crude_oil_litresPerBarrel*(INDEX(Refinery_capacity,2,MATCH(F$16,Assumptions!$L$93:$R$93,0)))*Operational_days*1000*Refinery_availability*INDEX(Production_High,MATCH($B45,Assumptions!$L$102:$L$131,0),MATCH(F$16,Assumptions!$L$102:$R$102,0))+
IF(
    INDEX(Production_High,MATCH($B45,Assumptions!$L$102:$L$131,0),MATCH(F$16,Assumptions!$L$102:$R$102,0))&gt;0,
    IF(Product_select="Diesel",
         INDEX(fDiesel!$J$30:$J$45, MATCH($B45, fDiesel!$B$30:$B$45,0)) * INDEX(Assumptions!$U$110:$U$112, MATCH("Diesel", Assumptions!$T$110:$T$112,0)),
     IF(Product_select="Gasoline",
         INDEX(fGasoline!$L$30:$L$45, MATCH($B45, fGasoline!$B$30:$B$45,0)) * INDEX(Assumptions!$U$110:$U$112, MATCH("Gasoline", Assumptions!$T$110:$T$112,0)),
     IF(Product_select="Total",
         INDEX(fDiesel!$J$30:$J$45, MATCH($B45, fDiesel!$B$30:$B$45,0)) * INDEX(Assumptions!$U$110:$U$112, MATCH("Diesel", Assumptions!$T$110:$T$112,0))
         +
         INDEX(fGasoline!$L$30:$L$45, MATCH($B45, fGasoline!$B$30:$B$45,0)) * INDEX(Assumptions!$U$110:$U$112, MATCH("Gasoline", Assumptions!$T$110:$T$112,0))
     )
     )
    ),
    0
)</f>
        <v>#N/A</v>
      </c>
      <c r="G45" s="129" t="e">
        <f>INDEX(Refinery,MATCH(Product_select,Assumptions!$L$93:$L$98,0),MATCH(G$16,Assumptions!$L$93:$R$93,0))*Crude_oil_litresPerBarrel*(INDEX(Refinery_capacity,2,MATCH(G$16,Assumptions!$L$93:$R$93,0)))*Operational_days*1000*Refinery_availability*INDEX(Production_High,MATCH($B45,Assumptions!$L$102:$L$131,0),MATCH(G$16,Assumptions!$L$102:$R$102,0))+
IF(
    INDEX(Production_High,MATCH($B45,Assumptions!$L$102:$L$131,0),MATCH(G$16,Assumptions!$L$102:$R$102,0))&gt;0,
    IF(Product_select="Diesel",
         INDEX(fDiesel!$J$30:$J$45, MATCH($B45, fDiesel!$B$30:$B$45,0)) * INDEX(Assumptions!$U$110:$U$112, MATCH("Diesel", Assumptions!$T$110:$T$112,0)),
     IF(Product_select="Gasoline",
         INDEX(fGasoline!$L$30:$L$45, MATCH($B45, fGasoline!$B$30:$B$45,0)) * INDEX(Assumptions!$U$110:$U$112, MATCH("Gasoline", Assumptions!$T$110:$T$112,0)),
     IF(Product_select="Total",
         INDEX(fDiesel!$J$30:$J$45, MATCH($B45, fDiesel!$B$30:$B$45,0)) * INDEX(Assumptions!$U$110:$U$112, MATCH("Diesel", Assumptions!$T$110:$T$112,0))
         +
         INDEX(fGasoline!$L$30:$L$45, MATCH($B45, fGasoline!$B$30:$B$45,0)) * INDEX(Assumptions!$U$110:$U$112, MATCH("Gasoline", Assumptions!$T$110:$T$112,0))
     )
     )
    ),
    0
)</f>
        <v>#N/A</v>
      </c>
      <c r="H45" s="129">
        <f>INDEX(Refinery,MATCH(Product_select,Assumptions!$L$93:$L$98,0),MATCH(H$16,Assumptions!$L$93:$R$93,0))*Crude_oil_litresPerBarrel*(INDEX(Refinery_capacity,2,MATCH(H$16,Assumptions!$L$93:$R$93,0)))*Operational_days*1000*Refinery_availability*INDEX(Production_High,MATCH($B45,Assumptions!$L$102:$L$131,0),MATCH(H$16,Assumptions!$L$102:$R$102,0))+
IF(
    INDEX(Production_High,MATCH($B45,Assumptions!$L$102:$L$131,0),MATCH(H$16,Assumptions!$L$102:$R$102,0))&gt;0,
    IF(Product_select="Diesel",
         INDEX(fDiesel!$J$30:$J$45, MATCH($B45, fDiesel!$B$30:$B$45,0)) * INDEX(Assumptions!$U$110:$U$112, MATCH("Diesel", Assumptions!$T$110:$T$112,0)),
     IF(Product_select="Gasoline",
         INDEX(fGasoline!$L$30:$L$45, MATCH($B45, fGasoline!$B$30:$B$45,0)) * INDEX(Assumptions!$U$110:$U$112, MATCH("Gasoline", Assumptions!$T$110:$T$112,0)),
     IF(Product_select="Total",
         INDEX(fDiesel!$J$30:$J$45, MATCH($B45, fDiesel!$B$30:$B$45,0)) * INDEX(Assumptions!$U$110:$U$112, MATCH("Diesel", Assumptions!$T$110:$T$112,0))
         +
         INDEX(fGasoline!$L$30:$L$45, MATCH($B45, fGasoline!$B$30:$B$45,0)) * INDEX(Assumptions!$U$110:$U$112, MATCH("Gasoline", Assumptions!$T$110:$T$112,0))
     )
     )
    ),
    0
)</f>
        <v>0</v>
      </c>
      <c r="I45" s="130" t="e">
        <f t="shared" si="9"/>
        <v>#N/A</v>
      </c>
      <c r="J45" s="130" t="e">
        <f t="shared" si="10"/>
        <v>#N/A</v>
      </c>
      <c r="K45" s="130" t="e">
        <f t="shared" si="11"/>
        <v>#N/A</v>
      </c>
      <c r="L45" s="130" t="e">
        <f t="shared" si="12"/>
        <v>#N/A</v>
      </c>
      <c r="N45" s="83" t="e">
        <f t="shared" si="8"/>
        <v>#N/A</v>
      </c>
    </row>
    <row r="48" spans="2:26" x14ac:dyDescent="0.6">
      <c r="B48" s="537" t="s">
        <v>121</v>
      </c>
      <c r="C48" s="538"/>
      <c r="D48" s="538"/>
      <c r="E48" s="538"/>
      <c r="F48" s="538"/>
      <c r="G48" s="538"/>
      <c r="H48" s="538"/>
      <c r="I48" s="529"/>
      <c r="J48" s="529"/>
      <c r="K48" s="529"/>
      <c r="L48" s="529"/>
      <c r="N48" s="75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50,Assumptions!$L$135:$L$164,0),MATCH("SAPREF",Assumptions!$L$135:$R$135,0))</f>
        <v>0</v>
      </c>
      <c r="P48" s="90"/>
      <c r="R48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50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50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50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50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50,Assumptions!$L$135:$L$164,0),MATCH("PetroSA",Assumptions!$L$135:$R$135,0)))</f>
        <v>5205036198.729825</v>
      </c>
    </row>
    <row r="49" spans="2:18" ht="47.25" x14ac:dyDescent="0.6">
      <c r="B49" s="88" t="s">
        <v>30</v>
      </c>
      <c r="C49" s="88" t="str">
        <f t="shared" ref="C49:H49" si="13">C16</f>
        <v>Enref</v>
      </c>
      <c r="D49" s="88" t="str">
        <f t="shared" si="13"/>
        <v>SAPREF</v>
      </c>
      <c r="E49" s="88" t="str">
        <f t="shared" si="13"/>
        <v>Natref</v>
      </c>
      <c r="F49" s="88" t="str">
        <f t="shared" si="13"/>
        <v>Sasol</v>
      </c>
      <c r="G49" s="88" t="str">
        <f t="shared" si="13"/>
        <v>Astron</v>
      </c>
      <c r="H49" s="88" t="str">
        <f t="shared" si="13"/>
        <v>PetroSA</v>
      </c>
      <c r="I49" s="88" t="str">
        <f>IF(Product_select="Total", "Total Liquid Fuels", "Total ")&amp;IF(Product_select="Total","",Product_select)&amp;" Low Supply (Litres)"</f>
        <v>Total Gasoline Low Supply (Litres)</v>
      </c>
      <c r="J49" s="88" t="str">
        <f>IF(Product_select="Total", "Total Liquid Fuels", "Total ")&amp;IF(Product_select="Total","",Product_select)&amp;" Low Supply (kbpd)"</f>
        <v>Total Gasoline Low Supply (kbpd)</v>
      </c>
      <c r="K49" s="88" t="str">
        <f>IF(Product_select="Total", "Specified Market Total Liquid Fuels", "Total ")&amp;IF(Product_select="Total","",Product_select)&amp;" Low Supply (Litres)"</f>
        <v>Total Gasoline Low Supply (Litres)</v>
      </c>
      <c r="L49" s="88" t="str">
        <f>IF(Product_select="Total", "Specified Market Total Liquid Fuels", "Total ")&amp;IF(Product_select="Total","",Product_select)&amp;" High Supply (kbpd)"</f>
        <v>Total Gasoline High Supply (kbpd)</v>
      </c>
      <c r="M49" s="75" t="s">
        <v>182</v>
      </c>
      <c r="N49" s="75">
        <f>INDEX(Refinery,MATCH(Product_select,Assumptions!$L$93:$L$98,0),MATCH("Natref",Assumptions!$L$93:$R$93,0))*Crude_oil_litresPerBarrel*(INDEX(Refinery_capacity,2,MATCH("Natref",Assumptions!$L$93:$R$93,0)))*Operational_days*1000*Refinery_availability*INDEX(Production_Low,MATCH($B50,Assumptions!$L$135:$L$164,0),MATCH("Natref",Assumptions!$L$135:$R$135,0))</f>
        <v>2226145181.3346376</v>
      </c>
      <c r="P49" s="90"/>
      <c r="R49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51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51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51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51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51,Assumptions!$L$135:$L$164,0),MATCH("PetroSA",Assumptions!$L$135:$R$135,0)))</f>
        <v>6407223458.2526245</v>
      </c>
    </row>
    <row r="50" spans="2:18" x14ac:dyDescent="0.6">
      <c r="B50" s="90">
        <v>2022</v>
      </c>
      <c r="C50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50,Assumptions!$L$135:$L$164,0),MATCH(C$49,Assumptions!$L$135:$R$135,0))</f>
        <v>0</v>
      </c>
      <c r="D50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50,Assumptions!$L$135:$L$164,0),MATCH("SAPREF",Assumptions!$L$135:$R$135,0))</f>
        <v>0</v>
      </c>
      <c r="E50" s="129">
        <f>INDEX(Refinery,MATCH(Product_select,Assumptions!$L$93:$L$98,0),MATCH("Natref",Assumptions!$L$93:$R$93,0))*Crude_oil_litresPerBarrel*(INDEX(Refinery_capacity,2,MATCH("Natref",Assumptions!$L$93:$R$93,0)))*Operational_days*1000*Refinery_availability*INDEX(Production_Low,MATCH($B50,Assumptions!$L$135:$L$164,0),MATCH("Natref",Assumptions!$L$135:$R$135,0))</f>
        <v>2226145181.3346376</v>
      </c>
      <c r="F50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50,Assumptions!$L$135:$L$164,0),MATCH("Sasol",Assumptions!$L$135:$R$135,0))</f>
        <v>2978891017.3951874</v>
      </c>
      <c r="G50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50,Assumptions!$L$135:$L$164,0),MATCH("Astron",Assumptions!$L$135:$R$135,0))</f>
        <v>0</v>
      </c>
      <c r="H50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50,Assumptions!$L$135:$L$164,0),MATCH("PetroSA",Assumptions!$L$135:$R$135,0))</f>
        <v>0</v>
      </c>
      <c r="I50" s="130">
        <f>SUM(C50:H50)</f>
        <v>5205036198.729825</v>
      </c>
      <c r="J50" s="224">
        <f t="shared" ref="J50:J58" si="14">I50/Crude_oil_litresPerBarrel/Operational_days/1000</f>
        <v>89.695215000000005</v>
      </c>
      <c r="K50" s="130">
        <f>SUM(C50:H50)</f>
        <v>5205036198.729825</v>
      </c>
      <c r="L50" s="224">
        <f t="shared" ref="L50:L58" si="15">K50/Crude_oil_litresPerBarrel/Operational_days/1000</f>
        <v>89.695215000000005</v>
      </c>
      <c r="M50" s="83">
        <f>F50+E50</f>
        <v>5205036198.729825</v>
      </c>
      <c r="N50" s="75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50,Assumptions!$L$135:$L$164,0),MATCH("Sasol",Assumptions!$L$135:$R$135,0))</f>
        <v>2978891017.3951874</v>
      </c>
      <c r="P50" s="90"/>
      <c r="R50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52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52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52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52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52,Assumptions!$L$135:$L$164,0),MATCH("PetroSA",Assumptions!$L$135:$R$135,0)))</f>
        <v>6688016629.2556877</v>
      </c>
    </row>
    <row r="51" spans="2:18" x14ac:dyDescent="0.6">
      <c r="B51" s="90">
        <v>2023</v>
      </c>
      <c r="C51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51,Assumptions!$L$135:$L$164,0),MATCH(C$49,Assumptions!$L$135:$R$135,0))</f>
        <v>0</v>
      </c>
      <c r="D51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51,Assumptions!$L$135:$L$164,0),MATCH("SAPREF",Assumptions!$L$135:$R$135,0))</f>
        <v>0</v>
      </c>
      <c r="E51" s="129">
        <f>INDEX(Refinery,MATCH(Product_select,Assumptions!$L$93:$L$98,0),MATCH("Natref",Assumptions!$L$93:$R$93,0))*Crude_oil_litresPerBarrel*(INDEX(Refinery_capacity,2,MATCH("Natref",Assumptions!$L$93:$R$93,0)))*Operational_days*1000*Refinery_availability*INDEX(Production_Low,MATCH($B51,Assumptions!$L$135:$L$164,0),MATCH("Natref",Assumptions!$L$135:$R$135,0))</f>
        <v>2231245170.2953124</v>
      </c>
      <c r="F51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51,Assumptions!$L$135:$L$164,0),MATCH("Sasol",Assumptions!$L$135:$R$135,0))</f>
        <v>3000865624.2073121</v>
      </c>
      <c r="G51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51,Assumptions!$L$135:$L$164,0),MATCH("Astron",Assumptions!$L$135:$R$135,0))</f>
        <v>1175112663.75</v>
      </c>
      <c r="H51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51,Assumptions!$L$135:$L$164,0),MATCH("PetroSA",Assumptions!$L$135:$R$135,0))</f>
        <v>0</v>
      </c>
      <c r="I51" s="130">
        <f t="shared" ref="I51:I58" si="16">SUM(C51:H51)</f>
        <v>6407223458.2526245</v>
      </c>
      <c r="J51" s="224">
        <f t="shared" si="14"/>
        <v>110.41177499999999</v>
      </c>
      <c r="K51" s="130">
        <f t="shared" ref="K51:K58" si="17">SUM(C51:H51)</f>
        <v>6407223458.2526245</v>
      </c>
      <c r="L51" s="224">
        <f t="shared" si="15"/>
        <v>110.41177499999999</v>
      </c>
      <c r="M51" s="83">
        <f t="shared" ref="M51:M78" si="18">F51+E51</f>
        <v>5232110794.5026245</v>
      </c>
      <c r="N51" s="75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50,Assumptions!$L$135:$L$164,0),MATCH("Astron",Assumptions!$L$135:$R$135,0))</f>
        <v>0</v>
      </c>
      <c r="P51" s="90"/>
      <c r="R51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53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53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53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53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53,Assumptions!$L$135:$L$164,0),MATCH("PetroSA",Assumptions!$L$135:$R$135,0)))</f>
        <v>6709991236.067812</v>
      </c>
    </row>
    <row r="52" spans="2:18" x14ac:dyDescent="0.6">
      <c r="B52" s="90">
        <v>2024</v>
      </c>
      <c r="C52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52,Assumptions!$L$135:$L$164,0),MATCH(C$49,Assumptions!$L$135:$R$135,0))</f>
        <v>0</v>
      </c>
      <c r="D52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52,Assumptions!$L$135:$L$164,0),MATCH("SAPREF",Assumptions!$L$135:$R$135,0))</f>
        <v>0</v>
      </c>
      <c r="E52" s="129">
        <f>INDEX(Refinery,MATCH(Product_select,Assumptions!$L$93:$L$98,0),MATCH("Natref",Assumptions!$L$93:$R$93,0))*Crude_oil_litresPerBarrel*(INDEX(Refinery_capacity,2,MATCH("Natref",Assumptions!$L$93:$R$93,0)))*Operational_days*1000*Refinery_availability*INDEX(Production_Low,MATCH($B52,Assumptions!$L$135:$L$164,0),MATCH("Natref",Assumptions!$L$135:$R$135,0))</f>
        <v>1784996136.2362499</v>
      </c>
      <c r="F52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52,Assumptions!$L$135:$L$164,0),MATCH("Sasol",Assumptions!$L$135:$R$135,0))</f>
        <v>3022840231.0194373</v>
      </c>
      <c r="G52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52,Assumptions!$L$135:$L$164,0),MATCH("Astron",Assumptions!$L$135:$R$135,0))</f>
        <v>1880180262</v>
      </c>
      <c r="H52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52,Assumptions!$L$135:$L$164,0),MATCH("PetroSA",Assumptions!$L$135:$R$135,0))</f>
        <v>0</v>
      </c>
      <c r="I52" s="130">
        <f t="shared" si="16"/>
        <v>6688016629.2556877</v>
      </c>
      <c r="J52" s="224">
        <f t="shared" si="14"/>
        <v>115.2505125</v>
      </c>
      <c r="K52" s="130">
        <f t="shared" si="17"/>
        <v>6688016629.2556877</v>
      </c>
      <c r="L52" s="224">
        <f t="shared" si="15"/>
        <v>115.2505125</v>
      </c>
      <c r="M52" s="83">
        <f t="shared" si="18"/>
        <v>4807836367.2556877</v>
      </c>
      <c r="N52" s="75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50,Assumptions!$L$135:$L$164,0),MATCH("PetroSA",Assumptions!$L$135:$R$135,0))</f>
        <v>0</v>
      </c>
      <c r="P52" s="90"/>
      <c r="R52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54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54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54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54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54,Assumptions!$L$135:$L$164,0),MATCH("PetroSA",Assumptions!$L$135:$R$135,0)))</f>
        <v>6731965842.8799372</v>
      </c>
    </row>
    <row r="53" spans="2:18" x14ac:dyDescent="0.6">
      <c r="B53" s="90">
        <v>2025</v>
      </c>
      <c r="C53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53,Assumptions!$L$135:$L$164,0),MATCH(C$49,Assumptions!$L$135:$R$135,0))</f>
        <v>0</v>
      </c>
      <c r="D53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53,Assumptions!$L$135:$L$164,0),MATCH("SAPREF",Assumptions!$L$135:$R$135,0))</f>
        <v>0</v>
      </c>
      <c r="E53" s="129">
        <f>INDEX(Refinery,MATCH(Product_select,Assumptions!$L$93:$L$98,0),MATCH("Natref",Assumptions!$L$93:$R$93,0))*Crude_oil_litresPerBarrel*(INDEX(Refinery_capacity,2,MATCH("Natref",Assumptions!$L$93:$R$93,0)))*Operational_days*1000*Refinery_availability*INDEX(Production_Low,MATCH($B53,Assumptions!$L$135:$L$164,0),MATCH("Natref",Assumptions!$L$135:$R$135,0))</f>
        <v>1784996136.2362499</v>
      </c>
      <c r="F53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53,Assumptions!$L$135:$L$164,0),MATCH("Sasol",Assumptions!$L$135:$R$135,0))</f>
        <v>3044814837.831562</v>
      </c>
      <c r="G53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53,Assumptions!$L$135:$L$164,0),MATCH("Astron",Assumptions!$L$135:$R$135,0))</f>
        <v>1880180262</v>
      </c>
      <c r="H53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53,Assumptions!$L$135:$L$164,0),MATCH("PetroSA",Assumptions!$L$135:$R$135,0))</f>
        <v>0</v>
      </c>
      <c r="I53" s="130">
        <f t="shared" si="16"/>
        <v>6709991236.067812</v>
      </c>
      <c r="J53" s="224">
        <f t="shared" si="14"/>
        <v>115.6291875</v>
      </c>
      <c r="K53" s="130">
        <f t="shared" si="17"/>
        <v>6709991236.067812</v>
      </c>
      <c r="L53" s="224">
        <f t="shared" si="15"/>
        <v>115.6291875</v>
      </c>
      <c r="M53" s="83">
        <f t="shared" si="18"/>
        <v>4829810974.067812</v>
      </c>
      <c r="P53" s="90"/>
      <c r="R53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55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55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55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55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55,Assumptions!$L$135:$L$164,0),MATCH("PetroSA",Assumptions!$L$135:$R$135,0)))</f>
        <v>6753940449.6920624</v>
      </c>
    </row>
    <row r="54" spans="2:18" x14ac:dyDescent="0.6">
      <c r="B54" s="90">
        <v>2026</v>
      </c>
      <c r="C54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54,Assumptions!$L$135:$L$164,0),MATCH(C$49,Assumptions!$L$135:$R$135,0))</f>
        <v>0</v>
      </c>
      <c r="D54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54,Assumptions!$L$135:$L$164,0),MATCH("SAPREF",Assumptions!$L$135:$R$135,0))</f>
        <v>0</v>
      </c>
      <c r="E54" s="129">
        <f>INDEX(Refinery,MATCH(Product_select,Assumptions!$L$93:$L$98,0),MATCH("Natref",Assumptions!$L$93:$R$93,0))*Crude_oil_litresPerBarrel*(INDEX(Refinery_capacity,2,MATCH("Natref",Assumptions!$L$93:$R$93,0)))*Operational_days*1000*Refinery_availability*INDEX(Production_Low,MATCH($B54,Assumptions!$L$135:$L$164,0),MATCH("Natref",Assumptions!$L$135:$R$135,0))</f>
        <v>1784996136.2362499</v>
      </c>
      <c r="F54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54,Assumptions!$L$135:$L$164,0),MATCH("Sasol",Assumptions!$L$135:$R$135,0))</f>
        <v>3066789444.6436872</v>
      </c>
      <c r="G54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54,Assumptions!$L$135:$L$164,0),MATCH("Astron",Assumptions!$L$135:$R$135,0))</f>
        <v>1880180262</v>
      </c>
      <c r="H54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54,Assumptions!$L$135:$L$164,0),MATCH("PetroSA",Assumptions!$L$135:$R$135,0))</f>
        <v>0</v>
      </c>
      <c r="I54" s="130">
        <f t="shared" si="16"/>
        <v>6731965842.8799372</v>
      </c>
      <c r="J54" s="224">
        <f t="shared" si="14"/>
        <v>116.0078625</v>
      </c>
      <c r="K54" s="130">
        <f t="shared" si="17"/>
        <v>6731965842.8799372</v>
      </c>
      <c r="L54" s="224">
        <f t="shared" si="15"/>
        <v>116.0078625</v>
      </c>
      <c r="M54" s="83">
        <f t="shared" si="18"/>
        <v>4851785580.8799372</v>
      </c>
      <c r="P54" s="90"/>
      <c r="R54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56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56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56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56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56,Assumptions!$L$135:$L$164,0),MATCH("PetroSA",Assumptions!$L$135:$R$135,0)))</f>
        <v>6775582107.9161243</v>
      </c>
    </row>
    <row r="55" spans="2:18" x14ac:dyDescent="0.6">
      <c r="B55" s="90">
        <v>2027</v>
      </c>
      <c r="C55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55,Assumptions!$L$135:$L$164,0),MATCH(C$49,Assumptions!$L$135:$R$135,0))</f>
        <v>0</v>
      </c>
      <c r="D55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55,Assumptions!$L$135:$L$164,0),MATCH("SAPREF",Assumptions!$L$135:$R$135,0))</f>
        <v>0</v>
      </c>
      <c r="E55" s="129">
        <f>INDEX(Refinery,MATCH(Product_select,Assumptions!$L$93:$L$98,0),MATCH("Natref",Assumptions!$L$93:$R$93,0))*Crude_oil_litresPerBarrel*(INDEX(Refinery_capacity,2,MATCH("Natref",Assumptions!$L$93:$R$93,0)))*Operational_days*1000*Refinery_availability*INDEX(Production_Low,MATCH($B55,Assumptions!$L$135:$L$164,0),MATCH("Natref",Assumptions!$L$135:$R$135,0))</f>
        <v>1784996136.2362499</v>
      </c>
      <c r="F55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55,Assumptions!$L$135:$L$164,0),MATCH("Sasol",Assumptions!$L$135:$R$135,0))</f>
        <v>3088764051.455812</v>
      </c>
      <c r="G55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55,Assumptions!$L$135:$L$164,0),MATCH("Astron",Assumptions!$L$135:$R$135,0))</f>
        <v>1880180262</v>
      </c>
      <c r="H55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55,Assumptions!$L$135:$L$164,0),MATCH("PetroSA",Assumptions!$L$135:$R$135,0))</f>
        <v>0</v>
      </c>
      <c r="I55" s="130">
        <f t="shared" si="16"/>
        <v>6753940449.6920624</v>
      </c>
      <c r="J55" s="224">
        <f t="shared" si="14"/>
        <v>116.3865375</v>
      </c>
      <c r="K55" s="130">
        <f t="shared" si="17"/>
        <v>6753940449.6920624</v>
      </c>
      <c r="L55" s="224">
        <f t="shared" si="15"/>
        <v>116.3865375</v>
      </c>
      <c r="M55" s="83">
        <f t="shared" si="18"/>
        <v>4873760187.6920624</v>
      </c>
      <c r="P55" s="90"/>
      <c r="R55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57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57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57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57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57,Assumptions!$L$135:$L$164,0),MATCH("PetroSA",Assumptions!$L$135:$R$135,0)))</f>
        <v>6588797950.0130615</v>
      </c>
    </row>
    <row r="56" spans="2:18" x14ac:dyDescent="0.6">
      <c r="B56" s="90">
        <v>2028</v>
      </c>
      <c r="C56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56,Assumptions!$L$135:$L$164,0),MATCH(C$49,Assumptions!$L$135:$R$135,0))</f>
        <v>0</v>
      </c>
      <c r="D56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56,Assumptions!$L$135:$L$164,0),MATCH("SAPREF",Assumptions!$L$135:$R$135,0))</f>
        <v>0</v>
      </c>
      <c r="E56" s="129">
        <f>INDEX(Refinery,MATCH(Product_select,Assumptions!$L$93:$L$98,0),MATCH("Natref",Assumptions!$L$93:$R$93,0))*Crude_oil_litresPerBarrel*(INDEX(Refinery_capacity,2,MATCH("Natref",Assumptions!$L$93:$R$93,0)))*Operational_days*1000*Refinery_availability*INDEX(Production_Low,MATCH($B56,Assumptions!$L$135:$L$164,0),MATCH("Natref",Assumptions!$L$135:$R$135,0))</f>
        <v>1784996136.2362499</v>
      </c>
      <c r="F56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56,Assumptions!$L$135:$L$164,0),MATCH("Sasol",Assumptions!$L$135:$R$135,0))</f>
        <v>3110405709.6798744</v>
      </c>
      <c r="G56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56,Assumptions!$L$135:$L$164,0),MATCH("Astron",Assumptions!$L$135:$R$135,0))</f>
        <v>1880180262</v>
      </c>
      <c r="H56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56,Assumptions!$L$135:$L$164,0),MATCH("PetroSA",Assumptions!$L$135:$R$135,0))</f>
        <v>0</v>
      </c>
      <c r="I56" s="130">
        <f t="shared" si="16"/>
        <v>6775582107.9161243</v>
      </c>
      <c r="J56" s="224">
        <f t="shared" si="14"/>
        <v>116.75947500000001</v>
      </c>
      <c r="K56" s="130">
        <f t="shared" si="17"/>
        <v>6775582107.9161243</v>
      </c>
      <c r="L56" s="224">
        <f t="shared" si="15"/>
        <v>116.75947500000001</v>
      </c>
      <c r="M56" s="83">
        <f t="shared" si="18"/>
        <v>4895401845.9161243</v>
      </c>
      <c r="P56" s="90"/>
      <c r="R56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58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58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58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58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58,Assumptions!$L$135:$L$164,0),MATCH("PetroSA",Assumptions!$L$135:$R$135,0)))</f>
        <v>6588797950.0130615</v>
      </c>
    </row>
    <row r="57" spans="2:18" x14ac:dyDescent="0.6">
      <c r="B57" s="90">
        <v>2029</v>
      </c>
      <c r="C57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57,Assumptions!$L$135:$L$164,0),MATCH(C$49,Assumptions!$L$135:$R$135,0))</f>
        <v>0</v>
      </c>
      <c r="D57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57,Assumptions!$L$135:$L$164,0),MATCH("SAPREF",Assumptions!$L$135:$R$135,0))</f>
        <v>0</v>
      </c>
      <c r="E57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57,Assumptions!$L$135:$L$164,0),MATCH("Natref",Assumptions!$L$135:$R$135,0)))+$E$13</f>
        <v>1784996136.2362499</v>
      </c>
      <c r="F57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57,Assumptions!$L$135:$L$164,0),MATCH("Sasol",Assumptions!$L$135:$R$135,0))</f>
        <v>2923621551.7768121</v>
      </c>
      <c r="G57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57,Assumptions!$L$135:$L$164,0),MATCH("Astron",Assumptions!$L$135:$R$135,0))</f>
        <v>1880180262</v>
      </c>
      <c r="H57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57,Assumptions!$L$135:$L$164,0),MATCH("PetroSA",Assumptions!$L$135:$R$135,0))</f>
        <v>0</v>
      </c>
      <c r="I57" s="130">
        <f t="shared" si="16"/>
        <v>6588797950.0130615</v>
      </c>
      <c r="J57" s="224">
        <f t="shared" si="14"/>
        <v>113.54073749999998</v>
      </c>
      <c r="K57" s="130">
        <f t="shared" si="17"/>
        <v>6588797950.0130615</v>
      </c>
      <c r="L57" s="224">
        <f t="shared" si="15"/>
        <v>113.54073749999998</v>
      </c>
      <c r="M57" s="83">
        <f t="shared" si="18"/>
        <v>4708617688.0130615</v>
      </c>
      <c r="P57" s="90"/>
      <c r="R57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59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59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59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59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59,Assumptions!$L$135:$L$164,0),MATCH("PetroSA",Assumptions!$L$135:$R$135,0)))</f>
        <v>4803801813.7768116</v>
      </c>
    </row>
    <row r="58" spans="2:18" x14ac:dyDescent="0.6">
      <c r="B58" s="90">
        <v>2030</v>
      </c>
      <c r="C58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58,Assumptions!$L$135:$L$164,0),MATCH(C$49,Assumptions!$L$135:$R$135,0))</f>
        <v>0</v>
      </c>
      <c r="D58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58,Assumptions!$L$135:$L$164,0),MATCH("SAPREF",Assumptions!$L$135:$R$135,0))</f>
        <v>0</v>
      </c>
      <c r="E58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58,Assumptions!$L$135:$L$164,0),MATCH("Natref",Assumptions!$L$135:$R$135,0)))+$E$13</f>
        <v>1784996136.2362499</v>
      </c>
      <c r="F58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58,Assumptions!$L$135:$L$164,0),MATCH("Sasol",Assumptions!$L$135:$R$135,0))</f>
        <v>2923621551.7768121</v>
      </c>
      <c r="G58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58,Assumptions!$L$135:$L$164,0),MATCH("Astron",Assumptions!$L$135:$R$135,0))</f>
        <v>1880180262</v>
      </c>
      <c r="H58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58,Assumptions!$L$135:$L$164,0),MATCH("PetroSA",Assumptions!$L$135:$R$135,0))</f>
        <v>0</v>
      </c>
      <c r="I58" s="130">
        <f t="shared" si="16"/>
        <v>6588797950.0130615</v>
      </c>
      <c r="J58" s="224">
        <f t="shared" si="14"/>
        <v>113.54073749999998</v>
      </c>
      <c r="K58" s="130">
        <f t="shared" si="17"/>
        <v>6588797950.0130615</v>
      </c>
      <c r="L58" s="224">
        <f t="shared" si="15"/>
        <v>113.54073749999998</v>
      </c>
      <c r="M58" s="83">
        <f t="shared" si="18"/>
        <v>4708617688.0130615</v>
      </c>
      <c r="P58" s="90"/>
      <c r="R58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60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60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60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60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60,Assumptions!$L$135:$L$164,0),MATCH("PetroSA",Assumptions!$L$135:$R$135,0)))</f>
        <v>4803801813.7768116</v>
      </c>
    </row>
    <row r="59" spans="2:18" x14ac:dyDescent="0.6">
      <c r="B59" s="90">
        <v>2031</v>
      </c>
      <c r="C59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59,Assumptions!$L$135:$L$164,0),MATCH(C$49,Assumptions!$L$135:$R$135,0))</f>
        <v>0</v>
      </c>
      <c r="D59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59,Assumptions!$L$135:$L$164,0),MATCH("SAPREF",Assumptions!$L$135:$R$135,0))</f>
        <v>0</v>
      </c>
      <c r="E59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59,Assumptions!$L$135:$L$164,0),MATCH("Natref",Assumptions!$L$135:$R$135,0)))+$E$13</f>
        <v>0</v>
      </c>
      <c r="F59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59,Assumptions!$L$135:$L$164,0),MATCH("Sasol",Assumptions!$L$135:$R$135,0))</f>
        <v>2923621551.7768121</v>
      </c>
      <c r="G59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59,Assumptions!$L$135:$L$164,0),MATCH("Astron",Assumptions!$L$135:$R$135,0))</f>
        <v>1880180262</v>
      </c>
      <c r="H59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59,Assumptions!$L$135:$L$164,0),MATCH("PetroSA",Assumptions!$L$135:$R$135,0))</f>
        <v>0</v>
      </c>
      <c r="I59" s="130">
        <f t="shared" ref="I59:I78" si="19">SUM(C59:H59)</f>
        <v>4803801813.7768116</v>
      </c>
      <c r="J59" s="224">
        <f t="shared" ref="J59:J78" si="20">I59/Crude_oil_litresPerBarrel/Operational_days/1000</f>
        <v>82.780987499999995</v>
      </c>
      <c r="K59" s="130">
        <f t="shared" ref="K59:K78" si="21">SUM(C59:H59)</f>
        <v>4803801813.7768116</v>
      </c>
      <c r="L59" s="224">
        <f t="shared" ref="L59:L78" si="22">K59/Crude_oil_litresPerBarrel/Operational_days/1000</f>
        <v>82.780987499999995</v>
      </c>
      <c r="M59" s="83">
        <f t="shared" si="18"/>
        <v>2923621551.7768121</v>
      </c>
      <c r="P59" s="90"/>
      <c r="R59" s="75">
        <f>SUM(INDEX(Refinery,MATCH(Product_select,Assumptions!$L$93:$L$98,0),MATCH("SAPREF",Assumptions!$L$93:$R$93,0))*Crude_oil_litresPerBarrel*(INDEX(Refinery_capacity,2,MATCH("SAPREF",Assumptions!$L$93:$R$93,0)))*Operational_days*1000*Refinery_availability*INDEX(Production_Low,MATCH($B61,Assumptions!$L$135:$L$164,0),MATCH("SAPREF",Assumptions!$L$135:$R$135,0)),INDEX(Refinery,MATCH(Product_select,Assumptions!$L$93:$L$98,0),MATCH("Natref",Assumptions!$L$93:$R$93,0))*Crude_oil_litresPerBarrel*(INDEX(Refinery_capacity,2,MATCH("Natref",Assumptions!$L$93:$R$93,0)))*Operational_days*1000*Refinery_availability*INDEX(Production_Low,MATCH($B61,Assumptions!$L$135:$L$164,0),MATCH("Natref",Assumptions!$L$135:$R$135,0)),INDEX(Refinery,MATCH(Product_select,Assumptions!$L$93:$L$98,0),MATCH("Sasol",Assumptions!$L$93:$R$93,0))*Crude_oil_litresPerBarrel*(INDEX(Refinery_capacity,2,MATCH("Sasol",Assumptions!$L$93:$R$93,0)))*Operational_days*1000*Refinery_availability*INDEX(Production_Low,MATCH($B61,Assumptions!$L$135:$L$164,0),MATCH("Sasol",Assumptions!$L$135:$R$135,0)),INDEX(Refinery,MATCH(Product_select,Assumptions!$L$93:$L$98,0),MATCH("Astron",Assumptions!$L$93:$R$93,0))*Crude_oil_litresPerBarrel*(INDEX(Refinery_capacity,2,MATCH("Astron",Assumptions!$L$93:$R$93,0)))*Operational_days*1000*Refinery_availability*INDEX(Production_Low,MATCH($B61,Assumptions!$L$135:$L$164,0),MATCH("Astron",Assumptions!$L$135:$R$135,0)),INDEX(Refinery,MATCH(Product_select,Assumptions!$L$93:$L$98,0),MATCH("PetroSA",Assumptions!$L$93:$R$93,0))*Crude_oil_litresPerBarrel*(INDEX(Refinery_capacity,2,MATCH("PetroSA",Assumptions!$L$93:$R$93,0)))*Operational_days*1000*Refinery_availability*INDEX(Production_Low,MATCH($B61,Assumptions!$L$135:$L$164,0),MATCH("PetroSA",Assumptions!$L$135:$R$135,0)))</f>
        <v>4691598139.5997496</v>
      </c>
    </row>
    <row r="60" spans="2:18" x14ac:dyDescent="0.6">
      <c r="B60" s="90">
        <v>2032</v>
      </c>
      <c r="C60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60,Assumptions!$L$135:$L$164,0),MATCH(C$49,Assumptions!$L$135:$R$135,0))</f>
        <v>0</v>
      </c>
      <c r="D60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60,Assumptions!$L$135:$L$164,0),MATCH("SAPREF",Assumptions!$L$135:$R$135,0))</f>
        <v>0</v>
      </c>
      <c r="E60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60,Assumptions!$L$135:$L$164,0),MATCH("Natref",Assumptions!$L$135:$R$135,0)))+$E$13</f>
        <v>0</v>
      </c>
      <c r="F60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60,Assumptions!$L$135:$L$164,0),MATCH("Sasol",Assumptions!$L$135:$R$135,0))</f>
        <v>2923621551.7768121</v>
      </c>
      <c r="G60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60,Assumptions!$L$135:$L$164,0),MATCH("Astron",Assumptions!$L$135:$R$135,0))</f>
        <v>1880180262</v>
      </c>
      <c r="H60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60,Assumptions!$L$135:$L$164,0),MATCH("PetroSA",Assumptions!$L$135:$R$135,0))</f>
        <v>0</v>
      </c>
      <c r="I60" s="130">
        <f t="shared" si="19"/>
        <v>4803801813.7768116</v>
      </c>
      <c r="J60" s="224">
        <f t="shared" si="20"/>
        <v>82.780987499999995</v>
      </c>
      <c r="K60" s="130">
        <f t="shared" si="21"/>
        <v>4803801813.7768116</v>
      </c>
      <c r="L60" s="224">
        <f t="shared" si="22"/>
        <v>82.780987499999995</v>
      </c>
      <c r="M60" s="83">
        <f t="shared" si="18"/>
        <v>2923621551.7768121</v>
      </c>
      <c r="P60" s="90"/>
    </row>
    <row r="61" spans="2:18" x14ac:dyDescent="0.6">
      <c r="B61" s="90">
        <v>2033</v>
      </c>
      <c r="C61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61,Assumptions!$L$135:$L$164,0),MATCH(C$49,Assumptions!$L$135:$R$135,0))</f>
        <v>0</v>
      </c>
      <c r="D61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61,Assumptions!$L$135:$L$164,0),MATCH("SAPREF",Assumptions!$L$135:$R$135,0))</f>
        <v>0</v>
      </c>
      <c r="E61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61,Assumptions!$L$135:$L$164,0),MATCH("Natref",Assumptions!$L$135:$R$135,0)))+$E$13</f>
        <v>0</v>
      </c>
      <c r="F61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61,Assumptions!$L$135:$L$164,0),MATCH("Sasol",Assumptions!$L$135:$R$135,0))</f>
        <v>2811417877.5997496</v>
      </c>
      <c r="G61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61,Assumptions!$L$135:$L$164,0),MATCH("Astron",Assumptions!$L$135:$R$135,0))</f>
        <v>1880180262</v>
      </c>
      <c r="H61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61,Assumptions!$L$135:$L$164,0),MATCH("PetroSA",Assumptions!$L$135:$R$135,0))</f>
        <v>0</v>
      </c>
      <c r="I61" s="130">
        <f t="shared" si="19"/>
        <v>4691598139.5997496</v>
      </c>
      <c r="J61" s="224">
        <f t="shared" si="20"/>
        <v>80.847449999999995</v>
      </c>
      <c r="K61" s="130">
        <f t="shared" si="21"/>
        <v>4691598139.5997496</v>
      </c>
      <c r="L61" s="224">
        <f t="shared" si="22"/>
        <v>80.847449999999995</v>
      </c>
      <c r="M61" s="83">
        <f t="shared" si="18"/>
        <v>2811417877.5997496</v>
      </c>
      <c r="P61" s="90"/>
    </row>
    <row r="62" spans="2:18" x14ac:dyDescent="0.6">
      <c r="B62" s="90">
        <v>2034</v>
      </c>
      <c r="C62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62,Assumptions!$L$135:$L$164,0),MATCH(C$49,Assumptions!$L$135:$R$135,0))</f>
        <v>0</v>
      </c>
      <c r="D62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62,Assumptions!$L$135:$L$164,0),MATCH("SAPREF",Assumptions!$L$135:$R$135,0))</f>
        <v>0</v>
      </c>
      <c r="E62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62,Assumptions!$L$135:$L$164,0),MATCH("Natref",Assumptions!$L$135:$R$135,0)))+$E$13</f>
        <v>0</v>
      </c>
      <c r="F62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62,Assumptions!$L$135:$L$164,0),MATCH("Sasol",Assumptions!$L$135:$R$135,0))</f>
        <v>2699214203.4226871</v>
      </c>
      <c r="G62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62,Assumptions!$L$135:$L$164,0),MATCH("Astron",Assumptions!$L$135:$R$135,0))</f>
        <v>1880180262</v>
      </c>
      <c r="H62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62,Assumptions!$L$135:$L$164,0),MATCH("PetroSA",Assumptions!$L$135:$R$135,0))</f>
        <v>0</v>
      </c>
      <c r="I62" s="130">
        <f t="shared" si="19"/>
        <v>4579394465.4226875</v>
      </c>
      <c r="J62" s="224">
        <f t="shared" si="20"/>
        <v>78.913912500000009</v>
      </c>
      <c r="K62" s="130">
        <f t="shared" si="21"/>
        <v>4579394465.4226875</v>
      </c>
      <c r="L62" s="224">
        <f t="shared" si="22"/>
        <v>78.913912500000009</v>
      </c>
      <c r="M62" s="83">
        <f t="shared" si="18"/>
        <v>2699214203.4226871</v>
      </c>
      <c r="P62" s="90"/>
    </row>
    <row r="63" spans="2:18" x14ac:dyDescent="0.6">
      <c r="B63" s="90">
        <v>2035</v>
      </c>
      <c r="C63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63,Assumptions!$L$135:$L$164,0),MATCH(C$49,Assumptions!$L$135:$R$135,0))</f>
        <v>0</v>
      </c>
      <c r="D63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63,Assumptions!$L$135:$L$164,0),MATCH("SAPREF",Assumptions!$L$135:$R$135,0))</f>
        <v>0</v>
      </c>
      <c r="E63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63,Assumptions!$L$135:$L$164,0),MATCH("Natref",Assumptions!$L$135:$R$135,0)))+$E$13</f>
        <v>0</v>
      </c>
      <c r="F63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63,Assumptions!$L$135:$L$164,0),MATCH("Sasol",Assumptions!$L$135:$R$135,0))</f>
        <v>2587010529.2456245</v>
      </c>
      <c r="G63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63,Assumptions!$L$135:$L$164,0),MATCH("Astron",Assumptions!$L$135:$R$135,0))</f>
        <v>1880180262</v>
      </c>
      <c r="H63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63,Assumptions!$L$135:$L$164,0),MATCH("PetroSA",Assumptions!$L$135:$R$135,0))</f>
        <v>0</v>
      </c>
      <c r="I63" s="130">
        <f t="shared" si="19"/>
        <v>4467190791.2456245</v>
      </c>
      <c r="J63" s="224">
        <f t="shared" si="20"/>
        <v>76.980374999999981</v>
      </c>
      <c r="K63" s="130">
        <f t="shared" si="21"/>
        <v>4467190791.2456245</v>
      </c>
      <c r="L63" s="224">
        <f t="shared" si="22"/>
        <v>76.980374999999981</v>
      </c>
      <c r="M63" s="83">
        <f t="shared" si="18"/>
        <v>2587010529.2456245</v>
      </c>
      <c r="P63" s="90"/>
    </row>
    <row r="64" spans="2:18" x14ac:dyDescent="0.6">
      <c r="B64" s="90">
        <v>2036</v>
      </c>
      <c r="C64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64,Assumptions!$L$135:$L$164,0),MATCH(C$49,Assumptions!$L$135:$R$135,0))</f>
        <v>0</v>
      </c>
      <c r="D64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64,Assumptions!$L$135:$L$164,0),MATCH("SAPREF",Assumptions!$L$135:$R$135,0))</f>
        <v>0</v>
      </c>
      <c r="E64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64,Assumptions!$L$135:$L$164,0),MATCH("Natref",Assumptions!$L$135:$R$135,0)))+$E$13</f>
        <v>0</v>
      </c>
      <c r="F64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64,Assumptions!$L$135:$L$164,0),MATCH("Sasol",Assumptions!$L$135:$R$135,0))</f>
        <v>2587010529.2456245</v>
      </c>
      <c r="G64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64,Assumptions!$L$135:$L$164,0),MATCH("Astron",Assumptions!$L$135:$R$135,0))</f>
        <v>1880180262</v>
      </c>
      <c r="H64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64,Assumptions!$L$135:$L$164,0),MATCH("PetroSA",Assumptions!$L$135:$R$135,0))</f>
        <v>0</v>
      </c>
      <c r="I64" s="130">
        <f t="shared" si="19"/>
        <v>4467190791.2456245</v>
      </c>
      <c r="J64" s="224">
        <f t="shared" si="20"/>
        <v>76.980374999999981</v>
      </c>
      <c r="K64" s="130">
        <f t="shared" si="21"/>
        <v>4467190791.2456245</v>
      </c>
      <c r="L64" s="224">
        <f t="shared" si="22"/>
        <v>76.980374999999981</v>
      </c>
      <c r="M64" s="83">
        <f t="shared" si="18"/>
        <v>2587010529.2456245</v>
      </c>
      <c r="P64" s="90"/>
    </row>
    <row r="65" spans="2:16" x14ac:dyDescent="0.6">
      <c r="B65" s="90">
        <v>2037</v>
      </c>
      <c r="C65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65,Assumptions!$L$135:$L$164,0),MATCH(C$49,Assumptions!$L$135:$R$135,0))</f>
        <v>0</v>
      </c>
      <c r="D65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65,Assumptions!$L$135:$L$164,0),MATCH("SAPREF",Assumptions!$L$135:$R$135,0))</f>
        <v>0</v>
      </c>
      <c r="E65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65,Assumptions!$L$135:$L$164,0),MATCH("Natref",Assumptions!$L$135:$R$135,0)))+$E$13</f>
        <v>0</v>
      </c>
      <c r="F65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65,Assumptions!$L$135:$L$164,0),MATCH("Sasol",Assumptions!$L$135:$R$135,0))</f>
        <v>2587010529.2456245</v>
      </c>
      <c r="G65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65,Assumptions!$L$135:$L$164,0),MATCH("Astron",Assumptions!$L$135:$R$135,0))</f>
        <v>1880180262</v>
      </c>
      <c r="H65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65,Assumptions!$L$135:$L$164,0),MATCH("PetroSA",Assumptions!$L$135:$R$135,0))</f>
        <v>0</v>
      </c>
      <c r="I65" s="130">
        <f t="shared" si="19"/>
        <v>4467190791.2456245</v>
      </c>
      <c r="J65" s="224">
        <f t="shared" si="20"/>
        <v>76.980374999999981</v>
      </c>
      <c r="K65" s="130">
        <f t="shared" si="21"/>
        <v>4467190791.2456245</v>
      </c>
      <c r="L65" s="224">
        <f t="shared" si="22"/>
        <v>76.980374999999981</v>
      </c>
      <c r="M65" s="83">
        <f t="shared" si="18"/>
        <v>2587010529.2456245</v>
      </c>
      <c r="P65" s="90"/>
    </row>
    <row r="66" spans="2:16" x14ac:dyDescent="0.6">
      <c r="B66" s="90">
        <v>2038</v>
      </c>
      <c r="C66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66,Assumptions!$L$135:$L$164,0),MATCH(C$49,Assumptions!$L$135:$R$135,0))</f>
        <v>0</v>
      </c>
      <c r="D66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66,Assumptions!$L$135:$L$164,0),MATCH("SAPREF",Assumptions!$L$135:$R$135,0))</f>
        <v>0</v>
      </c>
      <c r="E66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66,Assumptions!$L$135:$L$164,0),MATCH("Natref",Assumptions!$L$135:$R$135,0)))+$E$13</f>
        <v>0</v>
      </c>
      <c r="F66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66,Assumptions!$L$135:$L$164,0),MATCH("Sasol",Assumptions!$L$135:$R$135,0))</f>
        <v>2587010529.2456245</v>
      </c>
      <c r="G66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66,Assumptions!$L$135:$L$164,0),MATCH("Astron",Assumptions!$L$135:$R$135,0))</f>
        <v>1880180262</v>
      </c>
      <c r="H66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66,Assumptions!$L$135:$L$164,0),MATCH("PetroSA",Assumptions!$L$135:$R$135,0))</f>
        <v>0</v>
      </c>
      <c r="I66" s="130">
        <f t="shared" si="19"/>
        <v>4467190791.2456245</v>
      </c>
      <c r="J66" s="224">
        <f t="shared" si="20"/>
        <v>76.980374999999981</v>
      </c>
      <c r="K66" s="130">
        <f t="shared" si="21"/>
        <v>4467190791.2456245</v>
      </c>
      <c r="L66" s="224">
        <f t="shared" si="22"/>
        <v>76.980374999999981</v>
      </c>
      <c r="M66" s="83">
        <f t="shared" si="18"/>
        <v>2587010529.2456245</v>
      </c>
      <c r="P66" s="90"/>
    </row>
    <row r="67" spans="2:16" x14ac:dyDescent="0.6">
      <c r="B67" s="90">
        <v>2039</v>
      </c>
      <c r="C67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67,Assumptions!$L$135:$L$164,0),MATCH(C$49,Assumptions!$L$135:$R$135,0))</f>
        <v>0</v>
      </c>
      <c r="D67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67,Assumptions!$L$135:$L$164,0),MATCH("SAPREF",Assumptions!$L$135:$R$135,0))</f>
        <v>0</v>
      </c>
      <c r="E67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67,Assumptions!$L$135:$L$164,0),MATCH("Natref",Assumptions!$L$135:$R$135,0)))+$E$13</f>
        <v>0</v>
      </c>
      <c r="F67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67,Assumptions!$L$135:$L$164,0),MATCH("Sasol",Assumptions!$L$135:$R$135,0))</f>
        <v>2587010529.2456245</v>
      </c>
      <c r="G67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67,Assumptions!$L$135:$L$164,0),MATCH("Astron",Assumptions!$L$135:$R$135,0))</f>
        <v>1880180262</v>
      </c>
      <c r="H67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67,Assumptions!$L$135:$L$164,0),MATCH("PetroSA",Assumptions!$L$135:$R$135,0))</f>
        <v>0</v>
      </c>
      <c r="I67" s="130">
        <f t="shared" si="19"/>
        <v>4467190791.2456245</v>
      </c>
      <c r="J67" s="224">
        <f t="shared" si="20"/>
        <v>76.980374999999981</v>
      </c>
      <c r="K67" s="130">
        <f t="shared" si="21"/>
        <v>4467190791.2456245</v>
      </c>
      <c r="L67" s="224">
        <f t="shared" si="22"/>
        <v>76.980374999999981</v>
      </c>
      <c r="M67" s="83">
        <f t="shared" si="18"/>
        <v>2587010529.2456245</v>
      </c>
      <c r="P67" s="90"/>
    </row>
    <row r="68" spans="2:16" x14ac:dyDescent="0.6">
      <c r="B68" s="90">
        <v>2040</v>
      </c>
      <c r="C68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68,Assumptions!$L$135:$L$164,0),MATCH(C$49,Assumptions!$L$135:$R$135,0))</f>
        <v>0</v>
      </c>
      <c r="D68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68,Assumptions!$L$135:$L$164,0),MATCH("SAPREF",Assumptions!$L$135:$R$135,0))</f>
        <v>0</v>
      </c>
      <c r="E68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68,Assumptions!$L$135:$L$164,0),MATCH("Natref",Assumptions!$L$135:$R$135,0)))+$E$13</f>
        <v>0</v>
      </c>
      <c r="F68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68,Assumptions!$L$135:$L$164,0),MATCH("Sasol",Assumptions!$L$135:$R$135,0))</f>
        <v>2587010529.2456245</v>
      </c>
      <c r="G68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68,Assumptions!$L$135:$L$164,0),MATCH("Astron",Assumptions!$L$135:$R$135,0))</f>
        <v>1880180262</v>
      </c>
      <c r="H68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68,Assumptions!$L$135:$L$164,0),MATCH("PetroSA",Assumptions!$L$135:$R$135,0))</f>
        <v>0</v>
      </c>
      <c r="I68" s="130">
        <f t="shared" si="19"/>
        <v>4467190791.2456245</v>
      </c>
      <c r="J68" s="224">
        <f t="shared" si="20"/>
        <v>76.980374999999981</v>
      </c>
      <c r="K68" s="130">
        <f t="shared" si="21"/>
        <v>4467190791.2456245</v>
      </c>
      <c r="L68" s="224">
        <f t="shared" si="22"/>
        <v>76.980374999999981</v>
      </c>
      <c r="M68" s="83">
        <f t="shared" si="18"/>
        <v>2587010529.2456245</v>
      </c>
      <c r="P68" s="90"/>
    </row>
    <row r="69" spans="2:16" x14ac:dyDescent="0.6">
      <c r="B69" s="90">
        <v>2041</v>
      </c>
      <c r="C69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69,Assumptions!$L$135:$L$164,0),MATCH(C$49,Assumptions!$L$135:$R$135,0))</f>
        <v>0</v>
      </c>
      <c r="D69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69,Assumptions!$L$135:$L$164,0),MATCH("SAPREF",Assumptions!$L$135:$R$135,0))</f>
        <v>0</v>
      </c>
      <c r="E69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69,Assumptions!$L$135:$L$164,0),MATCH("Natref",Assumptions!$L$135:$R$135,0)))+$E$13</f>
        <v>0</v>
      </c>
      <c r="F69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69,Assumptions!$L$135:$L$164,0),MATCH("Sasol",Assumptions!$L$135:$R$135,0))</f>
        <v>0</v>
      </c>
      <c r="G69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69,Assumptions!$L$135:$L$164,0),MATCH("Astron",Assumptions!$L$135:$R$135,0))</f>
        <v>1880180262</v>
      </c>
      <c r="H69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69,Assumptions!$L$135:$L$164,0),MATCH("PetroSA",Assumptions!$L$135:$R$135,0))</f>
        <v>0</v>
      </c>
      <c r="I69" s="130">
        <f t="shared" si="19"/>
        <v>1880180262</v>
      </c>
      <c r="J69" s="224">
        <f t="shared" si="20"/>
        <v>32.4</v>
      </c>
      <c r="K69" s="130">
        <f t="shared" si="21"/>
        <v>1880180262</v>
      </c>
      <c r="L69" s="224">
        <f t="shared" si="22"/>
        <v>32.4</v>
      </c>
      <c r="M69" s="83">
        <f t="shared" si="18"/>
        <v>0</v>
      </c>
      <c r="P69" s="90"/>
    </row>
    <row r="70" spans="2:16" x14ac:dyDescent="0.6">
      <c r="B70" s="90">
        <v>2042</v>
      </c>
      <c r="C70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70,Assumptions!$L$135:$L$164,0),MATCH(C$49,Assumptions!$L$135:$R$135,0))</f>
        <v>0</v>
      </c>
      <c r="D70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70,Assumptions!$L$135:$L$164,0),MATCH("SAPREF",Assumptions!$L$135:$R$135,0))</f>
        <v>0</v>
      </c>
      <c r="E70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70,Assumptions!$L$135:$L$164,0),MATCH("Natref",Assumptions!$L$135:$R$135,0)))+$E$13</f>
        <v>0</v>
      </c>
      <c r="F70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70,Assumptions!$L$135:$L$164,0),MATCH("Sasol",Assumptions!$L$135:$R$135,0))</f>
        <v>0</v>
      </c>
      <c r="G70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70,Assumptions!$L$135:$L$164,0),MATCH("Astron",Assumptions!$L$135:$R$135,0))</f>
        <v>1880180262</v>
      </c>
      <c r="H70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70,Assumptions!$L$135:$L$164,0),MATCH("PetroSA",Assumptions!$L$135:$R$135,0))</f>
        <v>0</v>
      </c>
      <c r="I70" s="130">
        <f t="shared" si="19"/>
        <v>1880180262</v>
      </c>
      <c r="J70" s="224">
        <f t="shared" si="20"/>
        <v>32.4</v>
      </c>
      <c r="K70" s="130">
        <f t="shared" si="21"/>
        <v>1880180262</v>
      </c>
      <c r="L70" s="224">
        <f t="shared" si="22"/>
        <v>32.4</v>
      </c>
      <c r="M70" s="83">
        <f t="shared" si="18"/>
        <v>0</v>
      </c>
      <c r="P70" s="90"/>
    </row>
    <row r="71" spans="2:16" x14ac:dyDescent="0.6">
      <c r="B71" s="90">
        <v>2043</v>
      </c>
      <c r="C71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71,Assumptions!$L$135:$L$164,0),MATCH(C$49,Assumptions!$L$135:$R$135,0))</f>
        <v>0</v>
      </c>
      <c r="D71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71,Assumptions!$L$135:$L$164,0),MATCH("SAPREF",Assumptions!$L$135:$R$135,0))</f>
        <v>0</v>
      </c>
      <c r="E71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71,Assumptions!$L$135:$L$164,0),MATCH("Natref",Assumptions!$L$135:$R$135,0)))+$E$13</f>
        <v>0</v>
      </c>
      <c r="F71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71,Assumptions!$L$135:$L$164,0),MATCH("Sasol",Assumptions!$L$135:$R$135,0))</f>
        <v>0</v>
      </c>
      <c r="G71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71,Assumptions!$L$135:$L$164,0),MATCH("Astron",Assumptions!$L$135:$R$135,0))</f>
        <v>1880180262</v>
      </c>
      <c r="H71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71,Assumptions!$L$135:$L$164,0),MATCH("PetroSA",Assumptions!$L$135:$R$135,0))</f>
        <v>0</v>
      </c>
      <c r="I71" s="130">
        <f t="shared" si="19"/>
        <v>1880180262</v>
      </c>
      <c r="J71" s="224">
        <f t="shared" si="20"/>
        <v>32.4</v>
      </c>
      <c r="K71" s="130">
        <f t="shared" si="21"/>
        <v>1880180262</v>
      </c>
      <c r="L71" s="224">
        <f t="shared" si="22"/>
        <v>32.4</v>
      </c>
      <c r="M71" s="83">
        <f t="shared" si="18"/>
        <v>0</v>
      </c>
      <c r="P71" s="90"/>
    </row>
    <row r="72" spans="2:16" x14ac:dyDescent="0.6">
      <c r="B72" s="90">
        <v>2044</v>
      </c>
      <c r="C72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72,Assumptions!$L$135:$L$164,0),MATCH(C$49,Assumptions!$L$135:$R$135,0))</f>
        <v>0</v>
      </c>
      <c r="D72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72,Assumptions!$L$135:$L$164,0),MATCH("SAPREF",Assumptions!$L$135:$R$135,0))</f>
        <v>0</v>
      </c>
      <c r="E72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72,Assumptions!$L$135:$L$164,0),MATCH("Natref",Assumptions!$L$135:$R$135,0)))+$E$13</f>
        <v>0</v>
      </c>
      <c r="F72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72,Assumptions!$L$135:$L$164,0),MATCH("Sasol",Assumptions!$L$135:$R$135,0))</f>
        <v>0</v>
      </c>
      <c r="G72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72,Assumptions!$L$135:$L$164,0),MATCH("Astron",Assumptions!$L$135:$R$135,0))</f>
        <v>1880180262</v>
      </c>
      <c r="H72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72,Assumptions!$L$135:$L$164,0),MATCH("PetroSA",Assumptions!$L$135:$R$135,0))</f>
        <v>0</v>
      </c>
      <c r="I72" s="130">
        <f t="shared" si="19"/>
        <v>1880180262</v>
      </c>
      <c r="J72" s="224">
        <f t="shared" si="20"/>
        <v>32.4</v>
      </c>
      <c r="K72" s="130">
        <f t="shared" si="21"/>
        <v>1880180262</v>
      </c>
      <c r="L72" s="224">
        <f t="shared" si="22"/>
        <v>32.4</v>
      </c>
      <c r="M72" s="83">
        <f t="shared" si="18"/>
        <v>0</v>
      </c>
      <c r="P72" s="90"/>
    </row>
    <row r="73" spans="2:16" x14ac:dyDescent="0.6">
      <c r="B73" s="90">
        <v>2045</v>
      </c>
      <c r="C73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73,Assumptions!$L$135:$L$164,0),MATCH(C$49,Assumptions!$L$135:$R$135,0))</f>
        <v>0</v>
      </c>
      <c r="D73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73,Assumptions!$L$135:$L$164,0),MATCH("SAPREF",Assumptions!$L$135:$R$135,0))</f>
        <v>0</v>
      </c>
      <c r="E73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73,Assumptions!$L$135:$L$164,0),MATCH("Natref",Assumptions!$L$135:$R$135,0)))+$E$13</f>
        <v>0</v>
      </c>
      <c r="F73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73,Assumptions!$L$135:$L$164,0),MATCH("Sasol",Assumptions!$L$135:$R$135,0))</f>
        <v>0</v>
      </c>
      <c r="G73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73,Assumptions!$L$135:$L$164,0),MATCH("Astron",Assumptions!$L$135:$R$135,0))</f>
        <v>1880180262</v>
      </c>
      <c r="H73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73,Assumptions!$L$135:$L$164,0),MATCH("PetroSA",Assumptions!$L$135:$R$135,0))</f>
        <v>0</v>
      </c>
      <c r="I73" s="130">
        <f t="shared" si="19"/>
        <v>1880180262</v>
      </c>
      <c r="J73" s="224">
        <f t="shared" si="20"/>
        <v>32.4</v>
      </c>
      <c r="K73" s="130">
        <f t="shared" si="21"/>
        <v>1880180262</v>
      </c>
      <c r="L73" s="224">
        <f t="shared" si="22"/>
        <v>32.4</v>
      </c>
      <c r="M73" s="83">
        <f t="shared" si="18"/>
        <v>0</v>
      </c>
      <c r="P73" s="90"/>
    </row>
    <row r="74" spans="2:16" x14ac:dyDescent="0.6">
      <c r="B74" s="90">
        <v>2046</v>
      </c>
      <c r="C74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74,Assumptions!$L$135:$L$164,0),MATCH(C$49,Assumptions!$L$135:$R$135,0))</f>
        <v>0</v>
      </c>
      <c r="D74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74,Assumptions!$L$135:$L$164,0),MATCH("SAPREF",Assumptions!$L$135:$R$135,0))</f>
        <v>0</v>
      </c>
      <c r="E74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74,Assumptions!$L$135:$L$164,0),MATCH("Natref",Assumptions!$L$135:$R$135,0)))+$E$13</f>
        <v>0</v>
      </c>
      <c r="F74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74,Assumptions!$L$135:$L$164,0),MATCH("Sasol",Assumptions!$L$135:$R$135,0))</f>
        <v>0</v>
      </c>
      <c r="G74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74,Assumptions!$L$135:$L$164,0),MATCH("Astron",Assumptions!$L$135:$R$135,0))</f>
        <v>1880180262</v>
      </c>
      <c r="H74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74,Assumptions!$L$135:$L$164,0),MATCH("PetroSA",Assumptions!$L$135:$R$135,0))</f>
        <v>0</v>
      </c>
      <c r="I74" s="130">
        <f t="shared" si="19"/>
        <v>1880180262</v>
      </c>
      <c r="J74" s="224">
        <f t="shared" si="20"/>
        <v>32.4</v>
      </c>
      <c r="K74" s="130">
        <f t="shared" si="21"/>
        <v>1880180262</v>
      </c>
      <c r="L74" s="224">
        <f t="shared" si="22"/>
        <v>32.4</v>
      </c>
      <c r="M74" s="83">
        <f t="shared" si="18"/>
        <v>0</v>
      </c>
      <c r="P74" s="90"/>
    </row>
    <row r="75" spans="2:16" x14ac:dyDescent="0.6">
      <c r="B75" s="90">
        <v>2047</v>
      </c>
      <c r="C75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75,Assumptions!$L$135:$L$164,0),MATCH(C$49,Assumptions!$L$135:$R$135,0))</f>
        <v>0</v>
      </c>
      <c r="D75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75,Assumptions!$L$135:$L$164,0),MATCH("SAPREF",Assumptions!$L$135:$R$135,0))</f>
        <v>0</v>
      </c>
      <c r="E75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75,Assumptions!$L$135:$L$164,0),MATCH("Natref",Assumptions!$L$135:$R$135,0)))+$E$13</f>
        <v>0</v>
      </c>
      <c r="F75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75,Assumptions!$L$135:$L$164,0),MATCH("Sasol",Assumptions!$L$135:$R$135,0))</f>
        <v>0</v>
      </c>
      <c r="G75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75,Assumptions!$L$135:$L$164,0),MATCH("Astron",Assumptions!$L$135:$R$135,0))</f>
        <v>1880180262</v>
      </c>
      <c r="H75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75,Assumptions!$L$135:$L$164,0),MATCH("PetroSA",Assumptions!$L$135:$R$135,0))</f>
        <v>0</v>
      </c>
      <c r="I75" s="130">
        <f t="shared" si="19"/>
        <v>1880180262</v>
      </c>
      <c r="J75" s="224">
        <f t="shared" si="20"/>
        <v>32.4</v>
      </c>
      <c r="K75" s="130">
        <f t="shared" si="21"/>
        <v>1880180262</v>
      </c>
      <c r="L75" s="224">
        <f t="shared" si="22"/>
        <v>32.4</v>
      </c>
      <c r="M75" s="83">
        <f t="shared" si="18"/>
        <v>0</v>
      </c>
      <c r="P75" s="90"/>
    </row>
    <row r="76" spans="2:16" x14ac:dyDescent="0.6">
      <c r="B76" s="90">
        <v>2048</v>
      </c>
      <c r="C76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76,Assumptions!$L$135:$L$164,0),MATCH(C$49,Assumptions!$L$135:$R$135,0))</f>
        <v>0</v>
      </c>
      <c r="D76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76,Assumptions!$L$135:$L$164,0),MATCH("SAPREF",Assumptions!$L$135:$R$135,0))</f>
        <v>0</v>
      </c>
      <c r="E76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76,Assumptions!$L$135:$L$164,0),MATCH("Natref",Assumptions!$L$135:$R$135,0)))+$E$13</f>
        <v>0</v>
      </c>
      <c r="F76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76,Assumptions!$L$135:$L$164,0),MATCH("Sasol",Assumptions!$L$135:$R$135,0))</f>
        <v>0</v>
      </c>
      <c r="G76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76,Assumptions!$L$135:$L$164,0),MATCH("Astron",Assumptions!$L$135:$R$135,0))</f>
        <v>1880180262</v>
      </c>
      <c r="H76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76,Assumptions!$L$135:$L$164,0),MATCH("PetroSA",Assumptions!$L$135:$R$135,0))</f>
        <v>0</v>
      </c>
      <c r="I76" s="130">
        <f t="shared" si="19"/>
        <v>1880180262</v>
      </c>
      <c r="J76" s="224">
        <f t="shared" si="20"/>
        <v>32.4</v>
      </c>
      <c r="K76" s="130">
        <f t="shared" si="21"/>
        <v>1880180262</v>
      </c>
      <c r="L76" s="224">
        <f t="shared" si="22"/>
        <v>32.4</v>
      </c>
      <c r="M76" s="83">
        <f t="shared" si="18"/>
        <v>0</v>
      </c>
      <c r="P76" s="90"/>
    </row>
    <row r="77" spans="2:16" x14ac:dyDescent="0.6">
      <c r="B77" s="90">
        <v>2049</v>
      </c>
      <c r="C77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77,Assumptions!$L$135:$L$164,0),MATCH(C$49,Assumptions!$L$135:$R$135,0))</f>
        <v>0</v>
      </c>
      <c r="D77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77,Assumptions!$L$135:$L$164,0),MATCH("SAPREF",Assumptions!$L$135:$R$135,0))</f>
        <v>0</v>
      </c>
      <c r="E77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77,Assumptions!$L$135:$L$164,0),MATCH("Natref",Assumptions!$L$135:$R$135,0)))+$E$13</f>
        <v>0</v>
      </c>
      <c r="F77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77,Assumptions!$L$135:$L$164,0),MATCH("Sasol",Assumptions!$L$135:$R$135,0))</f>
        <v>0</v>
      </c>
      <c r="G77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77,Assumptions!$L$135:$L$164,0),MATCH("Astron",Assumptions!$L$135:$R$135,0))</f>
        <v>1880180262</v>
      </c>
      <c r="H77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77,Assumptions!$L$135:$L$164,0),MATCH("PetroSA",Assumptions!$L$135:$R$135,0))</f>
        <v>0</v>
      </c>
      <c r="I77" s="130">
        <f t="shared" si="19"/>
        <v>1880180262</v>
      </c>
      <c r="J77" s="224">
        <f t="shared" si="20"/>
        <v>32.4</v>
      </c>
      <c r="K77" s="130">
        <f t="shared" si="21"/>
        <v>1880180262</v>
      </c>
      <c r="L77" s="224">
        <f t="shared" si="22"/>
        <v>32.4</v>
      </c>
      <c r="M77" s="83">
        <f t="shared" si="18"/>
        <v>0</v>
      </c>
    </row>
    <row r="78" spans="2:16" x14ac:dyDescent="0.6">
      <c r="B78" s="90">
        <v>2050</v>
      </c>
      <c r="C78" s="129">
        <f>INDEX(Refinery,MATCH(Product_select,Assumptions!$L$93:$L$98,0),MATCH(C$49,Assumptions!$L$93:$R$93,0))*Crude_oil_litresPerBarrel*(INDEX(Refinery_capacity,2,MATCH(C$49,Assumptions!$L$93:$R$93,0)))*Operational_days*1000*Refinery_availability*INDEX(Production_Low,MATCH($B78,Assumptions!$L$135:$L$164,0),MATCH(C$49,Assumptions!$L$135:$R$135,0))</f>
        <v>0</v>
      </c>
      <c r="D78" s="129">
        <f>INDEX(Refinery,MATCH(Product_select,Assumptions!$L$93:$L$98,0),MATCH("SAPREF",Assumptions!$L$93:$R$93,0))*Crude_oil_litresPerBarrel*(INDEX(Refinery_capacity,2,MATCH("SAPREF",Assumptions!$L$93:$R$93,0)))*Operational_days*1000*Refinery_availability*INDEX(Production_Low,MATCH($B78,Assumptions!$L$135:$L$164,0),MATCH("SAPREF",Assumptions!$L$135:$R$135,0))</f>
        <v>0</v>
      </c>
      <c r="E78" s="363">
        <f>IF((Product_select="Jet Fuel"),$E$56,INDEX(Refinery,MATCH(Product_select,Assumptions!$L$93:$L$98,0),MATCH("Natref",Assumptions!$L$93:$R$93,0))*Crude_oil_litresPerBarrel*(INDEX(Refinery_capacity,2,MATCH("Natref",Assumptions!$L$93:$R$93,0)))*Operational_days*1000*Refinery_availability*INDEX(Production_Low,MATCH($B78,Assumptions!$L$135:$L$164,0),MATCH("Natref",Assumptions!$L$135:$R$135,0)))+$E$13</f>
        <v>0</v>
      </c>
      <c r="F78" s="129">
        <f>INDEX(Refinery,MATCH(Product_select,Assumptions!$L$93:$L$98,0),MATCH("Sasol",Assumptions!$L$93:$R$93,0))*Crude_oil_litresPerBarrel*(INDEX(Refinery_capacity,2,MATCH("Sasol",Assumptions!$L$93:$R$93,0)))*Operational_days*1000*Refinery_availability*INDEX(Production_Low,MATCH($B78,Assumptions!$L$135:$L$164,0),MATCH("Sasol",Assumptions!$L$135:$R$135,0))</f>
        <v>0</v>
      </c>
      <c r="G78" s="129">
        <f>INDEX(Refinery,MATCH(Product_select,Assumptions!$L$93:$L$98,0),MATCH("Astron",Assumptions!$L$93:$R$93,0))*Crude_oil_litresPerBarrel*(INDEX(Refinery_capacity,2,MATCH("Astron",Assumptions!$L$93:$R$93,0)))*Operational_days*1000*Refinery_availability*INDEX(Production_Low,MATCH($B78,Assumptions!$L$135:$L$164,0),MATCH("Astron",Assumptions!$L$135:$R$135,0))</f>
        <v>1880180262</v>
      </c>
      <c r="H78" s="129">
        <f>INDEX(Refinery,MATCH(Product_select,Assumptions!$L$93:$L$98,0),MATCH("PetroSA",Assumptions!$L$93:$R$93,0))*Crude_oil_litresPerBarrel*(INDEX(Refinery_capacity,2,MATCH("PetroSA",Assumptions!$L$93:$R$93,0)))*Operational_days*1000*Refinery_availability*INDEX(Production_Low,MATCH($B78,Assumptions!$L$135:$L$164,0),MATCH("PetroSA",Assumptions!$L$135:$R$135,0))</f>
        <v>0</v>
      </c>
      <c r="I78" s="130">
        <f t="shared" si="19"/>
        <v>1880180262</v>
      </c>
      <c r="J78" s="224">
        <f t="shared" si="20"/>
        <v>32.4</v>
      </c>
      <c r="K78" s="130">
        <f t="shared" si="21"/>
        <v>1880180262</v>
      </c>
      <c r="L78" s="224">
        <f t="shared" si="22"/>
        <v>32.4</v>
      </c>
      <c r="M78" s="83">
        <f t="shared" si="18"/>
        <v>0</v>
      </c>
    </row>
  </sheetData>
  <mergeCells count="2">
    <mergeCell ref="B15:L15"/>
    <mergeCell ref="B48:L48"/>
  </mergeCells>
  <dataValidations count="2">
    <dataValidation type="list" allowBlank="1" showInputMessage="1" showErrorMessage="1" sqref="B14" xr:uid="{D135CD99-9CB8-4E9B-A7A9-7803E076D6C9}">
      <formula1>$B$4:$B$7</formula1>
    </dataValidation>
    <dataValidation type="list" allowBlank="1" showInputMessage="1" showErrorMessage="1" sqref="B10" xr:uid="{EFDF68C7-8413-4B75-B927-313073F967FA}">
      <formula1>$B$17:$B$45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866F-46D4-4981-9A33-BE322182849F}">
  <sheetPr codeName="Sheet5">
    <tabColor theme="4" tint="0.39997558519241921"/>
  </sheetPr>
  <dimension ref="A1:BJ74"/>
  <sheetViews>
    <sheetView showGridLines="0" zoomScale="64" zoomScaleNormal="64" workbookViewId="0">
      <selection activeCell="I22" sqref="I22"/>
    </sheetView>
  </sheetViews>
  <sheetFormatPr defaultColWidth="8.86328125" defaultRowHeight="15.75" x14ac:dyDescent="0.6"/>
  <cols>
    <col min="1" max="2" width="2.3984375" style="120" customWidth="1"/>
    <col min="3" max="3" width="2" style="75" customWidth="1"/>
    <col min="4" max="4" width="2.86328125" style="75" customWidth="1"/>
    <col min="5" max="5" width="13.1328125" style="75" customWidth="1"/>
    <col min="6" max="6" width="17.86328125" style="75" bestFit="1" customWidth="1"/>
    <col min="7" max="7" width="17.1328125" style="75" bestFit="1" customWidth="1"/>
    <col min="8" max="8" width="15.59765625" style="75" bestFit="1" customWidth="1"/>
    <col min="9" max="9" width="15.59765625" style="75" customWidth="1"/>
    <col min="10" max="10" width="19.1328125" style="75" customWidth="1"/>
    <col min="11" max="11" width="29.86328125" style="75" bestFit="1" customWidth="1"/>
    <col min="12" max="12" width="26.3984375" style="75" bestFit="1" customWidth="1"/>
    <col min="13" max="20" width="8.86328125" style="75"/>
    <col min="21" max="21" width="8.86328125" style="75" bestFit="1" customWidth="1"/>
    <col min="22" max="23" width="2.3984375" style="120" customWidth="1"/>
    <col min="24" max="24" width="3.1328125" style="75" customWidth="1"/>
    <col min="25" max="25" width="8.86328125" style="75" bestFit="1" customWidth="1"/>
    <col min="26" max="27" width="17.1328125" style="75" bestFit="1" customWidth="1"/>
    <col min="28" max="28" width="14.1328125" style="75" customWidth="1"/>
    <col min="29" max="29" width="16.86328125" style="75" bestFit="1" customWidth="1"/>
    <col min="30" max="30" width="19.86328125" style="75" customWidth="1"/>
    <col min="31" max="42" width="8.86328125" style="75"/>
    <col min="43" max="44" width="2.3984375" style="120" customWidth="1"/>
    <col min="45" max="45" width="11.1328125" style="75" customWidth="1"/>
    <col min="46" max="46" width="14.86328125" style="75" bestFit="1" customWidth="1"/>
    <col min="47" max="47" width="15.86328125" style="75" bestFit="1" customWidth="1"/>
    <col min="48" max="50" width="14.59765625" style="75" bestFit="1" customWidth="1"/>
    <col min="51" max="51" width="12.1328125" style="75" bestFit="1" customWidth="1"/>
    <col min="52" max="52" width="8.86328125" style="75" bestFit="1" customWidth="1"/>
    <col min="53" max="53" width="8.86328125" style="75" customWidth="1"/>
    <col min="54" max="54" width="15.3984375" style="75" bestFit="1" customWidth="1"/>
    <col min="55" max="55" width="15.1328125" style="75" bestFit="1" customWidth="1"/>
    <col min="56" max="56" width="12.86328125" style="75" bestFit="1" customWidth="1"/>
    <col min="57" max="58" width="14.3984375" style="75" bestFit="1" customWidth="1"/>
    <col min="59" max="59" width="11.86328125" style="75" bestFit="1" customWidth="1"/>
    <col min="60" max="61" width="2.3984375" style="288" customWidth="1"/>
    <col min="62" max="62" width="16.86328125" style="75" bestFit="1" customWidth="1"/>
    <col min="63" max="16384" width="8.86328125" style="75"/>
  </cols>
  <sheetData>
    <row r="1" spans="1:61" ht="16.149999999999999" thickBot="1" x14ac:dyDescent="0.65">
      <c r="BH1" s="120"/>
      <c r="BI1" s="120"/>
    </row>
    <row r="2" spans="1:61" ht="14.45" customHeight="1" x14ac:dyDescent="0.6">
      <c r="C2" s="539" t="s">
        <v>183</v>
      </c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1"/>
      <c r="X2" s="539" t="s">
        <v>184</v>
      </c>
      <c r="Y2" s="548"/>
      <c r="Z2" s="548"/>
      <c r="AA2" s="548"/>
      <c r="AB2" s="548"/>
      <c r="AC2" s="548"/>
      <c r="AD2" s="548"/>
      <c r="AE2" s="548"/>
      <c r="AF2" s="548"/>
      <c r="AG2" s="548"/>
      <c r="AH2" s="548"/>
      <c r="AI2" s="548"/>
      <c r="AJ2" s="548"/>
      <c r="AK2" s="548"/>
      <c r="AL2" s="548"/>
      <c r="AM2" s="548"/>
      <c r="AN2" s="548"/>
      <c r="AO2" s="548"/>
      <c r="AP2" s="549"/>
      <c r="AS2" s="539" t="s">
        <v>185</v>
      </c>
      <c r="AT2" s="495"/>
      <c r="AU2" s="495"/>
      <c r="AV2" s="495"/>
      <c r="AW2" s="495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120"/>
      <c r="BI2" s="120"/>
    </row>
    <row r="3" spans="1:61" ht="14.45" customHeight="1" x14ac:dyDescent="0.6">
      <c r="C3" s="542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4"/>
      <c r="X3" s="550"/>
      <c r="Y3" s="551"/>
      <c r="Z3" s="551"/>
      <c r="AA3" s="551"/>
      <c r="AB3" s="551"/>
      <c r="AC3" s="551"/>
      <c r="AD3" s="551"/>
      <c r="AE3" s="551"/>
      <c r="AF3" s="551"/>
      <c r="AG3" s="551"/>
      <c r="AH3" s="551"/>
      <c r="AI3" s="551"/>
      <c r="AJ3" s="551"/>
      <c r="AK3" s="551"/>
      <c r="AL3" s="551"/>
      <c r="AM3" s="551"/>
      <c r="AN3" s="551"/>
      <c r="AO3" s="551"/>
      <c r="AP3" s="552"/>
      <c r="AS3" s="497"/>
      <c r="AT3" s="498"/>
      <c r="AU3" s="498"/>
      <c r="AV3" s="498"/>
      <c r="AW3" s="498"/>
      <c r="AX3" s="498"/>
      <c r="AY3" s="498"/>
      <c r="AZ3" s="498"/>
      <c r="BA3" s="498"/>
      <c r="BB3" s="498"/>
      <c r="BC3" s="498"/>
      <c r="BD3" s="498"/>
      <c r="BE3" s="498"/>
      <c r="BF3" s="498"/>
      <c r="BG3" s="498"/>
      <c r="BH3" s="120"/>
      <c r="BI3" s="120"/>
    </row>
    <row r="4" spans="1:61" ht="15" customHeight="1" thickBot="1" x14ac:dyDescent="0.65">
      <c r="C4" s="545"/>
      <c r="D4" s="546"/>
      <c r="E4" s="546"/>
      <c r="F4" s="546"/>
      <c r="G4" s="546"/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546"/>
      <c r="S4" s="546"/>
      <c r="T4" s="546"/>
      <c r="U4" s="547"/>
      <c r="X4" s="553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5"/>
      <c r="AS4" s="500"/>
      <c r="AT4" s="501"/>
      <c r="AU4" s="501"/>
      <c r="AV4" s="501"/>
      <c r="AW4" s="501"/>
      <c r="AX4" s="501"/>
      <c r="AY4" s="501"/>
      <c r="AZ4" s="501"/>
      <c r="BA4" s="501"/>
      <c r="BB4" s="501"/>
      <c r="BC4" s="501"/>
      <c r="BD4" s="501"/>
      <c r="BE4" s="501"/>
      <c r="BF4" s="501"/>
      <c r="BG4" s="501"/>
      <c r="BH4" s="120"/>
      <c r="BI4" s="120"/>
    </row>
    <row r="5" spans="1:61" x14ac:dyDescent="0.6"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BH5" s="120"/>
      <c r="BI5" s="120"/>
    </row>
    <row r="6" spans="1:61" ht="15" customHeight="1" x14ac:dyDescent="0.6">
      <c r="E6" s="80" t="s">
        <v>186</v>
      </c>
      <c r="F6" s="80"/>
      <c r="G6" s="80"/>
      <c r="K6" s="105" t="str">
        <f>K7&amp;" "&amp;IF(RIGHT(K8,4)="Pass","Passengers ","Airplanes ")&amp;IF(OR(K8="Arrivals_Ap",K8="Arrivals_Ap"),"Arrivals","Depatures")</f>
        <v>Total Passengers Depatures</v>
      </c>
      <c r="L6" s="253" t="str">
        <f>IF($L$7="GDP","GDP","GDP Per Capita")</f>
        <v>GDP Per Capita</v>
      </c>
      <c r="Y6" s="80" t="s">
        <v>187</v>
      </c>
      <c r="Z6" s="80"/>
      <c r="AA6" s="80"/>
      <c r="AB6" s="80"/>
      <c r="AC6" s="80"/>
      <c r="BH6" s="120"/>
      <c r="BI6" s="120"/>
    </row>
    <row r="7" spans="1:61" s="188" customFormat="1" ht="42.6" customHeight="1" x14ac:dyDescent="0.6">
      <c r="A7" s="186"/>
      <c r="B7" s="186"/>
      <c r="C7" s="117"/>
      <c r="D7" s="117"/>
      <c r="E7" s="139" t="s">
        <v>188</v>
      </c>
      <c r="F7" s="75"/>
      <c r="G7" s="75"/>
      <c r="H7" s="117"/>
      <c r="I7" s="117"/>
      <c r="J7" s="223" t="s">
        <v>189</v>
      </c>
      <c r="K7" s="200" t="s">
        <v>52</v>
      </c>
      <c r="L7" s="200" t="s">
        <v>41</v>
      </c>
      <c r="V7" s="186"/>
      <c r="W7" s="186"/>
      <c r="Y7" s="117"/>
      <c r="Z7" s="200" t="s">
        <v>113</v>
      </c>
      <c r="AA7" s="117"/>
      <c r="AB7" s="117"/>
      <c r="AC7" s="117"/>
      <c r="AD7" s="223" t="s">
        <v>190</v>
      </c>
      <c r="AQ7" s="186"/>
      <c r="AR7" s="186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186"/>
      <c r="BI7" s="186"/>
    </row>
    <row r="8" spans="1:61" s="188" customFormat="1" ht="42.6" customHeight="1" x14ac:dyDescent="0.6">
      <c r="A8" s="186"/>
      <c r="B8" s="186"/>
      <c r="C8" s="117"/>
      <c r="D8" s="117" t="s">
        <v>30</v>
      </c>
      <c r="E8" s="117" t="s">
        <v>30</v>
      </c>
      <c r="F8" s="117" t="s">
        <v>113</v>
      </c>
      <c r="G8" s="117" t="s">
        <v>191</v>
      </c>
      <c r="H8" s="117" t="s">
        <v>192</v>
      </c>
      <c r="I8" s="252" t="s">
        <v>49</v>
      </c>
      <c r="J8" s="223" t="s">
        <v>55</v>
      </c>
      <c r="K8" s="200" t="s">
        <v>65</v>
      </c>
      <c r="L8" s="117" t="s">
        <v>193</v>
      </c>
      <c r="V8" s="186"/>
      <c r="W8" s="186"/>
      <c r="Y8" s="117" t="s">
        <v>30</v>
      </c>
      <c r="Z8" s="117" t="s">
        <v>194</v>
      </c>
      <c r="AA8" s="117" t="s">
        <v>195</v>
      </c>
      <c r="AB8" s="117" t="s">
        <v>196</v>
      </c>
      <c r="AC8" s="117" t="s">
        <v>197</v>
      </c>
      <c r="AD8" s="222" t="s">
        <v>55</v>
      </c>
      <c r="AQ8" s="186"/>
      <c r="AR8" s="186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186"/>
      <c r="BI8" s="186"/>
    </row>
    <row r="9" spans="1:61" x14ac:dyDescent="0.6">
      <c r="D9" s="81">
        <v>2010</v>
      </c>
      <c r="E9" s="81">
        <v>2010</v>
      </c>
      <c r="F9" s="114">
        <v>2442388979</v>
      </c>
      <c r="G9" s="114">
        <v>595096689</v>
      </c>
      <c r="H9" s="114">
        <v>18071667</v>
      </c>
      <c r="I9" s="196">
        <f>SUM(F9:H9)</f>
        <v>3055557335</v>
      </c>
      <c r="J9" s="115">
        <f>F9+H9</f>
        <v>2460460646</v>
      </c>
      <c r="K9" s="225" t="str">
        <f ca="1">IFERROR(INDEX(INDIRECT($K$8&amp;"!$A$10:$H$17"),MATCH($K$7,INDIRECT($K$8&amp;"!$A$10:$A$17"),0),MATCH($E9,INDIRECT($K$8&amp;"!$A$10:$H$10"),0)),"")</f>
        <v/>
      </c>
      <c r="L9" s="225">
        <f t="shared" ref="L9:L22" si="0">(INDEX(GDP,MATCH($D9,Macros_year,0),MATCH($L$7,Macros_header,0)))</f>
        <v>77587.601064139468</v>
      </c>
      <c r="Y9" s="76">
        <v>2002</v>
      </c>
      <c r="Z9" s="114">
        <v>231068993.71069184</v>
      </c>
      <c r="AA9" s="114">
        <v>254537967.29559746</v>
      </c>
      <c r="AB9" s="280" t="e">
        <f>Z9/VLOOKUP($Y9,$D$8:$J$23,6,0)</f>
        <v>#N/A</v>
      </c>
      <c r="AC9" s="280"/>
      <c r="AD9" s="79">
        <f t="shared" ref="AD9:AD30" si="1">IFERROR((INDEX(JetDemandSupply,MATCH($Y9,D:D,0),MATCH($AD$8,$D$8:$L$8,0)))-Z9+AA9,)</f>
        <v>0</v>
      </c>
      <c r="AE9" s="83"/>
      <c r="AF9" s="83"/>
      <c r="AG9" s="83"/>
      <c r="AT9" s="556" t="s">
        <v>196</v>
      </c>
      <c r="AU9" s="556"/>
      <c r="AV9" s="556"/>
      <c r="AW9" s="556"/>
      <c r="AX9" s="556"/>
      <c r="AY9" s="556"/>
      <c r="BB9" s="557" t="s">
        <v>197</v>
      </c>
      <c r="BC9" s="557"/>
      <c r="BD9" s="557"/>
      <c r="BE9" s="557"/>
      <c r="BF9" s="557"/>
      <c r="BG9" s="557"/>
      <c r="BH9" s="120"/>
      <c r="BI9" s="120"/>
    </row>
    <row r="10" spans="1:61" x14ac:dyDescent="0.6">
      <c r="D10" s="81">
        <v>2011</v>
      </c>
      <c r="E10" s="81">
        <v>2011</v>
      </c>
      <c r="F10" s="114">
        <v>2540993998</v>
      </c>
      <c r="G10" s="114">
        <v>597461099</v>
      </c>
      <c r="H10" s="114">
        <v>21524281</v>
      </c>
      <c r="I10" s="196">
        <f t="shared" ref="I10:I22" si="2">SUM(F10:H10)</f>
        <v>3159979378</v>
      </c>
      <c r="J10" s="115">
        <f t="shared" ref="J10:J22" si="3">F10+H10</f>
        <v>2562518279</v>
      </c>
      <c r="K10" s="225" t="str">
        <f t="shared" ref="K10:K15" ca="1" si="4">IFERROR(INDEX(INDIRECT($K$8&amp;"!$A$10:$H$17"),MATCH($K$7,INDIRECT($K$8&amp;"!$A$10:$A$17"),0),MATCH($E10,INDIRECT($K$8&amp;"!$A$10:$H$10"),0)),"")</f>
        <v/>
      </c>
      <c r="L10" s="225">
        <f t="shared" si="0"/>
        <v>78834.950056658563</v>
      </c>
      <c r="Y10" s="76">
        <v>2003</v>
      </c>
      <c r="Z10" s="114">
        <v>13566296.85534591</v>
      </c>
      <c r="AA10" s="114">
        <v>304762401.25786161</v>
      </c>
      <c r="AB10" s="280" t="e">
        <f t="shared" ref="AB10:AB30" si="5">Z10/(VLOOKUP($Y10,$D$8:$J$23,6,0)+AA10)</f>
        <v>#N/A</v>
      </c>
      <c r="AC10" s="280"/>
      <c r="AD10" s="79">
        <f t="shared" si="1"/>
        <v>0</v>
      </c>
      <c r="AE10" s="83"/>
      <c r="AF10" s="83"/>
      <c r="AG10" s="83"/>
      <c r="AT10" s="117" t="s">
        <v>198</v>
      </c>
      <c r="AU10" s="117" t="s">
        <v>199</v>
      </c>
      <c r="AV10" s="117" t="s">
        <v>97</v>
      </c>
      <c r="AW10" s="117" t="s">
        <v>200</v>
      </c>
      <c r="AX10" s="117" t="s">
        <v>201</v>
      </c>
      <c r="AY10" s="117" t="s">
        <v>202</v>
      </c>
      <c r="BB10" s="117" t="s">
        <v>198</v>
      </c>
      <c r="BC10" s="117" t="s">
        <v>199</v>
      </c>
      <c r="BD10" s="117" t="s">
        <v>97</v>
      </c>
      <c r="BE10" s="117" t="s">
        <v>200</v>
      </c>
      <c r="BF10" s="117" t="s">
        <v>201</v>
      </c>
      <c r="BG10" s="117" t="s">
        <v>202</v>
      </c>
      <c r="BH10" s="120"/>
      <c r="BI10" s="120"/>
    </row>
    <row r="11" spans="1:61" x14ac:dyDescent="0.6">
      <c r="D11" s="81">
        <v>2012</v>
      </c>
      <c r="E11" s="81">
        <v>2012</v>
      </c>
      <c r="F11" s="114">
        <v>2431085480</v>
      </c>
      <c r="G11" s="114">
        <v>558120300</v>
      </c>
      <c r="H11" s="114">
        <v>30290145</v>
      </c>
      <c r="I11" s="196">
        <f t="shared" si="2"/>
        <v>3019495925</v>
      </c>
      <c r="J11" s="115">
        <f t="shared" si="3"/>
        <v>2461375625</v>
      </c>
      <c r="K11" s="225" t="str">
        <f t="shared" ca="1" si="4"/>
        <v/>
      </c>
      <c r="L11" s="225">
        <f t="shared" si="0"/>
        <v>79457.526677078029</v>
      </c>
      <c r="Y11" s="76">
        <v>2004</v>
      </c>
      <c r="Z11" s="114">
        <v>173303016.35220125</v>
      </c>
      <c r="AA11" s="114">
        <v>351999298.11320752</v>
      </c>
      <c r="AB11" s="280" t="e">
        <f t="shared" si="5"/>
        <v>#N/A</v>
      </c>
      <c r="AC11" s="280"/>
      <c r="AD11" s="79">
        <f t="shared" si="1"/>
        <v>0</v>
      </c>
      <c r="AE11" s="83"/>
      <c r="AF11" s="83"/>
      <c r="AG11" s="83"/>
      <c r="AT11" s="272">
        <f>F43</f>
        <v>4.1949906808090416E-2</v>
      </c>
      <c r="AU11" s="272">
        <f>G43</f>
        <v>0.49450948803181616</v>
      </c>
      <c r="AV11" s="272">
        <f>H43</f>
        <v>5.5281154431528479E-2</v>
      </c>
      <c r="AW11" s="272">
        <f>I43</f>
        <v>0.24104743558838898</v>
      </c>
      <c r="AX11" s="272">
        <f>J43</f>
        <v>0.16721201514017597</v>
      </c>
      <c r="AY11" s="273">
        <v>0</v>
      </c>
      <c r="AZ11" s="111"/>
      <c r="BA11" s="111"/>
      <c r="BB11" s="272">
        <f>F43</f>
        <v>4.1949906808090416E-2</v>
      </c>
      <c r="BC11" s="272">
        <f>G43</f>
        <v>0.49450948803181616</v>
      </c>
      <c r="BD11" s="272">
        <f>H43</f>
        <v>5.5281154431528479E-2</v>
      </c>
      <c r="BE11" s="272">
        <f>I43</f>
        <v>0.24104743558838898</v>
      </c>
      <c r="BF11" s="272">
        <f>J43</f>
        <v>0.16721201514017597</v>
      </c>
      <c r="BG11" s="273">
        <v>0</v>
      </c>
      <c r="BH11" s="120"/>
      <c r="BI11" s="120"/>
    </row>
    <row r="12" spans="1:61" x14ac:dyDescent="0.6">
      <c r="D12" s="81">
        <v>2013</v>
      </c>
      <c r="E12" s="81">
        <v>2013</v>
      </c>
      <c r="F12" s="114">
        <v>2305651372</v>
      </c>
      <c r="G12" s="114">
        <v>538617919</v>
      </c>
      <c r="H12" s="114">
        <v>29542366</v>
      </c>
      <c r="I12" s="196">
        <f t="shared" si="2"/>
        <v>2873811657</v>
      </c>
      <c r="J12" s="115">
        <f t="shared" si="3"/>
        <v>2335193738</v>
      </c>
      <c r="K12" s="225" t="str">
        <f t="shared" ca="1" si="4"/>
        <v/>
      </c>
      <c r="L12" s="225">
        <f t="shared" si="0"/>
        <v>80136.367446443459</v>
      </c>
      <c r="Y12" s="76">
        <v>2005</v>
      </c>
      <c r="Z12" s="114">
        <v>126010549.68553458</v>
      </c>
      <c r="AA12" s="114">
        <v>6730406.2893081754</v>
      </c>
      <c r="AB12" s="280" t="e">
        <f t="shared" si="5"/>
        <v>#N/A</v>
      </c>
      <c r="AC12" s="280"/>
      <c r="AD12" s="79">
        <f t="shared" si="1"/>
        <v>0</v>
      </c>
      <c r="AE12" s="83"/>
      <c r="AF12" s="83"/>
      <c r="AG12" s="83"/>
      <c r="AS12" s="77">
        <v>2022</v>
      </c>
      <c r="AT12" s="234">
        <f>IFERROR(AT$11*VLOOKUP($AS12,fJetFuel!$B:$O,14,0),"")</f>
        <v>0</v>
      </c>
      <c r="AU12" s="234">
        <f>IFERROR(AU$11*VLOOKUP($AS12,fJetFuel!$B:$O,14,0),"")</f>
        <v>0</v>
      </c>
      <c r="AV12" s="234">
        <f>IFERROR(AV$11*VLOOKUP($AS12,fJetFuel!$B:$O,14,0),"")</f>
        <v>0</v>
      </c>
      <c r="AW12" s="234">
        <f>IFERROR(AW$11*VLOOKUP($AS12,fJetFuel!$B:$O,14,0),"")</f>
        <v>0</v>
      </c>
      <c r="AX12" s="234">
        <f>IFERROR(AX$11*VLOOKUP($AS12,fJetFuel!$B:$O,14,0),"")</f>
        <v>0</v>
      </c>
      <c r="AY12" s="234">
        <f>IFERROR(AY$11*VLOOKUP($AS12,fJetFuel!$B:$O,14,0),"")</f>
        <v>0</v>
      </c>
      <c r="BA12" s="169">
        <f t="shared" ref="BA12:BA38" si="6">AS12</f>
        <v>2022</v>
      </c>
      <c r="BB12" s="234">
        <f>IFERROR(BB$11*VLOOKUP($AS12,fJetFuel!$B:$O,14,0),"")</f>
        <v>0</v>
      </c>
      <c r="BC12" s="234">
        <f>IFERROR(BC$11*VLOOKUP($AS12,fJetFuel!$B:$O,14,0),"")</f>
        <v>0</v>
      </c>
      <c r="BD12" s="234">
        <f>IFERROR(BD$11*VLOOKUP($AS12,fJetFuel!$B:$O,14,0),"")</f>
        <v>0</v>
      </c>
      <c r="BE12" s="234">
        <f>IFERROR(BE$11*VLOOKUP($AS12,fJetFuel!$B:$O,14,0),"")</f>
        <v>0</v>
      </c>
      <c r="BF12" s="234">
        <f>IFERROR(BF$11*VLOOKUP($AS12,fJetFuel!$B:$O,14,0),"")</f>
        <v>0</v>
      </c>
      <c r="BG12" s="234">
        <f>IFERROR(BG$11*VLOOKUP($AS12,fJetFuel!$B:$O,14,0),"")</f>
        <v>0</v>
      </c>
      <c r="BH12" s="120"/>
      <c r="BI12" s="120"/>
    </row>
    <row r="13" spans="1:61" x14ac:dyDescent="0.6">
      <c r="D13" s="81">
        <v>2014</v>
      </c>
      <c r="E13" s="81">
        <v>2014</v>
      </c>
      <c r="F13" s="114">
        <v>2293018714</v>
      </c>
      <c r="G13" s="114">
        <v>517404551</v>
      </c>
      <c r="H13" s="114">
        <v>22215243</v>
      </c>
      <c r="I13" s="196">
        <f t="shared" si="2"/>
        <v>2832638508</v>
      </c>
      <c r="J13" s="115">
        <f t="shared" si="3"/>
        <v>2315233957</v>
      </c>
      <c r="K13" s="225" t="str">
        <f t="shared" ca="1" si="4"/>
        <v/>
      </c>
      <c r="L13" s="225">
        <f t="shared" si="0"/>
        <v>79992.361913427827</v>
      </c>
      <c r="Y13" s="76">
        <v>2006</v>
      </c>
      <c r="Z13" s="114">
        <v>276937841.50943393</v>
      </c>
      <c r="AA13" s="114">
        <v>146927052.83018866</v>
      </c>
      <c r="AB13" s="280" t="e">
        <f t="shared" si="5"/>
        <v>#N/A</v>
      </c>
      <c r="AC13" s="280"/>
      <c r="AD13" s="79">
        <f t="shared" si="1"/>
        <v>0</v>
      </c>
      <c r="AE13" s="83"/>
      <c r="AF13" s="83"/>
      <c r="AG13" s="83"/>
      <c r="AS13" s="77">
        <v>2023</v>
      </c>
      <c r="AT13" s="234">
        <f>IFERROR(AT$11*VLOOKUP($AS13,fJetFuel!$B:$O,14,0),"")</f>
        <v>77629042.46326068</v>
      </c>
      <c r="AU13" s="234">
        <f>IFERROR(AU$11*VLOOKUP($AS13,fJetFuel!$B:$O,14,0),"")</f>
        <v>915098529.78990722</v>
      </c>
      <c r="AV13" s="234">
        <f>IFERROR(AV$11*VLOOKUP($AS13,fJetFuel!$B:$O,14,0),"")</f>
        <v>102298751.32775161</v>
      </c>
      <c r="AW13" s="234">
        <f>IFERROR(AW$11*VLOOKUP($AS13,fJetFuel!$B:$O,14,0),"")</f>
        <v>446062531.16496342</v>
      </c>
      <c r="AX13" s="234">
        <f>IFERROR(AX$11*VLOOKUP($AS13,fJetFuel!$B:$O,14,0),"")</f>
        <v>309428783.31211698</v>
      </c>
      <c r="AY13" s="234">
        <f>IFERROR(AY$11*VLOOKUP($AS13,fJetFuel!$B:$O,14,0),"")</f>
        <v>0</v>
      </c>
      <c r="AZ13" s="75" t="b">
        <f>SUM(AT13:AX13)=fJetFuel!O23</f>
        <v>1</v>
      </c>
      <c r="BA13" s="169">
        <f t="shared" si="6"/>
        <v>2023</v>
      </c>
      <c r="BB13" s="234">
        <f>IFERROR(BB$11*VLOOKUP($AS13,fJetFuel!$B:$P,15,0),"")</f>
        <v>77629042.46326068</v>
      </c>
      <c r="BC13" s="234">
        <f>IFERROR(BC$11*VLOOKUP($AS13,fJetFuel!$B:$P,15,0),"")</f>
        <v>915098529.78990722</v>
      </c>
      <c r="BD13" s="234">
        <f>IFERROR(BD$11*VLOOKUP($AS13,fJetFuel!$B:$P,15,0),"")</f>
        <v>102298751.32775161</v>
      </c>
      <c r="BE13" s="234">
        <f>IFERROR(BE$11*VLOOKUP($AS13,fJetFuel!$B:$P,15,0),"")</f>
        <v>446062531.16496342</v>
      </c>
      <c r="BF13" s="234">
        <f>IFERROR(BF$11*VLOOKUP($AS13,fJetFuel!$B:$P,15,0),"")</f>
        <v>309428783.31211698</v>
      </c>
      <c r="BG13" s="234">
        <f>IFERROR(BG$11*VLOOKUP($AS13,fJetFuel!$B:$O,14,0),"")</f>
        <v>0</v>
      </c>
      <c r="BH13" s="120"/>
      <c r="BI13" s="120"/>
    </row>
    <row r="14" spans="1:61" x14ac:dyDescent="0.6">
      <c r="D14" s="81">
        <v>2015</v>
      </c>
      <c r="E14" s="81">
        <v>2015</v>
      </c>
      <c r="F14" s="114">
        <v>2457951297</v>
      </c>
      <c r="G14" s="114">
        <v>583343264</v>
      </c>
      <c r="H14" s="114">
        <v>19703724</v>
      </c>
      <c r="I14" s="196">
        <f t="shared" si="2"/>
        <v>3060998285</v>
      </c>
      <c r="J14" s="115">
        <f t="shared" si="3"/>
        <v>2477655021</v>
      </c>
      <c r="K14" s="225" t="str">
        <f t="shared" ca="1" si="4"/>
        <v/>
      </c>
      <c r="L14" s="225">
        <f t="shared" si="0"/>
        <v>79117.199555191779</v>
      </c>
      <c r="Y14" s="76">
        <v>2007</v>
      </c>
      <c r="Z14" s="114">
        <v>288000552.20125782</v>
      </c>
      <c r="AA14" s="114">
        <v>81601477.987421378</v>
      </c>
      <c r="AB14" s="280" t="e">
        <f t="shared" si="5"/>
        <v>#N/A</v>
      </c>
      <c r="AC14" s="280"/>
      <c r="AD14" s="79">
        <f t="shared" si="1"/>
        <v>0</v>
      </c>
      <c r="AE14" s="83"/>
      <c r="AF14" s="83"/>
      <c r="AG14" s="83"/>
      <c r="AS14" s="77">
        <v>2024</v>
      </c>
      <c r="AT14" s="234">
        <f>IFERROR(AT$11*VLOOKUP($AS14,fJetFuel!$B:$O,14,0),"")</f>
        <v>67180449.181695178</v>
      </c>
      <c r="AU14" s="234">
        <f>IFERROR(AU$11*VLOOKUP($AS14,fJetFuel!$B:$O,14,0),"")</f>
        <v>791929519.2374655</v>
      </c>
      <c r="AV14" s="234">
        <f>IFERROR(AV$11*VLOOKUP($AS14,fJetFuel!$B:$O,14,0),"")</f>
        <v>88529702.890221909</v>
      </c>
      <c r="AW14" s="234">
        <f>IFERROR(AW$11*VLOOKUP($AS14,fJetFuel!$B:$O,14,0),"")</f>
        <v>386024099.43377066</v>
      </c>
      <c r="AX14" s="234">
        <f>IFERROR(AX$11*VLOOKUP($AS14,fJetFuel!$B:$O,14,0),"")</f>
        <v>267780768.55052698</v>
      </c>
      <c r="AY14" s="234">
        <f>IFERROR(AY$11*VLOOKUP($AS14,fJetFuel!$B:$O,14,0),"")</f>
        <v>0</v>
      </c>
      <c r="AZ14" s="75" t="b">
        <f>SUM(AT14:AX14)=fJetFuel!O24</f>
        <v>1</v>
      </c>
      <c r="BA14" s="169">
        <f t="shared" si="6"/>
        <v>2024</v>
      </c>
      <c r="BB14" s="234">
        <f>IFERROR(BB$11*VLOOKUP($AS14,fJetFuel!$B:$P,15,0),"")</f>
        <v>67180449.181695178</v>
      </c>
      <c r="BC14" s="234">
        <f>IFERROR(BC$11*VLOOKUP($AS14,fJetFuel!$B:$P,15,0),"")</f>
        <v>791929519.2374655</v>
      </c>
      <c r="BD14" s="234">
        <f>IFERROR(BD$11*VLOOKUP($AS14,fJetFuel!$B:$P,15,0),"")</f>
        <v>88529702.890221909</v>
      </c>
      <c r="BE14" s="234">
        <f>IFERROR(BE$11*VLOOKUP($AS14,fJetFuel!$B:$P,15,0),"")</f>
        <v>386024099.43377066</v>
      </c>
      <c r="BF14" s="234">
        <f>IFERROR(BF$11*VLOOKUP($AS14,fJetFuel!$B:$P,15,0),"")</f>
        <v>267780768.55052698</v>
      </c>
      <c r="BG14" s="234">
        <f>IFERROR(BG$11*VLOOKUP($AS14,fJetFuel!$B:$O,14,0),"")</f>
        <v>0</v>
      </c>
      <c r="BH14" s="120"/>
      <c r="BI14" s="120"/>
    </row>
    <row r="15" spans="1:61" x14ac:dyDescent="0.6">
      <c r="D15" s="81">
        <v>2016</v>
      </c>
      <c r="E15" s="81">
        <v>2016</v>
      </c>
      <c r="F15" s="114">
        <v>2598760124</v>
      </c>
      <c r="G15" s="114">
        <v>582414312</v>
      </c>
      <c r="H15" s="114">
        <v>17614831</v>
      </c>
      <c r="I15" s="196">
        <f t="shared" si="2"/>
        <v>3198789267</v>
      </c>
      <c r="J15" s="115">
        <f t="shared" si="3"/>
        <v>2616374955</v>
      </c>
      <c r="K15" s="225" t="str">
        <f t="shared" ca="1" si="4"/>
        <v/>
      </c>
      <c r="L15" s="225">
        <f t="shared" si="0"/>
        <v>78872.591985826642</v>
      </c>
      <c r="Y15" s="76">
        <v>2008</v>
      </c>
      <c r="Z15" s="114">
        <v>75746098.113207549</v>
      </c>
      <c r="AA15" s="114">
        <v>105360883.01886792</v>
      </c>
      <c r="AB15" s="280" t="e">
        <f t="shared" si="5"/>
        <v>#N/A</v>
      </c>
      <c r="AC15" s="280"/>
      <c r="AD15" s="79">
        <f t="shared" si="1"/>
        <v>0</v>
      </c>
      <c r="AE15" s="83"/>
      <c r="AF15" s="83"/>
      <c r="AG15" s="83"/>
      <c r="AS15" s="77">
        <v>2025</v>
      </c>
      <c r="AT15" s="234">
        <f>IFERROR(AT$11*VLOOKUP($AS15,fJetFuel!$B:$O,14,0),"")</f>
        <v>69896396.679043218</v>
      </c>
      <c r="AU15" s="234">
        <f>IFERROR(AU$11*VLOOKUP($AS15,fJetFuel!$B:$O,14,0),"")</f>
        <v>823945366.43777084</v>
      </c>
      <c r="AV15" s="234">
        <f>IFERROR(AV$11*VLOOKUP($AS15,fJetFuel!$B:$O,14,0),"")</f>
        <v>92108750.48419331</v>
      </c>
      <c r="AW15" s="234">
        <f>IFERROR(AW$11*VLOOKUP($AS15,fJetFuel!$B:$O,14,0),"")</f>
        <v>401630145.53116477</v>
      </c>
      <c r="AX15" s="234">
        <f>IFERROR(AX$11*VLOOKUP($AS15,fJetFuel!$B:$O,14,0),"")</f>
        <v>278606514.98481703</v>
      </c>
      <c r="AY15" s="234">
        <f>IFERROR(AY$11*VLOOKUP($AS15,fJetFuel!$B:$O,14,0),"")</f>
        <v>0</v>
      </c>
      <c r="AZ15" s="75" t="b">
        <f>SUM(AT15:AX15)=fJetFuel!O25</f>
        <v>1</v>
      </c>
      <c r="BA15" s="169">
        <f t="shared" si="6"/>
        <v>2025</v>
      </c>
      <c r="BB15" s="234">
        <f>IFERROR(BB$11*VLOOKUP($AS15,fJetFuel!$B:$P,15,0),"")</f>
        <v>69896396.679043218</v>
      </c>
      <c r="BC15" s="234">
        <f>IFERROR(BC$11*VLOOKUP($AS15,fJetFuel!$B:$P,15,0),"")</f>
        <v>823945366.43777084</v>
      </c>
      <c r="BD15" s="234">
        <f>IFERROR(BD$11*VLOOKUP($AS15,fJetFuel!$B:$P,15,0),"")</f>
        <v>92108750.48419331</v>
      </c>
      <c r="BE15" s="234">
        <f>IFERROR(BE$11*VLOOKUP($AS15,fJetFuel!$B:$P,15,0),"")</f>
        <v>401630145.53116477</v>
      </c>
      <c r="BF15" s="234">
        <f>IFERROR(BF$11*VLOOKUP($AS15,fJetFuel!$B:$P,15,0),"")</f>
        <v>278606514.98481703</v>
      </c>
      <c r="BG15" s="234">
        <f>IFERROR(BG$11*VLOOKUP($AS15,fJetFuel!$B:$O,14,0),"")</f>
        <v>0</v>
      </c>
      <c r="BH15" s="120"/>
      <c r="BI15" s="120"/>
    </row>
    <row r="16" spans="1:61" x14ac:dyDescent="0.6">
      <c r="D16" s="81">
        <v>2017</v>
      </c>
      <c r="E16" s="81">
        <v>2017</v>
      </c>
      <c r="F16" s="114">
        <v>2712662669</v>
      </c>
      <c r="G16" s="114">
        <v>648308290</v>
      </c>
      <c r="H16" s="114">
        <v>13761048</v>
      </c>
      <c r="I16" s="196">
        <f t="shared" si="2"/>
        <v>3374732007</v>
      </c>
      <c r="J16" s="115">
        <f t="shared" si="3"/>
        <v>2726423717</v>
      </c>
      <c r="K16" s="225">
        <f ca="1">IFERROR(INDEX(INDIRECT($K$8&amp;"!$A$10:$H$17"),MATCH($K$7,INDIRECT($K$8&amp;"!$A$10:$A$17"),0),MATCH($E16,INDIRECT($K$8&amp;"!$A$10:$H$10"),0)),"")</f>
        <v>20836846</v>
      </c>
      <c r="L16" s="225">
        <f t="shared" si="0"/>
        <v>79477.49731131857</v>
      </c>
      <c r="Y16" s="76">
        <v>2009</v>
      </c>
      <c r="Z16" s="114">
        <v>107245235.22012578</v>
      </c>
      <c r="AA16" s="114">
        <v>55894800</v>
      </c>
      <c r="AB16" s="280" t="e">
        <f t="shared" si="5"/>
        <v>#N/A</v>
      </c>
      <c r="AC16" s="280"/>
      <c r="AD16" s="79">
        <f t="shared" si="1"/>
        <v>0</v>
      </c>
      <c r="AE16" s="83"/>
      <c r="AF16" s="83"/>
      <c r="AG16" s="83"/>
      <c r="AS16" s="77">
        <v>2026</v>
      </c>
      <c r="AT16" s="234">
        <f>IFERROR(AT$11*VLOOKUP($AS16,fJetFuel!$B:$O,14,0),"")</f>
        <v>80149298.614576593</v>
      </c>
      <c r="AU16" s="234">
        <f>IFERROR(AU$11*VLOOKUP($AS16,fJetFuel!$B:$O,14,0),"")</f>
        <v>944807548.80627131</v>
      </c>
      <c r="AV16" s="234">
        <f>IFERROR(AV$11*VLOOKUP($AS16,fJetFuel!$B:$O,14,0),"")</f>
        <v>105619918.8846968</v>
      </c>
      <c r="AW16" s="234">
        <f>IFERROR(AW$11*VLOOKUP($AS16,fJetFuel!$B:$O,14,0),"")</f>
        <v>460544119.52890706</v>
      </c>
      <c r="AX16" s="234">
        <f>IFERROR(AX$11*VLOOKUP($AS16,fJetFuel!$B:$O,14,0),"")</f>
        <v>319474505.50308216</v>
      </c>
      <c r="AY16" s="234">
        <f>IFERROR(AY$11*VLOOKUP($AS16,fJetFuel!$B:$O,14,0),"")</f>
        <v>0</v>
      </c>
      <c r="AZ16" s="75" t="b">
        <f>SUM(AT16:AX16)=fJetFuel!O26</f>
        <v>1</v>
      </c>
      <c r="BA16" s="169">
        <f t="shared" si="6"/>
        <v>2026</v>
      </c>
      <c r="BB16" s="234">
        <f>IFERROR(BB$11*VLOOKUP($AS16,fJetFuel!$B:$P,15,0),"")</f>
        <v>76437856.826816812</v>
      </c>
      <c r="BC16" s="234">
        <f>IFERROR(BC$11*VLOOKUP($AS16,fJetFuel!$B:$P,15,0),"")</f>
        <v>901056720.30690956</v>
      </c>
      <c r="BD16" s="234">
        <f>IFERROR(BD$11*VLOOKUP($AS16,fJetFuel!$B:$P,15,0),"")</f>
        <v>100729019.18445702</v>
      </c>
      <c r="BE16" s="234">
        <f>IFERROR(BE$11*VLOOKUP($AS16,fJetFuel!$B:$P,15,0),"")</f>
        <v>439217885.61454374</v>
      </c>
      <c r="BF16" s="234">
        <f>IFERROR(BF$11*VLOOKUP($AS16,fJetFuel!$B:$P,15,0),"")</f>
        <v>304680726.26429057</v>
      </c>
      <c r="BG16" s="234">
        <f>IFERROR(BG$11*VLOOKUP($AS16,fJetFuel!$B:$O,14,0),"")</f>
        <v>0</v>
      </c>
      <c r="BH16" s="120"/>
      <c r="BI16" s="120"/>
    </row>
    <row r="17" spans="4:59" x14ac:dyDescent="0.6">
      <c r="D17" s="81">
        <v>2018</v>
      </c>
      <c r="E17" s="81">
        <v>2018</v>
      </c>
      <c r="F17" s="114">
        <v>2346059527</v>
      </c>
      <c r="G17" s="114">
        <v>702105113</v>
      </c>
      <c r="H17" s="114">
        <v>10664915</v>
      </c>
      <c r="I17" s="196">
        <f t="shared" si="2"/>
        <v>3058829555</v>
      </c>
      <c r="J17" s="115">
        <f t="shared" si="3"/>
        <v>2356724442</v>
      </c>
      <c r="K17" s="225">
        <f t="shared" ref="K17:K22" ca="1" si="7">IFERROR(INDEX(INDIRECT($K$8&amp;"!$A$10:$H$17"),MATCH($K$7,INDIRECT($K$8&amp;"!$A$10:$A$17"),0),MATCH($E17,INDIRECT($K$8&amp;"!$A$10:$H$10"),0)),"")</f>
        <v>21118264</v>
      </c>
      <c r="L17" s="225">
        <f t="shared" si="0"/>
        <v>79677.342047662736</v>
      </c>
      <c r="Y17" s="76">
        <v>2010</v>
      </c>
      <c r="Z17" s="114">
        <v>268471772.32704401</v>
      </c>
      <c r="AA17" s="114">
        <v>68894818.867924526</v>
      </c>
      <c r="AB17" s="280">
        <f t="shared" si="5"/>
        <v>8.5926030902629957E-2</v>
      </c>
      <c r="AC17" s="280"/>
      <c r="AD17" s="79">
        <f t="shared" si="1"/>
        <v>2260883692.5408807</v>
      </c>
      <c r="AE17" s="83"/>
      <c r="AF17" s="83"/>
      <c r="AG17" s="83"/>
      <c r="AS17" s="77">
        <v>2027</v>
      </c>
      <c r="AT17" s="234">
        <f>IFERROR(AT$11*VLOOKUP($AS17,fJetFuel!$B:$O,14,0),"")</f>
        <v>89035547.950241312</v>
      </c>
      <c r="AU17" s="234">
        <f>IFERROR(AU$11*VLOOKUP($AS17,fJetFuel!$B:$O,14,0),"")</f>
        <v>1049559500.4519694</v>
      </c>
      <c r="AV17" s="234">
        <f>IFERROR(AV$11*VLOOKUP($AS17,fJetFuel!$B:$O,14,0),"")</f>
        <v>117330126.58764236</v>
      </c>
      <c r="AW17" s="234">
        <f>IFERROR(AW$11*VLOOKUP($AS17,fJetFuel!$B:$O,14,0),"")</f>
        <v>511605201.12224925</v>
      </c>
      <c r="AX17" s="234">
        <f>IFERROR(AX$11*VLOOKUP($AS17,fJetFuel!$B:$O,14,0),"")</f>
        <v>354895028.96817797</v>
      </c>
      <c r="AY17" s="234">
        <f>IFERROR(AY$11*VLOOKUP($AS17,fJetFuel!$B:$O,14,0),"")</f>
        <v>0</v>
      </c>
      <c r="AZ17" s="75" t="b">
        <f>SUM(AT17:AX17)=fJetFuel!O27</f>
        <v>1</v>
      </c>
      <c r="BA17" s="169">
        <f t="shared" si="6"/>
        <v>2027</v>
      </c>
      <c r="BB17" s="234">
        <f>IFERROR(BB$11*VLOOKUP($AS17,fJetFuel!$B:$P,15,0),"")</f>
        <v>79962078.623696253</v>
      </c>
      <c r="BC17" s="234">
        <f>IFERROR(BC$11*VLOOKUP($AS17,fJetFuel!$B:$P,15,0),"")</f>
        <v>942600581.76190829</v>
      </c>
      <c r="BD17" s="234">
        <f>IFERROR(BD$11*VLOOKUP($AS17,fJetFuel!$B:$P,15,0),"")</f>
        <v>105373202.31209815</v>
      </c>
      <c r="BE17" s="234">
        <f>IFERROR(BE$11*VLOOKUP($AS17,fJetFuel!$B:$P,15,0),"")</f>
        <v>459468338.86271775</v>
      </c>
      <c r="BF17" s="234">
        <f>IFERROR(BF$11*VLOOKUP($AS17,fJetFuel!$B:$P,15,0),"")</f>
        <v>318728248.01810515</v>
      </c>
      <c r="BG17" s="234">
        <f>IFERROR(BG$11*VLOOKUP($AS17,fJetFuel!$B:$O,14,0),"")</f>
        <v>0</v>
      </c>
    </row>
    <row r="18" spans="4:59" x14ac:dyDescent="0.6">
      <c r="D18" s="81">
        <v>2019</v>
      </c>
      <c r="E18" s="81">
        <v>2019</v>
      </c>
      <c r="F18" s="114">
        <v>2438852597</v>
      </c>
      <c r="G18" s="114">
        <v>619853847</v>
      </c>
      <c r="H18" s="114">
        <v>10652540</v>
      </c>
      <c r="I18" s="196">
        <f t="shared" si="2"/>
        <v>3069358984</v>
      </c>
      <c r="J18" s="115">
        <f t="shared" si="3"/>
        <v>2449505137</v>
      </c>
      <c r="K18" s="225">
        <f t="shared" ca="1" si="7"/>
        <v>20924465</v>
      </c>
      <c r="L18" s="225">
        <f t="shared" si="0"/>
        <v>78741.033795211013</v>
      </c>
      <c r="Y18" s="76">
        <v>2011</v>
      </c>
      <c r="Z18" s="114">
        <v>250648096.8553459</v>
      </c>
      <c r="AA18" s="114">
        <v>160413699.37106916</v>
      </c>
      <c r="AB18" s="280">
        <f t="shared" si="5"/>
        <v>7.5487477239832484E-2</v>
      </c>
      <c r="AC18" s="280"/>
      <c r="AD18" s="79">
        <f t="shared" si="1"/>
        <v>2472283881.5157232</v>
      </c>
      <c r="AE18" s="83"/>
      <c r="AF18" s="83"/>
      <c r="AG18" s="83"/>
      <c r="AS18" s="77">
        <v>2028</v>
      </c>
      <c r="AT18" s="234">
        <f>IFERROR(AT$11*VLOOKUP($AS18,fJetFuel!$B:$O,14,0),"")</f>
        <v>98478094.473274678</v>
      </c>
      <c r="AU18" s="234">
        <f>IFERROR(AU$11*VLOOKUP($AS18,fJetFuel!$B:$O,14,0),"")</f>
        <v>1160869136.2083306</v>
      </c>
      <c r="AV18" s="234">
        <f>IFERROR(AV$11*VLOOKUP($AS18,fJetFuel!$B:$O,14,0),"")</f>
        <v>129773416.98527512</v>
      </c>
      <c r="AW18" s="234">
        <f>IFERROR(AW$11*VLOOKUP($AS18,fJetFuel!$B:$O,14,0),"")</f>
        <v>565862809.73181796</v>
      </c>
      <c r="AX18" s="234">
        <f>IFERROR(AX$11*VLOOKUP($AS18,fJetFuel!$B:$O,14,0),"")</f>
        <v>392532948.86617321</v>
      </c>
      <c r="AY18" s="234">
        <f>IFERROR(AY$11*VLOOKUP($AS18,fJetFuel!$B:$O,14,0),"")</f>
        <v>0</v>
      </c>
      <c r="AZ18" s="75" t="b">
        <f>SUM(AT18:AX18)=fJetFuel!O28</f>
        <v>1</v>
      </c>
      <c r="BA18" s="169">
        <f t="shared" si="6"/>
        <v>2028</v>
      </c>
      <c r="BB18" s="234">
        <f>IFERROR(BB$11*VLOOKUP($AS18,fJetFuel!$B:$P,15,0),"")</f>
        <v>80700277.860346496</v>
      </c>
      <c r="BC18" s="234">
        <f>IFERROR(BC$11*VLOOKUP($AS18,fJetFuel!$B:$P,15,0),"")</f>
        <v>951302544.51599443</v>
      </c>
      <c r="BD18" s="234">
        <f>IFERROR(BD$11*VLOOKUP($AS18,fJetFuel!$B:$P,15,0),"")</f>
        <v>106345993.65080567</v>
      </c>
      <c r="BE18" s="234">
        <f>IFERROR(BE$11*VLOOKUP($AS18,fJetFuel!$B:$P,15,0),"")</f>
        <v>463710089.23803753</v>
      </c>
      <c r="BF18" s="234">
        <f>IFERROR(BF$11*VLOOKUP($AS18,fJetFuel!$B:$P,15,0),"")</f>
        <v>321670704.66049796</v>
      </c>
      <c r="BG18" s="234">
        <f>IFERROR(BG$11*VLOOKUP($AS18,fJetFuel!$B:$O,14,0),"")</f>
        <v>0</v>
      </c>
    </row>
    <row r="19" spans="4:59" x14ac:dyDescent="0.6">
      <c r="D19" s="81">
        <v>2020</v>
      </c>
      <c r="E19" s="81">
        <v>2020</v>
      </c>
      <c r="F19" s="114">
        <v>1090817659</v>
      </c>
      <c r="G19" s="114">
        <v>701513322</v>
      </c>
      <c r="H19" s="114">
        <v>7551435</v>
      </c>
      <c r="I19" s="196">
        <f t="shared" si="2"/>
        <v>1799882416</v>
      </c>
      <c r="J19" s="115">
        <f t="shared" si="3"/>
        <v>1098369094</v>
      </c>
      <c r="K19" s="225">
        <f t="shared" ca="1" si="7"/>
        <v>4569737</v>
      </c>
      <c r="L19" s="225">
        <f t="shared" si="0"/>
        <v>72780.724692688324</v>
      </c>
      <c r="Y19" s="76">
        <v>2012</v>
      </c>
      <c r="Z19" s="114">
        <v>230988941.75999999</v>
      </c>
      <c r="AA19" s="114">
        <v>145165516.0754717</v>
      </c>
      <c r="AB19" s="280">
        <f t="shared" si="5"/>
        <v>7.2990095800421928E-2</v>
      </c>
      <c r="AC19" s="280"/>
      <c r="AD19" s="79">
        <f t="shared" si="1"/>
        <v>2375552199.3154716</v>
      </c>
      <c r="AE19" s="83"/>
      <c r="AF19" s="83"/>
      <c r="AG19" s="83"/>
      <c r="AS19" s="77">
        <v>2029</v>
      </c>
      <c r="AT19" s="234">
        <f>IFERROR(AT$11*VLOOKUP($AS19,fJetFuel!$B:$O,14,0),"")</f>
        <v>108546760.06116922</v>
      </c>
      <c r="AU19" s="234">
        <f>IFERROR(AU$11*VLOOKUP($AS19,fJetFuel!$B:$O,14,0),"")</f>
        <v>1279559523.0025401</v>
      </c>
      <c r="AV19" s="234">
        <f>IFERROR(AV$11*VLOOKUP($AS19,fJetFuel!$B:$O,14,0),"")</f>
        <v>143041800.627464</v>
      </c>
      <c r="AW19" s="234">
        <f>IFERROR(AW$11*VLOOKUP($AS19,fJetFuel!$B:$O,14,0),"")</f>
        <v>623718147.31008804</v>
      </c>
      <c r="AX19" s="234">
        <f>IFERROR(AX$11*VLOOKUP($AS19,fJetFuel!$B:$O,14,0),"")</f>
        <v>432666574.67913193</v>
      </c>
      <c r="AY19" s="234">
        <f>IFERROR(AY$11*VLOOKUP($AS19,fJetFuel!$B:$O,14,0),"")</f>
        <v>0</v>
      </c>
      <c r="AZ19" s="75" t="b">
        <f>SUM(AT19:AX19)=fJetFuel!O29</f>
        <v>1</v>
      </c>
      <c r="BA19" s="169">
        <f t="shared" si="6"/>
        <v>2029</v>
      </c>
      <c r="BB19" s="234">
        <f>IFERROR(BB$11*VLOOKUP($AS19,fJetFuel!$B:$P,15,0),"")</f>
        <v>81655550.200483054</v>
      </c>
      <c r="BC19" s="234">
        <f>IFERROR(BC$11*VLOOKUP($AS19,fJetFuel!$B:$P,15,0),"")</f>
        <v>962563385.64284003</v>
      </c>
      <c r="BD19" s="234">
        <f>IFERROR(BD$11*VLOOKUP($AS19,fJetFuel!$B:$P,15,0),"")</f>
        <v>107604841.6859358</v>
      </c>
      <c r="BE19" s="234">
        <f>IFERROR(BE$11*VLOOKUP($AS19,fJetFuel!$B:$P,15,0),"")</f>
        <v>469199158.59239489</v>
      </c>
      <c r="BF19" s="234">
        <f>IFERROR(BF$11*VLOOKUP($AS19,fJetFuel!$B:$P,15,0),"")</f>
        <v>325478413.07169044</v>
      </c>
      <c r="BG19" s="234">
        <f>IFERROR(BG$11*VLOOKUP($AS19,fJetFuel!$B:$O,14,0),"")</f>
        <v>0</v>
      </c>
    </row>
    <row r="20" spans="4:59" x14ac:dyDescent="0.6">
      <c r="D20" s="81">
        <v>2021</v>
      </c>
      <c r="E20" s="81">
        <v>2021</v>
      </c>
      <c r="F20" s="114">
        <v>1047881004</v>
      </c>
      <c r="G20" s="114">
        <v>1078419705</v>
      </c>
      <c r="H20" s="114">
        <v>7064935</v>
      </c>
      <c r="I20" s="196">
        <f t="shared" si="2"/>
        <v>2133365644</v>
      </c>
      <c r="J20" s="115">
        <f t="shared" si="3"/>
        <v>1054945939</v>
      </c>
      <c r="K20" s="225">
        <f t="shared" ca="1" si="7"/>
        <v>10538202</v>
      </c>
      <c r="L20" s="225">
        <f t="shared" si="0"/>
        <v>75987.078108010232</v>
      </c>
      <c r="Y20" s="76">
        <v>2013</v>
      </c>
      <c r="Z20" s="114">
        <v>182636168.09</v>
      </c>
      <c r="AA20" s="114">
        <v>81214557.943396226</v>
      </c>
      <c r="AB20" s="280">
        <f t="shared" si="5"/>
        <v>6.1805261546046361E-2</v>
      </c>
      <c r="AC20" s="280"/>
      <c r="AD20" s="79">
        <f t="shared" si="1"/>
        <v>2233772127.8533959</v>
      </c>
      <c r="AE20" s="83"/>
      <c r="AF20" s="83"/>
      <c r="AG20" s="83"/>
      <c r="AS20" s="77">
        <v>2030</v>
      </c>
      <c r="AT20" s="234">
        <f>IFERROR(AT$11*VLOOKUP($AS20,fJetFuel!$B:$O,14,0),"")</f>
        <v>119241040.21358702</v>
      </c>
      <c r="AU20" s="234">
        <f>IFERROR(AU$11*VLOOKUP($AS20,fJetFuel!$B:$O,14,0),"")</f>
        <v>1405624713.736671</v>
      </c>
      <c r="AV20" s="234">
        <f>IFERROR(AV$11*VLOOKUP($AS20,fJetFuel!$B:$O,14,0),"")</f>
        <v>157134612.68886817</v>
      </c>
      <c r="AW20" s="234">
        <f>IFERROR(AW$11*VLOOKUP($AS20,fJetFuel!$B:$O,14,0),"")</f>
        <v>685168314.95877886</v>
      </c>
      <c r="AX20" s="234">
        <f>IFERROR(AX$11*VLOOKUP($AS20,fJetFuel!$B:$O,14,0),"")</f>
        <v>475293895.47247618</v>
      </c>
      <c r="AY20" s="234">
        <f>IFERROR(AY$11*VLOOKUP($AS20,fJetFuel!$B:$O,14,0),"")</f>
        <v>0</v>
      </c>
      <c r="AZ20" s="75" t="b">
        <f>SUM(AT20:AX20)=fJetFuel!O30</f>
        <v>1</v>
      </c>
      <c r="BA20" s="169">
        <f t="shared" si="6"/>
        <v>2030</v>
      </c>
      <c r="BB20" s="234">
        <f>IFERROR(BB$11*VLOOKUP($AS20,fJetFuel!$B:$P,15,0),"")</f>
        <v>82822859.523782119</v>
      </c>
      <c r="BC20" s="234">
        <f>IFERROR(BC$11*VLOOKUP($AS20,fJetFuel!$B:$P,15,0),"")</f>
        <v>976323738.8774761</v>
      </c>
      <c r="BD20" s="234">
        <f>IFERROR(BD$11*VLOOKUP($AS20,fJetFuel!$B:$P,15,0),"")</f>
        <v>109143109.87007903</v>
      </c>
      <c r="BE20" s="234">
        <f>IFERROR(BE$11*VLOOKUP($AS20,fJetFuel!$B:$P,15,0),"")</f>
        <v>475906608.98571479</v>
      </c>
      <c r="BF20" s="234">
        <f>IFERROR(BF$11*VLOOKUP($AS20,fJetFuel!$B:$P,15,0),"")</f>
        <v>330131299.31369537</v>
      </c>
      <c r="BG20" s="234">
        <f>IFERROR(BG$11*VLOOKUP($AS20,fJetFuel!$B:$O,14,0),"")</f>
        <v>0</v>
      </c>
    </row>
    <row r="21" spans="4:59" x14ac:dyDescent="0.6">
      <c r="D21" s="85">
        <v>2022</v>
      </c>
      <c r="E21" s="81">
        <v>2022</v>
      </c>
      <c r="F21" s="114">
        <v>1478149852.6029999</v>
      </c>
      <c r="G21" s="114">
        <v>1177899631.5040002</v>
      </c>
      <c r="H21" s="114">
        <v>4696431.3169999998</v>
      </c>
      <c r="I21" s="196">
        <f t="shared" si="2"/>
        <v>2660745915.4240003</v>
      </c>
      <c r="J21" s="115">
        <f>F21+H21</f>
        <v>1482846283.9199998</v>
      </c>
      <c r="K21" s="225">
        <f t="shared" ca="1" si="7"/>
        <v>15813215</v>
      </c>
      <c r="L21" s="225">
        <f t="shared" si="0"/>
        <v>76790.165012245096</v>
      </c>
      <c r="Y21" s="76">
        <v>2014</v>
      </c>
      <c r="Z21" s="114">
        <v>287722211.38</v>
      </c>
      <c r="AA21" s="114">
        <v>155350204</v>
      </c>
      <c r="AB21" s="280">
        <f t="shared" si="5"/>
        <v>9.629293786301292E-2</v>
      </c>
      <c r="AC21" s="280"/>
      <c r="AD21" s="79">
        <f t="shared" si="1"/>
        <v>2182861949.6199999</v>
      </c>
      <c r="AE21" s="83"/>
      <c r="AF21" s="83"/>
      <c r="AG21" s="83"/>
      <c r="AS21" s="77">
        <v>2031</v>
      </c>
      <c r="AT21" s="234">
        <f>IFERROR(AT$11*VLOOKUP($AS21,fJetFuel!$B:$O,14,0),"")</f>
        <v>125682591.45067927</v>
      </c>
      <c r="AU21" s="234">
        <f>IFERROR(AU$11*VLOOKUP($AS21,fJetFuel!$B:$O,14,0),"")</f>
        <v>1481558331.8721676</v>
      </c>
      <c r="AV21" s="234">
        <f>IFERROR(AV$11*VLOOKUP($AS21,fJetFuel!$B:$O,14,0),"")</f>
        <v>165623222.45730808</v>
      </c>
      <c r="AW21" s="234">
        <f>IFERROR(AW$11*VLOOKUP($AS21,fJetFuel!$B:$O,14,0),"")</f>
        <v>722181970.65092564</v>
      </c>
      <c r="AX21" s="234">
        <f>IFERROR(AX$11*VLOOKUP($AS21,fJetFuel!$B:$O,14,0),"")</f>
        <v>500969870.58036751</v>
      </c>
      <c r="AY21" s="234">
        <f>IFERROR(AY$11*VLOOKUP($AS21,fJetFuel!$B:$O,14,0),"")</f>
        <v>0</v>
      </c>
      <c r="AZ21" s="75" t="b">
        <f>SUM(AT21:AX21)=fJetFuel!O31</f>
        <v>1</v>
      </c>
      <c r="BA21" s="169">
        <f t="shared" si="6"/>
        <v>2031</v>
      </c>
      <c r="BB21" s="234">
        <f>IFERROR(BB$11*VLOOKUP($AS21,fJetFuel!$B:$P,15,0),"")</f>
        <v>84015602.151525199</v>
      </c>
      <c r="BC21" s="234">
        <f>IFERROR(BC$11*VLOOKUP($AS21,fJetFuel!$B:$P,15,0),"")</f>
        <v>990383902.32187259</v>
      </c>
      <c r="BD21" s="234">
        <f>IFERROR(BD$11*VLOOKUP($AS21,fJetFuel!$B:$P,15,0),"")</f>
        <v>110714893.80044562</v>
      </c>
      <c r="BE21" s="234">
        <f>IFERROR(BE$11*VLOOKUP($AS21,fJetFuel!$B:$P,15,0),"")</f>
        <v>482760201.12954706</v>
      </c>
      <c r="BF21" s="234">
        <f>IFERROR(BF$11*VLOOKUP($AS21,fJetFuel!$B:$P,15,0),"")</f>
        <v>334885562.51720846</v>
      </c>
      <c r="BG21" s="234">
        <f>IFERROR(BG$11*VLOOKUP($AS21,fJetFuel!$B:$O,14,0),"")</f>
        <v>0</v>
      </c>
    </row>
    <row r="22" spans="4:59" x14ac:dyDescent="0.6">
      <c r="D22" s="85">
        <v>2023</v>
      </c>
      <c r="E22" s="81" t="s">
        <v>203</v>
      </c>
      <c r="F22" s="114">
        <v>1843971762.4649999</v>
      </c>
      <c r="G22" s="114">
        <v>1298209530.779</v>
      </c>
      <c r="H22" s="114">
        <v>6545875.5930000003</v>
      </c>
      <c r="I22" s="196">
        <f t="shared" si="2"/>
        <v>3148727168.8369999</v>
      </c>
      <c r="J22" s="115">
        <f t="shared" si="3"/>
        <v>1850517638.0579998</v>
      </c>
      <c r="K22" s="225">
        <f t="shared" ca="1" si="7"/>
        <v>17730490.285714291</v>
      </c>
      <c r="L22" s="225">
        <f t="shared" si="0"/>
        <v>76777.92621036293</v>
      </c>
      <c r="Y22" s="76">
        <v>2015</v>
      </c>
      <c r="Z22" s="114">
        <v>275033735.25</v>
      </c>
      <c r="AA22" s="114">
        <v>886561395.04999995</v>
      </c>
      <c r="AB22" s="280">
        <f t="shared" si="5"/>
        <v>6.9671837170683731E-2</v>
      </c>
      <c r="AC22" s="280"/>
      <c r="AD22" s="79">
        <f t="shared" si="1"/>
        <v>3089182680.8000002</v>
      </c>
      <c r="AE22" s="83"/>
      <c r="AF22" s="83"/>
      <c r="AG22" s="83"/>
      <c r="AS22" s="77">
        <v>2032</v>
      </c>
      <c r="AT22" s="234">
        <f>IFERROR(AT$11*VLOOKUP($AS22,fJetFuel!$B:$O,14,0),"")</f>
        <v>132193821.56018695</v>
      </c>
      <c r="AU22" s="234">
        <f>IFERROR(AU$11*VLOOKUP($AS22,fJetFuel!$B:$O,14,0),"")</f>
        <v>1558313331.1774106</v>
      </c>
      <c r="AV22" s="234">
        <f>IFERROR(AV$11*VLOOKUP($AS22,fJetFuel!$B:$O,14,0),"")</f>
        <v>174203654.3250016</v>
      </c>
      <c r="AW22" s="234">
        <f>IFERROR(AW$11*VLOOKUP($AS22,fJetFuel!$B:$O,14,0),"")</f>
        <v>759596006.5772233</v>
      </c>
      <c r="AX22" s="234">
        <f>IFERROR(AX$11*VLOOKUP($AS22,fJetFuel!$B:$O,14,0),"")</f>
        <v>526923585.15315396</v>
      </c>
      <c r="AY22" s="234">
        <f>IFERROR(AY$11*VLOOKUP($AS22,fJetFuel!$B:$O,14,0),"")</f>
        <v>0</v>
      </c>
      <c r="AZ22" s="75" t="b">
        <f>SUM(AT22:AX22)=fJetFuel!O32</f>
        <v>1</v>
      </c>
      <c r="BA22" s="169">
        <f t="shared" si="6"/>
        <v>2032</v>
      </c>
      <c r="BB22" s="234">
        <f>IFERROR(BB$11*VLOOKUP($AS22,fJetFuel!$B:$P,15,0),"")</f>
        <v>85212047.033602268</v>
      </c>
      <c r="BC22" s="234">
        <f>IFERROR(BC$11*VLOOKUP($AS22,fJetFuel!$B:$P,15,0),"")</f>
        <v>1004487708.2921903</v>
      </c>
      <c r="BD22" s="234">
        <f>IFERROR(BD$11*VLOOKUP($AS22,fJetFuel!$B:$P,15,0),"")</f>
        <v>112291556.52338064</v>
      </c>
      <c r="BE22" s="234">
        <f>IFERROR(BE$11*VLOOKUP($AS22,fJetFuel!$B:$P,15,0),"")</f>
        <v>489635066.71546799</v>
      </c>
      <c r="BF22" s="234">
        <f>IFERROR(BF$11*VLOOKUP($AS22,fJetFuel!$B:$P,15,0),"")</f>
        <v>339654582.8788383</v>
      </c>
      <c r="BG22" s="234">
        <f>IFERROR(BG$11*VLOOKUP($AS22,fJetFuel!$B:$O,14,0),"")</f>
        <v>0</v>
      </c>
    </row>
    <row r="23" spans="4:59" x14ac:dyDescent="0.6">
      <c r="D23" s="85">
        <v>2024</v>
      </c>
      <c r="E23" s="85" t="s">
        <v>204</v>
      </c>
      <c r="F23" s="86">
        <v>1858353189.6600001</v>
      </c>
      <c r="G23" s="86">
        <v>1192556494.26</v>
      </c>
      <c r="H23" s="86">
        <v>7690424</v>
      </c>
      <c r="I23" s="196">
        <f>SUM(F23:H23)</f>
        <v>3058600107.9200001</v>
      </c>
      <c r="J23" s="115">
        <f>F23+H23</f>
        <v>1866043613.6600001</v>
      </c>
      <c r="K23" s="225" t="str">
        <f t="shared" ref="K23" ca="1" si="8">IFERROR(INDEX(INDIRECT($K$8&amp;"!$A$10:$H$17"),MATCH($K$7,INDIRECT($K$8&amp;"!$A$10:$A$17"),0),MATCH($E23,INDIRECT($K$8&amp;"!$A$10:$H$10"),0)),"")</f>
        <v/>
      </c>
      <c r="Y23" s="76">
        <v>2016</v>
      </c>
      <c r="Z23" s="114">
        <v>108419489.34</v>
      </c>
      <c r="AA23" s="114">
        <v>380562430.69999999</v>
      </c>
      <c r="AB23" s="280">
        <f t="shared" si="5"/>
        <v>3.0290258822475481E-2</v>
      </c>
      <c r="AC23" s="280"/>
      <c r="AD23" s="79">
        <f t="shared" si="1"/>
        <v>2888517896.3599997</v>
      </c>
      <c r="AE23" s="83"/>
      <c r="AF23" s="83"/>
      <c r="AG23" s="83"/>
      <c r="AS23" s="77">
        <v>2033</v>
      </c>
      <c r="AT23" s="234">
        <f>IFERROR(AT$11*VLOOKUP($AS23,fJetFuel!$B:$O,14,0),"")</f>
        <v>138775703.34077919</v>
      </c>
      <c r="AU23" s="234">
        <f>IFERROR(AU$11*VLOOKUP($AS23,fJetFuel!$B:$O,14,0),"")</f>
        <v>1635901179.0955586</v>
      </c>
      <c r="AV23" s="234">
        <f>IFERROR(AV$11*VLOOKUP($AS23,fJetFuel!$B:$O,14,0),"")</f>
        <v>182877190.23599938</v>
      </c>
      <c r="AW23" s="234">
        <f>IFERROR(AW$11*VLOOKUP($AS23,fJetFuel!$B:$O,14,0),"")</f>
        <v>797416012.51467907</v>
      </c>
      <c r="AX23" s="234">
        <f>IFERROR(AX$11*VLOOKUP($AS23,fJetFuel!$B:$O,14,0),"")</f>
        <v>553158916.75906301</v>
      </c>
      <c r="AY23" s="234">
        <f>IFERROR(AY$11*VLOOKUP($AS23,fJetFuel!$B:$O,14,0),"")</f>
        <v>0</v>
      </c>
      <c r="AZ23" s="75" t="b">
        <f>SUM(AT23:AX23)=fJetFuel!O33</f>
        <v>1</v>
      </c>
      <c r="BA23" s="169">
        <f t="shared" si="6"/>
        <v>2033</v>
      </c>
      <c r="BB23" s="234">
        <f>IFERROR(BB$11*VLOOKUP($AS23,fJetFuel!$B:$P,15,0),"")</f>
        <v>86412212.739681333</v>
      </c>
      <c r="BC23" s="234">
        <f>IFERROR(BC$11*VLOOKUP($AS23,fJetFuel!$B:$P,15,0),"")</f>
        <v>1018635375.6894404</v>
      </c>
      <c r="BD23" s="234">
        <f>IFERROR(BD$11*VLOOKUP($AS23,fJetFuel!$B:$P,15,0),"")</f>
        <v>113873122.50980103</v>
      </c>
      <c r="BE23" s="234">
        <f>IFERROR(BE$11*VLOOKUP($AS23,fJetFuel!$B:$P,15,0),"")</f>
        <v>496531312.4462378</v>
      </c>
      <c r="BF23" s="234">
        <f>IFERROR(BF$11*VLOOKUP($AS23,fJetFuel!$B:$P,15,0),"")</f>
        <v>344438434.41714275</v>
      </c>
      <c r="BG23" s="234">
        <f>IFERROR(BG$11*VLOOKUP($AS23,fJetFuel!$B:$O,14,0),"")</f>
        <v>0</v>
      </c>
    </row>
    <row r="24" spans="4:59" x14ac:dyDescent="0.6">
      <c r="Y24" s="76">
        <v>2017</v>
      </c>
      <c r="Z24" s="114">
        <v>421007012</v>
      </c>
      <c r="AA24" s="114">
        <v>394664682.16000003</v>
      </c>
      <c r="AB24" s="280">
        <f t="shared" si="5"/>
        <v>0.11169082129528275</v>
      </c>
      <c r="AC24" s="280"/>
      <c r="AD24" s="79">
        <f t="shared" si="1"/>
        <v>2700081387.1599998</v>
      </c>
      <c r="AE24" s="83"/>
      <c r="AF24" s="83"/>
      <c r="AG24" s="83"/>
      <c r="AS24" s="77">
        <v>2034</v>
      </c>
      <c r="AT24" s="234">
        <f>IFERROR(AT$11*VLOOKUP($AS24,fJetFuel!$B:$O,14,0),"")</f>
        <v>145429226.0538896</v>
      </c>
      <c r="AU24" s="234">
        <f>IFERROR(AU$11*VLOOKUP($AS24,fJetFuel!$B:$O,14,0),"")</f>
        <v>1714333537.1344028</v>
      </c>
      <c r="AV24" s="234">
        <f>IFERROR(AV$11*VLOOKUP($AS24,fJetFuel!$B:$O,14,0),"")</f>
        <v>191645133.82881334</v>
      </c>
      <c r="AW24" s="234">
        <f>IFERROR(AW$11*VLOOKUP($AS24,fJetFuel!$B:$O,14,0),"")</f>
        <v>835647672.83662903</v>
      </c>
      <c r="AX24" s="234">
        <f>IFERROR(AX$11*VLOOKUP($AS24,fJetFuel!$B:$O,14,0),"")</f>
        <v>579679808.58677888</v>
      </c>
      <c r="AY24" s="234">
        <f>IFERROR(AY$11*VLOOKUP($AS24,fJetFuel!$B:$O,14,0),"")</f>
        <v>0</v>
      </c>
      <c r="AZ24" s="75" t="b">
        <f>SUM(AT24:AX24)=fJetFuel!O34</f>
        <v>1</v>
      </c>
      <c r="BA24" s="169">
        <f t="shared" si="6"/>
        <v>2034</v>
      </c>
      <c r="BB24" s="234">
        <f>IFERROR(BB$11*VLOOKUP($AS24,fJetFuel!$B:$P,15,0),"")</f>
        <v>87616117.948964953</v>
      </c>
      <c r="BC24" s="234">
        <f>IFERROR(BC$11*VLOOKUP($AS24,fJetFuel!$B:$P,15,0),"")</f>
        <v>1032827124.7058378</v>
      </c>
      <c r="BD24" s="234">
        <f>IFERROR(BD$11*VLOOKUP($AS24,fJetFuel!$B:$P,15,0),"")</f>
        <v>115459616.37496723</v>
      </c>
      <c r="BE24" s="234">
        <f>IFERROR(BE$11*VLOOKUP($AS24,fJetFuel!$B:$P,15,0),"")</f>
        <v>503449045.65401101</v>
      </c>
      <c r="BF24" s="234">
        <f>IFERROR(BF$11*VLOOKUP($AS24,fJetFuel!$B:$P,15,0),"")</f>
        <v>349237191.58728373</v>
      </c>
      <c r="BG24" s="234">
        <f>IFERROR(BG$11*VLOOKUP($AS24,fJetFuel!$B:$O,14,0),"")</f>
        <v>0</v>
      </c>
    </row>
    <row r="25" spans="4:59" x14ac:dyDescent="0.6">
      <c r="E25" s="77" t="s">
        <v>113</v>
      </c>
      <c r="Y25" s="76">
        <v>2018</v>
      </c>
      <c r="Z25" s="114">
        <v>395028362.75</v>
      </c>
      <c r="AA25" s="114">
        <v>440690509</v>
      </c>
      <c r="AB25" s="280">
        <f t="shared" si="5"/>
        <v>0.11288072522106848</v>
      </c>
      <c r="AC25" s="280"/>
      <c r="AD25" s="79">
        <f t="shared" si="1"/>
        <v>2402386588.25</v>
      </c>
      <c r="AE25" s="83"/>
      <c r="AF25" s="83"/>
      <c r="AG25" s="83"/>
      <c r="AS25" s="77">
        <v>2035</v>
      </c>
      <c r="AT25" s="234">
        <f>IFERROR(AT$11*VLOOKUP($AS25,fJetFuel!$B:$O,14,0),"")</f>
        <v>152155395.73167887</v>
      </c>
      <c r="AU25" s="234">
        <f>IFERROR(AU$11*VLOOKUP($AS25,fJetFuel!$B:$O,14,0),"")</f>
        <v>1793622264.4966578</v>
      </c>
      <c r="AV25" s="234">
        <f>IFERROR(AV$11*VLOOKUP($AS25,fJetFuel!$B:$O,14,0),"")</f>
        <v>200508810.84224647</v>
      </c>
      <c r="AW25" s="234">
        <f>IFERROR(AW$11*VLOOKUP($AS25,fJetFuel!$B:$O,14,0),"")</f>
        <v>874296768.28231406</v>
      </c>
      <c r="AX25" s="234">
        <f>IFERROR(AX$11*VLOOKUP($AS25,fJetFuel!$B:$O,14,0),"")</f>
        <v>606490270.67297781</v>
      </c>
      <c r="AY25" s="234">
        <f>IFERROR(AY$11*VLOOKUP($AS25,fJetFuel!$B:$O,14,0),"")</f>
        <v>0</v>
      </c>
      <c r="AZ25" s="75" t="b">
        <f>SUM(AT25:AX25)=fJetFuel!O35</f>
        <v>1</v>
      </c>
      <c r="BA25" s="169">
        <f t="shared" si="6"/>
        <v>2035</v>
      </c>
      <c r="BB25" s="234">
        <f>IFERROR(BB$11*VLOOKUP($AS25,fJetFuel!$B:$P,15,0),"")</f>
        <v>88823781.450860858</v>
      </c>
      <c r="BC25" s="234">
        <f>IFERROR(BC$11*VLOOKUP($AS25,fJetFuel!$B:$P,15,0),"")</f>
        <v>1047063176.8327065</v>
      </c>
      <c r="BD25" s="234">
        <f>IFERROR(BD$11*VLOOKUP($AS25,fJetFuel!$B:$P,15,0),"")</f>
        <v>117051062.87936693</v>
      </c>
      <c r="BE25" s="234">
        <f>IFERROR(BE$11*VLOOKUP($AS25,fJetFuel!$B:$P,15,0),"")</f>
        <v>510388374.30418962</v>
      </c>
      <c r="BF25" s="234">
        <f>IFERROR(BF$11*VLOOKUP($AS25,fJetFuel!$B:$P,15,0),"")</f>
        <v>354050929.28370005</v>
      </c>
      <c r="BG25" s="234">
        <f>IFERROR(BG$11*VLOOKUP($AS25,fJetFuel!$B:$O,14,0),"")</f>
        <v>0</v>
      </c>
    </row>
    <row r="26" spans="4:59" x14ac:dyDescent="0.6">
      <c r="E26" s="117" t="s">
        <v>30</v>
      </c>
      <c r="F26" s="117" t="s">
        <v>198</v>
      </c>
      <c r="G26" s="117" t="s">
        <v>199</v>
      </c>
      <c r="H26" s="117" t="s">
        <v>97</v>
      </c>
      <c r="I26" s="117" t="s">
        <v>200</v>
      </c>
      <c r="J26" s="117" t="s">
        <v>201</v>
      </c>
      <c r="K26" s="117" t="s">
        <v>52</v>
      </c>
      <c r="Y26" s="76">
        <v>2019</v>
      </c>
      <c r="Z26" s="114">
        <v>461709651</v>
      </c>
      <c r="AA26" s="114">
        <v>330975686.13</v>
      </c>
      <c r="AB26" s="280">
        <f t="shared" si="5"/>
        <v>0.13578359067295812</v>
      </c>
      <c r="AC26" s="280"/>
      <c r="AD26" s="79">
        <f t="shared" si="1"/>
        <v>2318771172.1300001</v>
      </c>
      <c r="AE26" s="83"/>
      <c r="AF26" s="83"/>
      <c r="AG26" s="83"/>
      <c r="AS26" s="77">
        <v>2036</v>
      </c>
      <c r="AT26" s="234">
        <f>IFERROR(AT$11*VLOOKUP($AS26,fJetFuel!$B:$O,14,0),"")</f>
        <v>158955235.4910053</v>
      </c>
      <c r="AU26" s="234">
        <f>IFERROR(AU$11*VLOOKUP($AS26,fJetFuel!$B:$O,14,0),"")</f>
        <v>1873779421.7810788</v>
      </c>
      <c r="AV26" s="234">
        <f>IFERROR(AV$11*VLOOKUP($AS26,fJetFuel!$B:$O,14,0),"")</f>
        <v>209469569.52914003</v>
      </c>
      <c r="AW26" s="234">
        <f>IFERROR(AW$11*VLOOKUP($AS26,fJetFuel!$B:$O,14,0),"")</f>
        <v>913369177.76098049</v>
      </c>
      <c r="AX26" s="234">
        <f>IFERROR(AX$11*VLOOKUP($AS26,fJetFuel!$B:$O,14,0),"")</f>
        <v>633594381.15381396</v>
      </c>
      <c r="AY26" s="234">
        <f>IFERROR(AY$11*VLOOKUP($AS26,fJetFuel!$B:$O,14,0),"")</f>
        <v>0</v>
      </c>
      <c r="AZ26" s="75" t="b">
        <f>SUM(AT26:AX26)=fJetFuel!O36</f>
        <v>1</v>
      </c>
      <c r="BA26" s="169">
        <f t="shared" si="6"/>
        <v>2036</v>
      </c>
      <c r="BB26" s="234">
        <f>IFERROR(BB$11*VLOOKUP($AS26,fJetFuel!$B:$P,15,0),"")</f>
        <v>90035222.145654872</v>
      </c>
      <c r="BC26" s="234">
        <f>IFERROR(BC$11*VLOOKUP($AS26,fJetFuel!$B:$P,15,0),"")</f>
        <v>1061343754.8684115</v>
      </c>
      <c r="BD26" s="234">
        <f>IFERROR(BD$11*VLOOKUP($AS26,fJetFuel!$B:$P,15,0),"")</f>
        <v>118647486.92960176</v>
      </c>
      <c r="BE26" s="234">
        <f>IFERROR(BE$11*VLOOKUP($AS26,fJetFuel!$B:$P,15,0),"")</f>
        <v>517349406.99928951</v>
      </c>
      <c r="BF26" s="234">
        <f>IFERROR(BF$11*VLOOKUP($AS26,fJetFuel!$B:$P,15,0),"")</f>
        <v>358879722.84278977</v>
      </c>
      <c r="BG26" s="234">
        <f>IFERROR(BG$11*VLOOKUP($AS26,fJetFuel!$B:$O,14,0),"")</f>
        <v>0</v>
      </c>
    </row>
    <row r="27" spans="4:59" x14ac:dyDescent="0.6">
      <c r="E27" s="81">
        <v>2019</v>
      </c>
      <c r="F27" s="114">
        <v>84004170.855000004</v>
      </c>
      <c r="G27" s="114">
        <v>1391244868.4229999</v>
      </c>
      <c r="H27" s="114">
        <v>83672909.25</v>
      </c>
      <c r="I27" s="114">
        <v>497570454.31599998</v>
      </c>
      <c r="J27" s="114">
        <v>382360195.17146802</v>
      </c>
      <c r="K27" s="114">
        <f>SUM(F27:J27)</f>
        <v>2438852598.0154676</v>
      </c>
      <c r="Y27" s="76">
        <v>2020</v>
      </c>
      <c r="Z27" s="114">
        <v>671350193</v>
      </c>
      <c r="AA27" s="114">
        <v>624370881</v>
      </c>
      <c r="AB27" s="280">
        <f t="shared" si="5"/>
        <v>0.27693071257479246</v>
      </c>
      <c r="AC27" s="280"/>
      <c r="AD27" s="79">
        <f t="shared" si="1"/>
        <v>1051389782</v>
      </c>
      <c r="AE27" s="83"/>
      <c r="AF27" s="83"/>
      <c r="AG27" s="83"/>
      <c r="AS27" s="77">
        <v>2037</v>
      </c>
      <c r="AT27" s="234">
        <f>IFERROR(AT$11*VLOOKUP($AS27,fJetFuel!$B:$O,14,0),"")</f>
        <v>165829785.85352284</v>
      </c>
      <c r="AU27" s="234">
        <f>IFERROR(AU$11*VLOOKUP($AS27,fJetFuel!$B:$O,14,0),"")</f>
        <v>1954817274.7558048</v>
      </c>
      <c r="AV27" s="234">
        <f>IFERROR(AV$11*VLOOKUP($AS27,fJetFuel!$B:$O,14,0),"")</f>
        <v>218528781.07819548</v>
      </c>
      <c r="AW27" s="234">
        <f>IFERROR(AW$11*VLOOKUP($AS27,fJetFuel!$B:$O,14,0),"")</f>
        <v>952870880.19118702</v>
      </c>
      <c r="AX27" s="234">
        <f>IFERROR(AX$11*VLOOKUP($AS27,fJetFuel!$B:$O,14,0),"")</f>
        <v>660996287.54082632</v>
      </c>
      <c r="AY27" s="234">
        <f>IFERROR(AY$11*VLOOKUP($AS27,fJetFuel!$B:$O,14,0),"")</f>
        <v>0</v>
      </c>
      <c r="AZ27" s="75" t="b">
        <f>SUM(AT27:AX27)=fJetFuel!O37</f>
        <v>1</v>
      </c>
      <c r="BA27" s="169">
        <f t="shared" si="6"/>
        <v>2037</v>
      </c>
      <c r="BB27" s="234">
        <f>IFERROR(BB$11*VLOOKUP($AS27,fJetFuel!$B:$P,15,0),"")</f>
        <v>91250459.045188949</v>
      </c>
      <c r="BC27" s="234">
        <f>IFERROR(BC$11*VLOOKUP($AS27,fJetFuel!$B:$P,15,0),"")</f>
        <v>1075669082.9263532</v>
      </c>
      <c r="BD27" s="234">
        <f>IFERROR(BD$11*VLOOKUP($AS27,fJetFuel!$B:$P,15,0),"")</f>
        <v>120248913.57928097</v>
      </c>
      <c r="BE27" s="234">
        <f>IFERROR(BE$11*VLOOKUP($AS27,fJetFuel!$B:$P,15,0),"")</f>
        <v>524332252.9828372</v>
      </c>
      <c r="BF27" s="234">
        <f>IFERROR(BF$11*VLOOKUP($AS27,fJetFuel!$B:$P,15,0),"")</f>
        <v>363723648.04561299</v>
      </c>
      <c r="BG27" s="234">
        <f>IFERROR(BG$11*VLOOKUP($AS27,fJetFuel!$B:$O,14,0),"")</f>
        <v>0</v>
      </c>
    </row>
    <row r="28" spans="4:59" x14ac:dyDescent="0.6">
      <c r="E28" s="81">
        <v>2020</v>
      </c>
      <c r="F28" s="114">
        <v>71998346.948000014</v>
      </c>
      <c r="G28" s="114">
        <v>530249069.734999</v>
      </c>
      <c r="H28" s="114">
        <v>44843064.164000005</v>
      </c>
      <c r="I28" s="114">
        <v>321572570.96800005</v>
      </c>
      <c r="J28" s="114">
        <v>122154607.43785501</v>
      </c>
      <c r="K28" s="114">
        <f t="shared" ref="K28:K31" si="9">SUM(F28:J28)</f>
        <v>1090817659.2528541</v>
      </c>
      <c r="Y28" s="76">
        <v>2021</v>
      </c>
      <c r="Z28" s="114">
        <v>703501144</v>
      </c>
      <c r="AA28" s="114">
        <v>147368904</v>
      </c>
      <c r="AB28" s="280">
        <f t="shared" si="5"/>
        <v>0.308453758731768</v>
      </c>
      <c r="AC28" s="280"/>
      <c r="AD28" s="79">
        <f t="shared" si="1"/>
        <v>498813699</v>
      </c>
      <c r="AE28" s="83"/>
      <c r="AF28" s="83"/>
      <c r="AG28" s="83"/>
      <c r="AS28" s="77">
        <v>2038</v>
      </c>
      <c r="AT28" s="234">
        <f>IFERROR(AT$11*VLOOKUP($AS28,fJetFuel!$B:$O,14,0),"")</f>
        <v>172780105.07202753</v>
      </c>
      <c r="AU28" s="234">
        <f>IFERROR(AU$11*VLOOKUP($AS28,fJetFuel!$B:$O,14,0),"")</f>
        <v>2036748298.205363</v>
      </c>
      <c r="AV28" s="234">
        <f>IFERROR(AV$11*VLOOKUP($AS28,fJetFuel!$B:$O,14,0),"")</f>
        <v>227687840.04403034</v>
      </c>
      <c r="AW28" s="234">
        <f>IFERROR(AW$11*VLOOKUP($AS28,fJetFuel!$B:$O,14,0),"")</f>
        <v>992807956.37601757</v>
      </c>
      <c r="AX28" s="234">
        <f>IFERROR(AX$11*VLOOKUP($AS28,fJetFuel!$B:$O,14,0),"")</f>
        <v>688700208.02175391</v>
      </c>
      <c r="AY28" s="234">
        <f>IFERROR(AY$11*VLOOKUP($AS28,fJetFuel!$B:$O,14,0),"")</f>
        <v>0</v>
      </c>
      <c r="AZ28" s="75" t="b">
        <f>SUM(AT28:AX28)=fJetFuel!O38</f>
        <v>1</v>
      </c>
      <c r="BA28" s="169">
        <f t="shared" si="6"/>
        <v>2038</v>
      </c>
      <c r="BB28" s="234">
        <f>IFERROR(BB$11*VLOOKUP($AS28,fJetFuel!$B:$P,15,0),"")</f>
        <v>92469511.273543611</v>
      </c>
      <c r="BC28" s="234">
        <f>IFERROR(BC$11*VLOOKUP($AS28,fJetFuel!$B:$P,15,0),"")</f>
        <v>1090039386.4430096</v>
      </c>
      <c r="BD28" s="234">
        <f>IFERROR(BD$11*VLOOKUP($AS28,fJetFuel!$B:$P,15,0),"")</f>
        <v>121855368.02992058</v>
      </c>
      <c r="BE28" s="234">
        <f>IFERROR(BE$11*VLOOKUP($AS28,fJetFuel!$B:$P,15,0),"")</f>
        <v>531337022.14329058</v>
      </c>
      <c r="BF28" s="234">
        <f>IFERROR(BF$11*VLOOKUP($AS28,fJetFuel!$B:$P,15,0),"")</f>
        <v>368582781.12061167</v>
      </c>
      <c r="BG28" s="234">
        <f>IFERROR(BG$11*VLOOKUP($AS28,fJetFuel!$B:$O,14,0),"")</f>
        <v>0</v>
      </c>
    </row>
    <row r="29" spans="4:59" x14ac:dyDescent="0.6">
      <c r="E29" s="81">
        <v>2021</v>
      </c>
      <c r="F29" s="114">
        <v>68141331.618999988</v>
      </c>
      <c r="G29" s="114">
        <v>504497153.993999</v>
      </c>
      <c r="H29" s="114">
        <v>64579892.925999999</v>
      </c>
      <c r="I29" s="114">
        <v>254729204.57700002</v>
      </c>
      <c r="J29" s="114">
        <v>155933421.06200001</v>
      </c>
      <c r="K29" s="114">
        <f t="shared" si="9"/>
        <v>1047881004.177999</v>
      </c>
      <c r="Y29" s="76">
        <v>2022</v>
      </c>
      <c r="Z29" s="114">
        <v>1063826506</v>
      </c>
      <c r="AA29" s="114">
        <v>418774780</v>
      </c>
      <c r="AB29" s="280">
        <f t="shared" si="5"/>
        <v>0.34545197490661067</v>
      </c>
      <c r="AC29" s="280"/>
      <c r="AD29" s="79">
        <f t="shared" si="1"/>
        <v>837794557.91999984</v>
      </c>
      <c r="AE29" s="83"/>
      <c r="AF29" s="83"/>
      <c r="AG29" s="83"/>
      <c r="AS29" s="77">
        <v>2039</v>
      </c>
      <c r="AT29" s="234">
        <f>IFERROR(AT$11*VLOOKUP($AS29,fJetFuel!$B:$O,14,0),"")</f>
        <v>179807269.46317512</v>
      </c>
      <c r="AU29" s="234">
        <f>IFERROR(AU$11*VLOOKUP($AS29,fJetFuel!$B:$O,14,0),"")</f>
        <v>2119585179.8527765</v>
      </c>
      <c r="AV29" s="234">
        <f>IFERROR(AV$11*VLOOKUP($AS29,fJetFuel!$B:$O,14,0),"")</f>
        <v>236948164.7856302</v>
      </c>
      <c r="AW29" s="234">
        <f>IFERROR(AW$11*VLOOKUP($AS29,fJetFuel!$B:$O,14,0),"")</f>
        <v>1033186590.9149027</v>
      </c>
      <c r="AX29" s="234">
        <f>IFERROR(AX$11*VLOOKUP($AS29,fJetFuel!$B:$O,14,0),"")</f>
        <v>716710432.78674579</v>
      </c>
      <c r="AY29" s="234">
        <f>IFERROR(AY$11*VLOOKUP($AS29,fJetFuel!$B:$O,14,0),"")</f>
        <v>0</v>
      </c>
      <c r="AZ29" s="75" t="b">
        <f>SUM(AT29:AX29)=fJetFuel!O39</f>
        <v>1</v>
      </c>
      <c r="BA29" s="169">
        <f t="shared" si="6"/>
        <v>2039</v>
      </c>
      <c r="BB29" s="234">
        <f>IFERROR(BB$11*VLOOKUP($AS29,fJetFuel!$B:$P,15,0),"")</f>
        <v>93692398.067723542</v>
      </c>
      <c r="BC29" s="234">
        <f>IFERROR(BC$11*VLOOKUP($AS29,fJetFuel!$B:$P,15,0),"")</f>
        <v>1104454892.1860201</v>
      </c>
      <c r="BD29" s="234">
        <f>IFERROR(BD$11*VLOOKUP($AS29,fJetFuel!$B:$P,15,0),"")</f>
        <v>123466875.63184687</v>
      </c>
      <c r="BE29" s="234">
        <f>IFERROR(BE$11*VLOOKUP($AS29,fJetFuel!$B:$P,15,0),"")</f>
        <v>538363825.01797843</v>
      </c>
      <c r="BF29" s="234">
        <f>IFERROR(BF$11*VLOOKUP($AS29,fJetFuel!$B:$P,15,0),"")</f>
        <v>373457198.74634284</v>
      </c>
      <c r="BG29" s="234">
        <f>IFERROR(BG$11*VLOOKUP($AS29,fJetFuel!$B:$O,14,0),"")</f>
        <v>0</v>
      </c>
    </row>
    <row r="30" spans="4:59" x14ac:dyDescent="0.6">
      <c r="E30" s="81">
        <v>2022</v>
      </c>
      <c r="F30" s="114">
        <v>38795887.325000003</v>
      </c>
      <c r="G30" s="114">
        <v>857734056.31100011</v>
      </c>
      <c r="H30" s="114">
        <v>126994503.84199999</v>
      </c>
      <c r="I30" s="114">
        <v>460584979.88800007</v>
      </c>
      <c r="J30" s="114">
        <v>360986693.648</v>
      </c>
      <c r="K30" s="114">
        <f t="shared" si="9"/>
        <v>1845096121.0140002</v>
      </c>
      <c r="Y30" s="76">
        <v>2023</v>
      </c>
      <c r="Z30" s="114">
        <f>1888.27669782*1000000</f>
        <v>1888276697.8199999</v>
      </c>
      <c r="AA30" s="114"/>
      <c r="AB30" s="280">
        <f t="shared" si="5"/>
        <v>0.59969524082883485</v>
      </c>
      <c r="AC30" s="280"/>
      <c r="AD30" s="79">
        <f t="shared" si="1"/>
        <v>-37759059.762000084</v>
      </c>
      <c r="AE30" s="83"/>
      <c r="AF30" s="83"/>
      <c r="AG30" s="83"/>
      <c r="AS30" s="77">
        <v>2040</v>
      </c>
      <c r="AT30" s="234">
        <f>IFERROR(AT$11*VLOOKUP($AS30,fJetFuel!$B:$O,14,0),"")</f>
        <v>186912373.7466988</v>
      </c>
      <c r="AU30" s="234">
        <f>IFERROR(AU$11*VLOOKUP($AS30,fJetFuel!$B:$O,14,0),"")</f>
        <v>2203340824.3582926</v>
      </c>
      <c r="AV30" s="234">
        <f>IFERROR(AV$11*VLOOKUP($AS30,fJetFuel!$B:$O,14,0),"")</f>
        <v>246311197.91336614</v>
      </c>
      <c r="AW30" s="234">
        <f>IFERROR(AW$11*VLOOKUP($AS30,fJetFuel!$B:$O,14,0),"")</f>
        <v>1074013074.1527905</v>
      </c>
      <c r="AX30" s="234">
        <f>IFERROR(AX$11*VLOOKUP($AS30,fJetFuel!$B:$O,14,0),"")</f>
        <v>745031325.38048005</v>
      </c>
      <c r="AY30" s="234">
        <f>IFERROR(AY$11*VLOOKUP($AS30,fJetFuel!$B:$O,14,0),"")</f>
        <v>0</v>
      </c>
      <c r="AZ30" s="75" t="b">
        <f>SUM(AT30:AX30)=fJetFuel!O40</f>
        <v>1</v>
      </c>
      <c r="BA30" s="169">
        <f t="shared" si="6"/>
        <v>2040</v>
      </c>
      <c r="BB30" s="234">
        <f>IFERROR(BB$11*VLOOKUP($AS30,fJetFuel!$B:$P,15,0),"")</f>
        <v>94919138.778348505</v>
      </c>
      <c r="BC30" s="234">
        <f>IFERROR(BC$11*VLOOKUP($AS30,fJetFuel!$B:$P,15,0),"")</f>
        <v>1118915828.2623296</v>
      </c>
      <c r="BD30" s="234">
        <f>IFERROR(BD$11*VLOOKUP($AS30,fJetFuel!$B:$P,15,0),"")</f>
        <v>125083461.88510697</v>
      </c>
      <c r="BE30" s="234">
        <f>IFERROR(BE$11*VLOOKUP($AS30,fJetFuel!$B:$P,15,0),"")</f>
        <v>545412772.79707086</v>
      </c>
      <c r="BF30" s="234">
        <f>IFERROR(BF$11*VLOOKUP($AS30,fJetFuel!$B:$P,15,0),"")</f>
        <v>378346978.0542323</v>
      </c>
      <c r="BG30" s="234">
        <f>IFERROR(BG$11*VLOOKUP($AS30,fJetFuel!$B:$O,14,0),"")</f>
        <v>0</v>
      </c>
    </row>
    <row r="31" spans="4:59" x14ac:dyDescent="0.6">
      <c r="E31" s="81">
        <v>2023</v>
      </c>
      <c r="F31" s="114">
        <v>34696000.689999998</v>
      </c>
      <c r="G31" s="114">
        <v>878871910.102</v>
      </c>
      <c r="H31" s="114">
        <v>109823225.49200001</v>
      </c>
      <c r="I31" s="114">
        <v>402625905.28400004</v>
      </c>
      <c r="J31" s="114">
        <v>408876001.14199996</v>
      </c>
      <c r="K31" s="114">
        <f t="shared" si="9"/>
        <v>1834893042.71</v>
      </c>
      <c r="Y31" s="76">
        <v>2024</v>
      </c>
      <c r="Z31" s="361"/>
      <c r="AA31" s="136"/>
      <c r="AB31" s="362">
        <f>(VLOOKUP('Jet - DemandSupply'!Y31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31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31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31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31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31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31,Assumptions!$L$102:$L$131,0),MATCH("PetroSA",Assumptions!$L$102:$R$102,0))))/VLOOKUP($Y31,fJetFuel!$B:$P,14,0)</f>
        <v>0.39510196638264389</v>
      </c>
      <c r="AC31" s="362">
        <f>(VLOOKUP($Y31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31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31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31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31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31,Assumptions!$L$135:$L$164,0),MATCH("PetroSA",Assumptions!$L$135:$R$135,0))))/VLOOKUP($Y31,fJetFuel!$B:$P,15,0)</f>
        <v>0.49140689916634306</v>
      </c>
      <c r="AD31" s="103">
        <v>0.44909733039148225</v>
      </c>
      <c r="AE31" s="83"/>
      <c r="AF31" s="83"/>
      <c r="AG31" s="83"/>
      <c r="AS31" s="77">
        <v>2041</v>
      </c>
      <c r="AT31" s="234">
        <f>IFERROR(AT$11*VLOOKUP($AS31,fJetFuel!$B:$O,14,0),"")</f>
        <v>194096531.3912524</v>
      </c>
      <c r="AU31" s="234">
        <f>IFERROR(AU$11*VLOOKUP($AS31,fJetFuel!$B:$O,14,0),"")</f>
        <v>2288028357.3962183</v>
      </c>
      <c r="AV31" s="234">
        <f>IFERROR(AV$11*VLOOKUP($AS31,fJetFuel!$B:$O,14,0),"")</f>
        <v>255778406.74474359</v>
      </c>
      <c r="AW31" s="234">
        <f>IFERROR(AW$11*VLOOKUP($AS31,fJetFuel!$B:$O,14,0),"")</f>
        <v>1115293804.1673894</v>
      </c>
      <c r="AX31" s="234">
        <f>IFERROR(AX$11*VLOOKUP($AS31,fJetFuel!$B:$O,14,0),"")</f>
        <v>773667324.08069253</v>
      </c>
      <c r="AY31" s="234">
        <f>IFERROR(AY$11*VLOOKUP($AS31,fJetFuel!$B:$O,14,0),"")</f>
        <v>0</v>
      </c>
      <c r="AZ31" s="75" t="b">
        <f>SUM(AT31:AX31)=fJetFuel!O41</f>
        <v>1</v>
      </c>
      <c r="BA31" s="169">
        <f t="shared" si="6"/>
        <v>2041</v>
      </c>
      <c r="BB31" s="234">
        <f>IFERROR(BB$11*VLOOKUP($AS31,fJetFuel!$B:$P,15,0),"")</f>
        <v>96149752.87034823</v>
      </c>
      <c r="BC31" s="234">
        <f>IFERROR(BC$11*VLOOKUP($AS31,fJetFuel!$B:$P,15,0),"")</f>
        <v>1133422424.1263795</v>
      </c>
      <c r="BD31" s="234">
        <f>IFERROR(BD$11*VLOOKUP($AS31,fJetFuel!$B:$P,15,0),"")</f>
        <v>126705152.44038448</v>
      </c>
      <c r="BE31" s="234">
        <f>IFERROR(BE$11*VLOOKUP($AS31,fJetFuel!$B:$P,15,0),"")</f>
        <v>552483977.32757199</v>
      </c>
      <c r="BF31" s="234">
        <f>IFERROR(BF$11*VLOOKUP($AS31,fJetFuel!$B:$P,15,0),"")</f>
        <v>383252196.6313445</v>
      </c>
      <c r="BG31" s="234">
        <f>IFERROR(BG$11*VLOOKUP($AS31,fJetFuel!$B:$O,14,0),"")</f>
        <v>0</v>
      </c>
    </row>
    <row r="32" spans="4:59" x14ac:dyDescent="0.6">
      <c r="F32" s="83"/>
      <c r="G32" s="83"/>
      <c r="H32" s="83"/>
      <c r="I32" s="83"/>
      <c r="J32" s="83"/>
      <c r="Y32" s="76">
        <v>2025</v>
      </c>
      <c r="Z32" s="361"/>
      <c r="AA32" s="136"/>
      <c r="AB32" s="362">
        <f>(VLOOKUP('Jet - DemandSupply'!Y32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32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32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32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32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32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32,Assumptions!$L$102:$L$131,0),MATCH("PetroSA",Assumptions!$L$102:$R$102,0))))/VLOOKUP($Y32,fJetFuel!$B:$P,14,0)</f>
        <v>0.4288092572383907</v>
      </c>
      <c r="AC32" s="362">
        <f>(VLOOKUP($Y32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32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32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32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32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32,Assumptions!$L$135:$L$164,0),MATCH("PetroSA",Assumptions!$L$135:$R$135,0))))/VLOOKUP($Y32,fJetFuel!$B:$P,15,0)</f>
        <v>0.51116917912650306</v>
      </c>
      <c r="AD32" s="103">
        <v>0.52353298533132908</v>
      </c>
      <c r="AE32" s="83"/>
      <c r="AF32" s="83"/>
      <c r="AG32" s="83"/>
      <c r="AS32" s="77">
        <v>2042</v>
      </c>
      <c r="AT32" s="234">
        <f>IFERROR(AT$11*VLOOKUP($AS32,fJetFuel!$B:$O,14,0),"")</f>
        <v>201360874.96701446</v>
      </c>
      <c r="AU32" s="234">
        <f>IFERROR(AU$11*VLOOKUP($AS32,fJetFuel!$B:$O,14,0),"")</f>
        <v>2373661129.8114486</v>
      </c>
      <c r="AV32" s="234">
        <f>IFERROR(AV$11*VLOOKUP($AS32,fJetFuel!$B:$O,14,0),"")</f>
        <v>265351283.76906005</v>
      </c>
      <c r="AW32" s="234">
        <f>IFERROR(AW$11*VLOOKUP($AS32,fJetFuel!$B:$O,14,0),"")</f>
        <v>1157035288.7952583</v>
      </c>
      <c r="AX32" s="234">
        <f>IFERROR(AX$11*VLOOKUP($AS32,fJetFuel!$B:$O,14,0),"")</f>
        <v>802622943.3036536</v>
      </c>
      <c r="AY32" s="234">
        <f>IFERROR(AY$11*VLOOKUP($AS32,fJetFuel!$B:$O,14,0),"")</f>
        <v>0</v>
      </c>
      <c r="AZ32" s="75" t="b">
        <f>SUM(AT32:AX32)=fJetFuel!O42</f>
        <v>1</v>
      </c>
      <c r="BA32" s="169">
        <f t="shared" si="6"/>
        <v>2042</v>
      </c>
      <c r="BB32" s="234">
        <f>IFERROR(BB$11*VLOOKUP($AS32,fJetFuel!$B:$P,15,0),"")</f>
        <v>97384259.923660651</v>
      </c>
      <c r="BC32" s="234">
        <f>IFERROR(BC$11*VLOOKUP($AS32,fJetFuel!$B:$P,15,0),"")</f>
        <v>1147974910.5883389</v>
      </c>
      <c r="BD32" s="234">
        <f>IFERROR(BD$11*VLOOKUP($AS32,fJetFuel!$B:$P,15,0),"")</f>
        <v>128331973.09991962</v>
      </c>
      <c r="BE32" s="234">
        <f>IFERROR(BE$11*VLOOKUP($AS32,fJetFuel!$B:$P,15,0),"")</f>
        <v>559577551.11733174</v>
      </c>
      <c r="BF32" s="234">
        <f>IFERROR(BF$11*VLOOKUP($AS32,fJetFuel!$B:$P,15,0),"")</f>
        <v>388172932.52316582</v>
      </c>
      <c r="BG32" s="234">
        <f>IFERROR(BG$11*VLOOKUP($AS32,fJetFuel!$B:$O,14,0),"")</f>
        <v>0</v>
      </c>
    </row>
    <row r="33" spans="1:61" x14ac:dyDescent="0.6">
      <c r="Y33" s="76">
        <v>2026</v>
      </c>
      <c r="Z33" s="361"/>
      <c r="AA33" s="136"/>
      <c r="AB33" s="362">
        <f>(VLOOKUP('Jet - DemandSupply'!Y33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33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33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33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33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33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33,Assumptions!$L$102:$L$131,0),MATCH("PetroSA",Assumptions!$L$102:$R$102,0))))/VLOOKUP($Y33,fJetFuel!$B:$P,14,0)</f>
        <v>0.50187742842952532</v>
      </c>
      <c r="AC33" s="362">
        <f>(VLOOKUP($Y33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33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33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33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33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33,Assumptions!$L$135:$L$164,0),MATCH("PetroSA",Assumptions!$L$135:$R$135,0))))/VLOOKUP($Y33,fJetFuel!$B:$P,15,0)</f>
        <v>0.55300273472961614</v>
      </c>
      <c r="AD33" s="103">
        <v>0.57583490887154265</v>
      </c>
      <c r="AE33" s="83"/>
      <c r="AF33" s="83"/>
      <c r="AG33" s="83"/>
      <c r="AS33" s="77">
        <v>2043</v>
      </c>
      <c r="AT33" s="234">
        <f>IFERROR(AT$11*VLOOKUP($AS33,fJetFuel!$B:$O,14,0),"")</f>
        <v>208706556.50518367</v>
      </c>
      <c r="AU33" s="234">
        <f>IFERROR(AU$11*VLOOKUP($AS33,fJetFuel!$B:$O,14,0),"")</f>
        <v>2460252721.8572326</v>
      </c>
      <c r="AV33" s="234">
        <f>IFERROR(AV$11*VLOOKUP($AS33,fJetFuel!$B:$O,14,0),"")</f>
        <v>275031347.12114465</v>
      </c>
      <c r="AW33" s="234">
        <f>IFERROR(AW$11*VLOOKUP($AS33,fJetFuel!$B:$O,14,0),"")</f>
        <v>1199244147.6974947</v>
      </c>
      <c r="AX33" s="234">
        <f>IFERROR(AX$11*VLOOKUP($AS33,fJetFuel!$B:$O,14,0),"")</f>
        <v>831902775.03711462</v>
      </c>
      <c r="AY33" s="234">
        <f>IFERROR(AY$11*VLOOKUP($AS33,fJetFuel!$B:$O,14,0),"")</f>
        <v>0</v>
      </c>
      <c r="AZ33" s="75" t="b">
        <f>SUM(AT32:AX32)=fJetFuel!O42</f>
        <v>1</v>
      </c>
      <c r="BA33" s="169">
        <f t="shared" si="6"/>
        <v>2043</v>
      </c>
      <c r="BB33" s="234">
        <f>IFERROR(BB$11*VLOOKUP($AS33,fJetFuel!$B:$P,15,0),"")</f>
        <v>98622679.633936003</v>
      </c>
      <c r="BC33" s="234">
        <f>IFERROR(BC$11*VLOOKUP($AS33,fJetFuel!$B:$P,15,0),"")</f>
        <v>1162573519.8224044</v>
      </c>
      <c r="BD33" s="234">
        <f>IFERROR(BD$11*VLOOKUP($AS33,fJetFuel!$B:$P,15,0),"")</f>
        <v>129963949.81843708</v>
      </c>
      <c r="BE33" s="234">
        <f>IFERROR(BE$11*VLOOKUP($AS33,fJetFuel!$B:$P,15,0),"")</f>
        <v>566693607.33909237</v>
      </c>
      <c r="BF33" s="234">
        <f>IFERROR(BF$11*VLOOKUP($AS33,fJetFuel!$B:$P,15,0),"")</f>
        <v>393109264.23641098</v>
      </c>
      <c r="BG33" s="234">
        <f>IFERROR(BG$11*VLOOKUP($AS33,fJetFuel!$B:$O,14,0),"")</f>
        <v>0</v>
      </c>
      <c r="BH33" s="120"/>
      <c r="BI33" s="120"/>
    </row>
    <row r="34" spans="1:61" x14ac:dyDescent="0.6">
      <c r="E34" s="77" t="s">
        <v>205</v>
      </c>
      <c r="K34" s="117" t="s">
        <v>52</v>
      </c>
      <c r="Y34" s="76">
        <v>2027</v>
      </c>
      <c r="Z34" s="361"/>
      <c r="AA34" s="136"/>
      <c r="AB34" s="362">
        <f>(VLOOKUP('Jet - DemandSupply'!Y34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34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34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34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34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34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34,Assumptions!$L$102:$L$131,0),MATCH("PetroSA",Assumptions!$L$102:$R$102,0))))/VLOOKUP($Y34,fJetFuel!$B:$P,14,0)</f>
        <v>0.5515928676288383</v>
      </c>
      <c r="AC34" s="362">
        <f>(VLOOKUP($Y34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34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34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34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34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34,Assumptions!$L$135:$L$164,0),MATCH("PetroSA",Assumptions!$L$135:$R$135,0))))/VLOOKUP($Y34,fJetFuel!$B:$P,15,0)</f>
        <v>0.57270354206886587</v>
      </c>
      <c r="AD34" s="103">
        <v>0.4445403706288264</v>
      </c>
      <c r="AE34" s="83"/>
      <c r="AF34" s="83"/>
      <c r="AG34" s="83"/>
      <c r="AS34" s="77">
        <v>2044</v>
      </c>
      <c r="AT34" s="234">
        <f>IFERROR(AT$11*VLOOKUP($AS34,fJetFuel!$B:$O,14,0),"")</f>
        <v>216134747.86450461</v>
      </c>
      <c r="AU34" s="234">
        <f>IFERROR(AU$11*VLOOKUP($AS34,fJetFuel!$B:$O,14,0),"")</f>
        <v>2547816947.5158153</v>
      </c>
      <c r="AV34" s="234">
        <f>IFERROR(AV$11*VLOOKUP($AS34,fJetFuel!$B:$O,14,0),"")</f>
        <v>284820141.06436193</v>
      </c>
      <c r="AW34" s="234">
        <f>IFERROR(AW$11*VLOOKUP($AS34,fJetFuel!$B:$O,14,0),"")</f>
        <v>1241927114.4658217</v>
      </c>
      <c r="AX34" s="234">
        <f>IFERROR(AX$11*VLOOKUP($AS34,fJetFuel!$B:$O,14,0),"")</f>
        <v>861511490.30127692</v>
      </c>
      <c r="AY34" s="234">
        <f>IFERROR(AY$11*VLOOKUP($AS34,fJetFuel!$B:$O,14,0),"")</f>
        <v>0</v>
      </c>
      <c r="AZ34" s="75" t="b">
        <f>SUM(AT34:AX34)=fJetFuel!O44</f>
        <v>1</v>
      </c>
      <c r="BA34" s="169">
        <f t="shared" si="6"/>
        <v>2044</v>
      </c>
      <c r="BB34" s="234">
        <f>IFERROR(BB$11*VLOOKUP($AS34,fJetFuel!$B:$P,15,0),"")</f>
        <v>99865031.813243985</v>
      </c>
      <c r="BC34" s="234">
        <f>IFERROR(BC$11*VLOOKUP($AS34,fJetFuel!$B:$P,15,0),"")</f>
        <v>1177218485.3751364</v>
      </c>
      <c r="BD34" s="234">
        <f>IFERROR(BD$11*VLOOKUP($AS34,fJetFuel!$B:$P,15,0),"")</f>
        <v>131601108.70407793</v>
      </c>
      <c r="BE34" s="234">
        <f>IFERROR(BE$11*VLOOKUP($AS34,fJetFuel!$B:$P,15,0),"")</f>
        <v>573832259.83455122</v>
      </c>
      <c r="BF34" s="234">
        <f>IFERROR(BF$11*VLOOKUP($AS34,fJetFuel!$B:$P,15,0),"")</f>
        <v>398061270.74184173</v>
      </c>
      <c r="BG34" s="234">
        <f>IFERROR(BG$11*VLOOKUP($AS34,fJetFuel!$B:$O,14,0),"")</f>
        <v>0</v>
      </c>
      <c r="BH34" s="120"/>
      <c r="BI34" s="120"/>
    </row>
    <row r="35" spans="1:61" x14ac:dyDescent="0.6">
      <c r="E35" s="81">
        <v>2019</v>
      </c>
      <c r="F35" s="114">
        <v>2586374.0079999999</v>
      </c>
      <c r="G35" s="114">
        <v>2023786.1999999997</v>
      </c>
      <c r="H35" s="114">
        <v>3851150.2069999999</v>
      </c>
      <c r="I35" s="114">
        <v>106881</v>
      </c>
      <c r="J35" s="114">
        <v>2084348.915</v>
      </c>
      <c r="K35" s="114">
        <f>SUM(F35:J35)</f>
        <v>10652540.329999998</v>
      </c>
      <c r="Y35" s="76">
        <v>2028</v>
      </c>
      <c r="Z35" s="361"/>
      <c r="AA35" s="136"/>
      <c r="AB35" s="362">
        <f>(VLOOKUP('Jet - DemandSupply'!Y35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35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35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35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35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35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35,Assumptions!$L$102:$L$131,0),MATCH("PetroSA",Assumptions!$L$102:$R$102,0))))/VLOOKUP($Y35,fJetFuel!$B:$P,14,0)</f>
        <v>0.59458826910691764</v>
      </c>
      <c r="AC35" s="362">
        <f>(VLOOKUP($Y35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35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35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35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35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35,Assumptions!$L$135:$L$164,0),MATCH("PetroSA",Assumptions!$L$135:$R$135,0))))/VLOOKUP($Y35,fJetFuel!$B:$P,15,0)</f>
        <v>0.57661220170959193</v>
      </c>
      <c r="AD35" s="103">
        <v>0.45678607293843437</v>
      </c>
      <c r="AE35" s="83"/>
      <c r="AF35" s="83"/>
      <c r="AG35" s="83"/>
      <c r="AS35" s="77">
        <v>2045</v>
      </c>
      <c r="AT35" s="234">
        <f>IFERROR(AT$11*VLOOKUP($AS35,fJetFuel!$B:$O,14,0),"")</f>
        <v>223646641.10496217</v>
      </c>
      <c r="AU35" s="234">
        <f>IFERROR(AU$11*VLOOKUP($AS35,fJetFuel!$B:$O,14,0),"")</f>
        <v>2636367858.903583</v>
      </c>
      <c r="AV35" s="234">
        <f>IFERROR(AV$11*VLOOKUP($AS35,fJetFuel!$B:$O,14,0),"")</f>
        <v>294719236.48306262</v>
      </c>
      <c r="AW35" s="234">
        <f>IFERROR(AW$11*VLOOKUP($AS35,fJetFuel!$B:$O,14,0),"")</f>
        <v>1285091038.7698643</v>
      </c>
      <c r="AX35" s="234">
        <f>IFERROR(AX$11*VLOOKUP($AS35,fJetFuel!$B:$O,14,0),"")</f>
        <v>891453840.63833499</v>
      </c>
      <c r="AY35" s="234">
        <f>IFERROR(AY$11*VLOOKUP($AS35,fJetFuel!$B:$O,14,0),"")</f>
        <v>0</v>
      </c>
      <c r="AZ35" s="75" t="b">
        <f>SUM(AT35:AX35)=fJetFuel!O45</f>
        <v>1</v>
      </c>
      <c r="BA35" s="169">
        <f t="shared" si="6"/>
        <v>2045</v>
      </c>
      <c r="BB35" s="234">
        <f>IFERROR(BB$11*VLOOKUP($AS35,fJetFuel!$B:$P,15,0),"")</f>
        <v>101111336.39078626</v>
      </c>
      <c r="BC35" s="234">
        <f>IFERROR(BC$11*VLOOKUP($AS35,fJetFuel!$B:$P,15,0),"")</f>
        <v>1191910042.1738579</v>
      </c>
      <c r="BD35" s="234">
        <f>IFERROR(BD$11*VLOOKUP($AS35,fJetFuel!$B:$P,15,0),"")</f>
        <v>133243476.01933852</v>
      </c>
      <c r="BE35" s="234">
        <f>IFERROR(BE$11*VLOOKUP($AS35,fJetFuel!$B:$P,15,0),"")</f>
        <v>580993623.11845481</v>
      </c>
      <c r="BF35" s="234">
        <f>IFERROR(BF$11*VLOOKUP($AS35,fJetFuel!$B:$P,15,0),"")</f>
        <v>403029031.47710705</v>
      </c>
      <c r="BG35" s="234">
        <f>IFERROR(BG$11*VLOOKUP($AS35,fJetFuel!$B:$O,14,0),"")</f>
        <v>0</v>
      </c>
      <c r="BH35" s="120"/>
      <c r="BI35" s="120"/>
    </row>
    <row r="36" spans="1:61" x14ac:dyDescent="0.6">
      <c r="E36" s="81">
        <v>2020</v>
      </c>
      <c r="F36" s="114">
        <v>2066016.3920000002</v>
      </c>
      <c r="G36" s="114">
        <v>728798.01699999999</v>
      </c>
      <c r="H36" s="114">
        <v>3580917.62</v>
      </c>
      <c r="I36" s="114">
        <v>59592</v>
      </c>
      <c r="J36" s="114">
        <v>1116111.3939999999</v>
      </c>
      <c r="K36" s="114">
        <f t="shared" ref="K36:K39" si="10">SUM(F36:J36)</f>
        <v>7551435.4230000004</v>
      </c>
      <c r="Y36" s="76">
        <v>2029</v>
      </c>
      <c r="Z36" s="361"/>
      <c r="AA36" s="136"/>
      <c r="AB36" s="362">
        <f>(VLOOKUP('Jet - DemandSupply'!Y36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36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36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36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36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36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36,Assumptions!$L$102:$L$131,0),MATCH("PetroSA",Assumptions!$L$102:$R$102,0))))/VLOOKUP($Y36,fJetFuel!$B:$P,14,0)</f>
        <v>0.63219376872267441</v>
      </c>
      <c r="AC36" s="362">
        <f>(VLOOKUP($Y36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36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36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36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36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36,Assumptions!$L$135:$L$164,0),MATCH("PetroSA",Assumptions!$L$135:$R$135,0))))/VLOOKUP($Y36,fJetFuel!$B:$P,15,0)</f>
        <v>0.58156533290355394</v>
      </c>
      <c r="AD36" s="103">
        <v>0.55037462460259945</v>
      </c>
      <c r="AE36" s="83"/>
      <c r="AF36" s="83"/>
      <c r="AG36" s="83"/>
      <c r="AS36" s="77">
        <v>2046</v>
      </c>
      <c r="AT36" s="234" t="str">
        <f>IFERROR(AT$11*VLOOKUP($AS36,fJetFuel!$B:$O,14,0),"")</f>
        <v/>
      </c>
      <c r="AU36" s="234" t="str">
        <f>IFERROR(AU$11*VLOOKUP($AS36,fJetFuel!$B:$O,14,0),"")</f>
        <v/>
      </c>
      <c r="AV36" s="234" t="str">
        <f>IFERROR(AV$11*VLOOKUP($AS36,fJetFuel!$B:$O,14,0),"")</f>
        <v/>
      </c>
      <c r="AW36" s="234" t="str">
        <f>IFERROR(AW$11*VLOOKUP($AS36,fJetFuel!$B:$O,14,0),"")</f>
        <v/>
      </c>
      <c r="AX36" s="234" t="str">
        <f>IFERROR(AX$11*VLOOKUP($AS36,fJetFuel!$B:$O,14,0),"")</f>
        <v/>
      </c>
      <c r="AY36" s="234" t="str">
        <f>IFERROR(AY$11*VLOOKUP($AS36,fJetFuel!$B:$O,14,0),"")</f>
        <v/>
      </c>
      <c r="BA36" s="169">
        <f t="shared" si="6"/>
        <v>2046</v>
      </c>
      <c r="BH36" s="120"/>
      <c r="BI36" s="120"/>
    </row>
    <row r="37" spans="1:61" x14ac:dyDescent="0.6">
      <c r="E37" s="81">
        <v>2021</v>
      </c>
      <c r="F37" s="114">
        <v>1560487.4370000002</v>
      </c>
      <c r="G37" s="114">
        <v>1045164.356</v>
      </c>
      <c r="H37" s="114">
        <v>3469217.1899999995</v>
      </c>
      <c r="I37" s="114">
        <v>85076</v>
      </c>
      <c r="J37" s="114">
        <v>904990.27599999995</v>
      </c>
      <c r="K37" s="114">
        <f t="shared" si="10"/>
        <v>7064935.2589999987</v>
      </c>
      <c r="Y37" s="76">
        <v>2030</v>
      </c>
      <c r="Z37" s="361"/>
      <c r="AA37" s="136"/>
      <c r="AB37" s="362">
        <f>(VLOOKUP('Jet - DemandSupply'!Y37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37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37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37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37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37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37,Assumptions!$L$102:$L$131,0),MATCH("PetroSA",Assumptions!$L$102:$R$102,0))))/VLOOKUP($Y37,fJetFuel!$B:$P,14,0)</f>
        <v>0.66518092542676777</v>
      </c>
      <c r="AC37" s="362">
        <f>(VLOOKUP($Y37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37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37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37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37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37,Assumptions!$L$135:$L$164,0),MATCH("PetroSA",Assumptions!$L$135:$R$135,0))))/VLOOKUP($Y37,fJetFuel!$B:$P,15,0)</f>
        <v>0.58746277101305289</v>
      </c>
      <c r="AD37" s="103">
        <v>0.58670965254047092</v>
      </c>
      <c r="AE37" s="83"/>
      <c r="AF37" s="83"/>
      <c r="AG37" s="83"/>
      <c r="AS37" s="77">
        <v>2047</v>
      </c>
      <c r="AT37" s="234" t="str">
        <f>IFERROR(AT$11*VLOOKUP($AS37,fJetFuel!$B:$O,14,0),"")</f>
        <v/>
      </c>
      <c r="AU37" s="234" t="str">
        <f>IFERROR(AU$11*VLOOKUP($AS37,fJetFuel!$B:$O,14,0),"")</f>
        <v/>
      </c>
      <c r="AV37" s="234" t="str">
        <f>IFERROR(AV$11*VLOOKUP($AS37,fJetFuel!$B:$O,14,0),"")</f>
        <v/>
      </c>
      <c r="AW37" s="234" t="str">
        <f>IFERROR(AW$11*VLOOKUP($AS37,fJetFuel!$B:$O,14,0),"")</f>
        <v/>
      </c>
      <c r="AX37" s="234" t="str">
        <f>IFERROR(AX$11*VLOOKUP($AS37,fJetFuel!$B:$O,14,0),"")</f>
        <v/>
      </c>
      <c r="AY37" s="234" t="str">
        <f>IFERROR(AY$11*VLOOKUP($AS37,fJetFuel!$B:$O,14,0),"")</f>
        <v/>
      </c>
      <c r="BA37" s="169">
        <f t="shared" si="6"/>
        <v>2047</v>
      </c>
      <c r="BH37" s="120"/>
      <c r="BI37" s="120"/>
    </row>
    <row r="38" spans="1:61" x14ac:dyDescent="0.6">
      <c r="E38" s="81">
        <v>2022</v>
      </c>
      <c r="F38" s="114">
        <v>994293.46199999994</v>
      </c>
      <c r="G38" s="114">
        <v>259413.83500000002</v>
      </c>
      <c r="H38" s="114">
        <v>3028944.3930000002</v>
      </c>
      <c r="I38" s="114">
        <v>122727</v>
      </c>
      <c r="J38" s="114">
        <v>1193171</v>
      </c>
      <c r="K38" s="114">
        <f t="shared" si="10"/>
        <v>5598549.6900000004</v>
      </c>
      <c r="Y38" s="76">
        <v>2031</v>
      </c>
      <c r="Z38" s="361"/>
      <c r="AA38" s="136"/>
      <c r="AB38" s="362">
        <f>(VLOOKUP('Jet - DemandSupply'!Y38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38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38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38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38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38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38,Assumptions!$L$102:$L$131,0),MATCH("PetroSA",Assumptions!$L$102:$R$102,0))))/VLOOKUP($Y38,fJetFuel!$B:$P,14,0)</f>
        <v>0.68234125128514767</v>
      </c>
      <c r="AC38" s="362">
        <f>(VLOOKUP($Y38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38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38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38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38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38,Assumptions!$L$135:$L$164,0),MATCH("PetroSA",Assumptions!$L$135:$R$135,0))))/VLOOKUP($Y38,fJetFuel!$B:$P,15,0)</f>
        <v>0.79137899587571048</v>
      </c>
      <c r="AD38" s="103">
        <v>0.6060085149493003</v>
      </c>
      <c r="AS38" s="77">
        <v>2048</v>
      </c>
      <c r="AT38" s="234" t="str">
        <f>IFERROR(AT$11*VLOOKUP($AS38,fJetFuel!$B:$O,14,0),"")</f>
        <v/>
      </c>
      <c r="AU38" s="234" t="str">
        <f>IFERROR(AU$11*VLOOKUP($AS38,fJetFuel!$B:$O,14,0),"")</f>
        <v/>
      </c>
      <c r="AV38" s="234" t="str">
        <f>IFERROR(AV$11*VLOOKUP($AS38,fJetFuel!$B:$O,14,0),"")</f>
        <v/>
      </c>
      <c r="AW38" s="234" t="str">
        <f>IFERROR(AW$11*VLOOKUP($AS38,fJetFuel!$B:$O,14,0),"")</f>
        <v/>
      </c>
      <c r="AX38" s="234" t="str">
        <f>IFERROR(AX$11*VLOOKUP($AS38,fJetFuel!$B:$O,14,0),"")</f>
        <v/>
      </c>
      <c r="AY38" s="234" t="str">
        <f>IFERROR(AY$11*VLOOKUP($AS38,fJetFuel!$B:$O,14,0),"")</f>
        <v/>
      </c>
      <c r="BA38" s="169">
        <f t="shared" si="6"/>
        <v>2048</v>
      </c>
      <c r="BH38" s="120"/>
      <c r="BI38" s="120"/>
    </row>
    <row r="39" spans="1:61" x14ac:dyDescent="0.6">
      <c r="E39" s="81">
        <v>2023</v>
      </c>
      <c r="F39" s="114">
        <v>1008847.264</v>
      </c>
      <c r="G39" s="114">
        <v>122263.954</v>
      </c>
      <c r="H39" s="114">
        <v>3985103.9679999999</v>
      </c>
      <c r="I39" s="114">
        <v>56120</v>
      </c>
      <c r="J39" s="114">
        <v>722286</v>
      </c>
      <c r="K39" s="114">
        <f t="shared" si="10"/>
        <v>5894621.1859999998</v>
      </c>
      <c r="Y39" s="76">
        <v>2032</v>
      </c>
      <c r="Z39" s="361"/>
      <c r="AA39" s="136"/>
      <c r="AB39" s="362">
        <f>(VLOOKUP('Jet - DemandSupply'!Y39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39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39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39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39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39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39,Assumptions!$L$102:$L$131,0),MATCH("PetroSA",Assumptions!$L$102:$R$102,0))))/VLOOKUP($Y39,fJetFuel!$B:$P,14,0)</f>
        <v>0.69798758925139659</v>
      </c>
      <c r="AC39" s="362">
        <f>(VLOOKUP($Y39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39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39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39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39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39,Assumptions!$L$135:$L$164,0),MATCH("PetroSA",Assumptions!$L$135:$R$135,0))))/VLOOKUP($Y39,fJetFuel!$B:$P,15,0)</f>
        <v>0.7943082006227794</v>
      </c>
      <c r="AD39" s="103">
        <v>0.62376603070548586</v>
      </c>
      <c r="BH39" s="120"/>
      <c r="BI39" s="120"/>
    </row>
    <row r="40" spans="1:61" x14ac:dyDescent="0.6">
      <c r="F40" s="83"/>
      <c r="G40" s="83"/>
      <c r="H40" s="83"/>
      <c r="I40" s="83"/>
      <c r="J40" s="83"/>
      <c r="Y40" s="76">
        <v>2033</v>
      </c>
      <c r="Z40" s="361"/>
      <c r="AA40" s="136"/>
      <c r="AB40" s="362">
        <f>(VLOOKUP('Jet - DemandSupply'!Y40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40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40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40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40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40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40,Assumptions!$L$102:$L$131,0),MATCH("PetroSA",Assumptions!$L$102:$R$102,0))))/VLOOKUP($Y40,fJetFuel!$B:$P,14,0)</f>
        <v>0.71231149419992834</v>
      </c>
      <c r="AC40" s="362">
        <f>(VLOOKUP($Y40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40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40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40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40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40,Assumptions!$L$135:$L$164,0),MATCH("PetroSA",Assumptions!$L$135:$R$135,0))))/VLOOKUP($Y40,fJetFuel!$B:$P,15,0)</f>
        <v>0.79716502184986582</v>
      </c>
      <c r="AD40" s="103">
        <v>0.64015937799941991</v>
      </c>
      <c r="BH40" s="120"/>
      <c r="BI40" s="120"/>
    </row>
    <row r="41" spans="1:61" x14ac:dyDescent="0.6">
      <c r="Y41" s="76">
        <v>2034</v>
      </c>
      <c r="Z41" s="361"/>
      <c r="AA41" s="136"/>
      <c r="AB41" s="362">
        <f>(VLOOKUP('Jet - DemandSupply'!Y41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41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41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41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41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41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41,Assumptions!$L$102:$L$131,0),MATCH("PetroSA",Assumptions!$L$102:$R$102,0))))/VLOOKUP($Y41,fJetFuel!$B:$P,14,0)</f>
        <v>0.72547351162641371</v>
      </c>
      <c r="AC41" s="362">
        <f>(VLOOKUP($Y41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41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41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41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41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41,Assumptions!$L$135:$L$164,0),MATCH("PetroSA",Assumptions!$L$135:$R$135,0))))/VLOOKUP($Y41,fJetFuel!$B:$P,15,0)</f>
        <v>0.7999521127703072</v>
      </c>
      <c r="AD41" s="103">
        <v>0.65533957914375718</v>
      </c>
      <c r="BH41" s="120"/>
      <c r="BI41" s="120"/>
    </row>
    <row r="42" spans="1:61" x14ac:dyDescent="0.6">
      <c r="Y42" s="76">
        <v>2035</v>
      </c>
      <c r="Z42" s="361"/>
      <c r="AA42" s="136"/>
      <c r="AB42" s="362">
        <f>(VLOOKUP('Jet - DemandSupply'!Y42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42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42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42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42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42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42,Assumptions!$L$102:$L$131,0),MATCH("PetroSA",Assumptions!$L$102:$R$102,0))))/VLOOKUP($Y42,fJetFuel!$B:$P,14,0)</f>
        <v>0.73760920837886179</v>
      </c>
      <c r="AC42" s="362">
        <f>(VLOOKUP($Y42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42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42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42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42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42,Assumptions!$L$135:$L$164,0),MATCH("PetroSA",Assumptions!$L$135:$R$135,0))))/VLOOKUP($Y42,fJetFuel!$B:$P,15,0)</f>
        <v>0.80267199845961823</v>
      </c>
      <c r="AD42" s="103">
        <v>0.66943615530053679</v>
      </c>
      <c r="BH42" s="120"/>
      <c r="BI42" s="120"/>
    </row>
    <row r="43" spans="1:61" x14ac:dyDescent="0.6">
      <c r="E43" s="156" t="s">
        <v>206</v>
      </c>
      <c r="F43" s="287">
        <f>AVERAGE(F45:F49)</f>
        <v>4.1949906808090416E-2</v>
      </c>
      <c r="G43" s="287">
        <f>AVERAGE(G45:G49)</f>
        <v>0.49450948803181616</v>
      </c>
      <c r="H43" s="287">
        <f>AVERAGE(H45:H49)</f>
        <v>5.5281154431528479E-2</v>
      </c>
      <c r="I43" s="287">
        <f>AVERAGE(I45:I49)</f>
        <v>0.24104743558838898</v>
      </c>
      <c r="J43" s="287">
        <f>AVERAGE(J45:J49)</f>
        <v>0.16721201514017597</v>
      </c>
      <c r="Y43" s="76">
        <v>2036</v>
      </c>
      <c r="Z43" s="361"/>
      <c r="AA43" s="136"/>
      <c r="AB43" s="362">
        <f>(VLOOKUP('Jet - DemandSupply'!Y43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43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43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43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43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43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43,Assumptions!$L$102:$L$131,0),MATCH("PetroSA",Assumptions!$L$102:$R$102,0))))/VLOOKUP($Y43,fJetFuel!$B:$P,14,0)</f>
        <v>0.74883384864840175</v>
      </c>
      <c r="AC43" s="362">
        <f>(VLOOKUP($Y43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43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43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43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43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43,Assumptions!$L$135:$L$164,0),MATCH("PetroSA",Assumptions!$L$135:$R$135,0))))/VLOOKUP($Y43,fJetFuel!$B:$P,15,0)</f>
        <v>0.80532708349846749</v>
      </c>
      <c r="AD43" s="103">
        <v>0.68256082133970264</v>
      </c>
      <c r="BH43" s="120"/>
      <c r="BI43" s="120"/>
    </row>
    <row r="44" spans="1:61" x14ac:dyDescent="0.6">
      <c r="A44" s="121"/>
      <c r="B44" s="121"/>
      <c r="E44" s="286" t="s">
        <v>30</v>
      </c>
      <c r="F44" s="286" t="s">
        <v>198</v>
      </c>
      <c r="G44" s="286" t="s">
        <v>199</v>
      </c>
      <c r="H44" s="286" t="s">
        <v>97</v>
      </c>
      <c r="I44" s="286" t="s">
        <v>200</v>
      </c>
      <c r="J44" s="286" t="s">
        <v>201</v>
      </c>
      <c r="V44" s="121"/>
      <c r="W44" s="121"/>
      <c r="Y44" s="76">
        <v>2037</v>
      </c>
      <c r="Z44" s="361"/>
      <c r="AA44" s="136"/>
      <c r="AB44" s="362">
        <f>(VLOOKUP('Jet - DemandSupply'!Y44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44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44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44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44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44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44,Assumptions!$L$102:$L$131,0),MATCH("PetroSA",Assumptions!$L$102:$R$102,0))))/VLOOKUP($Y44,fJetFuel!$B:$P,14,0)</f>
        <v>0.7592460574560006</v>
      </c>
      <c r="AC44" s="362">
        <f>(VLOOKUP($Y44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44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44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44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44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44,Assumptions!$L$135:$L$164,0),MATCH("PetroSA",Assumptions!$L$135:$R$135,0))))/VLOOKUP($Y44,fJetFuel!$B:$P,15,0)</f>
        <v>0.80791965907505081</v>
      </c>
      <c r="AD44" s="103">
        <v>0.69481044408377146</v>
      </c>
      <c r="AQ44" s="121"/>
      <c r="AR44" s="121"/>
      <c r="BH44" s="121"/>
      <c r="BI44" s="121"/>
    </row>
    <row r="45" spans="1:61" x14ac:dyDescent="0.6">
      <c r="A45" s="121"/>
      <c r="B45" s="121"/>
      <c r="E45" s="151">
        <v>2019</v>
      </c>
      <c r="F45" s="388">
        <f>(F27+F35)/($K27+$K35)</f>
        <v>3.5350219727029474E-2</v>
      </c>
      <c r="G45" s="388">
        <f t="shared" ref="G45:J45" si="11">(G27+G35)/($K27+$K35)</f>
        <v>0.56879597140346938</v>
      </c>
      <c r="H45" s="388">
        <f t="shared" si="11"/>
        <v>3.573132306883775E-2</v>
      </c>
      <c r="I45" s="388">
        <f t="shared" si="11"/>
        <v>0.20317464434965793</v>
      </c>
      <c r="J45" s="388">
        <f t="shared" si="11"/>
        <v>0.15694784145100563</v>
      </c>
      <c r="V45" s="121"/>
      <c r="W45" s="121"/>
      <c r="Y45" s="76">
        <v>2038</v>
      </c>
      <c r="Z45" s="361"/>
      <c r="AA45" s="136"/>
      <c r="AB45" s="362">
        <f>(VLOOKUP('Jet - DemandSupply'!Y45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45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45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45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45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45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45,Assumptions!$L$102:$L$131,0),MATCH("PetroSA",Assumptions!$L$102:$R$102,0))))/VLOOKUP($Y45,fJetFuel!$B:$P,14,0)</f>
        <v>0.7689307185059332</v>
      </c>
      <c r="AC45" s="362">
        <f>(VLOOKUP($Y45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45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45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45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45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45,Assumptions!$L$135:$L$164,0),MATCH("PetroSA",Assumptions!$L$135:$R$135,0))))/VLOOKUP($Y45,fJetFuel!$B:$P,15,0)</f>
        <v>0.81045190959095337</v>
      </c>
      <c r="AD45" s="103">
        <v>0.70626942975715978</v>
      </c>
      <c r="AQ45" s="121"/>
      <c r="AR45" s="121"/>
      <c r="BH45" s="121"/>
      <c r="BI45" s="121"/>
    </row>
    <row r="46" spans="1:61" x14ac:dyDescent="0.6">
      <c r="A46" s="121"/>
      <c r="B46" s="121"/>
      <c r="E46" s="151">
        <v>2020</v>
      </c>
      <c r="F46" s="388">
        <f t="shared" ref="F46:J46" si="12">(F28+F36)/($K28+$K36)</f>
        <v>6.7431215698815314E-2</v>
      </c>
      <c r="G46" s="388">
        <f t="shared" si="12"/>
        <v>0.48342389668993629</v>
      </c>
      <c r="H46" s="388">
        <f t="shared" si="12"/>
        <v>4.4087167072276987E-2</v>
      </c>
      <c r="I46" s="388">
        <f t="shared" si="12"/>
        <v>0.29282703284993528</v>
      </c>
      <c r="J46" s="388">
        <f t="shared" si="12"/>
        <v>0.11223068768903599</v>
      </c>
      <c r="V46" s="121"/>
      <c r="W46" s="121"/>
      <c r="Y46" s="76">
        <v>2039</v>
      </c>
      <c r="Z46" s="361"/>
      <c r="AA46" s="136"/>
      <c r="AB46" s="362">
        <f>(VLOOKUP('Jet - DemandSupply'!Y46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46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46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46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46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46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46,Assumptions!$L$102:$L$131,0),MATCH("PetroSA",Assumptions!$L$102:$R$102,0))))/VLOOKUP($Y46,fJetFuel!$B:$P,14,0)</f>
        <v>0.77796128680081356</v>
      </c>
      <c r="AC46" s="362">
        <f>(VLOOKUP($Y46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46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46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46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46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46,Assumptions!$L$135:$L$164,0),MATCH("PetroSA",Assumptions!$L$135:$R$135,0))))/VLOOKUP($Y46,fJetFuel!$B:$P,15,0)</f>
        <v>0.81292591881052412</v>
      </c>
      <c r="AD46" s="103">
        <v>0.71701166512810177</v>
      </c>
      <c r="AQ46" s="121"/>
      <c r="AR46" s="121"/>
      <c r="BH46" s="121"/>
      <c r="BI46" s="121"/>
    </row>
    <row r="47" spans="1:61" x14ac:dyDescent="0.6">
      <c r="A47" s="121"/>
      <c r="B47" s="121"/>
      <c r="E47" s="151">
        <v>2021</v>
      </c>
      <c r="F47" s="388">
        <f t="shared" ref="F47:J47" si="13">(F29+F37)/($K29+$K37)</f>
        <v>6.6071460584225097E-2</v>
      </c>
      <c r="G47" s="388">
        <f t="shared" si="13"/>
        <v>0.47921158748645987</v>
      </c>
      <c r="H47" s="388">
        <f t="shared" si="13"/>
        <v>6.4504831548350516E-2</v>
      </c>
      <c r="I47" s="388">
        <f t="shared" si="13"/>
        <v>0.24154250094842653</v>
      </c>
      <c r="J47" s="388">
        <f t="shared" si="13"/>
        <v>0.14866961943253809</v>
      </c>
      <c r="V47" s="121"/>
      <c r="W47" s="121"/>
      <c r="Y47" s="76">
        <v>2040</v>
      </c>
      <c r="Z47" s="361"/>
      <c r="AA47" s="136"/>
      <c r="AB47" s="362">
        <f>(VLOOKUP('Jet - DemandSupply'!Y47,fJetFuel!$B:$P,14,0)-SUM(INDEX(Refinery,MATCH($Z$7,Assumptions!$L$93:$L$98,0),MATCH("Enref",Assumptions!$L$93:$R$93,0))*Crude_oil_litresPerBarrel*(INDEX(Refinery_capacity,2,MATCH("Enref",Assumptions!$L$93:$R$93,0)))*Operational_days*1000*Refinery_availability*INDEX(Production_High,MATCH($Y47,Assumptions!$L$102:$L$131,0),MATCH("Enref",Assumptions!$L$102:$R$102,0)),INDEX(Refinery,MATCH($Z$7,Assumptions!$L$93:$L$98,0),MATCH("SAPREF",Assumptions!$L$93:$R$93,0))*Crude_oil_litresPerBarrel*(INDEX(Refinery_capacity,2,MATCH("SAPREF",Assumptions!$L$93:$R$93,0)))*Operational_days*1000*Refinery_availability*INDEX(Production_High,MATCH($Y47,Assumptions!$L$102:$L$131,0),MATCH("SAPREF",Assumptions!$L$102:$R$102,0)),INDEX(Refinery,MATCH($Z$7,Assumptions!$L$93:$L$98,0),MATCH("Natref",Assumptions!$L$93:$R$93,0))*Crude_oil_litresPerBarrel*(INDEX(Refinery_capacity,2,MATCH("Natref",Assumptions!$L$93:$R$93,0)))*Operational_days*1000*Refinery_availability*INDEX(Production_High,MATCH($Y47,Assumptions!$L$102:$L$131,0),MATCH("Natref",Assumptions!$L$102:$R$102,0)),INDEX(Refinery,MATCH($Z$7,Assumptions!$L$93:$L$98,0),MATCH("Sasol",Assumptions!$L$93:$R$93,0))*Crude_oil_litresPerBarrel*(INDEX(Refinery_capacity,2,MATCH("Sasol",Assumptions!$L$93:$R$93,0)))*Operational_days*1000*Refinery_availability*INDEX(Production_High,MATCH($Y47,Assumptions!$L$102:$L$131,0),MATCH("Sasol",Assumptions!$L$102:$R$102,0)),INDEX(Refinery,MATCH($Z$7,Assumptions!$L$93:$L$98,0),MATCH("Astron",Assumptions!$L$93:$R$93,0))*Crude_oil_litresPerBarrel*(INDEX(Refinery_capacity,2,MATCH("Astron",Assumptions!$L$93:$R$93,0)))*Operational_days*1000*Refinery_availability*INDEX(Production_High,MATCH($Y47,Assumptions!$L$102:$L$131,0),MATCH("Astron",Assumptions!$L$102:$R$102,0)),INDEX(Refinery,MATCH($Z$7,Assumptions!$L$93:$L$98,0),MATCH("PetroSA",Assumptions!$L$93:$R$93,0))*Crude_oil_litresPerBarrel*(INDEX(Refinery_capacity,2,MATCH("PetroSA",Assumptions!$L$93:$R$93,0)))*Operational_days*1000*Refinery_availability*INDEX(Production_High,MATCH($Y47,Assumptions!$L$102:$L$131,0),MATCH("PetroSA",Assumptions!$L$102:$R$102,0))))/VLOOKUP($Y47,fJetFuel!$B:$P,14,0)</f>
        <v>0.78640164941906154</v>
      </c>
      <c r="AC47" s="362">
        <f>(VLOOKUP($Y47,fJetFuel!$B:$P,15,0)-SUM(INDEX(Refinery,MATCH($Z$7,Assumptions!$L$93:$L$98,0),MATCH("SAPREF",Assumptions!$L$93:$R$93,0))*Crude_oil_litresPerBarrel*(INDEX(Refinery_capacity,2,MATCH("SAPREF",Assumptions!$L$93:$R$93,0)))*Operational_days*1000*Refinery_availability*INDEX(Production_Low,MATCH($Y47,Assumptions!$L$135:$L$164,0),MATCH("SAPREF",Assumptions!$L$135:$R$135,0)),INDEX(Refinery,MATCH($Z$7,Assumptions!$L$93:$L$98,0),MATCH("Natref",Assumptions!$L$93:$R$93,0))*Crude_oil_litresPerBarrel*(INDEX(Refinery_capacity,2,MATCH("Natref",Assumptions!$L$93:$R$93,0)))*Operational_days*1000*Refinery_availability*INDEX(Production_Low,MATCH($Y47,Assumptions!$L$135:$L$164,0),MATCH("Natref",Assumptions!$L$135:$R$135,0)),INDEX(Refinery,MATCH($Z$7,Assumptions!$L$93:$L$98,0),MATCH("Sasol",Assumptions!$L$93:$R$93,0))*Crude_oil_litresPerBarrel*(INDEX(Refinery_capacity,2,MATCH("Sasol",Assumptions!$L$93:$R$93,0)))*Operational_days*1000*Refinery_availability*INDEX(Production_Low,MATCH($Y47,Assumptions!$L$135:$L$164,0),MATCH("Sasol",Assumptions!$L$135:$R$135,0)),INDEX(Refinery,MATCH($Z$7,Assumptions!$L$93:$L$98,0),MATCH("Astron",Assumptions!$L$93:$R$93,0))*Crude_oil_litresPerBarrel*(INDEX(Refinery_capacity,2,MATCH("Astron",Assumptions!$L$93:$R$93,0)))*Operational_days*1000*Refinery_availability*INDEX(Production_Low,MATCH($Y47,Assumptions!$L$135:$L$164,0),MATCH("Astron",Assumptions!$L$135:$R$135,0)),INDEX(Refinery,MATCH($Z$7,Assumptions!$L$93:$L$98,0),MATCH("PetroSA",Assumptions!$L$93:$R$93,0))*Crude_oil_litresPerBarrel*(INDEX(Refinery_capacity,2,MATCH("PetroSA",Assumptions!$L$93:$R$93,0)))*Operational_days*1000*Refinery_availability*INDEX(Production_Low,MATCH($Y47,Assumptions!$L$135:$L$164,0),MATCH("PetroSA",Assumptions!$L$135:$R$135,0))))/VLOOKUP($Y47,fJetFuel!$B:$P,15,0)</f>
        <v>0.81534367559015308</v>
      </c>
      <c r="AD47" s="103">
        <v>0.72710210673973785</v>
      </c>
      <c r="AQ47" s="121"/>
      <c r="AR47" s="121"/>
      <c r="BH47" s="121"/>
      <c r="BI47" s="121"/>
    </row>
    <row r="48" spans="1:61" x14ac:dyDescent="0.6">
      <c r="A48" s="121"/>
      <c r="B48" s="121"/>
      <c r="E48" s="151">
        <v>2022</v>
      </c>
      <c r="F48" s="388">
        <f t="shared" ref="F48:J48" si="14">(F30+F38)/($K30+$K38)</f>
        <v>2.1500132580953454E-2</v>
      </c>
      <c r="G48" s="388">
        <f t="shared" si="14"/>
        <v>0.46360617109229657</v>
      </c>
      <c r="H48" s="388">
        <f t="shared" si="14"/>
        <v>7.0256563815326356E-2</v>
      </c>
      <c r="I48" s="388">
        <f t="shared" si="14"/>
        <v>0.24893771737763087</v>
      </c>
      <c r="J48" s="388">
        <f t="shared" si="14"/>
        <v>0.19569941513379274</v>
      </c>
      <c r="V48" s="121"/>
      <c r="W48" s="121"/>
      <c r="AQ48" s="121"/>
      <c r="AR48" s="121"/>
      <c r="AT48" s="75" t="s">
        <v>207</v>
      </c>
      <c r="AU48" s="75" t="s">
        <v>208</v>
      </c>
      <c r="AV48" s="75" t="s">
        <v>209</v>
      </c>
      <c r="AW48" s="75" t="s">
        <v>210</v>
      </c>
      <c r="AX48" s="75" t="s">
        <v>211</v>
      </c>
      <c r="AY48" s="75" t="s">
        <v>212</v>
      </c>
      <c r="BH48" s="121"/>
      <c r="BI48" s="121"/>
    </row>
    <row r="49" spans="1:61" x14ac:dyDescent="0.6">
      <c r="A49" s="121"/>
      <c r="B49" s="121"/>
      <c r="E49" s="151">
        <v>2023</v>
      </c>
      <c r="F49" s="388">
        <f t="shared" ref="F49:J49" si="15">(F31+F39)/($K31+$K39)</f>
        <v>1.9396505449428756E-2</v>
      </c>
      <c r="G49" s="388">
        <f t="shared" si="15"/>
        <v>0.47750981348691879</v>
      </c>
      <c r="H49" s="388">
        <f t="shared" si="15"/>
        <v>6.1825886652850742E-2</v>
      </c>
      <c r="I49" s="388">
        <f t="shared" si="15"/>
        <v>0.21875528241629424</v>
      </c>
      <c r="J49" s="388">
        <f t="shared" si="15"/>
        <v>0.22251251199450739</v>
      </c>
      <c r="V49" s="121"/>
      <c r="W49" s="121"/>
      <c r="AQ49" s="121"/>
      <c r="AR49" s="121"/>
      <c r="AS49" t="s">
        <v>139</v>
      </c>
      <c r="AT49" s="103">
        <v>0.20797927005894196</v>
      </c>
      <c r="AU49" s="103">
        <v>0.22979037015684392</v>
      </c>
      <c r="AV49" s="103">
        <v>0.31135501383331332</v>
      </c>
      <c r="AW49" s="103">
        <v>0.22798761396886352</v>
      </c>
      <c r="AX49" s="103">
        <v>0.26100686732759143</v>
      </c>
      <c r="AY49" s="103">
        <v>0.19351482496875819</v>
      </c>
      <c r="AZ49" s="274">
        <f t="shared" ref="AZ49:AZ57" si="16">AVERAGE(AT49:AY49)</f>
        <v>0.23860566005238537</v>
      </c>
      <c r="BA49" s="274"/>
      <c r="BH49" s="121"/>
      <c r="BI49" s="121"/>
    </row>
    <row r="50" spans="1:61" x14ac:dyDescent="0.6">
      <c r="V50" s="121"/>
      <c r="W50" s="121"/>
      <c r="AQ50" s="121"/>
      <c r="AR50" s="121"/>
      <c r="AS50"/>
      <c r="AT50" s="103"/>
      <c r="AU50" s="103"/>
      <c r="AV50" s="103"/>
      <c r="AW50" s="103"/>
      <c r="AX50" s="103"/>
      <c r="AY50" s="103"/>
      <c r="AZ50" s="274"/>
      <c r="BA50" s="274"/>
      <c r="BH50" s="121"/>
      <c r="BI50" s="121"/>
    </row>
    <row r="51" spans="1:61" x14ac:dyDescent="0.6">
      <c r="AS51" t="s">
        <v>213</v>
      </c>
      <c r="AT51" s="103">
        <v>0.22568348254186418</v>
      </c>
      <c r="AU51" s="103">
        <v>0.21174412965188946</v>
      </c>
      <c r="AV51" s="103">
        <v>0.21072351073685935</v>
      </c>
      <c r="AW51" s="103">
        <v>0.20287127439563923</v>
      </c>
      <c r="AX51" s="103">
        <v>0.1762506312799739</v>
      </c>
      <c r="AY51" s="103">
        <v>0.1936619783360006</v>
      </c>
      <c r="AZ51" s="274">
        <f t="shared" si="16"/>
        <v>0.20348916782370444</v>
      </c>
      <c r="BA51" s="274"/>
      <c r="BH51" s="120"/>
      <c r="BI51" s="120"/>
    </row>
    <row r="52" spans="1:61" x14ac:dyDescent="0.6">
      <c r="E52" s="81"/>
      <c r="F52" s="103"/>
      <c r="G52" s="103"/>
      <c r="H52" s="103"/>
      <c r="I52" s="103"/>
      <c r="J52" s="103"/>
      <c r="L52" s="79" t="s">
        <v>214</v>
      </c>
      <c r="M52" s="167">
        <f>(327+247)/($J$21/1000000)</f>
        <v>0.38709339344506699</v>
      </c>
      <c r="AA52" s="108"/>
      <c r="AS52" t="s">
        <v>215</v>
      </c>
      <c r="AT52" s="103">
        <v>0</v>
      </c>
      <c r="AU52" s="103">
        <v>1.3947459814545192E-4</v>
      </c>
      <c r="AV52" s="103">
        <v>0</v>
      </c>
      <c r="AW52" s="103">
        <v>0</v>
      </c>
      <c r="AX52" s="103">
        <v>0</v>
      </c>
      <c r="AY52" s="103">
        <v>0</v>
      </c>
      <c r="AZ52" s="274">
        <f t="shared" si="16"/>
        <v>2.3245766357575322E-5</v>
      </c>
      <c r="BA52" s="274"/>
      <c r="BH52" s="120"/>
      <c r="BI52" s="120"/>
    </row>
    <row r="53" spans="1:61" x14ac:dyDescent="0.6">
      <c r="E53" s="81"/>
      <c r="F53" s="103"/>
      <c r="G53" s="103"/>
      <c r="H53" s="103"/>
      <c r="I53" s="103"/>
      <c r="J53" s="103"/>
      <c r="L53" s="111" t="s">
        <v>216</v>
      </c>
      <c r="M53" s="167">
        <f>(196)/($J$21/1000000)</f>
        <v>0.13217823190807165</v>
      </c>
      <c r="AA53" s="108"/>
      <c r="AS53" t="s">
        <v>217</v>
      </c>
      <c r="AT53" s="103">
        <v>1.7756180819570057E-4</v>
      </c>
      <c r="AU53" s="103">
        <v>2.6438648256331816E-4</v>
      </c>
      <c r="AV53" s="103">
        <v>1.9674278589396641E-4</v>
      </c>
      <c r="AW53" s="103">
        <v>2.6542706803222638E-4</v>
      </c>
      <c r="AX53" s="103">
        <v>3.2994542143056406E-4</v>
      </c>
      <c r="AY53" s="103">
        <v>3.0525507299184932E-4</v>
      </c>
      <c r="AZ53" s="274">
        <f t="shared" si="16"/>
        <v>2.5655310651793745E-4</v>
      </c>
      <c r="BA53" s="274"/>
      <c r="BH53" s="120"/>
      <c r="BI53" s="120"/>
    </row>
    <row r="54" spans="1:61" x14ac:dyDescent="0.6">
      <c r="E54" s="81"/>
      <c r="F54" s="103"/>
      <c r="G54" s="103"/>
      <c r="H54" s="103"/>
      <c r="I54" s="103"/>
      <c r="J54" s="103"/>
      <c r="L54" s="108" t="s">
        <v>218</v>
      </c>
      <c r="M54" s="167">
        <f>(100+2.74)/($J$21/1000000)</f>
        <v>6.9285671154261638E-2</v>
      </c>
      <c r="AS54" t="s">
        <v>219</v>
      </c>
      <c r="AT54" s="103">
        <v>0</v>
      </c>
      <c r="AU54" s="103">
        <v>0</v>
      </c>
      <c r="AV54" s="103">
        <v>0</v>
      </c>
      <c r="AW54" s="103">
        <v>0</v>
      </c>
      <c r="AX54" s="103">
        <v>0</v>
      </c>
      <c r="AY54" s="103">
        <v>0</v>
      </c>
      <c r="AZ54" s="274">
        <f t="shared" si="16"/>
        <v>0</v>
      </c>
      <c r="BA54" s="274"/>
      <c r="BH54" s="120"/>
      <c r="BI54" s="120"/>
    </row>
    <row r="55" spans="1:61" x14ac:dyDescent="0.6">
      <c r="E55" s="81"/>
      <c r="F55" s="103"/>
      <c r="G55" s="103"/>
      <c r="H55" s="103"/>
      <c r="I55" s="103"/>
      <c r="J55" s="103"/>
      <c r="AS55" t="s">
        <v>220</v>
      </c>
      <c r="AT55" s="103">
        <v>0.47998213076382223</v>
      </c>
      <c r="AU55" s="103">
        <v>0.47497805710353902</v>
      </c>
      <c r="AV55" s="103">
        <v>0.37584411257243383</v>
      </c>
      <c r="AW55" s="103">
        <v>0.45666398186063528</v>
      </c>
      <c r="AX55" s="103">
        <v>0.47441989518761901</v>
      </c>
      <c r="AY55" s="103">
        <v>0.5224813977741517</v>
      </c>
      <c r="AZ55" s="274">
        <f t="shared" si="16"/>
        <v>0.46406159587703355</v>
      </c>
      <c r="BA55" s="274"/>
      <c r="BH55" s="120"/>
      <c r="BI55" s="120"/>
    </row>
    <row r="56" spans="1:61" x14ac:dyDescent="0.6">
      <c r="E56" s="81"/>
      <c r="F56" s="103"/>
      <c r="G56" s="103"/>
      <c r="H56" s="103"/>
      <c r="I56" s="103"/>
      <c r="J56" s="103"/>
      <c r="AS56" t="s">
        <v>221</v>
      </c>
      <c r="AT56" s="103">
        <v>4.4822309235662064E-3</v>
      </c>
      <c r="AU56" s="103">
        <v>2.9311836714306949E-3</v>
      </c>
      <c r="AV56" s="103">
        <v>3.5849908296716644E-3</v>
      </c>
      <c r="AW56" s="103">
        <v>4.6243379273533591E-3</v>
      </c>
      <c r="AX56" s="103">
        <v>3.9968926678026423E-3</v>
      </c>
      <c r="AY56" s="103">
        <v>4.059520921955862E-3</v>
      </c>
      <c r="AZ56" s="274">
        <f t="shared" si="16"/>
        <v>3.9465261569634046E-3</v>
      </c>
      <c r="BA56" s="274"/>
      <c r="BH56" s="120"/>
      <c r="BI56" s="120"/>
    </row>
    <row r="57" spans="1:61" x14ac:dyDescent="0.6">
      <c r="F57" s="103"/>
      <c r="G57" s="103"/>
      <c r="H57" s="103"/>
      <c r="I57" s="103"/>
      <c r="J57" s="103"/>
      <c r="AS57" t="s">
        <v>222</v>
      </c>
      <c r="AT57" s="103">
        <v>6.3220044088888441E-2</v>
      </c>
      <c r="AU57" s="103">
        <v>6.039821107856292E-2</v>
      </c>
      <c r="AV57" s="103">
        <v>6.7962751420005157E-2</v>
      </c>
      <c r="AW57" s="103">
        <v>8.5475743807425342E-2</v>
      </c>
      <c r="AX57" s="103">
        <v>6.6398746536686953E-2</v>
      </c>
      <c r="AY57" s="103">
        <v>6.6725578235940719E-2</v>
      </c>
      <c r="AZ57" s="274">
        <f t="shared" si="16"/>
        <v>6.8363512527918266E-2</v>
      </c>
      <c r="BA57" s="274"/>
      <c r="BH57" s="120"/>
      <c r="BI57" s="120"/>
    </row>
    <row r="58" spans="1:61" x14ac:dyDescent="0.6">
      <c r="F58" s="103"/>
      <c r="G58" s="103"/>
      <c r="H58" s="103"/>
      <c r="I58" s="103"/>
      <c r="J58" s="103"/>
      <c r="BH58" s="120"/>
      <c r="BI58" s="120"/>
    </row>
    <row r="59" spans="1:61" x14ac:dyDescent="0.6">
      <c r="F59" s="83"/>
      <c r="G59" s="83"/>
      <c r="H59" s="83"/>
      <c r="I59" s="83"/>
      <c r="J59" s="83"/>
      <c r="BH59" s="120"/>
      <c r="BI59" s="120"/>
    </row>
    <row r="61" spans="1:61" ht="78.75" x14ac:dyDescent="0.6">
      <c r="G61" s="84" t="s">
        <v>223</v>
      </c>
      <c r="H61" s="84" t="s">
        <v>224</v>
      </c>
      <c r="I61" s="84"/>
      <c r="BH61" s="120"/>
      <c r="BI61" s="120"/>
    </row>
    <row r="62" spans="1:61" x14ac:dyDescent="0.6">
      <c r="H62" s="75" t="s">
        <v>225</v>
      </c>
      <c r="BH62" s="120"/>
      <c r="BI62" s="120"/>
    </row>
    <row r="63" spans="1:61" x14ac:dyDescent="0.6">
      <c r="G63"/>
      <c r="BH63" s="120"/>
      <c r="BI63" s="120"/>
    </row>
    <row r="64" spans="1:61" x14ac:dyDescent="0.6">
      <c r="G64" s="87" t="s">
        <v>226</v>
      </c>
      <c r="BH64" s="120"/>
      <c r="BI64" s="120"/>
    </row>
    <row r="65" spans="7:62" x14ac:dyDescent="0.6">
      <c r="G65" s="87" t="s">
        <v>227</v>
      </c>
      <c r="BH65" s="120"/>
      <c r="BI65" s="120"/>
    </row>
    <row r="66" spans="7:62" x14ac:dyDescent="0.6">
      <c r="G66" s="87" t="s">
        <v>228</v>
      </c>
      <c r="BH66" s="120"/>
      <c r="BI66" s="120"/>
    </row>
    <row r="68" spans="7:62" x14ac:dyDescent="0.6">
      <c r="BC68" s="275">
        <v>2040</v>
      </c>
      <c r="BD68" s="275" t="s">
        <v>229</v>
      </c>
      <c r="BE68" s="275"/>
      <c r="BH68" s="120"/>
      <c r="BI68" s="120"/>
    </row>
    <row r="69" spans="7:62" x14ac:dyDescent="0.6">
      <c r="BC69" s="275"/>
      <c r="BD69" s="275" t="s">
        <v>96</v>
      </c>
      <c r="BE69" s="275" t="s">
        <v>230</v>
      </c>
      <c r="BF69" s="75" t="s">
        <v>111</v>
      </c>
      <c r="BG69" s="75" t="s">
        <v>112</v>
      </c>
      <c r="BH69" s="120"/>
      <c r="BI69" s="120"/>
    </row>
    <row r="70" spans="7:62" x14ac:dyDescent="0.6">
      <c r="BC70" s="261" t="s">
        <v>198</v>
      </c>
      <c r="BD70" s="275" t="s">
        <v>220</v>
      </c>
      <c r="BE70" s="276">
        <f>AT30</f>
        <v>186912373.7466988</v>
      </c>
      <c r="BF70" s="75">
        <f>'Gasoline - DemandSupply'!BD30</f>
        <v>2240938854.1439819</v>
      </c>
      <c r="BG70" s="75">
        <f>'Diesel - DemandSupply'!BP30</f>
        <v>5088778335.6306019</v>
      </c>
      <c r="BH70" s="120"/>
      <c r="BI70" s="120"/>
      <c r="BJ70" s="108">
        <v>6768648943.1999998</v>
      </c>
    </row>
    <row r="71" spans="7:62" x14ac:dyDescent="0.6">
      <c r="BC71" s="261" t="s">
        <v>199</v>
      </c>
      <c r="BD71" s="275" t="s">
        <v>220</v>
      </c>
      <c r="BE71" s="276">
        <f>AU30</f>
        <v>2203340824.3582926</v>
      </c>
      <c r="BF71" s="75">
        <f>'Gasoline - DemandSupply'!BE30</f>
        <v>3815539891.7555408</v>
      </c>
      <c r="BG71" s="75">
        <f>'Diesel - DemandSupply'!BQ30</f>
        <v>4439836877.5999947</v>
      </c>
      <c r="BH71" s="120"/>
      <c r="BI71" s="120"/>
      <c r="BJ71" s="108">
        <v>0</v>
      </c>
    </row>
    <row r="72" spans="7:62" x14ac:dyDescent="0.6">
      <c r="BC72" s="261" t="s">
        <v>97</v>
      </c>
      <c r="BD72" s="275" t="s">
        <v>222</v>
      </c>
      <c r="BE72" s="276">
        <f>AV30</f>
        <v>246311197.91336614</v>
      </c>
      <c r="BF72" s="75">
        <f>'Gasoline - DemandSupply'!BF30</f>
        <v>1651471855.788589</v>
      </c>
      <c r="BG72" s="75">
        <f>'Diesel - DemandSupply'!BR30</f>
        <v>3399131741.7603407</v>
      </c>
      <c r="BH72" s="120"/>
      <c r="BI72" s="120"/>
      <c r="BJ72" s="108">
        <v>3525337991.25</v>
      </c>
    </row>
    <row r="73" spans="7:62" x14ac:dyDescent="0.6">
      <c r="BC73" s="261" t="s">
        <v>200</v>
      </c>
      <c r="BD73" s="275" t="s">
        <v>139</v>
      </c>
      <c r="BE73" s="276">
        <f>AW30</f>
        <v>1074013074.1527905</v>
      </c>
      <c r="BF73" s="75">
        <f>'Gasoline - DemandSupply'!BG30</f>
        <v>782705548.18364716</v>
      </c>
      <c r="BG73" s="75">
        <f>'Diesel - DemandSupply'!BS30</f>
        <v>1327430971.7010524</v>
      </c>
      <c r="BH73" s="120"/>
      <c r="BI73" s="120"/>
      <c r="BJ73" s="108">
        <v>3760360523.999999</v>
      </c>
    </row>
    <row r="74" spans="7:62" x14ac:dyDescent="0.6">
      <c r="BC74" s="261" t="s">
        <v>201</v>
      </c>
      <c r="BD74" s="275" t="s">
        <v>213</v>
      </c>
      <c r="BE74" s="276">
        <f>AX30</f>
        <v>745031325.38048005</v>
      </c>
      <c r="BF74" s="75">
        <f>'Gasoline - DemandSupply'!BH30</f>
        <v>1743530459.5443447</v>
      </c>
      <c r="BG74" s="75">
        <f>'Diesel - DemandSupply'!BT30</f>
        <v>3698202265.1552272</v>
      </c>
      <c r="BH74" s="120"/>
      <c r="BI74" s="120"/>
      <c r="BJ74" s="108">
        <v>1175112663.75</v>
      </c>
    </row>
  </sheetData>
  <mergeCells count="5">
    <mergeCell ref="C2:U4"/>
    <mergeCell ref="X2:AP4"/>
    <mergeCell ref="AT9:AY9"/>
    <mergeCell ref="BB9:BG9"/>
    <mergeCell ref="AS2:BG4"/>
  </mergeCells>
  <dataValidations count="1">
    <dataValidation type="list" allowBlank="1" showInputMessage="1" showErrorMessage="1" sqref="Z7" xr:uid="{50F1C017-19D8-4F77-9DDB-FA186A763CAC}">
      <formula1>$B$4:$B$7</formula1>
    </dataValidation>
  </dataValidations>
  <hyperlinks>
    <hyperlink ref="G61" r:id="rId1" location=":~:text=Even%20on%20the%20downside%20though%2C%20IATA%20estimates%20that,could%20grow%2068.4%25%2C%20to%2035.2m%20passengers%2C%20by%202037." display="https://simpleflying.com/south-african-aviation/ - :~:text=Even%20on%20the%20downside%20though%2C%20IATA%20estimates%20that,could%20grow%2068.4%25%2C%20to%2035.2m%20passengers%2C%20by%202037." xr:uid="{90151B0A-AB0D-4F25-B4D6-7FF509EDC507}"/>
    <hyperlink ref="H61" r:id="rId2" xr:uid="{6E03C453-10C2-4D99-817E-99AF99A52821}"/>
    <hyperlink ref="G64" r:id="rId3" display="https://centreforaviation.com/analysis/reports/iata-aci-offer-positive-air-transport-forecasts-but-concerns-emerge-about-extended-who-powers-640119" xr:uid="{F977AF15-2BAD-4A73-A377-16F3243B8529}"/>
    <hyperlink ref="G65" r:id="rId4" display="https://www.iata.org/en/pressroom/2022-releases/2022-03-01-01" xr:uid="{292FB7B2-4784-4B42-8AD3-8A0163BFC854}"/>
    <hyperlink ref="G66" r:id="rId5" location="air-passengers" display="https://www.statista.com/outlook/co/logistics-transport-indicators/air-transport/south-africa - air-passengers" xr:uid="{F5723842-13B7-49DD-BA46-53596402B41A}"/>
  </hyperlinks>
  <pageMargins left="0.7" right="0.7" top="0.75" bottom="0.75" header="0.3" footer="0.3"/>
  <ignoredErrors>
    <ignoredError sqref="K27:K31 K35:K39" formulaRange="1"/>
  </ignoredErrors>
  <drawing r:id="rId6"/>
  <legacyDrawing r:id="rId7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B58B84-F650-42DB-90FE-DAA74037D581}">
          <x14:formula1>
            <xm:f>Assumptions!$AA$8:$AD$8</xm:f>
          </x14:formula1>
          <xm:sqref>L7</xm:sqref>
        </x14:dataValidation>
        <x14:dataValidation type="list" allowBlank="1" showInputMessage="1" showErrorMessage="1" xr:uid="{1F3A06B8-80AE-43A8-94BC-F81C2457A054}">
          <x14:formula1>
            <xm:f>Assumptions!$C$44:$C$47</xm:f>
          </x14:formula1>
          <xm:sqref>K8</xm:sqref>
        </x14:dataValidation>
        <x14:dataValidation type="list" allowBlank="1" showInputMessage="1" showErrorMessage="1" xr:uid="{FC932CAA-3967-4DE7-BA70-61541F89C32A}">
          <x14:formula1>
            <xm:f>Assumptions!$H$44:$H$45</xm:f>
          </x14:formula1>
          <xm:sqref>AD8</xm:sqref>
        </x14:dataValidation>
        <x14:dataValidation type="list" allowBlank="1" showInputMessage="1" showErrorMessage="1" xr:uid="{098ED91D-24CB-4F50-845C-A989D07C431D}">
          <x14:formula1>
            <xm:f>Assumptions!$N$44:$N$48</xm:f>
          </x14:formula1>
          <xm:sqref>K7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9C77-35F0-4BB4-98BB-E9D0B6F72807}">
  <sheetPr codeName="Sheet6">
    <tabColor theme="4" tint="0.39997558519241921"/>
  </sheetPr>
  <dimension ref="A1:CG78"/>
  <sheetViews>
    <sheetView showGridLines="0" topLeftCell="AC9" zoomScale="54" zoomScaleNormal="54" workbookViewId="0">
      <selection activeCell="BP20" sqref="BP20"/>
    </sheetView>
  </sheetViews>
  <sheetFormatPr defaultColWidth="8.86328125" defaultRowHeight="15.75" x14ac:dyDescent="0.6"/>
  <cols>
    <col min="1" max="2" width="2.3984375" style="120" customWidth="1"/>
    <col min="3" max="3" width="8.86328125" style="75" bestFit="1" customWidth="1"/>
    <col min="4" max="6" width="17" style="75" bestFit="1" customWidth="1"/>
    <col min="7" max="7" width="15.3984375" style="75" bestFit="1" customWidth="1"/>
    <col min="8" max="8" width="17" style="75" bestFit="1" customWidth="1"/>
    <col min="9" max="9" width="17.1328125" style="75" bestFit="1" customWidth="1"/>
    <col min="10" max="10" width="16.1328125" style="75" bestFit="1" customWidth="1"/>
    <col min="11" max="11" width="16.86328125" style="75" bestFit="1" customWidth="1"/>
    <col min="12" max="12" width="22.86328125" style="75" bestFit="1" customWidth="1"/>
    <col min="13" max="13" width="18.3984375" style="75" bestFit="1" customWidth="1"/>
    <col min="14" max="14" width="17.3984375" style="75" customWidth="1"/>
    <col min="15" max="16" width="3.86328125" style="75" customWidth="1"/>
    <col min="17" max="17" width="3.59765625" style="75" customWidth="1"/>
    <col min="18" max="18" width="17.59765625" style="75" bestFit="1" customWidth="1"/>
    <col min="19" max="20" width="15.1328125" style="75" customWidth="1"/>
    <col min="21" max="22" width="8.86328125" style="75"/>
    <col min="23" max="23" width="9.59765625" style="75" bestFit="1" customWidth="1"/>
    <col min="24" max="24" width="10" style="75" customWidth="1"/>
    <col min="25" max="26" width="18.3984375" style="75" customWidth="1"/>
    <col min="27" max="28" width="17.1328125" style="75" customWidth="1"/>
    <col min="29" max="30" width="3.86328125" style="75" customWidth="1"/>
    <col min="31" max="31" width="3.59765625" style="75" customWidth="1"/>
    <col min="32" max="32" width="8.86328125" style="75"/>
    <col min="33" max="33" width="20.86328125" style="75" bestFit="1" customWidth="1"/>
    <col min="34" max="34" width="18.1328125" style="75" customWidth="1"/>
    <col min="35" max="35" width="15" style="75" customWidth="1"/>
    <col min="36" max="37" width="8.86328125" style="75" bestFit="1" customWidth="1"/>
    <col min="38" max="38" width="11.86328125" style="75" bestFit="1" customWidth="1"/>
    <col min="39" max="39" width="8.86328125" style="75" bestFit="1" customWidth="1"/>
    <col min="40" max="40" width="7.1328125" style="75" bestFit="1" customWidth="1"/>
    <col min="41" max="41" width="13.86328125" style="75" bestFit="1" customWidth="1"/>
    <col min="42" max="42" width="15.1328125" style="75" customWidth="1"/>
    <col min="43" max="44" width="2.3984375" style="120" customWidth="1"/>
    <col min="45" max="45" width="3.1328125" style="75" customWidth="1"/>
    <col min="46" max="46" width="8.86328125" style="75" bestFit="1" customWidth="1"/>
    <col min="47" max="47" width="15.59765625" style="75" bestFit="1" customWidth="1"/>
    <col min="48" max="48" width="14.3984375" style="75" bestFit="1" customWidth="1"/>
    <col min="49" max="49" width="14.1328125" style="75" customWidth="1"/>
    <col min="50" max="50" width="17.86328125" style="75" customWidth="1"/>
    <col min="51" max="51" width="16.59765625" style="75" customWidth="1"/>
    <col min="52" max="52" width="21.1328125" style="75" customWidth="1"/>
    <col min="53" max="64" width="8.86328125" style="75"/>
    <col min="65" max="66" width="2.3984375" style="120" customWidth="1"/>
    <col min="67" max="67" width="8.59765625" style="75" customWidth="1"/>
    <col min="68" max="72" width="17.1328125" style="75" bestFit="1" customWidth="1"/>
    <col min="73" max="73" width="15.59765625" style="75" bestFit="1" customWidth="1"/>
    <col min="74" max="75" width="8.86328125" style="75"/>
    <col min="76" max="80" width="14.86328125" style="75" bestFit="1" customWidth="1"/>
    <col min="81" max="81" width="13.3984375" style="75" bestFit="1" customWidth="1"/>
    <col min="82" max="83" width="2.3984375" style="288" customWidth="1"/>
    <col min="84" max="84" width="8.86328125" style="75"/>
    <col min="85" max="85" width="15.59765625" style="75" bestFit="1" customWidth="1"/>
    <col min="86" max="16384" width="8.86328125" style="75"/>
  </cols>
  <sheetData>
    <row r="1" spans="3:85" ht="16.149999999999999" thickBot="1" x14ac:dyDescent="0.65">
      <c r="CD1" s="120"/>
      <c r="CE1" s="120"/>
    </row>
    <row r="2" spans="3:85" ht="12.6" customHeight="1" x14ac:dyDescent="0.6">
      <c r="C2" s="539" t="s">
        <v>231</v>
      </c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  <c r="V2" s="558"/>
      <c r="W2" s="558"/>
      <c r="X2" s="558"/>
      <c r="Y2" s="558"/>
      <c r="Z2" s="559"/>
      <c r="AA2" s="560"/>
      <c r="AB2" s="560"/>
      <c r="AC2" s="560"/>
      <c r="AD2" s="560"/>
      <c r="AE2" s="560"/>
      <c r="AF2" s="560"/>
      <c r="AG2" s="560"/>
      <c r="AH2" s="560"/>
      <c r="AI2" s="560"/>
      <c r="AJ2" s="560"/>
      <c r="AK2" s="560"/>
      <c r="AL2" s="560"/>
      <c r="AM2" s="560"/>
      <c r="AN2" s="560"/>
      <c r="AO2" s="560"/>
      <c r="AP2" s="561"/>
      <c r="AS2" s="539" t="s">
        <v>232</v>
      </c>
      <c r="AT2" s="548"/>
      <c r="AU2" s="548"/>
      <c r="AV2" s="548"/>
      <c r="AW2" s="548"/>
      <c r="AX2" s="548"/>
      <c r="AY2" s="548"/>
      <c r="AZ2" s="548"/>
      <c r="BA2" s="548"/>
      <c r="BB2" s="548"/>
      <c r="BC2" s="548"/>
      <c r="BD2" s="548"/>
      <c r="BE2" s="548"/>
      <c r="BF2" s="548"/>
      <c r="BG2" s="548"/>
      <c r="BH2" s="548"/>
      <c r="BI2" s="548"/>
      <c r="BJ2" s="548"/>
      <c r="BK2" s="548"/>
      <c r="BL2" s="549"/>
      <c r="BO2" s="539" t="s">
        <v>233</v>
      </c>
      <c r="BP2" s="495"/>
      <c r="BQ2" s="495"/>
      <c r="BR2" s="495"/>
      <c r="BS2" s="495"/>
      <c r="BT2" s="495"/>
      <c r="BU2" s="495"/>
      <c r="BV2" s="495"/>
      <c r="BW2" s="495"/>
      <c r="BX2" s="495"/>
      <c r="BY2" s="495"/>
      <c r="BZ2" s="495"/>
      <c r="CA2" s="495"/>
      <c r="CB2" s="495"/>
      <c r="CC2" s="496"/>
      <c r="CD2" s="120"/>
      <c r="CE2" s="120"/>
    </row>
    <row r="3" spans="3:85" ht="12.6" customHeight="1" x14ac:dyDescent="0.6">
      <c r="C3" s="562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U3" s="563"/>
      <c r="V3" s="563"/>
      <c r="W3" s="563"/>
      <c r="X3" s="563"/>
      <c r="Y3" s="563"/>
      <c r="Z3" s="564"/>
      <c r="AA3" s="565"/>
      <c r="AB3" s="565"/>
      <c r="AC3" s="565"/>
      <c r="AD3" s="565"/>
      <c r="AE3" s="565"/>
      <c r="AF3" s="565"/>
      <c r="AG3" s="565"/>
      <c r="AH3" s="565"/>
      <c r="AI3" s="565"/>
      <c r="AJ3" s="565"/>
      <c r="AK3" s="565"/>
      <c r="AL3" s="565"/>
      <c r="AM3" s="565"/>
      <c r="AN3" s="565"/>
      <c r="AO3" s="565"/>
      <c r="AP3" s="566"/>
      <c r="AS3" s="550"/>
      <c r="AT3" s="551"/>
      <c r="AU3" s="551"/>
      <c r="AV3" s="551"/>
      <c r="AW3" s="551"/>
      <c r="AX3" s="551"/>
      <c r="AY3" s="551"/>
      <c r="AZ3" s="551"/>
      <c r="BA3" s="551"/>
      <c r="BB3" s="551"/>
      <c r="BC3" s="551"/>
      <c r="BD3" s="551"/>
      <c r="BE3" s="551"/>
      <c r="BF3" s="551"/>
      <c r="BG3" s="551"/>
      <c r="BH3" s="551"/>
      <c r="BI3" s="551"/>
      <c r="BJ3" s="551"/>
      <c r="BK3" s="551"/>
      <c r="BL3" s="552"/>
      <c r="BO3" s="497"/>
      <c r="BP3" s="498"/>
      <c r="BQ3" s="498"/>
      <c r="BR3" s="498"/>
      <c r="BS3" s="498"/>
      <c r="BT3" s="498"/>
      <c r="BU3" s="498"/>
      <c r="BV3" s="498"/>
      <c r="BW3" s="498"/>
      <c r="BX3" s="498"/>
      <c r="BY3" s="498"/>
      <c r="BZ3" s="498"/>
      <c r="CA3" s="498"/>
      <c r="CB3" s="498"/>
      <c r="CC3" s="499"/>
      <c r="CD3" s="120"/>
      <c r="CE3" s="120"/>
    </row>
    <row r="4" spans="3:85" ht="12.95" customHeight="1" thickBot="1" x14ac:dyDescent="0.65">
      <c r="C4" s="567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  <c r="R4" s="568"/>
      <c r="S4" s="568"/>
      <c r="T4" s="568"/>
      <c r="U4" s="568"/>
      <c r="V4" s="568"/>
      <c r="W4" s="568"/>
      <c r="X4" s="568"/>
      <c r="Y4" s="568"/>
      <c r="Z4" s="569"/>
      <c r="AA4" s="570"/>
      <c r="AB4" s="570"/>
      <c r="AC4" s="570"/>
      <c r="AD4" s="570"/>
      <c r="AE4" s="570"/>
      <c r="AF4" s="570"/>
      <c r="AG4" s="570"/>
      <c r="AH4" s="570"/>
      <c r="AI4" s="570"/>
      <c r="AJ4" s="570"/>
      <c r="AK4" s="570"/>
      <c r="AL4" s="570"/>
      <c r="AM4" s="570"/>
      <c r="AN4" s="570"/>
      <c r="AO4" s="570"/>
      <c r="AP4" s="571"/>
      <c r="AS4" s="553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5"/>
      <c r="BO4" s="500"/>
      <c r="BP4" s="501"/>
      <c r="BQ4" s="501"/>
      <c r="BR4" s="501"/>
      <c r="BS4" s="501"/>
      <c r="BT4" s="501"/>
      <c r="BU4" s="501"/>
      <c r="BV4" s="501"/>
      <c r="BW4" s="501"/>
      <c r="BX4" s="501"/>
      <c r="BY4" s="501"/>
      <c r="BZ4" s="501"/>
      <c r="CA4" s="501"/>
      <c r="CB4" s="501"/>
      <c r="CC4" s="502"/>
      <c r="CD4" s="120"/>
      <c r="CE4" s="120"/>
    </row>
    <row r="5" spans="3:85" x14ac:dyDescent="0.6">
      <c r="P5" s="177"/>
      <c r="AD5" s="177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CD5" s="120"/>
      <c r="CE5" s="120"/>
    </row>
    <row r="6" spans="3:85" ht="19.149999999999999" x14ac:dyDescent="0.75">
      <c r="C6" s="80" t="s">
        <v>234</v>
      </c>
      <c r="D6" s="80"/>
      <c r="E6" s="80"/>
      <c r="P6" s="177"/>
      <c r="S6" s="191" t="str">
        <f>IF(S7="Total ", "RSA Power Generation Demand",S7&amp;" Power Generation Demand")</f>
        <v>RSA Power Generation Demand</v>
      </c>
      <c r="T6" s="192"/>
      <c r="U6" s="192"/>
      <c r="V6" s="193"/>
      <c r="W6" s="193"/>
      <c r="X6" s="193"/>
      <c r="Y6" s="193"/>
      <c r="Z6" s="193"/>
      <c r="AA6" s="193"/>
      <c r="AB6" s="193"/>
      <c r="AD6" s="177"/>
      <c r="AG6" s="191" t="s">
        <v>235</v>
      </c>
      <c r="AH6" s="192"/>
      <c r="AI6" s="192"/>
      <c r="AT6" s="80" t="s">
        <v>187</v>
      </c>
      <c r="AU6" s="80"/>
      <c r="AV6" s="80"/>
      <c r="AW6" s="80"/>
      <c r="AX6" s="80"/>
      <c r="AY6" s="80"/>
      <c r="CD6" s="120"/>
      <c r="CE6" s="120"/>
    </row>
    <row r="7" spans="3:85" x14ac:dyDescent="0.6">
      <c r="P7" s="177"/>
      <c r="R7" s="139" t="s">
        <v>236</v>
      </c>
      <c r="S7" s="572" t="s">
        <v>132</v>
      </c>
      <c r="AD7" s="177"/>
      <c r="AG7" s="80" t="s">
        <v>237</v>
      </c>
      <c r="AH7" s="80"/>
      <c r="AI7" s="80"/>
      <c r="AW7" s="117"/>
      <c r="AX7" s="117"/>
      <c r="AY7" s="117"/>
      <c r="CD7" s="186"/>
      <c r="CE7" s="186"/>
    </row>
    <row r="8" spans="3:85" ht="25.5" customHeight="1" x14ac:dyDescent="0.6">
      <c r="P8" s="177"/>
      <c r="R8" s="139"/>
      <c r="S8" s="498"/>
      <c r="AD8" s="177"/>
      <c r="AW8" s="117"/>
      <c r="AX8" s="117"/>
      <c r="AY8" s="117"/>
      <c r="BU8" s="277">
        <f>AVERAGE(I34:I53)/COUNTA(BP11:BT11)</f>
        <v>3.1488345374180173E-3</v>
      </c>
      <c r="CD8" s="186"/>
      <c r="CE8" s="186"/>
    </row>
    <row r="9" spans="3:85" ht="47.25" x14ac:dyDescent="0.6">
      <c r="P9" s="177"/>
      <c r="R9" s="117" t="s">
        <v>30</v>
      </c>
      <c r="S9" s="117" t="str">
        <f>IF(S7="Total ", "RSA Installed Capacity",S7&amp;" Installed Capacity")</f>
        <v>RSA Installed Capacity</v>
      </c>
      <c r="T9" s="117" t="s">
        <v>238</v>
      </c>
      <c r="U9" s="117" t="s">
        <v>159</v>
      </c>
      <c r="V9" s="117" t="s">
        <v>162</v>
      </c>
      <c r="W9" s="117" t="s">
        <v>159</v>
      </c>
      <c r="X9" s="117" t="s">
        <v>162</v>
      </c>
      <c r="Y9" s="117" t="s">
        <v>159</v>
      </c>
      <c r="Z9" s="117" t="s">
        <v>162</v>
      </c>
      <c r="AA9" s="180" t="s">
        <v>159</v>
      </c>
      <c r="AB9" s="181" t="s">
        <v>162</v>
      </c>
      <c r="AD9" s="177"/>
      <c r="AF9" s="117" t="s">
        <v>30</v>
      </c>
      <c r="AG9" s="117" t="s">
        <v>239</v>
      </c>
      <c r="AH9" s="117" t="s">
        <v>240</v>
      </c>
      <c r="AI9" s="117" t="s">
        <v>241</v>
      </c>
      <c r="AJ9" s="117" t="s">
        <v>242</v>
      </c>
      <c r="AK9" s="117" t="s">
        <v>243</v>
      </c>
      <c r="AL9" s="117" t="s">
        <v>244</v>
      </c>
      <c r="AM9" s="117" t="s">
        <v>245</v>
      </c>
      <c r="AN9" s="117" t="s">
        <v>246</v>
      </c>
      <c r="AO9" s="117" t="s">
        <v>160</v>
      </c>
      <c r="AP9" s="117" t="s">
        <v>247</v>
      </c>
      <c r="AU9" s="200" t="s">
        <v>112</v>
      </c>
      <c r="AW9" s="117"/>
      <c r="AX9" s="117"/>
      <c r="AY9" s="117"/>
      <c r="AZ9" s="223" t="s">
        <v>190</v>
      </c>
      <c r="BP9" s="556" t="s">
        <v>196</v>
      </c>
      <c r="BQ9" s="556"/>
      <c r="BR9" s="556"/>
      <c r="BS9" s="556"/>
      <c r="BT9" s="556"/>
      <c r="BU9" s="556"/>
      <c r="BX9" s="557" t="s">
        <v>197</v>
      </c>
      <c r="BY9" s="557"/>
      <c r="BZ9" s="557"/>
      <c r="CA9" s="557"/>
      <c r="CB9" s="557"/>
      <c r="CC9" s="557"/>
      <c r="CD9" s="120"/>
      <c r="CE9" s="120"/>
    </row>
    <row r="10" spans="3:85" ht="54.95" customHeight="1" x14ac:dyDescent="0.6">
      <c r="C10" s="117" t="s">
        <v>30</v>
      </c>
      <c r="D10" s="117" t="s">
        <v>198</v>
      </c>
      <c r="E10" s="117" t="s">
        <v>199</v>
      </c>
      <c r="F10" s="117" t="s">
        <v>97</v>
      </c>
      <c r="G10" s="117" t="s">
        <v>200</v>
      </c>
      <c r="H10" s="117" t="s">
        <v>201</v>
      </c>
      <c r="I10" s="117" t="s">
        <v>202</v>
      </c>
      <c r="J10" s="252" t="s">
        <v>49</v>
      </c>
      <c r="K10" s="223" t="s">
        <v>55</v>
      </c>
      <c r="L10" s="223" t="s">
        <v>67</v>
      </c>
      <c r="M10" s="223" t="s">
        <v>61</v>
      </c>
      <c r="N10" s="194" t="s">
        <v>248</v>
      </c>
      <c r="O10" s="117"/>
      <c r="P10" s="177"/>
      <c r="S10" s="178" t="s">
        <v>127</v>
      </c>
      <c r="T10" s="178" t="s">
        <v>249</v>
      </c>
      <c r="U10" s="178" t="s">
        <v>250</v>
      </c>
      <c r="V10" s="178" t="s">
        <v>250</v>
      </c>
      <c r="W10" s="178" t="s">
        <v>251</v>
      </c>
      <c r="X10" s="178" t="s">
        <v>251</v>
      </c>
      <c r="Y10" s="178" t="s">
        <v>252</v>
      </c>
      <c r="Z10" s="178" t="s">
        <v>252</v>
      </c>
      <c r="AA10" s="182"/>
      <c r="AB10" s="184"/>
      <c r="AC10" s="117"/>
      <c r="AD10" s="177"/>
      <c r="AG10" s="178" t="s">
        <v>253</v>
      </c>
      <c r="AH10" s="178" t="s">
        <v>253</v>
      </c>
      <c r="AI10" s="178" t="s">
        <v>253</v>
      </c>
      <c r="AJ10" s="178"/>
      <c r="AK10" s="178"/>
      <c r="AL10" s="178"/>
      <c r="AM10" s="178"/>
      <c r="AN10" s="178"/>
      <c r="AO10" s="178"/>
      <c r="AP10" s="178"/>
      <c r="AT10" s="117" t="s">
        <v>30</v>
      </c>
      <c r="AU10" s="117" t="s">
        <v>194</v>
      </c>
      <c r="AV10" s="117" t="s">
        <v>195</v>
      </c>
      <c r="AW10" s="117" t="s">
        <v>196</v>
      </c>
      <c r="AX10" s="117" t="s">
        <v>197</v>
      </c>
      <c r="AY10" s="117" t="s">
        <v>254</v>
      </c>
      <c r="AZ10" s="222" t="s">
        <v>55</v>
      </c>
      <c r="BP10" s="117" t="s">
        <v>198</v>
      </c>
      <c r="BQ10" s="117" t="s">
        <v>199</v>
      </c>
      <c r="BR10" s="117" t="s">
        <v>97</v>
      </c>
      <c r="BS10" s="117" t="s">
        <v>200</v>
      </c>
      <c r="BT10" s="117" t="s">
        <v>201</v>
      </c>
      <c r="BU10" s="117" t="s">
        <v>202</v>
      </c>
      <c r="BX10" s="117" t="s">
        <v>198</v>
      </c>
      <c r="BY10" s="117" t="s">
        <v>199</v>
      </c>
      <c r="BZ10" s="117" t="s">
        <v>97</v>
      </c>
      <c r="CA10" s="117" t="s">
        <v>200</v>
      </c>
      <c r="CB10" s="117" t="s">
        <v>201</v>
      </c>
      <c r="CC10" s="117" t="s">
        <v>202</v>
      </c>
      <c r="CD10" s="120"/>
      <c r="CE10" s="120"/>
    </row>
    <row r="11" spans="3:85" x14ac:dyDescent="0.6">
      <c r="C11" s="81">
        <v>2005</v>
      </c>
      <c r="D11" s="114">
        <v>2561684735</v>
      </c>
      <c r="E11" s="114">
        <v>1995924001</v>
      </c>
      <c r="F11" s="114">
        <v>1478686405</v>
      </c>
      <c r="G11" s="114">
        <v>562052379</v>
      </c>
      <c r="H11" s="114">
        <v>1518225921</v>
      </c>
      <c r="I11" s="114"/>
      <c r="J11" s="196">
        <f>SUM(D11:F11)</f>
        <v>6036295141</v>
      </c>
      <c r="K11" s="115">
        <f>SUM(D11:I11)</f>
        <v>8116573441</v>
      </c>
      <c r="L11" s="115">
        <f>J11-S11</f>
        <v>6036292069</v>
      </c>
      <c r="M11" s="115">
        <f>K11-T11</f>
        <v>8116573441</v>
      </c>
      <c r="N11" s="195"/>
      <c r="O11" s="83"/>
      <c r="P11" s="177"/>
      <c r="R11" s="81">
        <v>2005</v>
      </c>
      <c r="S11" s="76">
        <f t="shared" ref="S11:S51" si="0">VLOOKUP($S$7,PowerGen_Capacity,2,0)</f>
        <v>3072</v>
      </c>
      <c r="T11" s="79">
        <f t="shared" ref="T11:T51" si="1">IFERROR((VLOOKUP($R11,EskomDieselDemand,6,0)*TJ_GWh_Conversion*10^6)/MJ_Litres_Conversion/PowerGen_Efficiency,0)</f>
        <v>0</v>
      </c>
      <c r="U11" s="79">
        <f t="shared" ref="U11:Z51" si="2">IFERROR($S11*Operational_days*24*VLOOKUP($R11,PowerGenOCGT_Capacity_High,2,0)/1000,0)</f>
        <v>0</v>
      </c>
      <c r="V11" s="79">
        <f t="shared" ref="V11:V51" si="3">IFERROR($S11*Operational_days*24*VLOOKUP($R11,PowerGenOCGT_Capacity_Low,2,0)/1000,0)</f>
        <v>0</v>
      </c>
      <c r="W11" s="83">
        <f t="shared" ref="W11:W36" si="4">U11*TJ_GWh_Conversion</f>
        <v>0</v>
      </c>
      <c r="X11" s="83">
        <f t="shared" ref="X11:X36" si="5">V11*TJ_GWh_Conversion</f>
        <v>0</v>
      </c>
      <c r="Y11" s="83">
        <f>($W11*10^6)/MJ_Litres_Conversion</f>
        <v>0</v>
      </c>
      <c r="Z11" s="83">
        <f t="shared" ref="Z11:Z51" si="6">($X11*10^6)/MJ_Litres_Conversion/PowerGen_Efficiency</f>
        <v>0</v>
      </c>
      <c r="AA11" s="182"/>
      <c r="AB11" s="184"/>
      <c r="AC11" s="83"/>
      <c r="AD11" s="177"/>
      <c r="AF11" s="81">
        <v>2008</v>
      </c>
      <c r="AG11" s="234">
        <f>VLOOKUP($AF11,DieselPayloads,2,0)</f>
        <v>725799000</v>
      </c>
      <c r="AH11" s="234">
        <f t="shared" ref="AH11:AH28" si="7">VLOOKUP($AF11,DieselPayloads,3,0)</f>
        <v>545824000</v>
      </c>
      <c r="AI11" s="235">
        <f>AG11-AH11</f>
        <v>179975000</v>
      </c>
      <c r="AJ11" s="236">
        <f t="shared" ref="AJ11" si="8">AH11/AG11</f>
        <v>0.75203189863860376</v>
      </c>
      <c r="AK11" s="236">
        <f t="shared" ref="AK11" si="9">AI11/AG11</f>
        <v>0.24796810136139619</v>
      </c>
      <c r="AL11" s="234">
        <f t="shared" ref="AL11:AL25" si="10">IFERROR(VLOOKUP($AF11,Volume_NumberTrucks,3,0),)</f>
        <v>0</v>
      </c>
      <c r="AM11" s="237"/>
      <c r="AN11" s="238">
        <f>M14/AH11</f>
        <v>19.026336245749544</v>
      </c>
      <c r="AO11" s="234">
        <f t="shared" ref="AO11:AO28" si="11">IFERROR(VLOOKUP($AF11,Volume_NumberTrucks,2,0),)</f>
        <v>0</v>
      </c>
      <c r="AP11" s="234">
        <f t="shared" ref="AP11:AP28" si="12">IFERROR(VLOOKUP($AF11,C:M,10,0)/VLOOKUP($AF11,Volume_NumberTrucks,2,0),)</f>
        <v>0</v>
      </c>
      <c r="AT11" s="76">
        <v>2002</v>
      </c>
      <c r="AU11" s="114">
        <v>274562676.19047618</v>
      </c>
      <c r="AV11" s="114">
        <v>1204904776.1904762</v>
      </c>
      <c r="AW11" s="280" t="e">
        <f>AU11/VLOOKUP($AT11,$C$10:$K$29,9,0)</f>
        <v>#N/A</v>
      </c>
      <c r="AX11" s="280"/>
      <c r="AY11" s="280"/>
      <c r="AZ11" s="79">
        <f t="shared" ref="AZ11:AZ34" si="13">IFERROR((INDEX(DieselDemandSupply,MATCH($AT11,C:C,0),MATCH($AZ$10,$C$10:$N$10,0)))-AU11+AV11,)</f>
        <v>0</v>
      </c>
      <c r="BP11" s="272">
        <f>D$33+$BV$11</f>
        <v>0.28536682789203777</v>
      </c>
      <c r="BQ11" s="272">
        <f>E$33+$BV$11</f>
        <v>0.24897570350974926</v>
      </c>
      <c r="BR11" s="272">
        <f>F$33+$BV$11</f>
        <v>0.19061538521761595</v>
      </c>
      <c r="BS11" s="272">
        <f>G$33+$BV$11</f>
        <v>7.4439234852825081E-2</v>
      </c>
      <c r="BT11" s="272">
        <f>H$33+$BV$11</f>
        <v>0.20738656308159228</v>
      </c>
      <c r="BU11" s="273">
        <f>AVERAGE(I34:I53)/COUNTA(BP11:BT11)-BV11</f>
        <v>-1.2067984089822463E-3</v>
      </c>
      <c r="BV11" s="277">
        <v>4.3556329464002636E-3</v>
      </c>
      <c r="BW11" s="277"/>
      <c r="BX11" s="282">
        <f t="shared" ref="BX11:CC11" si="14">BP11</f>
        <v>0.28536682789203777</v>
      </c>
      <c r="BY11" s="282">
        <f t="shared" si="14"/>
        <v>0.24897570350974926</v>
      </c>
      <c r="BZ11" s="282">
        <f t="shared" si="14"/>
        <v>0.19061538521761595</v>
      </c>
      <c r="CA11" s="282">
        <f t="shared" si="14"/>
        <v>7.4439234852825081E-2</v>
      </c>
      <c r="CB11" s="282">
        <f t="shared" si="14"/>
        <v>0.20738656308159228</v>
      </c>
      <c r="CC11" s="282">
        <f t="shared" si="14"/>
        <v>-1.2067984089822463E-3</v>
      </c>
      <c r="CD11" s="120"/>
      <c r="CE11" s="120"/>
    </row>
    <row r="12" spans="3:85" x14ac:dyDescent="0.6">
      <c r="C12" s="81">
        <v>2006</v>
      </c>
      <c r="D12" s="114">
        <v>2773361623</v>
      </c>
      <c r="E12" s="114">
        <v>2191690125</v>
      </c>
      <c r="F12" s="114">
        <v>1543595341</v>
      </c>
      <c r="G12" s="114">
        <v>578021606</v>
      </c>
      <c r="H12" s="114">
        <v>1620736569</v>
      </c>
      <c r="I12" s="114"/>
      <c r="J12" s="196">
        <f t="shared" ref="J12:J31" si="15">SUM(D12:F12)</f>
        <v>6508647089</v>
      </c>
      <c r="K12" s="115">
        <f t="shared" ref="K12:K31" si="16">SUM(D12:I12)</f>
        <v>8707405264</v>
      </c>
      <c r="L12" s="115">
        <f t="shared" ref="L12:M31" si="17">J12-S12</f>
        <v>6508644017</v>
      </c>
      <c r="M12" s="115">
        <f t="shared" si="17"/>
        <v>8707405264</v>
      </c>
      <c r="N12" s="195"/>
      <c r="O12" s="83"/>
      <c r="P12" s="177"/>
      <c r="R12" s="81">
        <v>2006</v>
      </c>
      <c r="S12" s="76">
        <f t="shared" si="0"/>
        <v>3072</v>
      </c>
      <c r="T12" s="79">
        <f t="shared" si="1"/>
        <v>0</v>
      </c>
      <c r="U12" s="79">
        <f t="shared" si="2"/>
        <v>0</v>
      </c>
      <c r="V12" s="79">
        <f t="shared" si="3"/>
        <v>0</v>
      </c>
      <c r="W12" s="83">
        <f t="shared" si="4"/>
        <v>0</v>
      </c>
      <c r="X12" s="83">
        <f t="shared" si="5"/>
        <v>0</v>
      </c>
      <c r="Y12" s="83">
        <f t="shared" ref="Y12:Y51" si="18">($W12*10^6)/MJ_Litres_Conversion/PowerGen_Efficiency</f>
        <v>0</v>
      </c>
      <c r="Z12" s="83">
        <f t="shared" si="6"/>
        <v>0</v>
      </c>
      <c r="AA12" s="182"/>
      <c r="AB12" s="184"/>
      <c r="AC12" s="83"/>
      <c r="AD12" s="177"/>
      <c r="AF12" s="81">
        <v>2009</v>
      </c>
      <c r="AG12" s="234">
        <f t="shared" ref="AG12:AG27" si="19">VLOOKUP($AF12,DieselPayloads,2,0)</f>
        <v>666873000</v>
      </c>
      <c r="AH12" s="234">
        <f t="shared" si="7"/>
        <v>486528000</v>
      </c>
      <c r="AI12" s="235">
        <f t="shared" ref="AI12:AI27" si="20">AG12-AH12</f>
        <v>180345000</v>
      </c>
      <c r="AJ12" s="236">
        <f t="shared" ref="AJ12:AJ27" si="21">AH12/AG12</f>
        <v>0.7295661992613286</v>
      </c>
      <c r="AK12" s="236">
        <f t="shared" ref="AK12:AK27" si="22">AI12/AG12</f>
        <v>0.2704338007386714</v>
      </c>
      <c r="AL12" s="234">
        <f t="shared" si="10"/>
        <v>0</v>
      </c>
      <c r="AM12" s="237"/>
      <c r="AN12" s="238">
        <f t="shared" ref="AN12:AN25" si="23">M15/AH12</f>
        <v>19.396892520060511</v>
      </c>
      <c r="AO12" s="234">
        <f t="shared" si="11"/>
        <v>0</v>
      </c>
      <c r="AP12" s="234">
        <f t="shared" si="12"/>
        <v>0</v>
      </c>
      <c r="AT12" s="76">
        <v>2003</v>
      </c>
      <c r="AU12" s="114">
        <v>322395.23809523811</v>
      </c>
      <c r="AV12" s="114">
        <v>1558205461.9047623</v>
      </c>
      <c r="AW12" s="280" t="e">
        <f t="shared" ref="AW12:AW13" si="24">AU12/VLOOKUP($AT12,$C$10:$K$29,9,0)</f>
        <v>#N/A</v>
      </c>
      <c r="AX12" s="280"/>
      <c r="AY12" s="280"/>
      <c r="AZ12" s="79">
        <f t="shared" si="13"/>
        <v>0</v>
      </c>
      <c r="BO12" s="77">
        <v>2022</v>
      </c>
      <c r="BP12" s="234">
        <f>IFERROR(BP$11*VLOOKUP($BO12,fDiesel!$B:$T,18,0),"")</f>
        <v>0</v>
      </c>
      <c r="BQ12" s="234">
        <f>IFERROR(BQ$11*VLOOKUP($BO12,fDiesel!$B:$T,18,0),"")</f>
        <v>0</v>
      </c>
      <c r="BR12" s="234">
        <f>IFERROR(BR$11*VLOOKUP($BO12,fDiesel!$B:$T,18,0),"")</f>
        <v>0</v>
      </c>
      <c r="BS12" s="234">
        <f>IFERROR(BS$11*VLOOKUP($BO12,fDiesel!$B:$T,18,0),"")</f>
        <v>0</v>
      </c>
      <c r="BT12" s="234">
        <f>IFERROR(BT$11*VLOOKUP($BO12,fDiesel!$B:$T,18,0),"")</f>
        <v>0</v>
      </c>
      <c r="BU12" s="234">
        <f>IFERROR(BU$11*VLOOKUP($BO12,fDiesel!$B:$T,18,0),"")</f>
        <v>0</v>
      </c>
      <c r="BW12" s="169">
        <f t="shared" ref="BW12:BW38" si="25">BO12</f>
        <v>2022</v>
      </c>
      <c r="BX12" s="234">
        <f>IFERROR(BX$11*VLOOKUP($BO12,fDiesel!$B:$U,19,0),"")</f>
        <v>0</v>
      </c>
      <c r="BY12" s="234">
        <f>IFERROR(BY$11*VLOOKUP($BO12,fDiesel!$B:$U,19,0),"")</f>
        <v>0</v>
      </c>
      <c r="BZ12" s="234">
        <f>IFERROR(BZ$11*VLOOKUP($BO12,fDiesel!$B:$U,19,0),"")</f>
        <v>0</v>
      </c>
      <c r="CA12" s="234">
        <f>IFERROR(CA$11*VLOOKUP($BO12,fDiesel!$B:$U,19,0),"")</f>
        <v>0</v>
      </c>
      <c r="CB12" s="234">
        <f>IFERROR(CB$11*VLOOKUP($BO12,fDiesel!$B:$U,19,0),"")</f>
        <v>0</v>
      </c>
      <c r="CC12" s="234">
        <f>IFERROR(CC$11*VLOOKUP($BO12,fDiesel!$B:$U,19,0),"")</f>
        <v>0</v>
      </c>
      <c r="CD12" s="120"/>
      <c r="CE12" s="120"/>
    </row>
    <row r="13" spans="3:85" x14ac:dyDescent="0.6">
      <c r="C13" s="81">
        <v>2007</v>
      </c>
      <c r="D13" s="114">
        <v>3276164997</v>
      </c>
      <c r="E13" s="114">
        <v>2354115874</v>
      </c>
      <c r="F13" s="114">
        <v>1753573751</v>
      </c>
      <c r="G13" s="114">
        <v>645054151</v>
      </c>
      <c r="H13" s="114">
        <v>2112675513</v>
      </c>
      <c r="I13" s="114"/>
      <c r="J13" s="196">
        <f t="shared" si="15"/>
        <v>7383854622</v>
      </c>
      <c r="K13" s="115">
        <f t="shared" si="16"/>
        <v>10141584286</v>
      </c>
      <c r="L13" s="115">
        <f t="shared" si="17"/>
        <v>7383851550</v>
      </c>
      <c r="M13" s="115">
        <f t="shared" si="17"/>
        <v>10141584286</v>
      </c>
      <c r="N13" s="195"/>
      <c r="O13" s="83"/>
      <c r="P13" s="177"/>
      <c r="R13" s="81">
        <v>2007</v>
      </c>
      <c r="S13" s="76">
        <f t="shared" si="0"/>
        <v>3072</v>
      </c>
      <c r="T13" s="79">
        <f t="shared" si="1"/>
        <v>0</v>
      </c>
      <c r="U13" s="79">
        <f t="shared" si="2"/>
        <v>0</v>
      </c>
      <c r="V13" s="79">
        <f t="shared" si="3"/>
        <v>0</v>
      </c>
      <c r="W13" s="83">
        <f t="shared" si="4"/>
        <v>0</v>
      </c>
      <c r="X13" s="83">
        <f t="shared" si="5"/>
        <v>0</v>
      </c>
      <c r="Y13" s="83">
        <f>($W13*10^6)/MJ_Litres_Conversion/PowerGen_Efficiency</f>
        <v>0</v>
      </c>
      <c r="Z13" s="83">
        <f t="shared" si="6"/>
        <v>0</v>
      </c>
      <c r="AA13" s="182"/>
      <c r="AB13" s="184"/>
      <c r="AC13" s="83"/>
      <c r="AD13" s="177"/>
      <c r="AF13" s="81">
        <v>2010</v>
      </c>
      <c r="AG13" s="234">
        <f t="shared" si="19"/>
        <v>698802000</v>
      </c>
      <c r="AH13" s="234">
        <f>VLOOKUP($AF13,DieselPayloads,3,0)</f>
        <v>516022000</v>
      </c>
      <c r="AI13" s="235">
        <f t="shared" si="20"/>
        <v>182780000</v>
      </c>
      <c r="AJ13" s="236">
        <f t="shared" si="21"/>
        <v>0.73843806972504367</v>
      </c>
      <c r="AK13" s="236">
        <f t="shared" si="22"/>
        <v>0.26156193027495628</v>
      </c>
      <c r="AL13" s="234">
        <f t="shared" si="10"/>
        <v>1456111.4500000002</v>
      </c>
      <c r="AM13" s="239">
        <f>AH13/AL13</f>
        <v>354.38358787715043</v>
      </c>
      <c r="AN13" s="238">
        <f t="shared" si="23"/>
        <v>20.254075764211603</v>
      </c>
      <c r="AO13" s="234">
        <f t="shared" si="11"/>
        <v>1923070.9</v>
      </c>
      <c r="AP13" s="234">
        <f t="shared" si="12"/>
        <v>3526.5696714562114</v>
      </c>
      <c r="AT13" s="76">
        <v>2004</v>
      </c>
      <c r="AU13" s="114">
        <v>574059538.09523809</v>
      </c>
      <c r="AV13" s="114">
        <v>1208754851.1904762</v>
      </c>
      <c r="AW13" s="280" t="e">
        <f t="shared" si="24"/>
        <v>#N/A</v>
      </c>
      <c r="AX13" s="280"/>
      <c r="AY13" s="280"/>
      <c r="AZ13" s="79">
        <f t="shared" si="13"/>
        <v>0</v>
      </c>
      <c r="BO13" s="77">
        <v>2023</v>
      </c>
      <c r="BP13" s="234">
        <f>IFERROR(BP$11*VLOOKUP($BO13,fDiesel!$B:$T,18,0),"")</f>
        <v>0</v>
      </c>
      <c r="BQ13" s="234">
        <f>IFERROR(BQ$11*VLOOKUP($BO13,fDiesel!$B:$T,18,0),"")</f>
        <v>0</v>
      </c>
      <c r="BR13" s="234">
        <f>IFERROR(BR$11*VLOOKUP($BO13,fDiesel!$B:$T,18,0),"")</f>
        <v>0</v>
      </c>
      <c r="BS13" s="234">
        <f>IFERROR(BS$11*VLOOKUP($BO13,fDiesel!$B:$T,18,0),"")</f>
        <v>0</v>
      </c>
      <c r="BT13" s="234">
        <f>IFERROR(BT$11*VLOOKUP($BO13,fDiesel!$B:$T,18,0),"")</f>
        <v>0</v>
      </c>
      <c r="BU13" s="234">
        <f>IFERROR(BU$11*VLOOKUP($BO13,fDiesel!$B:$T,18,0),"")</f>
        <v>0</v>
      </c>
      <c r="BW13" s="169">
        <f t="shared" si="25"/>
        <v>2023</v>
      </c>
      <c r="BX13" s="234">
        <f>IFERROR(BX$11*VLOOKUP($BO13,fDiesel!$B:$U,19,0),"")</f>
        <v>0</v>
      </c>
      <c r="BY13" s="234">
        <f>IFERROR(BY$11*VLOOKUP($BO13,fDiesel!$B:$U,19,0),"")</f>
        <v>0</v>
      </c>
      <c r="BZ13" s="234">
        <f>IFERROR(BZ$11*VLOOKUP($BO13,fDiesel!$B:$U,19,0),"")</f>
        <v>0</v>
      </c>
      <c r="CA13" s="234">
        <f>IFERROR(CA$11*VLOOKUP($BO13,fDiesel!$B:$U,19,0),"")</f>
        <v>0</v>
      </c>
      <c r="CB13" s="234">
        <f>IFERROR(CB$11*VLOOKUP($BO13,fDiesel!$B:$U,19,0),"")</f>
        <v>0</v>
      </c>
      <c r="CC13" s="234">
        <f>IFERROR(CC$11*VLOOKUP($BO13,fDiesel!$B:$U,19,0),"")</f>
        <v>0</v>
      </c>
      <c r="CD13" s="120"/>
      <c r="CE13" s="120"/>
    </row>
    <row r="14" spans="3:85" x14ac:dyDescent="0.6">
      <c r="C14" s="81">
        <v>2008</v>
      </c>
      <c r="D14" s="114">
        <v>3441505797</v>
      </c>
      <c r="E14" s="114">
        <v>2483421505</v>
      </c>
      <c r="F14" s="114">
        <v>1854159346</v>
      </c>
      <c r="G14" s="114">
        <v>653410080</v>
      </c>
      <c r="H14" s="114">
        <v>1952534227</v>
      </c>
      <c r="I14" s="114"/>
      <c r="J14" s="196">
        <f t="shared" si="15"/>
        <v>7779086648</v>
      </c>
      <c r="K14" s="115">
        <f t="shared" si="16"/>
        <v>10385030955</v>
      </c>
      <c r="L14" s="115">
        <f t="shared" si="17"/>
        <v>7779083576</v>
      </c>
      <c r="M14" s="115">
        <f t="shared" si="17"/>
        <v>10385030955</v>
      </c>
      <c r="N14" s="195"/>
      <c r="O14" s="83"/>
      <c r="P14" s="177"/>
      <c r="R14" s="81">
        <v>2008</v>
      </c>
      <c r="S14" s="76">
        <f t="shared" si="0"/>
        <v>3072</v>
      </c>
      <c r="T14" s="79">
        <f t="shared" si="1"/>
        <v>0</v>
      </c>
      <c r="U14" s="79">
        <f t="shared" si="2"/>
        <v>0</v>
      </c>
      <c r="V14" s="79">
        <f t="shared" si="3"/>
        <v>0</v>
      </c>
      <c r="W14" s="83">
        <f t="shared" si="4"/>
        <v>0</v>
      </c>
      <c r="X14" s="83">
        <f t="shared" si="5"/>
        <v>0</v>
      </c>
      <c r="Y14" s="83">
        <f t="shared" si="18"/>
        <v>0</v>
      </c>
      <c r="Z14" s="83">
        <f t="shared" si="6"/>
        <v>0</v>
      </c>
      <c r="AA14" s="182"/>
      <c r="AB14" s="184"/>
      <c r="AC14" s="83"/>
      <c r="AD14" s="177"/>
      <c r="AF14" s="81">
        <v>2011</v>
      </c>
      <c r="AG14" s="234">
        <f t="shared" si="19"/>
        <v>754153000</v>
      </c>
      <c r="AH14" s="234">
        <f t="shared" si="7"/>
        <v>558637000</v>
      </c>
      <c r="AI14" s="235">
        <f t="shared" si="20"/>
        <v>195516000</v>
      </c>
      <c r="AJ14" s="236">
        <f t="shared" si="21"/>
        <v>0.7407475671382332</v>
      </c>
      <c r="AK14" s="236">
        <f t="shared" si="22"/>
        <v>0.2592524328617668</v>
      </c>
      <c r="AL14" s="234">
        <f t="shared" si="10"/>
        <v>1513803.7</v>
      </c>
      <c r="AM14" s="239">
        <f t="shared" ref="AM14:AM27" si="26">AH14/AL14</f>
        <v>369.02869242557671</v>
      </c>
      <c r="AN14" s="238">
        <f t="shared" si="23"/>
        <v>20.532799495915953</v>
      </c>
      <c r="AO14" s="234">
        <f t="shared" si="11"/>
        <v>1990199.9999999998</v>
      </c>
      <c r="AP14" s="234">
        <f t="shared" si="12"/>
        <v>4273.1780559742747</v>
      </c>
      <c r="AT14" s="76">
        <v>2005</v>
      </c>
      <c r="AU14" s="114">
        <v>904706105.95238101</v>
      </c>
      <c r="AV14" s="114">
        <v>3550999458.3333335</v>
      </c>
      <c r="AW14" s="280">
        <f>AU14/(VLOOKUP($AT14,$C$10:$K$29,9,0)+AV14)</f>
        <v>7.7540214555168921E-2</v>
      </c>
      <c r="AX14" s="280"/>
      <c r="AY14" s="280"/>
      <c r="AZ14" s="79">
        <f t="shared" si="13"/>
        <v>10762866793.380953</v>
      </c>
      <c r="BO14" s="77">
        <v>2024</v>
      </c>
      <c r="BP14" s="234">
        <f>IFERROR(BP$11*VLOOKUP($BO14,fDiesel!$B:$T,18,0),"")</f>
        <v>0</v>
      </c>
      <c r="BQ14" s="234">
        <f>IFERROR(BQ$11*VLOOKUP($BO14,fDiesel!$B:$T,18,0),"")</f>
        <v>0</v>
      </c>
      <c r="BR14" s="234">
        <f>IFERROR(BR$11*VLOOKUP($BO14,fDiesel!$B:$T,18,0),"")</f>
        <v>0</v>
      </c>
      <c r="BS14" s="234">
        <f>IFERROR(BS$11*VLOOKUP($BO14,fDiesel!$B:$T,18,0),"")</f>
        <v>0</v>
      </c>
      <c r="BT14" s="234">
        <f>IFERROR(BT$11*VLOOKUP($BO14,fDiesel!$B:$T,18,0),"")</f>
        <v>0</v>
      </c>
      <c r="BU14" s="234">
        <f>IFERROR(BU$11*VLOOKUP($BO14,fDiesel!$B:$T,18,0),"")</f>
        <v>0</v>
      </c>
      <c r="BW14" s="169">
        <f t="shared" si="25"/>
        <v>2024</v>
      </c>
      <c r="BX14" s="234">
        <f>IFERROR(BX$11*VLOOKUP($BO14,fDiesel!$B:$U,19,0),"")</f>
        <v>0</v>
      </c>
      <c r="BY14" s="234">
        <f>IFERROR(BY$11*VLOOKUP($BO14,fDiesel!$B:$U,19,0),"")</f>
        <v>0</v>
      </c>
      <c r="BZ14" s="234">
        <f>IFERROR(BZ$11*VLOOKUP($BO14,fDiesel!$B:$U,19,0),"")</f>
        <v>0</v>
      </c>
      <c r="CA14" s="234">
        <f>IFERROR(CA$11*VLOOKUP($BO14,fDiesel!$B:$U,19,0),"")</f>
        <v>0</v>
      </c>
      <c r="CB14" s="234">
        <f>IFERROR(CB$11*VLOOKUP($BO14,fDiesel!$B:$U,19,0),"")</f>
        <v>0</v>
      </c>
      <c r="CC14" s="234">
        <f>IFERROR(CC$11*VLOOKUP($BO14,fDiesel!$B:$U,19,0),"")</f>
        <v>0</v>
      </c>
      <c r="CD14" s="120"/>
      <c r="CE14" s="120"/>
    </row>
    <row r="15" spans="3:85" x14ac:dyDescent="0.6">
      <c r="C15" s="81">
        <v>2009</v>
      </c>
      <c r="D15" s="114">
        <v>3225248085</v>
      </c>
      <c r="E15" s="114">
        <v>2266882427</v>
      </c>
      <c r="F15" s="114">
        <v>1685242698</v>
      </c>
      <c r="G15" s="114">
        <v>606533137</v>
      </c>
      <c r="H15" s="114">
        <v>1653224977</v>
      </c>
      <c r="I15" s="114"/>
      <c r="J15" s="196">
        <f t="shared" si="15"/>
        <v>7177373210</v>
      </c>
      <c r="K15" s="115">
        <f t="shared" si="16"/>
        <v>9437131324</v>
      </c>
      <c r="L15" s="115">
        <f t="shared" si="17"/>
        <v>7177370138</v>
      </c>
      <c r="M15" s="115">
        <f t="shared" si="17"/>
        <v>9437131324</v>
      </c>
      <c r="N15" s="195"/>
      <c r="O15" s="83"/>
      <c r="P15" s="177"/>
      <c r="R15" s="81">
        <v>2009</v>
      </c>
      <c r="S15" s="76">
        <f t="shared" si="0"/>
        <v>3072</v>
      </c>
      <c r="T15" s="79">
        <f t="shared" si="1"/>
        <v>0</v>
      </c>
      <c r="U15" s="79">
        <f t="shared" si="2"/>
        <v>0</v>
      </c>
      <c r="V15" s="79">
        <f t="shared" si="3"/>
        <v>0</v>
      </c>
      <c r="W15" s="83">
        <f t="shared" si="4"/>
        <v>0</v>
      </c>
      <c r="X15" s="83">
        <f t="shared" si="5"/>
        <v>0</v>
      </c>
      <c r="Y15" s="83">
        <f t="shared" si="18"/>
        <v>0</v>
      </c>
      <c r="Z15" s="83">
        <f t="shared" si="6"/>
        <v>0</v>
      </c>
      <c r="AA15" s="182"/>
      <c r="AB15" s="184"/>
      <c r="AC15" s="83"/>
      <c r="AD15" s="177"/>
      <c r="AF15" s="81">
        <v>2012</v>
      </c>
      <c r="AG15" s="234">
        <f t="shared" si="19"/>
        <v>766291000</v>
      </c>
      <c r="AH15" s="234">
        <f t="shared" si="7"/>
        <v>559027000</v>
      </c>
      <c r="AI15" s="235">
        <f t="shared" si="20"/>
        <v>207264000</v>
      </c>
      <c r="AJ15" s="236">
        <f t="shared" si="21"/>
        <v>0.72952311850197904</v>
      </c>
      <c r="AK15" s="236">
        <f t="shared" si="22"/>
        <v>0.27047688149802096</v>
      </c>
      <c r="AL15" s="234">
        <f t="shared" si="10"/>
        <v>1573520.4</v>
      </c>
      <c r="AM15" s="239">
        <f t="shared" si="26"/>
        <v>355.27153000367838</v>
      </c>
      <c r="AN15" s="238">
        <f t="shared" si="23"/>
        <v>20.032496701695155</v>
      </c>
      <c r="AO15" s="234">
        <f t="shared" si="11"/>
        <v>2062221.7250000001</v>
      </c>
      <c r="AP15" s="234">
        <f t="shared" si="12"/>
        <v>4071.9686206389856</v>
      </c>
      <c r="AT15" s="76">
        <v>2006</v>
      </c>
      <c r="AU15" s="114">
        <v>2034568829.761905</v>
      </c>
      <c r="AV15" s="114">
        <v>781178461.90476191</v>
      </c>
      <c r="AW15" s="280">
        <f t="shared" ref="AW15:AW31" si="27">AU15/(VLOOKUP($AT15,$C$10:$K$29,9,0)+AV15)</f>
        <v>0.21442281467226063</v>
      </c>
      <c r="AX15" s="280"/>
      <c r="AY15" s="280"/>
      <c r="AZ15" s="79">
        <f t="shared" si="13"/>
        <v>7454014896.1428576</v>
      </c>
      <c r="BO15" s="77">
        <v>2025</v>
      </c>
      <c r="BP15" s="234">
        <f>IFERROR(BP$11*VLOOKUP($BO15,fDiesel!$B:$T,18,0),"")</f>
        <v>3598842046.458147</v>
      </c>
      <c r="BQ15" s="234">
        <f>IFERROR(BQ$11*VLOOKUP($BO15,fDiesel!$B:$T,18,0),"")</f>
        <v>3139903249.9894271</v>
      </c>
      <c r="BR15" s="234">
        <f>IFERROR(BR$11*VLOOKUP($BO15,fDiesel!$B:$T,18,0),"")</f>
        <v>2403904714.8202662</v>
      </c>
      <c r="BS15" s="234">
        <f>IFERROR(BS$11*VLOOKUP($BO15,fDiesel!$B:$T,18,0),"")</f>
        <v>938774314.70721543</v>
      </c>
      <c r="BT15" s="234">
        <f>IFERROR(BT$11*VLOOKUP($BO15,fDiesel!$B:$T,18,0),"")</f>
        <v>2615410798.100348</v>
      </c>
      <c r="BU15" s="234">
        <f>IFERROR(BU$11*VLOOKUP($BO15,fDiesel!$B:$T,18,0),"")</f>
        <v>-15219277.194640193</v>
      </c>
      <c r="BW15" s="169">
        <f t="shared" si="25"/>
        <v>2025</v>
      </c>
      <c r="BX15" s="234">
        <f>IFERROR(BX$11*VLOOKUP($BO15,fDiesel!$B:$U,19,0),"")</f>
        <v>3598842046.458147</v>
      </c>
      <c r="BY15" s="234">
        <f>IFERROR(BY$11*VLOOKUP($BO15,fDiesel!$B:$U,19,0),"")</f>
        <v>3139903249.9894271</v>
      </c>
      <c r="BZ15" s="234">
        <f>IFERROR(BZ$11*VLOOKUP($BO15,fDiesel!$B:$U,19,0),"")</f>
        <v>2403904714.8202662</v>
      </c>
      <c r="CA15" s="234">
        <f>IFERROR(CA$11*VLOOKUP($BO15,fDiesel!$B:$U,19,0),"")</f>
        <v>938774314.70721543</v>
      </c>
      <c r="CB15" s="234">
        <f>IFERROR(CB$11*VLOOKUP($BO15,fDiesel!$B:$U,19,0),"")</f>
        <v>2615410798.100348</v>
      </c>
      <c r="CC15" s="234">
        <f>IFERROR(CC$11*VLOOKUP($BO15,fDiesel!$B:$U,19,0),"")</f>
        <v>-15219277.194640193</v>
      </c>
      <c r="CD15" s="120"/>
      <c r="CE15" s="120"/>
      <c r="CG15" s="83">
        <f>SUM(BX15:CB15)</f>
        <v>12696835124.075405</v>
      </c>
    </row>
    <row r="16" spans="3:85" x14ac:dyDescent="0.6">
      <c r="C16" s="81">
        <v>2010</v>
      </c>
      <c r="D16" s="114">
        <v>3120440367</v>
      </c>
      <c r="E16" s="114">
        <v>2132428053</v>
      </c>
      <c r="F16" s="114">
        <v>1528978164</v>
      </c>
      <c r="G16" s="114">
        <v>567598708</v>
      </c>
      <c r="H16" s="114">
        <v>1330595484</v>
      </c>
      <c r="I16" s="114">
        <v>1771507908</v>
      </c>
      <c r="J16" s="196">
        <f t="shared" si="15"/>
        <v>6781846584</v>
      </c>
      <c r="K16" s="115">
        <f t="shared" si="16"/>
        <v>10451548684</v>
      </c>
      <c r="L16" s="115">
        <f t="shared" si="17"/>
        <v>6781843512</v>
      </c>
      <c r="M16" s="115">
        <f t="shared" si="17"/>
        <v>10451548684</v>
      </c>
      <c r="N16" s="195"/>
      <c r="O16" s="83"/>
      <c r="P16" s="177"/>
      <c r="R16" s="81">
        <v>2010</v>
      </c>
      <c r="S16" s="76">
        <f t="shared" si="0"/>
        <v>3072</v>
      </c>
      <c r="T16" s="79">
        <f t="shared" si="1"/>
        <v>0</v>
      </c>
      <c r="U16" s="79">
        <f t="shared" si="2"/>
        <v>0</v>
      </c>
      <c r="V16" s="79">
        <f t="shared" si="3"/>
        <v>0</v>
      </c>
      <c r="W16" s="83">
        <f t="shared" si="4"/>
        <v>0</v>
      </c>
      <c r="X16" s="83">
        <f t="shared" si="5"/>
        <v>0</v>
      </c>
      <c r="Y16" s="83">
        <f t="shared" si="18"/>
        <v>0</v>
      </c>
      <c r="Z16" s="83">
        <f t="shared" si="6"/>
        <v>0</v>
      </c>
      <c r="AA16" s="182"/>
      <c r="AB16" s="184"/>
      <c r="AC16" s="83"/>
      <c r="AD16" s="177"/>
      <c r="AF16" s="81">
        <v>2013</v>
      </c>
      <c r="AG16" s="234">
        <f t="shared" si="19"/>
        <v>781418000</v>
      </c>
      <c r="AH16" s="234">
        <f t="shared" si="7"/>
        <v>568128000</v>
      </c>
      <c r="AI16" s="235">
        <f t="shared" si="20"/>
        <v>213290000</v>
      </c>
      <c r="AJ16" s="236">
        <f t="shared" si="21"/>
        <v>0.72704749570652327</v>
      </c>
      <c r="AK16" s="236">
        <f t="shared" si="22"/>
        <v>0.27295250429347673</v>
      </c>
      <c r="AL16" s="234">
        <f t="shared" si="10"/>
        <v>1632529.2999999998</v>
      </c>
      <c r="AM16" s="239">
        <f t="shared" si="26"/>
        <v>348.00478006734704</v>
      </c>
      <c r="AN16" s="238">
        <f t="shared" si="23"/>
        <v>20.00032556507362</v>
      </c>
      <c r="AO16" s="234">
        <f t="shared" si="11"/>
        <v>2132132.5499999998</v>
      </c>
      <c r="AP16" s="234">
        <f t="shared" si="12"/>
        <v>4188.6314375717402</v>
      </c>
      <c r="AT16" s="76">
        <v>2007</v>
      </c>
      <c r="AU16" s="114">
        <v>2789321839.2857146</v>
      </c>
      <c r="AV16" s="114">
        <v>866252666.66666675</v>
      </c>
      <c r="AW16" s="280">
        <f t="shared" si="27"/>
        <v>0.25339418191600277</v>
      </c>
      <c r="AX16" s="280"/>
      <c r="AY16" s="280"/>
      <c r="AZ16" s="79">
        <f t="shared" si="13"/>
        <v>8218515113.3809519</v>
      </c>
      <c r="BO16" s="77">
        <v>2026</v>
      </c>
      <c r="BP16" s="234">
        <f>IFERROR(BP$11*VLOOKUP($BO16,fDiesel!$B:$T,18,0),"")</f>
        <v>3816479004.0257463</v>
      </c>
      <c r="BQ16" s="234">
        <f>IFERROR(BQ$11*VLOOKUP($BO16,fDiesel!$B:$T,18,0),"")</f>
        <v>3329786268.3499732</v>
      </c>
      <c r="BR16" s="234">
        <f>IFERROR(BR$11*VLOOKUP($BO16,fDiesel!$B:$T,18,0),"")</f>
        <v>2549278838.4028182</v>
      </c>
      <c r="BS16" s="234">
        <f>IFERROR(BS$11*VLOOKUP($BO16,fDiesel!$B:$T,18,0),"")</f>
        <v>995545904.86259973</v>
      </c>
      <c r="BT16" s="234">
        <f>IFERROR(BT$11*VLOOKUP($BO16,fDiesel!$B:$T,18,0),"")</f>
        <v>2773575574.8646421</v>
      </c>
      <c r="BU16" s="234">
        <f>IFERROR(BU$11*VLOOKUP($BO16,fDiesel!$B:$T,18,0),"")</f>
        <v>-16139650.23192847</v>
      </c>
      <c r="BW16" s="169">
        <f t="shared" si="25"/>
        <v>2026</v>
      </c>
      <c r="BX16" s="234">
        <f>IFERROR(BX$11*VLOOKUP($BO16,fDiesel!$B:$U,19,0),"")</f>
        <v>3390638892.503438</v>
      </c>
      <c r="BY16" s="234">
        <f>IFERROR(BY$11*VLOOKUP($BO16,fDiesel!$B:$U,19,0),"")</f>
        <v>2958250998.7038155</v>
      </c>
      <c r="BZ16" s="234">
        <f>IFERROR(BZ$11*VLOOKUP($BO16,fDiesel!$B:$U,19,0),"")</f>
        <v>2264832052.8442426</v>
      </c>
      <c r="CA16" s="234">
        <f>IFERROR(CA$11*VLOOKUP($BO16,fDiesel!$B:$U,19,0),"")</f>
        <v>884463575.12750161</v>
      </c>
      <c r="CB16" s="234">
        <f>IFERROR(CB$11*VLOOKUP($BO16,fDiesel!$B:$U,19,0),"")</f>
        <v>2464101913.1806531</v>
      </c>
      <c r="CC16" s="234">
        <f>IFERROR(CC$11*VLOOKUP($BO16,fDiesel!$B:$U,19,0),"")</f>
        <v>-14338799.120879332</v>
      </c>
      <c r="CD16" s="120"/>
      <c r="CE16" s="120"/>
      <c r="CG16" s="83">
        <f t="shared" ref="CG16:CG35" si="28">SUM(BX16:CB16)</f>
        <v>11962287432.359652</v>
      </c>
    </row>
    <row r="17" spans="3:85" x14ac:dyDescent="0.6">
      <c r="C17" s="81">
        <v>2011</v>
      </c>
      <c r="D17" s="114">
        <v>3927891713</v>
      </c>
      <c r="E17" s="114">
        <v>2553686142</v>
      </c>
      <c r="F17" s="114">
        <v>2022904184</v>
      </c>
      <c r="G17" s="114">
        <v>686621702</v>
      </c>
      <c r="H17" s="114">
        <v>2033325098</v>
      </c>
      <c r="I17" s="114">
        <v>245952673</v>
      </c>
      <c r="J17" s="196">
        <f t="shared" si="15"/>
        <v>8504482039</v>
      </c>
      <c r="K17" s="115">
        <f t="shared" si="16"/>
        <v>11470381512</v>
      </c>
      <c r="L17" s="115">
        <f t="shared" si="17"/>
        <v>8504478967</v>
      </c>
      <c r="M17" s="115">
        <f t="shared" si="17"/>
        <v>11470381512</v>
      </c>
      <c r="N17" s="195"/>
      <c r="O17" s="83"/>
      <c r="P17" s="177"/>
      <c r="R17" s="81">
        <v>2011</v>
      </c>
      <c r="S17" s="76">
        <f t="shared" si="0"/>
        <v>3072</v>
      </c>
      <c r="T17" s="79">
        <f t="shared" si="1"/>
        <v>0</v>
      </c>
      <c r="U17" s="79">
        <f t="shared" si="2"/>
        <v>0</v>
      </c>
      <c r="V17" s="79">
        <f t="shared" si="3"/>
        <v>0</v>
      </c>
      <c r="W17" s="83">
        <f t="shared" si="4"/>
        <v>0</v>
      </c>
      <c r="X17" s="83">
        <f t="shared" si="5"/>
        <v>0</v>
      </c>
      <c r="Y17" s="83">
        <f t="shared" si="18"/>
        <v>0</v>
      </c>
      <c r="Z17" s="83">
        <f t="shared" si="6"/>
        <v>0</v>
      </c>
      <c r="AA17" s="182"/>
      <c r="AB17" s="184"/>
      <c r="AC17" s="83"/>
      <c r="AD17" s="177"/>
      <c r="AF17" s="81">
        <v>2014</v>
      </c>
      <c r="AG17" s="234">
        <f t="shared" si="19"/>
        <v>830645000</v>
      </c>
      <c r="AH17" s="234">
        <f t="shared" si="7"/>
        <v>608701000</v>
      </c>
      <c r="AI17" s="235">
        <f t="shared" si="20"/>
        <v>221944000</v>
      </c>
      <c r="AJ17" s="236">
        <f t="shared" si="21"/>
        <v>0.73280522967091843</v>
      </c>
      <c r="AK17" s="236">
        <f t="shared" si="22"/>
        <v>0.26719477032908162</v>
      </c>
      <c r="AL17" s="234">
        <f t="shared" si="10"/>
        <v>1687509.2750000004</v>
      </c>
      <c r="AM17" s="239">
        <f t="shared" si="26"/>
        <v>360.70972113619928</v>
      </c>
      <c r="AN17" s="238">
        <f t="shared" si="23"/>
        <v>19.247142794766354</v>
      </c>
      <c r="AO17" s="234">
        <f t="shared" si="11"/>
        <v>2201490.1250000005</v>
      </c>
      <c r="AP17" s="234">
        <f t="shared" si="12"/>
        <v>4125.6426280812857</v>
      </c>
      <c r="AT17" s="76">
        <v>2008</v>
      </c>
      <c r="AU17" s="114">
        <v>2509117982.1428571</v>
      </c>
      <c r="AV17" s="114">
        <v>886245101.19047618</v>
      </c>
      <c r="AW17" s="280">
        <f t="shared" si="27"/>
        <v>0.22261170515513945</v>
      </c>
      <c r="AX17" s="280"/>
      <c r="AY17" s="280"/>
      <c r="AZ17" s="79">
        <f t="shared" si="13"/>
        <v>8762158074.0476189</v>
      </c>
      <c r="BO17" s="77">
        <v>2027</v>
      </c>
      <c r="BP17" s="234">
        <f>IFERROR(BP$11*VLOOKUP($BO17,fDiesel!$B:$T,18,0),"")</f>
        <v>3891463373.0901933</v>
      </c>
      <c r="BQ17" s="234">
        <f>IFERROR(BQ$11*VLOOKUP($BO17,fDiesel!$B:$T,18,0),"")</f>
        <v>3395208329.4141917</v>
      </c>
      <c r="BR17" s="234">
        <f>IFERROR(BR$11*VLOOKUP($BO17,fDiesel!$B:$T,18,0),"")</f>
        <v>2599365859.7293715</v>
      </c>
      <c r="BS17" s="234">
        <f>IFERROR(BS$11*VLOOKUP($BO17,fDiesel!$B:$T,18,0),"")</f>
        <v>1015105918.5485318</v>
      </c>
      <c r="BT17" s="234">
        <f>IFERROR(BT$11*VLOOKUP($BO17,fDiesel!$B:$T,18,0),"")</f>
        <v>2828069472.0705237</v>
      </c>
      <c r="BU17" s="234">
        <f>IFERROR(BU$11*VLOOKUP($BO17,fDiesel!$B:$T,18,0),"")</f>
        <v>-16456754.423589272</v>
      </c>
      <c r="BW17" s="169">
        <f t="shared" si="25"/>
        <v>2027</v>
      </c>
      <c r="BX17" s="234">
        <f>IFERROR(BX$11*VLOOKUP($BO17,fDiesel!$B:$U,19,0),"")</f>
        <v>3418248632.297503</v>
      </c>
      <c r="BY17" s="234">
        <f>IFERROR(BY$11*VLOOKUP($BO17,fDiesel!$B:$U,19,0),"")</f>
        <v>2982339833.5544772</v>
      </c>
      <c r="BZ17" s="234">
        <f>IFERROR(BZ$11*VLOOKUP($BO17,fDiesel!$B:$U,19,0),"")</f>
        <v>2283274424.8097568</v>
      </c>
      <c r="CA17" s="234">
        <f>IFERROR(CA$11*VLOOKUP($BO17,fDiesel!$B:$U,19,0),"")</f>
        <v>891665701.31693149</v>
      </c>
      <c r="CB17" s="234">
        <f>IFERROR(CB$11*VLOOKUP($BO17,fDiesel!$B:$U,19,0),"")</f>
        <v>2484166925.9425235</v>
      </c>
      <c r="CC17" s="234">
        <f>IFERROR(CC$11*VLOOKUP($BO17,fDiesel!$B:$U,19,0),"")</f>
        <v>-14455558.978014853</v>
      </c>
      <c r="CD17" s="120"/>
      <c r="CE17" s="120"/>
      <c r="CG17" s="83">
        <f t="shared" si="28"/>
        <v>12059695517.921192</v>
      </c>
    </row>
    <row r="18" spans="3:85" x14ac:dyDescent="0.6">
      <c r="C18" s="81">
        <v>2012</v>
      </c>
      <c r="D18" s="114">
        <v>3748723420</v>
      </c>
      <c r="E18" s="114">
        <v>2557572436</v>
      </c>
      <c r="F18" s="114">
        <v>2091009369</v>
      </c>
      <c r="G18" s="114">
        <v>704874670</v>
      </c>
      <c r="H18" s="114">
        <v>2126507146</v>
      </c>
      <c r="I18" s="114">
        <v>434653639</v>
      </c>
      <c r="J18" s="196">
        <f t="shared" si="15"/>
        <v>8397305225</v>
      </c>
      <c r="K18" s="115">
        <f t="shared" si="16"/>
        <v>11663340680</v>
      </c>
      <c r="L18" s="115">
        <f t="shared" si="17"/>
        <v>8397302153</v>
      </c>
      <c r="M18" s="115">
        <f t="shared" si="17"/>
        <v>11198706533.658537</v>
      </c>
      <c r="N18" s="195"/>
      <c r="O18" s="83"/>
      <c r="P18" s="177"/>
      <c r="R18" s="81">
        <v>2012</v>
      </c>
      <c r="S18" s="76">
        <f t="shared" si="0"/>
        <v>3072</v>
      </c>
      <c r="T18" s="79">
        <f t="shared" si="1"/>
        <v>464634146.34146339</v>
      </c>
      <c r="U18" s="79">
        <f t="shared" si="2"/>
        <v>0</v>
      </c>
      <c r="V18" s="79">
        <f t="shared" si="3"/>
        <v>0</v>
      </c>
      <c r="W18" s="83">
        <f t="shared" si="4"/>
        <v>0</v>
      </c>
      <c r="X18" s="83">
        <f t="shared" si="5"/>
        <v>0</v>
      </c>
      <c r="Y18" s="83">
        <f t="shared" si="18"/>
        <v>0</v>
      </c>
      <c r="Z18" s="83">
        <f t="shared" si="6"/>
        <v>0</v>
      </c>
      <c r="AA18" s="182"/>
      <c r="AB18" s="184"/>
      <c r="AC18" s="83"/>
      <c r="AD18" s="177"/>
      <c r="AF18" s="81">
        <v>2015</v>
      </c>
      <c r="AG18" s="234">
        <f t="shared" si="19"/>
        <v>805722000</v>
      </c>
      <c r="AH18" s="234">
        <f t="shared" si="7"/>
        <v>584740000</v>
      </c>
      <c r="AI18" s="235">
        <f t="shared" si="20"/>
        <v>220982000</v>
      </c>
      <c r="AJ18" s="236">
        <f t="shared" si="21"/>
        <v>0.7257341862329687</v>
      </c>
      <c r="AK18" s="236">
        <f t="shared" si="22"/>
        <v>0.2742658137670313</v>
      </c>
      <c r="AL18" s="234">
        <f t="shared" si="10"/>
        <v>1685294</v>
      </c>
      <c r="AM18" s="239">
        <f t="shared" si="26"/>
        <v>346.96616732748112</v>
      </c>
      <c r="AN18" s="238">
        <f t="shared" si="23"/>
        <v>21.503541258362066</v>
      </c>
      <c r="AO18" s="234">
        <f t="shared" si="11"/>
        <v>2222399</v>
      </c>
      <c r="AP18" s="234">
        <f t="shared" si="12"/>
        <v>4091.5717582666298</v>
      </c>
      <c r="AT18" s="76">
        <v>2009</v>
      </c>
      <c r="AU18" s="114">
        <v>2313535626.1904764</v>
      </c>
      <c r="AV18" s="114">
        <v>853213299.99999988</v>
      </c>
      <c r="AW18" s="280">
        <f t="shared" si="27"/>
        <v>0.22482586450940192</v>
      </c>
      <c r="AX18" s="280"/>
      <c r="AY18" s="280"/>
      <c r="AZ18" s="79">
        <f t="shared" si="13"/>
        <v>7976808997.8095236</v>
      </c>
      <c r="BO18" s="77">
        <v>2028</v>
      </c>
      <c r="BP18" s="234">
        <f>IFERROR(BP$11*VLOOKUP($BO18,fDiesel!$B:$T,18,0),"")</f>
        <v>3967777565.6981325</v>
      </c>
      <c r="BQ18" s="234">
        <f>IFERROR(BQ$11*VLOOKUP($BO18,fDiesel!$B:$T,18,0),"")</f>
        <v>3461790629.5809388</v>
      </c>
      <c r="BR18" s="234">
        <f>IFERROR(BR$11*VLOOKUP($BO18,fDiesel!$B:$T,18,0),"")</f>
        <v>2650341158.1864052</v>
      </c>
      <c r="BS18" s="234">
        <f>IFERROR(BS$11*VLOOKUP($BO18,fDiesel!$B:$T,18,0),"")</f>
        <v>1035012822.7535828</v>
      </c>
      <c r="BT18" s="234">
        <f>IFERROR(BT$11*VLOOKUP($BO18,fDiesel!$B:$T,18,0),"")</f>
        <v>2883529800.9258971</v>
      </c>
      <c r="BU18" s="234">
        <f>IFERROR(BU$11*VLOOKUP($BO18,fDiesel!$B:$T,18,0),"")</f>
        <v>-16779482.355571851</v>
      </c>
      <c r="BW18" s="169">
        <f t="shared" si="25"/>
        <v>2028</v>
      </c>
      <c r="BX18" s="234">
        <f>IFERROR(BX$11*VLOOKUP($BO18,fDiesel!$B:$U,19,0),"")</f>
        <v>3446485997.687243</v>
      </c>
      <c r="BY18" s="234">
        <f>IFERROR(BY$11*VLOOKUP($BO18,fDiesel!$B:$U,19,0),"")</f>
        <v>3006976256.6633053</v>
      </c>
      <c r="BZ18" s="234">
        <f>IFERROR(BZ$11*VLOOKUP($BO18,fDiesel!$B:$U,19,0),"")</f>
        <v>2302136029.4365292</v>
      </c>
      <c r="CA18" s="234">
        <f>IFERROR(CA$11*VLOOKUP($BO18,fDiesel!$B:$U,19,0),"")</f>
        <v>899031546.49732196</v>
      </c>
      <c r="CB18" s="234">
        <f>IFERROR(CB$11*VLOOKUP($BO18,fDiesel!$B:$U,19,0),"")</f>
        <v>2504688057.2944574</v>
      </c>
      <c r="CC18" s="234">
        <f>IFERROR(CC$11*VLOOKUP($BO18,fDiesel!$B:$U,19,0),"")</f>
        <v>-14574973.024412287</v>
      </c>
      <c r="CD18" s="120"/>
      <c r="CE18" s="120"/>
      <c r="CG18" s="83">
        <f t="shared" si="28"/>
        <v>12159317887.578857</v>
      </c>
    </row>
    <row r="19" spans="3:85" x14ac:dyDescent="0.6">
      <c r="C19" s="81">
        <v>2013</v>
      </c>
      <c r="D19" s="114">
        <v>3868430987</v>
      </c>
      <c r="E19" s="114">
        <v>2806583765</v>
      </c>
      <c r="F19" s="114">
        <v>2255705748</v>
      </c>
      <c r="G19" s="114">
        <v>778599551</v>
      </c>
      <c r="H19" s="114">
        <v>2431727066</v>
      </c>
      <c r="I19" s="114">
        <v>234431</v>
      </c>
      <c r="J19" s="196">
        <f t="shared" si="15"/>
        <v>8930720500</v>
      </c>
      <c r="K19" s="115">
        <f t="shared" si="16"/>
        <v>12141281548</v>
      </c>
      <c r="L19" s="115">
        <f t="shared" si="17"/>
        <v>8930717428</v>
      </c>
      <c r="M19" s="115">
        <f t="shared" si="17"/>
        <v>11362744962.634146</v>
      </c>
      <c r="N19" s="195"/>
      <c r="O19" s="83"/>
      <c r="P19" s="177"/>
      <c r="R19" s="81">
        <v>2013</v>
      </c>
      <c r="S19" s="76">
        <f t="shared" si="0"/>
        <v>3072</v>
      </c>
      <c r="T19" s="79">
        <f t="shared" si="1"/>
        <v>778536585.36585367</v>
      </c>
      <c r="U19" s="79">
        <f t="shared" si="2"/>
        <v>0</v>
      </c>
      <c r="V19" s="79">
        <f t="shared" si="3"/>
        <v>0</v>
      </c>
      <c r="W19" s="83">
        <f t="shared" si="4"/>
        <v>0</v>
      </c>
      <c r="X19" s="83">
        <f t="shared" si="5"/>
        <v>0</v>
      </c>
      <c r="Y19" s="83">
        <f t="shared" si="18"/>
        <v>0</v>
      </c>
      <c r="Z19" s="83">
        <f t="shared" si="6"/>
        <v>0</v>
      </c>
      <c r="AA19" s="182"/>
      <c r="AB19" s="184"/>
      <c r="AC19" s="83"/>
      <c r="AD19" s="177"/>
      <c r="AF19" s="81">
        <v>2016</v>
      </c>
      <c r="AG19" s="234">
        <f t="shared" si="19"/>
        <v>823300000</v>
      </c>
      <c r="AH19" s="234">
        <f t="shared" si="7"/>
        <v>606365000</v>
      </c>
      <c r="AI19" s="235">
        <f t="shared" si="20"/>
        <v>216935000</v>
      </c>
      <c r="AJ19" s="236">
        <f t="shared" si="21"/>
        <v>0.73650552653953605</v>
      </c>
      <c r="AK19" s="236">
        <f t="shared" si="22"/>
        <v>0.26349447346046401</v>
      </c>
      <c r="AL19" s="234">
        <f t="shared" si="10"/>
        <v>1781777</v>
      </c>
      <c r="AM19" s="239">
        <f t="shared" si="26"/>
        <v>340.31475319302024</v>
      </c>
      <c r="AN19" s="238">
        <f t="shared" si="23"/>
        <v>19.521359511105061</v>
      </c>
      <c r="AO19" s="234">
        <f t="shared" si="11"/>
        <v>2357700</v>
      </c>
      <c r="AP19" s="234">
        <f t="shared" si="12"/>
        <v>3759.4065881380147</v>
      </c>
      <c r="AT19" s="76">
        <v>2010</v>
      </c>
      <c r="AU19" s="114">
        <v>2575160810.7142859</v>
      </c>
      <c r="AV19" s="114">
        <v>735953363.09523809</v>
      </c>
      <c r="AW19" s="280">
        <f t="shared" si="27"/>
        <v>0.23018192978859919</v>
      </c>
      <c r="AX19" s="280"/>
      <c r="AY19" s="280"/>
      <c r="AZ19" s="79">
        <f t="shared" si="13"/>
        <v>8612341236.3809528</v>
      </c>
      <c r="BO19" s="77">
        <v>2029</v>
      </c>
      <c r="BP19" s="234">
        <f>IFERROR(BP$11*VLOOKUP($BO19,fDiesel!$B:$T,18,0),"")</f>
        <v>4045442208.6580667</v>
      </c>
      <c r="BQ19" s="234">
        <f>IFERROR(BQ$11*VLOOKUP($BO19,fDiesel!$B:$T,18,0),"")</f>
        <v>3529551165.2452269</v>
      </c>
      <c r="BR19" s="234">
        <f>IFERROR(BR$11*VLOOKUP($BO19,fDiesel!$B:$T,18,0),"")</f>
        <v>2702218511.7840605</v>
      </c>
      <c r="BS19" s="234">
        <f>IFERROR(BS$11*VLOOKUP($BO19,fDiesel!$B:$T,18,0),"")</f>
        <v>1055271998.0745581</v>
      </c>
      <c r="BT19" s="234">
        <f>IFERROR(BT$11*VLOOKUP($BO19,fDiesel!$B:$T,18,0),"")</f>
        <v>2939971551.6906824</v>
      </c>
      <c r="BU19" s="234">
        <f>IFERROR(BU$11*VLOOKUP($BO19,fDiesel!$B:$T,18,0),"")</f>
        <v>-17107921.257355072</v>
      </c>
      <c r="BW19" s="169">
        <f t="shared" si="25"/>
        <v>2029</v>
      </c>
      <c r="BX19" s="234">
        <f>IFERROR(BX$11*VLOOKUP($BO19,fDiesel!$B:$U,19,0),"")</f>
        <v>3456624490.5108609</v>
      </c>
      <c r="BY19" s="234">
        <f>IFERROR(BY$11*VLOOKUP($BO19,fDiesel!$B:$U,19,0),"")</f>
        <v>3015821848.1496563</v>
      </c>
      <c r="BZ19" s="234">
        <f>IFERROR(BZ$11*VLOOKUP($BO19,fDiesel!$B:$U,19,0),"")</f>
        <v>2308908199.591608</v>
      </c>
      <c r="CA19" s="234">
        <f>IFERROR(CA$11*VLOOKUP($BO19,fDiesel!$B:$U,19,0),"")</f>
        <v>901676218.45841098</v>
      </c>
      <c r="CB19" s="234">
        <f>IFERROR(CB$11*VLOOKUP($BO19,fDiesel!$B:$U,19,0),"")</f>
        <v>2512056072.6908126</v>
      </c>
      <c r="CC19" s="234">
        <f>IFERROR(CC$11*VLOOKUP($BO19,fDiesel!$B:$U,19,0),"")</f>
        <v>-14617848.074394092</v>
      </c>
      <c r="CD19" s="120"/>
      <c r="CE19" s="120"/>
      <c r="CG19" s="83">
        <f t="shared" si="28"/>
        <v>12195086829.401348</v>
      </c>
    </row>
    <row r="20" spans="3:85" x14ac:dyDescent="0.6">
      <c r="C20" s="81">
        <v>2014</v>
      </c>
      <c r="D20" s="114">
        <v>3808190495</v>
      </c>
      <c r="E20" s="114">
        <v>3139798587</v>
      </c>
      <c r="F20" s="114">
        <v>2134575495</v>
      </c>
      <c r="G20" s="114">
        <v>803904963</v>
      </c>
      <c r="H20" s="114">
        <v>2856920346</v>
      </c>
      <c r="I20" s="114">
        <v>-128366527</v>
      </c>
      <c r="J20" s="196">
        <f t="shared" si="15"/>
        <v>9082564577</v>
      </c>
      <c r="K20" s="115">
        <f t="shared" si="16"/>
        <v>12615023359</v>
      </c>
      <c r="L20" s="115">
        <f t="shared" si="17"/>
        <v>9082561505</v>
      </c>
      <c r="M20" s="115">
        <f t="shared" si="17"/>
        <v>11715755066.317074</v>
      </c>
      <c r="N20" s="195"/>
      <c r="O20" s="83"/>
      <c r="P20" s="177"/>
      <c r="R20" s="81">
        <v>2014</v>
      </c>
      <c r="S20" s="76">
        <f t="shared" si="0"/>
        <v>3072</v>
      </c>
      <c r="T20" s="79">
        <f t="shared" si="1"/>
        <v>899268292.68292677</v>
      </c>
      <c r="U20" s="79">
        <f t="shared" si="2"/>
        <v>0</v>
      </c>
      <c r="V20" s="79">
        <f t="shared" si="3"/>
        <v>0</v>
      </c>
      <c r="W20" s="83">
        <f t="shared" si="4"/>
        <v>0</v>
      </c>
      <c r="X20" s="83">
        <f t="shared" si="5"/>
        <v>0</v>
      </c>
      <c r="Y20" s="83">
        <f t="shared" si="18"/>
        <v>0</v>
      </c>
      <c r="Z20" s="83">
        <f t="shared" si="6"/>
        <v>0</v>
      </c>
      <c r="AA20" s="182"/>
      <c r="AB20" s="184"/>
      <c r="AC20" s="83"/>
      <c r="AD20" s="177"/>
      <c r="AF20" s="81">
        <v>2017</v>
      </c>
      <c r="AG20" s="234">
        <f t="shared" si="19"/>
        <v>895150000</v>
      </c>
      <c r="AH20" s="234">
        <f t="shared" si="7"/>
        <v>667908000</v>
      </c>
      <c r="AI20" s="235">
        <f t="shared" si="20"/>
        <v>227242000</v>
      </c>
      <c r="AJ20" s="236">
        <f t="shared" si="21"/>
        <v>0.74614087024521025</v>
      </c>
      <c r="AK20" s="236">
        <f t="shared" si="22"/>
        <v>0.25385912975478969</v>
      </c>
      <c r="AL20" s="234">
        <f t="shared" si="10"/>
        <v>1813227</v>
      </c>
      <c r="AM20" s="239">
        <f t="shared" si="26"/>
        <v>368.35321777140973</v>
      </c>
      <c r="AN20" s="238">
        <f t="shared" si="23"/>
        <v>18.140513036847342</v>
      </c>
      <c r="AO20" s="234">
        <f t="shared" si="11"/>
        <v>2400630</v>
      </c>
      <c r="AP20" s="234">
        <f t="shared" si="12"/>
        <v>3723.9682196902468</v>
      </c>
      <c r="AT20" s="76">
        <v>2011</v>
      </c>
      <c r="AU20" s="114">
        <v>3753147008.333333</v>
      </c>
      <c r="AV20" s="114">
        <v>538362741.66666675</v>
      </c>
      <c r="AW20" s="280">
        <f t="shared" si="27"/>
        <v>0.31253451060774928</v>
      </c>
      <c r="AX20" s="280"/>
      <c r="AY20" s="280"/>
      <c r="AZ20" s="79">
        <f t="shared" si="13"/>
        <v>8255597245.333334</v>
      </c>
      <c r="BO20" s="77">
        <v>2030</v>
      </c>
      <c r="BP20" s="234">
        <f>IFERROR(BP$11*VLOOKUP($BO20,fDiesel!$B:$T,18,0),"")</f>
        <v>4124478262.0592771</v>
      </c>
      <c r="BQ20" s="234">
        <f>IFERROR(BQ$11*VLOOKUP($BO20,fDiesel!$B:$T,18,0),"")</f>
        <v>3598508223.581542</v>
      </c>
      <c r="BR20" s="234">
        <f>IFERROR(BR$11*VLOOKUP($BO20,fDiesel!$B:$T,18,0),"")</f>
        <v>2755011921.152761</v>
      </c>
      <c r="BS20" s="234">
        <f>IFERROR(BS$11*VLOOKUP($BO20,fDiesel!$B:$T,18,0),"")</f>
        <v>1075888912.0460691</v>
      </c>
      <c r="BT20" s="234">
        <f>IFERROR(BT$11*VLOOKUP($BO20,fDiesel!$B:$T,18,0),"")</f>
        <v>2997409956.8321915</v>
      </c>
      <c r="BU20" s="234">
        <f>IFERROR(BU$11*VLOOKUP($BO20,fDiesel!$B:$T,18,0),"")</f>
        <v>-17442159.767841309</v>
      </c>
      <c r="BW20" s="169">
        <f t="shared" si="25"/>
        <v>2030</v>
      </c>
      <c r="BX20" s="234">
        <f>IFERROR(BX$11*VLOOKUP($BO20,fDiesel!$B:$U,19,0),"")</f>
        <v>3467398293.9188313</v>
      </c>
      <c r="BY20" s="234">
        <f>IFERROR(BY$11*VLOOKUP($BO20,fDiesel!$B:$U,19,0),"")</f>
        <v>3025221732.8622203</v>
      </c>
      <c r="BZ20" s="234">
        <f>IFERROR(BZ$11*VLOOKUP($BO20,fDiesel!$B:$U,19,0),"")</f>
        <v>2316104735.7203488</v>
      </c>
      <c r="CA20" s="234">
        <f>IFERROR(CA$11*VLOOKUP($BO20,fDiesel!$B:$U,19,0),"")</f>
        <v>904486614.07470703</v>
      </c>
      <c r="CB20" s="234">
        <f>IFERROR(CB$11*VLOOKUP($BO20,fDiesel!$B:$U,19,0),"")</f>
        <v>2519885791.6409812</v>
      </c>
      <c r="CC20" s="234">
        <f>IFERROR(CC$11*VLOOKUP($BO20,fDiesel!$B:$U,19,0),"")</f>
        <v>-14663409.812972711</v>
      </c>
      <c r="CD20" s="120"/>
      <c r="CE20" s="120"/>
      <c r="CG20" s="83">
        <f t="shared" si="28"/>
        <v>12233097168.217089</v>
      </c>
    </row>
    <row r="21" spans="3:85" x14ac:dyDescent="0.6">
      <c r="C21" s="81">
        <v>2015</v>
      </c>
      <c r="D21" s="114">
        <v>3788632136</v>
      </c>
      <c r="E21" s="114">
        <v>3175892139</v>
      </c>
      <c r="F21" s="114">
        <v>2128583781</v>
      </c>
      <c r="G21" s="114">
        <v>925528789</v>
      </c>
      <c r="H21" s="114">
        <v>3473351307</v>
      </c>
      <c r="I21" s="114">
        <v>28151100</v>
      </c>
      <c r="J21" s="196">
        <f t="shared" si="15"/>
        <v>9093108056</v>
      </c>
      <c r="K21" s="115">
        <f t="shared" si="16"/>
        <v>13520139252</v>
      </c>
      <c r="L21" s="115">
        <f t="shared" si="17"/>
        <v>9093104984</v>
      </c>
      <c r="M21" s="115">
        <f t="shared" si="17"/>
        <v>12573980715.414635</v>
      </c>
      <c r="N21" s="195"/>
      <c r="O21" s="83"/>
      <c r="P21" s="177"/>
      <c r="R21" s="81">
        <v>2015</v>
      </c>
      <c r="S21" s="76">
        <f t="shared" si="0"/>
        <v>3072</v>
      </c>
      <c r="T21" s="79">
        <f t="shared" si="1"/>
        <v>946158536.58536589</v>
      </c>
      <c r="U21" s="79">
        <f t="shared" si="2"/>
        <v>0</v>
      </c>
      <c r="V21" s="79">
        <f t="shared" si="3"/>
        <v>0</v>
      </c>
      <c r="W21" s="83">
        <f t="shared" si="4"/>
        <v>0</v>
      </c>
      <c r="X21" s="83">
        <f t="shared" si="5"/>
        <v>0</v>
      </c>
      <c r="Y21" s="83">
        <f t="shared" si="18"/>
        <v>0</v>
      </c>
      <c r="Z21" s="83">
        <f t="shared" si="6"/>
        <v>0</v>
      </c>
      <c r="AA21" s="182"/>
      <c r="AB21" s="184"/>
      <c r="AC21" s="83"/>
      <c r="AD21" s="177"/>
      <c r="AF21" s="81">
        <v>2018</v>
      </c>
      <c r="AG21" s="234">
        <f t="shared" si="19"/>
        <v>946454000</v>
      </c>
      <c r="AH21" s="234">
        <f t="shared" si="7"/>
        <v>727979000</v>
      </c>
      <c r="AI21" s="235">
        <f t="shared" si="20"/>
        <v>218475000</v>
      </c>
      <c r="AJ21" s="236">
        <f t="shared" si="21"/>
        <v>0.76916469263165455</v>
      </c>
      <c r="AK21" s="236">
        <f t="shared" si="22"/>
        <v>0.23083530736834543</v>
      </c>
      <c r="AL21" s="234">
        <f t="shared" si="10"/>
        <v>1854946.075</v>
      </c>
      <c r="AM21" s="239">
        <f t="shared" si="26"/>
        <v>392.45291807202534</v>
      </c>
      <c r="AN21" s="238">
        <f t="shared" si="23"/>
        <v>16.922888491456419</v>
      </c>
      <c r="AO21" s="234">
        <f t="shared" si="11"/>
        <v>2424097.6749999998</v>
      </c>
      <c r="AP21" s="234">
        <f t="shared" si="12"/>
        <v>3755.183698127179</v>
      </c>
      <c r="AT21" s="76">
        <v>2012</v>
      </c>
      <c r="AU21" s="114">
        <v>3246942102.96</v>
      </c>
      <c r="AV21" s="114">
        <v>929373796.42857146</v>
      </c>
      <c r="AW21" s="280">
        <f t="shared" si="27"/>
        <v>0.25784290662968062</v>
      </c>
      <c r="AX21" s="280"/>
      <c r="AY21" s="280"/>
      <c r="AZ21" s="79">
        <f t="shared" si="13"/>
        <v>9345772373.4685707</v>
      </c>
      <c r="BO21" s="77">
        <v>2031</v>
      </c>
      <c r="BP21" s="234">
        <f>IFERROR(BP$11*VLOOKUP($BO21,fDiesel!$B:$T,18,0),"")</f>
        <v>4261097952.412622</v>
      </c>
      <c r="BQ21" s="234">
        <f>IFERROR(BQ$11*VLOOKUP($BO21,fDiesel!$B:$T,18,0),"")</f>
        <v>3717705622.1378908</v>
      </c>
      <c r="BR21" s="234">
        <f>IFERROR(BR$11*VLOOKUP($BO21,fDiesel!$B:$T,18,0),"")</f>
        <v>2846269251.5768375</v>
      </c>
      <c r="BS21" s="234">
        <f>IFERROR(BS$11*VLOOKUP($BO21,fDiesel!$B:$T,18,0),"")</f>
        <v>1111526779.5966046</v>
      </c>
      <c r="BT21" s="234">
        <f>IFERROR(BT$11*VLOOKUP($BO21,fDiesel!$B:$T,18,0),"")</f>
        <v>3096696507.5533948</v>
      </c>
      <c r="BU21" s="234">
        <f>IFERROR(BU$11*VLOOKUP($BO21,fDiesel!$B:$T,18,0),"")</f>
        <v>-18019915.865745019</v>
      </c>
      <c r="BW21" s="169">
        <f t="shared" si="25"/>
        <v>2031</v>
      </c>
      <c r="BX21" s="234">
        <f>IFERROR(BX$11*VLOOKUP($BO21,fDiesel!$B:$U,19,0),"")</f>
        <v>3553512424.9834476</v>
      </c>
      <c r="BY21" s="234">
        <f>IFERROR(BY$11*VLOOKUP($BO21,fDiesel!$B:$U,19,0),"")</f>
        <v>3100354243.9614253</v>
      </c>
      <c r="BZ21" s="234">
        <f>IFERROR(BZ$11*VLOOKUP($BO21,fDiesel!$B:$U,19,0),"")</f>
        <v>2373626061.470839</v>
      </c>
      <c r="CA21" s="234">
        <f>IFERROR(CA$11*VLOOKUP($BO21,fDiesel!$B:$U,19,0),"")</f>
        <v>926949876.79454601</v>
      </c>
      <c r="CB21" s="234">
        <f>IFERROR(CB$11*VLOOKUP($BO21,fDiesel!$B:$U,19,0),"")</f>
        <v>2582468095.9899821</v>
      </c>
      <c r="CC21" s="234">
        <f>IFERROR(CC$11*VLOOKUP($BO21,fDiesel!$B:$U,19,0),"")</f>
        <v>-15027581.069762878</v>
      </c>
      <c r="CD21" s="120"/>
      <c r="CE21" s="120"/>
      <c r="CG21" s="83">
        <f t="shared" si="28"/>
        <v>12536910703.200241</v>
      </c>
    </row>
    <row r="22" spans="3:85" x14ac:dyDescent="0.6">
      <c r="C22" s="81">
        <v>2016</v>
      </c>
      <c r="D22" s="114">
        <v>3715758461.4239979</v>
      </c>
      <c r="E22" s="114">
        <v>2966971803.4679985</v>
      </c>
      <c r="F22" s="114">
        <v>2180825719.961</v>
      </c>
      <c r="G22" s="114">
        <v>924213368.36800003</v>
      </c>
      <c r="H22" s="114">
        <v>2294604685.2009997</v>
      </c>
      <c r="I22" s="114">
        <v>-0.4219970703125</v>
      </c>
      <c r="J22" s="196">
        <f t="shared" si="15"/>
        <v>8863555984.8529968</v>
      </c>
      <c r="K22" s="115">
        <f t="shared" si="16"/>
        <v>12082374038</v>
      </c>
      <c r="L22" s="115">
        <f t="shared" si="17"/>
        <v>8863552912.8529968</v>
      </c>
      <c r="M22" s="115">
        <f t="shared" si="17"/>
        <v>11837069159.95122</v>
      </c>
      <c r="N22" s="195"/>
      <c r="O22" s="83"/>
      <c r="P22" s="177"/>
      <c r="R22" s="81">
        <v>2016</v>
      </c>
      <c r="S22" s="76">
        <f t="shared" si="0"/>
        <v>3072</v>
      </c>
      <c r="T22" s="79">
        <f t="shared" si="1"/>
        <v>245304878.0487805</v>
      </c>
      <c r="U22" s="79">
        <f t="shared" si="2"/>
        <v>0</v>
      </c>
      <c r="V22" s="79">
        <f t="shared" si="3"/>
        <v>0</v>
      </c>
      <c r="W22" s="83">
        <f t="shared" si="4"/>
        <v>0</v>
      </c>
      <c r="X22" s="83">
        <f t="shared" si="5"/>
        <v>0</v>
      </c>
      <c r="Y22" s="83">
        <f t="shared" si="18"/>
        <v>0</v>
      </c>
      <c r="Z22" s="83">
        <f t="shared" si="6"/>
        <v>0</v>
      </c>
      <c r="AA22" s="182"/>
      <c r="AB22" s="184"/>
      <c r="AC22" s="83"/>
      <c r="AD22" s="177"/>
      <c r="AF22" s="81">
        <v>2019</v>
      </c>
      <c r="AG22" s="234">
        <f t="shared" si="19"/>
        <v>923684000</v>
      </c>
      <c r="AH22" s="234">
        <f t="shared" si="7"/>
        <v>707740000</v>
      </c>
      <c r="AI22" s="235">
        <f t="shared" si="20"/>
        <v>215944000</v>
      </c>
      <c r="AJ22" s="236">
        <f t="shared" si="21"/>
        <v>0.76621441965001014</v>
      </c>
      <c r="AK22" s="236">
        <f t="shared" si="22"/>
        <v>0.23378558034998984</v>
      </c>
      <c r="AL22" s="234">
        <f t="shared" si="10"/>
        <v>1888297.75</v>
      </c>
      <c r="AM22" s="239">
        <f t="shared" si="26"/>
        <v>374.80317921260036</v>
      </c>
      <c r="AN22" s="238">
        <f t="shared" si="23"/>
        <v>17.498722274440041</v>
      </c>
      <c r="AO22" s="234">
        <f t="shared" si="11"/>
        <v>2468511.75</v>
      </c>
      <c r="AP22" s="234">
        <f t="shared" si="12"/>
        <v>3822.9688401592571</v>
      </c>
      <c r="AT22" s="76">
        <v>2013</v>
      </c>
      <c r="AU22" s="114">
        <v>4253991750.7599998</v>
      </c>
      <c r="AV22" s="114">
        <v>1619950782.9876189</v>
      </c>
      <c r="AW22" s="280">
        <f t="shared" si="27"/>
        <v>0.30912869199808779</v>
      </c>
      <c r="AX22" s="280"/>
      <c r="AY22" s="280"/>
      <c r="AZ22" s="79">
        <f t="shared" si="13"/>
        <v>9507240580.2276192</v>
      </c>
      <c r="BO22" s="77">
        <v>2032</v>
      </c>
      <c r="BP22" s="234">
        <f>IFERROR(BP$11*VLOOKUP($BO22,fDiesel!$B:$T,18,0),"")</f>
        <v>4342941066.7536421</v>
      </c>
      <c r="BQ22" s="234">
        <f>IFERROR(BQ$11*VLOOKUP($BO22,fDiesel!$B:$T,18,0),"")</f>
        <v>3789111773.7253256</v>
      </c>
      <c r="BR22" s="234">
        <f>IFERROR(BR$11*VLOOKUP($BO22,fDiesel!$B:$T,18,0),"")</f>
        <v>2900937682.6722169</v>
      </c>
      <c r="BS22" s="234">
        <f>IFERROR(BS$11*VLOOKUP($BO22,fDiesel!$B:$T,18,0),"")</f>
        <v>1132875928.180275</v>
      </c>
      <c r="BT22" s="234">
        <f>IFERROR(BT$11*VLOOKUP($BO22,fDiesel!$B:$T,18,0),"")</f>
        <v>3156174907.059238</v>
      </c>
      <c r="BU22" s="234">
        <f>IFERROR(BU$11*VLOOKUP($BO22,fDiesel!$B:$T,18,0),"")</f>
        <v>-18366025.26080849</v>
      </c>
      <c r="BW22" s="169">
        <f t="shared" si="25"/>
        <v>2032</v>
      </c>
      <c r="BX22" s="234">
        <f>IFERROR(BX$11*VLOOKUP($BO22,fDiesel!$B:$U,19,0),"")</f>
        <v>3639626556.0480714</v>
      </c>
      <c r="BY22" s="234">
        <f>IFERROR(BY$11*VLOOKUP($BO22,fDiesel!$B:$U,19,0),"")</f>
        <v>3175486755.0606375</v>
      </c>
      <c r="BZ22" s="234">
        <f>IFERROR(BZ$11*VLOOKUP($BO22,fDiesel!$B:$U,19,0),"")</f>
        <v>2431147387.2213349</v>
      </c>
      <c r="CA22" s="234">
        <f>IFERROR(CA$11*VLOOKUP($BO22,fDiesel!$B:$U,19,0),"")</f>
        <v>949413139.51438701</v>
      </c>
      <c r="CB22" s="234">
        <f>IFERROR(CB$11*VLOOKUP($BO22,fDiesel!$B:$U,19,0),"")</f>
        <v>2645050400.3389888</v>
      </c>
      <c r="CC22" s="234">
        <f>IFERROR(CC$11*VLOOKUP($BO22,fDiesel!$B:$U,19,0),"")</f>
        <v>-15391752.326553082</v>
      </c>
      <c r="CD22" s="120"/>
      <c r="CE22" s="120"/>
      <c r="CG22" s="83">
        <f t="shared" si="28"/>
        <v>12840724238.18342</v>
      </c>
    </row>
    <row r="23" spans="3:85" x14ac:dyDescent="0.6">
      <c r="C23" s="81">
        <v>2017</v>
      </c>
      <c r="D23" s="114">
        <v>3338088812.5279984</v>
      </c>
      <c r="E23" s="114">
        <v>3138061352.6639981</v>
      </c>
      <c r="F23" s="114">
        <v>2463722734.0429997</v>
      </c>
      <c r="G23" s="114">
        <v>933302062.08499908</v>
      </c>
      <c r="H23" s="114">
        <v>2271975227.8690004</v>
      </c>
      <c r="I23" s="114">
        <v>2094978.8110046387</v>
      </c>
      <c r="J23" s="196">
        <f t="shared" si="15"/>
        <v>8939872899.2349968</v>
      </c>
      <c r="K23" s="115">
        <f t="shared" si="16"/>
        <v>12147245168</v>
      </c>
      <c r="L23" s="115">
        <f t="shared" si="17"/>
        <v>8939869827.2349968</v>
      </c>
      <c r="M23" s="115">
        <f t="shared" si="17"/>
        <v>12116193781.414635</v>
      </c>
      <c r="N23" s="195"/>
      <c r="O23" s="83"/>
      <c r="P23" s="177"/>
      <c r="R23" s="81">
        <v>2017</v>
      </c>
      <c r="S23" s="76">
        <f t="shared" si="0"/>
        <v>3072</v>
      </c>
      <c r="T23" s="79">
        <f t="shared" si="1"/>
        <v>31051386.585365813</v>
      </c>
      <c r="U23" s="79">
        <f t="shared" si="2"/>
        <v>0</v>
      </c>
      <c r="V23" s="79">
        <f t="shared" si="3"/>
        <v>0</v>
      </c>
      <c r="W23" s="83">
        <f t="shared" si="4"/>
        <v>0</v>
      </c>
      <c r="X23" s="83">
        <f t="shared" si="5"/>
        <v>0</v>
      </c>
      <c r="Y23" s="83">
        <f t="shared" si="18"/>
        <v>0</v>
      </c>
      <c r="Z23" s="83">
        <f t="shared" si="6"/>
        <v>0</v>
      </c>
      <c r="AA23" s="182"/>
      <c r="AB23" s="184"/>
      <c r="AC23" s="83"/>
      <c r="AD23" s="177"/>
      <c r="AF23" s="81">
        <v>2020</v>
      </c>
      <c r="AG23" s="234">
        <f t="shared" si="19"/>
        <v>815622000</v>
      </c>
      <c r="AH23" s="234">
        <f t="shared" si="7"/>
        <v>623654000</v>
      </c>
      <c r="AI23" s="235">
        <f t="shared" si="20"/>
        <v>191968000</v>
      </c>
      <c r="AJ23" s="236">
        <f t="shared" si="21"/>
        <v>0.76463606915948812</v>
      </c>
      <c r="AK23" s="236">
        <f t="shared" si="22"/>
        <v>0.23536393084051191</v>
      </c>
      <c r="AL23" s="234">
        <f t="shared" si="10"/>
        <v>1890171.35</v>
      </c>
      <c r="AM23" s="239">
        <f t="shared" si="26"/>
        <v>329.94574804025041</v>
      </c>
      <c r="AN23" s="238">
        <f t="shared" si="23"/>
        <v>17.996391970547773</v>
      </c>
      <c r="AO23" s="234">
        <f t="shared" si="11"/>
        <v>2470356.7750000004</v>
      </c>
      <c r="AP23" s="234">
        <f t="shared" si="12"/>
        <v>3466.588561773226</v>
      </c>
      <c r="AT23" s="76">
        <v>2014</v>
      </c>
      <c r="AU23" s="114">
        <v>4997072943.6000004</v>
      </c>
      <c r="AV23" s="114">
        <v>1493407466.0900002</v>
      </c>
      <c r="AW23" s="280">
        <f t="shared" si="27"/>
        <v>0.35419055496330315</v>
      </c>
      <c r="AX23" s="280"/>
      <c r="AY23" s="280"/>
      <c r="AZ23" s="79">
        <f t="shared" si="13"/>
        <v>9111357881.4899998</v>
      </c>
      <c r="BO23" s="77">
        <v>2033</v>
      </c>
      <c r="BP23" s="234">
        <f>IFERROR(BP$11*VLOOKUP($BO23,fDiesel!$B:$T,18,0),"")</f>
        <v>4426220525.0778427</v>
      </c>
      <c r="BQ23" s="234">
        <f>IFERROR(BQ$11*VLOOKUP($BO23,fDiesel!$B:$T,18,0),"")</f>
        <v>3861771100.9405522</v>
      </c>
      <c r="BR23" s="234">
        <f>IFERROR(BR$11*VLOOKUP($BO23,fDiesel!$B:$T,18,0),"")</f>
        <v>2956565542.9475102</v>
      </c>
      <c r="BS23" s="234">
        <f>IFERROR(BS$11*VLOOKUP($BO23,fDiesel!$B:$T,18,0),"")</f>
        <v>1154599753.624193</v>
      </c>
      <c r="BT23" s="234">
        <f>IFERROR(BT$11*VLOOKUP($BO23,fDiesel!$B:$T,18,0),"")</f>
        <v>3216697150.5334754</v>
      </c>
      <c r="BU23" s="234">
        <f>IFERROR(BU$11*VLOOKUP($BO23,fDiesel!$B:$T,18,0),"")</f>
        <v>-18718208.864449248</v>
      </c>
      <c r="BW23" s="169">
        <f t="shared" si="25"/>
        <v>2033</v>
      </c>
      <c r="BX23" s="234">
        <f>IFERROR(BX$11*VLOOKUP($BO23,fDiesel!$B:$U,19,0),"")</f>
        <v>3725740687.1126957</v>
      </c>
      <c r="BY23" s="234">
        <f>IFERROR(BY$11*VLOOKUP($BO23,fDiesel!$B:$U,19,0),"")</f>
        <v>3250619266.1598496</v>
      </c>
      <c r="BZ23" s="234">
        <f>IFERROR(BZ$11*VLOOKUP($BO23,fDiesel!$B:$U,19,0),"")</f>
        <v>2488668712.9718308</v>
      </c>
      <c r="CA23" s="234">
        <f>IFERROR(CA$11*VLOOKUP($BO23,fDiesel!$B:$U,19,0),"")</f>
        <v>971876402.23422801</v>
      </c>
      <c r="CB23" s="234">
        <f>IFERROR(CB$11*VLOOKUP($BO23,fDiesel!$B:$U,19,0),"")</f>
        <v>2707632704.6879959</v>
      </c>
      <c r="CC23" s="234">
        <f>IFERROR(CC$11*VLOOKUP($BO23,fDiesel!$B:$U,19,0),"")</f>
        <v>-15755923.583343284</v>
      </c>
      <c r="CD23" s="120"/>
      <c r="CE23" s="120"/>
      <c r="CG23" s="83">
        <f t="shared" si="28"/>
        <v>13144537773.166599</v>
      </c>
    </row>
    <row r="24" spans="3:85" x14ac:dyDescent="0.6">
      <c r="C24" s="81">
        <v>2018</v>
      </c>
      <c r="D24" s="114">
        <v>3393595716.7230005</v>
      </c>
      <c r="E24" s="114">
        <v>3331480411.0499945</v>
      </c>
      <c r="F24" s="114">
        <v>2377859016.0549994</v>
      </c>
      <c r="G24" s="114">
        <v>957440361.04600012</v>
      </c>
      <c r="H24" s="114">
        <v>2258244927.4989977</v>
      </c>
      <c r="I24" s="114">
        <v>220123893.62700653</v>
      </c>
      <c r="J24" s="196">
        <f t="shared" si="15"/>
        <v>9102935143.8279953</v>
      </c>
      <c r="K24" s="115">
        <f t="shared" si="16"/>
        <v>12538744326</v>
      </c>
      <c r="L24" s="115">
        <f t="shared" si="17"/>
        <v>9102932071.8279953</v>
      </c>
      <c r="M24" s="115">
        <f t="shared" si="17"/>
        <v>12319507441.121952</v>
      </c>
      <c r="N24" s="195"/>
      <c r="O24" s="83"/>
      <c r="P24" s="177"/>
      <c r="R24" s="81">
        <v>2018</v>
      </c>
      <c r="S24" s="76">
        <f t="shared" si="0"/>
        <v>3072</v>
      </c>
      <c r="T24" s="79">
        <f t="shared" si="1"/>
        <v>219236884.87804875</v>
      </c>
      <c r="U24" s="79">
        <f t="shared" si="2"/>
        <v>0</v>
      </c>
      <c r="V24" s="79">
        <f t="shared" si="3"/>
        <v>0</v>
      </c>
      <c r="W24" s="83">
        <f t="shared" si="4"/>
        <v>0</v>
      </c>
      <c r="X24" s="83">
        <f t="shared" si="5"/>
        <v>0</v>
      </c>
      <c r="Y24" s="83">
        <f t="shared" si="18"/>
        <v>0</v>
      </c>
      <c r="Z24" s="83">
        <f t="shared" si="6"/>
        <v>0</v>
      </c>
      <c r="AA24" s="182"/>
      <c r="AB24" s="184"/>
      <c r="AC24" s="83"/>
      <c r="AD24" s="177"/>
      <c r="AF24" s="81">
        <v>2021</v>
      </c>
      <c r="AG24" s="234">
        <f t="shared" si="19"/>
        <v>852442000</v>
      </c>
      <c r="AH24" s="234">
        <f t="shared" si="7"/>
        <v>674535000</v>
      </c>
      <c r="AI24" s="235">
        <f t="shared" si="20"/>
        <v>177907000</v>
      </c>
      <c r="AJ24" s="236">
        <f t="shared" si="21"/>
        <v>0.79129723781793948</v>
      </c>
      <c r="AK24" s="236">
        <f t="shared" si="22"/>
        <v>0.20870276218206049</v>
      </c>
      <c r="AL24" s="234">
        <f t="shared" si="10"/>
        <v>1934731.8500000003</v>
      </c>
      <c r="AM24" s="239">
        <f t="shared" si="26"/>
        <v>348.64521406416083</v>
      </c>
      <c r="AN24" s="238">
        <f t="shared" si="23"/>
        <v>18.030913157374719</v>
      </c>
      <c r="AO24" s="234">
        <f t="shared" si="11"/>
        <v>2523720.3500000006</v>
      </c>
      <c r="AP24" s="234">
        <f t="shared" si="12"/>
        <v>3548.1928261286957</v>
      </c>
      <c r="AT24" s="76">
        <v>2015</v>
      </c>
      <c r="AU24" s="114">
        <v>6450779034.5599995</v>
      </c>
      <c r="AV24" s="114">
        <v>1625415077.72</v>
      </c>
      <c r="AW24" s="280">
        <f t="shared" si="27"/>
        <v>0.42591897887168695</v>
      </c>
      <c r="AX24" s="280"/>
      <c r="AY24" s="280"/>
      <c r="AZ24" s="79">
        <f t="shared" si="13"/>
        <v>8694775295.1599998</v>
      </c>
      <c r="BO24" s="77">
        <v>2034</v>
      </c>
      <c r="BP24" s="234">
        <f>IFERROR(BP$11*VLOOKUP($BO24,fDiesel!$B:$T,18,0),"")</f>
        <v>4510958674.618186</v>
      </c>
      <c r="BQ24" s="234">
        <f>IFERROR(BQ$11*VLOOKUP($BO24,fDiesel!$B:$T,18,0),"")</f>
        <v>3935703101.2076015</v>
      </c>
      <c r="BR24" s="234">
        <f>IFERROR(BR$11*VLOOKUP($BO24,fDiesel!$B:$T,18,0),"")</f>
        <v>3013167759.5981832</v>
      </c>
      <c r="BS24" s="234">
        <f>IFERROR(BS$11*VLOOKUP($BO24,fDiesel!$B:$T,18,0),"")</f>
        <v>1176704085.3057079</v>
      </c>
      <c r="BT24" s="234">
        <f>IFERROR(BT$11*VLOOKUP($BO24,fDiesel!$B:$T,18,0),"")</f>
        <v>3278279478.5317187</v>
      </c>
      <c r="BU24" s="234">
        <f>IFERROR(BU$11*VLOOKUP($BO24,fDiesel!$B:$T,18,0),"")</f>
        <v>-19076561.181713235</v>
      </c>
      <c r="BW24" s="169">
        <f t="shared" si="25"/>
        <v>2034</v>
      </c>
      <c r="BX24" s="234">
        <f>IFERROR(BX$11*VLOOKUP($BO24,fDiesel!$B:$U,19,0),"")</f>
        <v>3811854818.1773195</v>
      </c>
      <c r="BY24" s="234">
        <f>IFERROR(BY$11*VLOOKUP($BO24,fDiesel!$B:$U,19,0),"")</f>
        <v>3325751777.2590623</v>
      </c>
      <c r="BZ24" s="234">
        <f>IFERROR(BZ$11*VLOOKUP($BO24,fDiesel!$B:$U,19,0),"")</f>
        <v>2546190038.7223268</v>
      </c>
      <c r="CA24" s="234">
        <f>IFERROR(CA$11*VLOOKUP($BO24,fDiesel!$B:$U,19,0),"")</f>
        <v>994339664.95406914</v>
      </c>
      <c r="CB24" s="234">
        <f>IFERROR(CB$11*VLOOKUP($BO24,fDiesel!$B:$U,19,0),"")</f>
        <v>2770215009.0370026</v>
      </c>
      <c r="CC24" s="234">
        <f>IFERROR(CC$11*VLOOKUP($BO24,fDiesel!$B:$U,19,0),"")</f>
        <v>-16120094.840133488</v>
      </c>
      <c r="CD24" s="120"/>
      <c r="CE24" s="120"/>
      <c r="CG24" s="83">
        <f t="shared" si="28"/>
        <v>13448351308.14978</v>
      </c>
    </row>
    <row r="25" spans="3:85" x14ac:dyDescent="0.6">
      <c r="C25" s="81">
        <v>2019</v>
      </c>
      <c r="D25" s="114">
        <v>3282239574.9630003</v>
      </c>
      <c r="E25" s="114">
        <v>3576422579.4919953</v>
      </c>
      <c r="F25" s="114">
        <v>2578384419.3620009</v>
      </c>
      <c r="G25" s="114">
        <v>996682762.8459996</v>
      </c>
      <c r="H25" s="114">
        <v>2474901895.5539989</v>
      </c>
      <c r="I25" s="114">
        <v>0.7830047607421875</v>
      </c>
      <c r="J25" s="196">
        <f t="shared" si="15"/>
        <v>9437046573.8169975</v>
      </c>
      <c r="K25" s="115">
        <f t="shared" si="16"/>
        <v>12908631233</v>
      </c>
      <c r="L25" s="115">
        <f t="shared" si="17"/>
        <v>9437043501.8169975</v>
      </c>
      <c r="M25" s="115">
        <f t="shared" si="17"/>
        <v>12384545702.512196</v>
      </c>
      <c r="N25" s="195"/>
      <c r="O25" s="83"/>
      <c r="P25" s="177"/>
      <c r="R25" s="81">
        <v>2019</v>
      </c>
      <c r="S25" s="76">
        <f t="shared" si="0"/>
        <v>3072</v>
      </c>
      <c r="T25" s="79">
        <f t="shared" si="1"/>
        <v>524085530.48780447</v>
      </c>
      <c r="U25" s="79">
        <f t="shared" si="2"/>
        <v>0</v>
      </c>
      <c r="V25" s="79">
        <f t="shared" si="3"/>
        <v>0</v>
      </c>
      <c r="W25" s="83">
        <f t="shared" si="4"/>
        <v>0</v>
      </c>
      <c r="X25" s="83">
        <f t="shared" si="5"/>
        <v>0</v>
      </c>
      <c r="Y25" s="83">
        <f t="shared" si="18"/>
        <v>0</v>
      </c>
      <c r="Z25" s="83">
        <f t="shared" si="6"/>
        <v>0</v>
      </c>
      <c r="AA25" s="182"/>
      <c r="AB25" s="184"/>
      <c r="AC25" s="83"/>
      <c r="AD25" s="177"/>
      <c r="AF25" s="81">
        <v>2022</v>
      </c>
      <c r="AG25" s="234">
        <f t="shared" si="19"/>
        <v>993897000</v>
      </c>
      <c r="AH25" s="234">
        <f t="shared" si="7"/>
        <v>839218000</v>
      </c>
      <c r="AI25" s="235">
        <f t="shared" si="20"/>
        <v>154679000</v>
      </c>
      <c r="AJ25" s="236">
        <f t="shared" si="21"/>
        <v>0.84437119741784106</v>
      </c>
      <c r="AK25" s="236">
        <f t="shared" si="22"/>
        <v>0.15562880258215891</v>
      </c>
      <c r="AL25" s="234">
        <f t="shared" si="10"/>
        <v>2158152.9500000002</v>
      </c>
      <c r="AM25" s="239">
        <f t="shared" si="26"/>
        <v>388.8593716214599</v>
      </c>
      <c r="AN25" s="238">
        <f t="shared" si="23"/>
        <v>15.365328353951691</v>
      </c>
      <c r="AO25" s="234">
        <f t="shared" si="11"/>
        <v>2743752.5750000002</v>
      </c>
      <c r="AP25" s="234">
        <f t="shared" si="12"/>
        <v>3237.2895165064265</v>
      </c>
      <c r="AT25" s="76">
        <v>2016</v>
      </c>
      <c r="AU25" s="114">
        <v>4424294964.8899994</v>
      </c>
      <c r="AV25" s="114">
        <v>1887044612.96</v>
      </c>
      <c r="AW25" s="280">
        <f t="shared" si="27"/>
        <v>0.31671289088225268</v>
      </c>
      <c r="AX25" s="280"/>
      <c r="AY25" s="280"/>
      <c r="AZ25" s="79">
        <f t="shared" si="13"/>
        <v>9545123686.0699997</v>
      </c>
      <c r="BO25" s="77">
        <v>2035</v>
      </c>
      <c r="BP25" s="234">
        <f>IFERROR(BP$11*VLOOKUP($BO25,fDiesel!$B:$T,18,0),"")</f>
        <v>4597178223.334712</v>
      </c>
      <c r="BQ25" s="234">
        <f>IFERROR(BQ$11*VLOOKUP($BO25,fDiesel!$B:$T,18,0),"")</f>
        <v>4010927586.6762195</v>
      </c>
      <c r="BR25" s="234">
        <f>IFERROR(BR$11*VLOOKUP($BO25,fDiesel!$B:$T,18,0),"")</f>
        <v>3070759500.7731853</v>
      </c>
      <c r="BS25" s="234">
        <f>IFERROR(BS$11*VLOOKUP($BO25,fDiesel!$B:$T,18,0),"")</f>
        <v>1199194846.6994684</v>
      </c>
      <c r="BT25" s="234">
        <f>IFERROR(BT$11*VLOOKUP($BO25,fDiesel!$B:$T,18,0),"")</f>
        <v>3340938393.7632084</v>
      </c>
      <c r="BU25" s="234">
        <f>IFERROR(BU$11*VLOOKUP($BO25,fDiesel!$B:$T,18,0),"")</f>
        <v>-19441178.243138593</v>
      </c>
      <c r="BW25" s="169">
        <f t="shared" si="25"/>
        <v>2035</v>
      </c>
      <c r="BX25" s="234">
        <f>IFERROR(BX$11*VLOOKUP($BO25,fDiesel!$B:$U,19,0),"")</f>
        <v>3897968949.2419434</v>
      </c>
      <c r="BY25" s="234">
        <f>IFERROR(BY$11*VLOOKUP($BO25,fDiesel!$B:$U,19,0),"")</f>
        <v>3400884288.3582745</v>
      </c>
      <c r="BZ25" s="234">
        <f>IFERROR(BZ$11*VLOOKUP($BO25,fDiesel!$B:$U,19,0),"")</f>
        <v>2603711364.4728227</v>
      </c>
      <c r="CA25" s="234">
        <f>IFERROR(CA$11*VLOOKUP($BO25,fDiesel!$B:$U,19,0),"")</f>
        <v>1016802927.6739101</v>
      </c>
      <c r="CB25" s="234">
        <f>IFERROR(CB$11*VLOOKUP($BO25,fDiesel!$B:$U,19,0),"")</f>
        <v>2832797313.3860092</v>
      </c>
      <c r="CC25" s="234">
        <f>IFERROR(CC$11*VLOOKUP($BO25,fDiesel!$B:$U,19,0),"")</f>
        <v>-16484266.09692369</v>
      </c>
      <c r="CD25" s="120"/>
      <c r="CE25" s="120"/>
      <c r="CG25" s="83">
        <f t="shared" si="28"/>
        <v>13752164843.132959</v>
      </c>
    </row>
    <row r="26" spans="3:85" x14ac:dyDescent="0.6">
      <c r="C26" s="81">
        <v>2020</v>
      </c>
      <c r="D26" s="114">
        <v>2990303009.3799973</v>
      </c>
      <c r="E26" s="114">
        <v>2961243839.2029977</v>
      </c>
      <c r="F26" s="114">
        <v>2612166763.1310015</v>
      </c>
      <c r="G26" s="114">
        <v>934970510.45799994</v>
      </c>
      <c r="H26" s="114">
        <v>2191273637.1240005</v>
      </c>
      <c r="I26" s="114">
        <v>-1.2959957122802734</v>
      </c>
      <c r="J26" s="196">
        <f t="shared" si="15"/>
        <v>8563713611.7139959</v>
      </c>
      <c r="K26" s="115">
        <f t="shared" si="16"/>
        <v>11689957758</v>
      </c>
      <c r="L26" s="115">
        <f t="shared" si="17"/>
        <v>8563710539.7139959</v>
      </c>
      <c r="M26" s="115">
        <f t="shared" si="17"/>
        <v>11223521838</v>
      </c>
      <c r="N26" s="195"/>
      <c r="O26" s="83"/>
      <c r="P26" s="177"/>
      <c r="R26" s="81">
        <v>2020</v>
      </c>
      <c r="S26" s="76">
        <f t="shared" si="0"/>
        <v>3072</v>
      </c>
      <c r="T26" s="79">
        <f t="shared" si="1"/>
        <v>466435920.00000012</v>
      </c>
      <c r="U26" s="79">
        <f t="shared" si="2"/>
        <v>0</v>
      </c>
      <c r="V26" s="79">
        <f t="shared" si="3"/>
        <v>0</v>
      </c>
      <c r="W26" s="83">
        <f t="shared" si="4"/>
        <v>0</v>
      </c>
      <c r="X26" s="83">
        <f t="shared" si="5"/>
        <v>0</v>
      </c>
      <c r="Y26" s="83">
        <f t="shared" si="18"/>
        <v>0</v>
      </c>
      <c r="Z26" s="83">
        <f t="shared" si="6"/>
        <v>0</v>
      </c>
      <c r="AA26" s="182"/>
      <c r="AB26" s="184"/>
      <c r="AC26" s="83"/>
      <c r="AD26" s="177"/>
      <c r="AF26" s="81">
        <v>2023</v>
      </c>
      <c r="AG26" s="234">
        <f t="shared" si="19"/>
        <v>989792000</v>
      </c>
      <c r="AH26" s="234">
        <f t="shared" si="7"/>
        <v>837112000</v>
      </c>
      <c r="AI26" s="235">
        <f t="shared" si="20"/>
        <v>152680000</v>
      </c>
      <c r="AJ26" s="236">
        <f t="shared" si="21"/>
        <v>0.84574536872393391</v>
      </c>
      <c r="AK26" s="236">
        <f t="shared" si="22"/>
        <v>0.15425463127606609</v>
      </c>
      <c r="AL26" s="234">
        <f>IFERROR(VLOOKUP($AF26,Volume_NumberTrucks,3,0),)</f>
        <v>1945351</v>
      </c>
      <c r="AM26" s="239">
        <f t="shared" si="26"/>
        <v>430.31411812058593</v>
      </c>
      <c r="AN26" s="238">
        <f>M29/AH26</f>
        <v>15.452853332691486</v>
      </c>
      <c r="AO26" s="234">
        <f t="shared" si="11"/>
        <v>2535765</v>
      </c>
      <c r="AP26" s="234">
        <f t="shared" si="12"/>
        <v>3647.9246702698747</v>
      </c>
      <c r="AT26" s="76">
        <v>2017</v>
      </c>
      <c r="AU26" s="114">
        <v>6036040239.8100004</v>
      </c>
      <c r="AV26" s="114">
        <v>1784004865.2800002</v>
      </c>
      <c r="AW26" s="280">
        <f t="shared" si="27"/>
        <v>0.43327341232054989</v>
      </c>
      <c r="AX26" s="280"/>
      <c r="AY26" s="280"/>
      <c r="AZ26" s="79">
        <f t="shared" si="13"/>
        <v>7895209793.4699993</v>
      </c>
      <c r="BO26" s="77">
        <v>2036</v>
      </c>
      <c r="BP26" s="234">
        <f>IFERROR(BP$11*VLOOKUP($BO26,fDiesel!$B:$T,18,0),"")</f>
        <v>4722362864.2200375</v>
      </c>
      <c r="BQ26" s="234">
        <f>IFERROR(BQ$11*VLOOKUP($BO26,fDiesel!$B:$T,18,0),"")</f>
        <v>4120148179.2141542</v>
      </c>
      <c r="BR26" s="234">
        <f>IFERROR(BR$11*VLOOKUP($BO26,fDiesel!$B:$T,18,0),"")</f>
        <v>3154378605.0746598</v>
      </c>
      <c r="BS26" s="234">
        <f>IFERROR(BS$11*VLOOKUP($BO26,fDiesel!$B:$T,18,0),"")</f>
        <v>1231849829.5917153</v>
      </c>
      <c r="BT26" s="234">
        <f>IFERROR(BT$11*VLOOKUP($BO26,fDiesel!$B:$T,18,0),"")</f>
        <v>3431914673.716928</v>
      </c>
      <c r="BU26" s="234">
        <f>IFERROR(BU$11*VLOOKUP($BO26,fDiesel!$B:$T,18,0),"")</f>
        <v>-19970576.234367549</v>
      </c>
      <c r="BW26" s="169">
        <f t="shared" si="25"/>
        <v>2036</v>
      </c>
      <c r="BX26" s="234">
        <f>IFERROR(BX$11*VLOOKUP($BO26,fDiesel!$B:$U,19,0),"")</f>
        <v>3984083080.3066015</v>
      </c>
      <c r="BY26" s="234">
        <f>IFERROR(BY$11*VLOOKUP($BO26,fDiesel!$B:$U,19,0),"")</f>
        <v>3476016799.4575162</v>
      </c>
      <c r="BZ26" s="234">
        <f>IFERROR(BZ$11*VLOOKUP($BO26,fDiesel!$B:$U,19,0),"")</f>
        <v>2661232690.223341</v>
      </c>
      <c r="CA26" s="234">
        <f>IFERROR(CA$11*VLOOKUP($BO26,fDiesel!$B:$U,19,0),"")</f>
        <v>1039266190.39376</v>
      </c>
      <c r="CB26" s="234">
        <f>IFERROR(CB$11*VLOOKUP($BO26,fDiesel!$B:$U,19,0),"")</f>
        <v>2895379617.7350407</v>
      </c>
      <c r="CC26" s="234">
        <f>IFERROR(CC$11*VLOOKUP($BO26,fDiesel!$B:$U,19,0),"")</f>
        <v>-16848437.353714038</v>
      </c>
      <c r="CD26" s="120"/>
      <c r="CE26" s="120"/>
      <c r="CG26" s="83">
        <f t="shared" si="28"/>
        <v>14055978378.116261</v>
      </c>
    </row>
    <row r="27" spans="3:85" x14ac:dyDescent="0.6">
      <c r="C27" s="81">
        <v>2021</v>
      </c>
      <c r="D27" s="114">
        <v>3011925069.4470029</v>
      </c>
      <c r="E27" s="114">
        <v>3216385927.8010006</v>
      </c>
      <c r="F27" s="114">
        <v>2726338515.777</v>
      </c>
      <c r="G27" s="114">
        <v>1034538734.9290001</v>
      </c>
      <c r="H27" s="114">
        <v>2955829764.3099999</v>
      </c>
      <c r="I27" s="114">
        <v>764738.73599624634</v>
      </c>
      <c r="J27" s="196">
        <f t="shared" si="15"/>
        <v>8954649513.0250034</v>
      </c>
      <c r="K27" s="115">
        <f t="shared" si="16"/>
        <v>12945782751</v>
      </c>
      <c r="L27" s="115">
        <f t="shared" si="17"/>
        <v>8954646441.0250034</v>
      </c>
      <c r="M27" s="115">
        <f t="shared" si="17"/>
        <v>12162482006.609756</v>
      </c>
      <c r="N27" s="195"/>
      <c r="O27" s="83"/>
      <c r="P27" s="177"/>
      <c r="R27" s="81">
        <v>2021</v>
      </c>
      <c r="S27" s="76">
        <f t="shared" si="0"/>
        <v>3072</v>
      </c>
      <c r="T27" s="79">
        <f t="shared" si="1"/>
        <v>783300744.39024365</v>
      </c>
      <c r="U27" s="79">
        <f t="shared" si="2"/>
        <v>0</v>
      </c>
      <c r="V27" s="79">
        <f t="shared" si="3"/>
        <v>0</v>
      </c>
      <c r="W27" s="83">
        <f t="shared" si="4"/>
        <v>0</v>
      </c>
      <c r="X27" s="83">
        <f t="shared" si="5"/>
        <v>0</v>
      </c>
      <c r="Y27" s="83">
        <f t="shared" si="18"/>
        <v>0</v>
      </c>
      <c r="Z27" s="83">
        <f t="shared" si="6"/>
        <v>0</v>
      </c>
      <c r="AA27" s="182"/>
      <c r="AB27" s="184"/>
      <c r="AC27" s="83"/>
      <c r="AD27" s="177"/>
      <c r="AF27" s="81">
        <v>2024</v>
      </c>
      <c r="AG27" s="234">
        <f t="shared" si="19"/>
        <v>1141616000</v>
      </c>
      <c r="AH27" s="234">
        <f t="shared" si="7"/>
        <v>980518000</v>
      </c>
      <c r="AI27" s="235">
        <f t="shared" si="20"/>
        <v>161098000</v>
      </c>
      <c r="AJ27" s="236">
        <f t="shared" si="21"/>
        <v>0.85888600019621308</v>
      </c>
      <c r="AK27" s="236">
        <f t="shared" si="22"/>
        <v>0.14111399980378692</v>
      </c>
      <c r="AL27" s="234">
        <f>IFERROR(VLOOKUP($AF27,Volume_NumberTrucks,3,0),)</f>
        <v>1987551.0509040791</v>
      </c>
      <c r="AM27" s="239">
        <f t="shared" si="26"/>
        <v>493.32971827515621</v>
      </c>
      <c r="AN27" s="238">
        <f>M30/AH27</f>
        <v>11.609475259312411</v>
      </c>
      <c r="AO27" s="234">
        <f t="shared" si="11"/>
        <v>2650145.4253970026</v>
      </c>
      <c r="AP27" s="234">
        <f t="shared" si="12"/>
        <v>2968.5118396323569</v>
      </c>
      <c r="AT27" s="76">
        <v>2018</v>
      </c>
      <c r="AU27" s="114">
        <v>6105304179.7600002</v>
      </c>
      <c r="AV27" s="114">
        <v>1837890785.3699999</v>
      </c>
      <c r="AW27" s="280">
        <f t="shared" si="27"/>
        <v>0.42466850778813464</v>
      </c>
      <c r="AX27" s="280"/>
      <c r="AY27" s="280"/>
      <c r="AZ27" s="79">
        <f t="shared" si="13"/>
        <v>8271330931.6099997</v>
      </c>
      <c r="BO27" s="77">
        <v>2037</v>
      </c>
      <c r="BP27" s="234">
        <f>IFERROR(BP$11*VLOOKUP($BO27,fDiesel!$B:$T,18,0),"")</f>
        <v>4811614806.9484434</v>
      </c>
      <c r="BQ27" s="234">
        <f>IFERROR(BQ$11*VLOOKUP($BO27,fDiesel!$B:$T,18,0),"")</f>
        <v>4198018355.6273141</v>
      </c>
      <c r="BR27" s="234">
        <f>IFERROR(BR$11*VLOOKUP($BO27,fDiesel!$B:$T,18,0),"")</f>
        <v>3213995882.8440022</v>
      </c>
      <c r="BS27" s="234">
        <f>IFERROR(BS$11*VLOOKUP($BO27,fDiesel!$B:$T,18,0),"")</f>
        <v>1255131604.7542589</v>
      </c>
      <c r="BT27" s="234">
        <f>IFERROR(BT$11*VLOOKUP($BO27,fDiesel!$B:$T,18,0),"")</f>
        <v>3496777341.1388121</v>
      </c>
      <c r="BU27" s="234">
        <f>IFERROR(BU$11*VLOOKUP($BO27,fDiesel!$B:$T,18,0),"")</f>
        <v>-20348017.099792752</v>
      </c>
      <c r="BW27" s="169">
        <f t="shared" si="25"/>
        <v>2037</v>
      </c>
      <c r="BX27" s="234">
        <f>IFERROR(BX$11*VLOOKUP($BO27,fDiesel!$B:$U,19,0),"")</f>
        <v>4028649580.0797048</v>
      </c>
      <c r="BY27" s="234">
        <f>IFERROR(BY$11*VLOOKUP($BO27,fDiesel!$B:$U,19,0),"")</f>
        <v>3514900000.1292262</v>
      </c>
      <c r="BZ27" s="234">
        <f>IFERROR(BZ$11*VLOOKUP($BO27,fDiesel!$B:$U,19,0),"")</f>
        <v>2691001604.0974679</v>
      </c>
      <c r="CA27" s="234">
        <f>IFERROR(CA$11*VLOOKUP($BO27,fDiesel!$B:$U,19,0),"")</f>
        <v>1050891564.5400274</v>
      </c>
      <c r="CB27" s="234">
        <f>IFERROR(CB$11*VLOOKUP($BO27,fDiesel!$B:$U,19,0),"")</f>
        <v>2927767731.2547283</v>
      </c>
      <c r="CC27" s="234">
        <f>IFERROR(CC$11*VLOOKUP($BO27,fDiesel!$B:$U,19,0),"")</f>
        <v>-17036906.284799594</v>
      </c>
      <c r="CD27" s="120"/>
      <c r="CE27" s="120"/>
      <c r="CG27" s="83">
        <f t="shared" si="28"/>
        <v>14213210480.101154</v>
      </c>
    </row>
    <row r="28" spans="3:85" x14ac:dyDescent="0.6">
      <c r="C28" s="81">
        <v>2022</v>
      </c>
      <c r="D28" s="114">
        <v>2785140647.2344275</v>
      </c>
      <c r="E28" s="114">
        <v>3248342541.2938986</v>
      </c>
      <c r="F28" s="114">
        <v>2848841330.4066877</v>
      </c>
      <c r="G28" s="114">
        <v>1022596410.1786386</v>
      </c>
      <c r="H28" s="114">
        <v>2812405389.8523436</v>
      </c>
      <c r="I28" s="114">
        <v>1060394024.0196598</v>
      </c>
      <c r="J28" s="196">
        <f t="shared" si="15"/>
        <v>8882324518.9350128</v>
      </c>
      <c r="K28" s="115">
        <f t="shared" si="16"/>
        <v>13777720342.985655</v>
      </c>
      <c r="L28" s="115">
        <f t="shared" si="17"/>
        <v>8882321446.9350128</v>
      </c>
      <c r="M28" s="115">
        <f t="shared" si="17"/>
        <v>12894860130.546631</v>
      </c>
      <c r="N28" s="195"/>
      <c r="O28" s="83"/>
      <c r="P28" s="177"/>
      <c r="R28" s="81">
        <v>2022</v>
      </c>
      <c r="S28" s="76">
        <f t="shared" si="0"/>
        <v>3072</v>
      </c>
      <c r="T28" s="79">
        <f t="shared" si="1"/>
        <v>882860212.43902397</v>
      </c>
      <c r="U28" s="79">
        <f t="shared" si="2"/>
        <v>0</v>
      </c>
      <c r="V28" s="79">
        <f t="shared" si="3"/>
        <v>0</v>
      </c>
      <c r="W28" s="83">
        <f t="shared" si="4"/>
        <v>0</v>
      </c>
      <c r="X28" s="83">
        <f t="shared" si="5"/>
        <v>0</v>
      </c>
      <c r="Y28" s="83">
        <f t="shared" si="18"/>
        <v>0</v>
      </c>
      <c r="Z28" s="83">
        <f t="shared" si="6"/>
        <v>0</v>
      </c>
      <c r="AA28" s="182"/>
      <c r="AB28" s="184"/>
      <c r="AC28" s="83"/>
      <c r="AD28" s="177"/>
      <c r="AF28" s="81">
        <v>2025</v>
      </c>
      <c r="AG28" s="234">
        <f>VLOOKUP($AF28,DieselPayloads,2,0)</f>
        <v>1136000282.2751639</v>
      </c>
      <c r="AH28" s="234">
        <f t="shared" si="7"/>
        <v>970558422.97112715</v>
      </c>
      <c r="AI28" s="235">
        <f t="shared" ref="AI28" si="29">AG28-AH28</f>
        <v>165441859.30403674</v>
      </c>
      <c r="AJ28" s="236">
        <f t="shared" ref="AJ28" si="30">AH28/AG28</f>
        <v>0.85436459665952513</v>
      </c>
      <c r="AK28" s="236">
        <f t="shared" ref="AK28" si="31">AI28/AG28</f>
        <v>0.14563540334047481</v>
      </c>
      <c r="AL28" s="234">
        <f>IFERROR(VLOOKUP($AF28,Volume_NumberTrucks,3,0),)</f>
        <v>2025776.6253598132</v>
      </c>
      <c r="AM28" s="239">
        <f t="shared" ref="AM28" si="32">AH28/AL28</f>
        <v>479.10436462793081</v>
      </c>
      <c r="AN28" s="238">
        <f>M31/AH28</f>
        <v>12.213804263085503</v>
      </c>
      <c r="AO28" s="234">
        <f t="shared" si="11"/>
        <v>2709244.7483642837</v>
      </c>
      <c r="AP28" s="234">
        <f t="shared" si="12"/>
        <v>3082.9098881571817</v>
      </c>
      <c r="AT28" s="76">
        <v>2019</v>
      </c>
      <c r="AU28" s="114">
        <v>5858025642.5600004</v>
      </c>
      <c r="AV28" s="114">
        <v>1785976432.2</v>
      </c>
      <c r="AW28" s="280">
        <f t="shared" si="27"/>
        <v>0.39865138124327526</v>
      </c>
      <c r="AX28" s="280"/>
      <c r="AY28" s="280"/>
      <c r="AZ28" s="79">
        <f t="shared" si="13"/>
        <v>8836582022.6399994</v>
      </c>
      <c r="BO28" s="77">
        <v>2038</v>
      </c>
      <c r="BP28" s="234">
        <f>IFERROR(BP$11*VLOOKUP($BO28,fDiesel!$B:$T,18,0),"")</f>
        <v>4902418495.1157522</v>
      </c>
      <c r="BQ28" s="234">
        <f>IFERROR(BQ$11*VLOOKUP($BO28,fDiesel!$B:$T,18,0),"")</f>
        <v>4277242392.6667166</v>
      </c>
      <c r="BR28" s="234">
        <f>IFERROR(BR$11*VLOOKUP($BO28,fDiesel!$B:$T,18,0),"")</f>
        <v>3274649674.0608993</v>
      </c>
      <c r="BS28" s="234">
        <f>IFERROR(BS$11*VLOOKUP($BO28,fDiesel!$B:$T,18,0),"")</f>
        <v>1278818159.7716007</v>
      </c>
      <c r="BT28" s="234">
        <f>IFERROR(BT$11*VLOOKUP($BO28,fDiesel!$B:$T,18,0),"")</f>
        <v>3562767719.0087843</v>
      </c>
      <c r="BU28" s="234">
        <f>IFERROR(BU$11*VLOOKUP($BO28,fDiesel!$B:$T,18,0),"")</f>
        <v>-20732020.199310284</v>
      </c>
      <c r="BW28" s="169">
        <f t="shared" si="25"/>
        <v>2038</v>
      </c>
      <c r="BX28" s="234">
        <f>IFERROR(BX$11*VLOOKUP($BO28,fDiesel!$B:$U,19,0),"")</f>
        <v>4073884687.955368</v>
      </c>
      <c r="BY28" s="234">
        <f>IFERROR(BY$11*VLOOKUP($BO28,fDiesel!$B:$U,19,0),"")</f>
        <v>3554366545.3120589</v>
      </c>
      <c r="BZ28" s="234">
        <f>IFERROR(BZ$11*VLOOKUP($BO28,fDiesel!$B:$U,19,0),"")</f>
        <v>2721217125.5607481</v>
      </c>
      <c r="CA28" s="234">
        <f>IFERROR(CA$11*VLOOKUP($BO28,fDiesel!$B:$U,19,0),"")</f>
        <v>1062691348.1505573</v>
      </c>
      <c r="CB28" s="234">
        <f>IFERROR(CB$11*VLOOKUP($BO28,fDiesel!$B:$U,19,0),"")</f>
        <v>2960641746.8586307</v>
      </c>
      <c r="CC28" s="234">
        <f>IFERROR(CC$11*VLOOKUP($BO28,fDiesel!$B:$U,19,0),"")</f>
        <v>-17228202.717597116</v>
      </c>
      <c r="CD28" s="120"/>
      <c r="CE28" s="120"/>
      <c r="CG28" s="83">
        <f t="shared" si="28"/>
        <v>14372801453.837362</v>
      </c>
    </row>
    <row r="29" spans="3:85" x14ac:dyDescent="0.6">
      <c r="C29" s="81">
        <v>2023</v>
      </c>
      <c r="D29" s="114">
        <v>2839666506.4600611</v>
      </c>
      <c r="E29" s="114">
        <v>3644744173.4110155</v>
      </c>
      <c r="F29" s="114">
        <v>2765872093.6358137</v>
      </c>
      <c r="G29" s="114">
        <v>1086679944.7481017</v>
      </c>
      <c r="H29" s="114">
        <v>3630099779.4950075</v>
      </c>
      <c r="I29" s="114"/>
      <c r="J29" s="196">
        <f t="shared" si="15"/>
        <v>9250282773.5068893</v>
      </c>
      <c r="K29" s="115">
        <f t="shared" si="16"/>
        <v>13967062497.75</v>
      </c>
      <c r="L29" s="115">
        <f t="shared" si="17"/>
        <v>9250279701.5068893</v>
      </c>
      <c r="M29" s="115">
        <f>K29-T29</f>
        <v>12935768959.036036</v>
      </c>
      <c r="N29" s="195"/>
      <c r="O29" s="83"/>
      <c r="P29" s="177"/>
      <c r="R29" s="81">
        <v>2023</v>
      </c>
      <c r="S29" s="76">
        <f t="shared" si="0"/>
        <v>3072</v>
      </c>
      <c r="T29" s="79">
        <f>IFERROR((VLOOKUP($R29,EskomDieselDemand,6,0)*TJ_GWh_Conversion*10^6)/MJ_Litres_Conversion/PowerGen_Efficiency,0)</f>
        <v>1031293538.7139651</v>
      </c>
      <c r="U29" s="79">
        <f t="shared" si="2"/>
        <v>0</v>
      </c>
      <c r="V29" s="79">
        <f t="shared" si="2"/>
        <v>0</v>
      </c>
      <c r="W29" s="79">
        <f t="shared" si="2"/>
        <v>0</v>
      </c>
      <c r="X29" s="79">
        <f t="shared" si="2"/>
        <v>0</v>
      </c>
      <c r="Y29" s="79">
        <f t="shared" si="2"/>
        <v>0</v>
      </c>
      <c r="Z29" s="79">
        <f t="shared" si="2"/>
        <v>0</v>
      </c>
      <c r="AA29" s="182"/>
      <c r="AB29" s="184"/>
      <c r="AC29" s="83"/>
      <c r="AD29" s="177"/>
      <c r="AT29" s="76">
        <v>2020</v>
      </c>
      <c r="AU29" s="114">
        <v>6814985448</v>
      </c>
      <c r="AV29" s="114">
        <v>913814520</v>
      </c>
      <c r="AW29" s="280">
        <f t="shared" si="27"/>
        <v>0.54070997933655307</v>
      </c>
      <c r="AX29" s="280"/>
      <c r="AY29" s="280"/>
      <c r="AZ29" s="79">
        <f t="shared" si="13"/>
        <v>5788786830</v>
      </c>
      <c r="BO29" s="77">
        <v>2039</v>
      </c>
      <c r="BP29" s="234">
        <f>IFERROR(BP$11*VLOOKUP($BO29,fDiesel!$B:$T,18,0),"")</f>
        <v>4994798138.0772095</v>
      </c>
      <c r="BQ29" s="234">
        <f>IFERROR(BQ$11*VLOOKUP($BO29,fDiesel!$B:$T,18,0),"")</f>
        <v>4357841412.4133635</v>
      </c>
      <c r="BR29" s="234">
        <f>IFERROR(BR$11*VLOOKUP($BO29,fDiesel!$B:$T,18,0),"")</f>
        <v>3336356149.7554951</v>
      </c>
      <c r="BS29" s="234">
        <f>IFERROR(BS$11*VLOOKUP($BO29,fDiesel!$B:$T,18,0),"")</f>
        <v>1302915809.7641556</v>
      </c>
      <c r="BT29" s="234">
        <f>IFERROR(BT$11*VLOOKUP($BO29,fDiesel!$B:$T,18,0),"")</f>
        <v>3629903401.1551666</v>
      </c>
      <c r="BU29" s="234">
        <f>IFERROR(BU$11*VLOOKUP($BO29,fDiesel!$B:$T,18,0),"")</f>
        <v>-21122687.912764393</v>
      </c>
      <c r="BW29" s="169">
        <f t="shared" si="25"/>
        <v>2039</v>
      </c>
      <c r="BX29" s="234">
        <f>IFERROR(BX$11*VLOOKUP($BO29,fDiesel!$B:$U,19,0),"")</f>
        <v>4119792860.5835671</v>
      </c>
      <c r="BY29" s="234">
        <f>IFERROR(BY$11*VLOOKUP($BO29,fDiesel!$B:$U,19,0),"")</f>
        <v>3594420323.3260794</v>
      </c>
      <c r="BZ29" s="234">
        <f>IFERROR(BZ$11*VLOOKUP($BO29,fDiesel!$B:$U,19,0),"")</f>
        <v>2751882231.5045671</v>
      </c>
      <c r="CA29" s="234">
        <f>IFERROR(CA$11*VLOOKUP($BO29,fDiesel!$B:$U,19,0),"")</f>
        <v>1074666703.762764</v>
      </c>
      <c r="CB29" s="234">
        <f>IFERROR(CB$11*VLOOKUP($BO29,fDiesel!$B:$U,19,0),"")</f>
        <v>2994004903.358098</v>
      </c>
      <c r="CC29" s="234">
        <f>IFERROR(CC$11*VLOOKUP($BO29,fDiesel!$B:$U,19,0),"")</f>
        <v>-17422345.4989997</v>
      </c>
      <c r="CD29" s="120"/>
      <c r="CE29" s="120"/>
      <c r="CG29" s="83">
        <f t="shared" si="28"/>
        <v>14534767022.535076</v>
      </c>
    </row>
    <row r="30" spans="3:85" x14ac:dyDescent="0.6">
      <c r="C30" s="390">
        <v>2024</v>
      </c>
      <c r="D30" s="114">
        <v>2415021443.7039232</v>
      </c>
      <c r="E30" s="114">
        <v>3099707418.310647</v>
      </c>
      <c r="F30" s="114">
        <v>2352262282.0239611</v>
      </c>
      <c r="G30" s="114">
        <v>924177315.5542798</v>
      </c>
      <c r="H30" s="114">
        <v>3087252953.9371896</v>
      </c>
      <c r="I30" s="114">
        <v>0</v>
      </c>
      <c r="J30" s="196">
        <f t="shared" si="15"/>
        <v>7866991144.0385313</v>
      </c>
      <c r="K30" s="115">
        <f t="shared" si="16"/>
        <v>11878421413.530001</v>
      </c>
      <c r="L30" s="115">
        <f t="shared" si="17"/>
        <v>7866988072.0385313</v>
      </c>
      <c r="M30" s="115">
        <f>K30-T30</f>
        <v>11383299462.310488</v>
      </c>
      <c r="N30" s="195"/>
      <c r="O30" s="83"/>
      <c r="P30" s="177"/>
      <c r="R30" s="81">
        <v>2024</v>
      </c>
      <c r="S30" s="76">
        <f t="shared" si="0"/>
        <v>3072</v>
      </c>
      <c r="T30" s="79">
        <f>IFERROR((VLOOKUP($R30,EskomDieselDemand,6,0)*TJ_GWh_Conversion*10^6)/MJ_Litres_Conversion/PowerGen_Efficiency,0)</f>
        <v>495121951.21951222</v>
      </c>
      <c r="U30" s="79"/>
      <c r="V30" s="79"/>
      <c r="W30" s="83"/>
      <c r="X30" s="83"/>
      <c r="Y30" s="83"/>
      <c r="Z30" s="83"/>
      <c r="AA30" s="183">
        <v>495121951.21951222</v>
      </c>
      <c r="AB30" s="185">
        <v>495121951.21951222</v>
      </c>
      <c r="AD30" s="177"/>
      <c r="AT30" s="76">
        <v>2021</v>
      </c>
      <c r="AU30" s="114">
        <v>9761395306</v>
      </c>
      <c r="AV30" s="114">
        <v>893488106</v>
      </c>
      <c r="AW30" s="280">
        <f t="shared" si="27"/>
        <v>0.7053402890125976</v>
      </c>
      <c r="AX30" s="280"/>
      <c r="AY30" s="280"/>
      <c r="AZ30" s="79">
        <f t="shared" si="13"/>
        <v>4077875551</v>
      </c>
      <c r="BO30" s="77">
        <v>2040</v>
      </c>
      <c r="BP30" s="234">
        <f>IFERROR(BP$11*VLOOKUP($BO30,fDiesel!$B:$T,18,0),"")</f>
        <v>5088778335.6306019</v>
      </c>
      <c r="BQ30" s="234">
        <f>IFERROR(BQ$11*VLOOKUP($BO30,fDiesel!$B:$T,18,0),"")</f>
        <v>4439836877.5999947</v>
      </c>
      <c r="BR30" s="234">
        <f>IFERROR(BR$11*VLOOKUP($BO30,fDiesel!$B:$T,18,0),"")</f>
        <v>3399131741.7603407</v>
      </c>
      <c r="BS30" s="234">
        <f>IFERROR(BS$11*VLOOKUP($BO30,fDiesel!$B:$T,18,0),"")</f>
        <v>1327430971.7010524</v>
      </c>
      <c r="BT30" s="234">
        <f>IFERROR(BT$11*VLOOKUP($BO30,fDiesel!$B:$T,18,0),"")</f>
        <v>3698202265.1552272</v>
      </c>
      <c r="BU30" s="234">
        <f>IFERROR(BU$11*VLOOKUP($BO30,fDiesel!$B:$T,18,0),"")</f>
        <v>-21520124.271156333</v>
      </c>
      <c r="BW30" s="169">
        <f t="shared" si="25"/>
        <v>2040</v>
      </c>
      <c r="BX30" s="234">
        <f>IFERROR(BX$11*VLOOKUP($BO30,fDiesel!$B:$U,19,0),"")</f>
        <v>4166378621.475091</v>
      </c>
      <c r="BY30" s="234">
        <f>IFERROR(BY$11*VLOOKUP($BO30,fDiesel!$B:$U,19,0),"")</f>
        <v>3635065280.8258076</v>
      </c>
      <c r="BZ30" s="234">
        <f>IFERROR(BZ$11*VLOOKUP($BO30,fDiesel!$B:$U,19,0),"")</f>
        <v>2782999943.4810729</v>
      </c>
      <c r="CA30" s="234">
        <f>IFERROR(CA$11*VLOOKUP($BO30,fDiesel!$B:$U,19,0),"")</f>
        <v>1086818811.3550091</v>
      </c>
      <c r="CB30" s="234">
        <f>IFERROR(CB$11*VLOOKUP($BO30,fDiesel!$B:$U,19,0),"")</f>
        <v>3027860488.1546922</v>
      </c>
      <c r="CC30" s="234">
        <f>IFERROR(CC$11*VLOOKUP($BO30,fDiesel!$B:$U,19,0),"")</f>
        <v>-17619353.758650634</v>
      </c>
      <c r="CD30" s="120"/>
      <c r="CE30" s="120"/>
      <c r="CG30" s="83">
        <f t="shared" si="28"/>
        <v>14699123145.291672</v>
      </c>
    </row>
    <row r="31" spans="3:85" x14ac:dyDescent="0.6">
      <c r="C31" s="390">
        <v>2025</v>
      </c>
      <c r="D31" s="114">
        <v>2564020898.7754889</v>
      </c>
      <c r="E31" s="114">
        <v>3290949909.1024594</v>
      </c>
      <c r="F31" s="114">
        <v>2497389688.2922168</v>
      </c>
      <c r="G31" s="114">
        <v>981196236.34526742</v>
      </c>
      <c r="H31" s="114">
        <v>3277727042.2745681</v>
      </c>
      <c r="I31" s="114"/>
      <c r="J31" s="196">
        <f t="shared" si="15"/>
        <v>8352360496.170166</v>
      </c>
      <c r="K31" s="115">
        <f t="shared" si="16"/>
        <v>12611283774.790003</v>
      </c>
      <c r="L31" s="115">
        <f t="shared" si="17"/>
        <v>8352357424.170166</v>
      </c>
      <c r="M31" s="115">
        <f>K31-T31</f>
        <v>11854210604.058296</v>
      </c>
      <c r="N31" s="195"/>
      <c r="P31" s="177"/>
      <c r="R31" s="81">
        <v>2025</v>
      </c>
      <c r="S31" s="76">
        <f t="shared" si="0"/>
        <v>3072</v>
      </c>
      <c r="T31" s="79">
        <f t="shared" si="1"/>
        <v>757073170.73170733</v>
      </c>
      <c r="U31" s="79"/>
      <c r="V31" s="79"/>
      <c r="W31" s="83"/>
      <c r="X31" s="83"/>
      <c r="Y31" s="83"/>
      <c r="Z31" s="83"/>
      <c r="AA31" s="183">
        <v>757073170.73170733</v>
      </c>
      <c r="AB31" s="185">
        <v>757073170.73170733</v>
      </c>
      <c r="AD31" s="177"/>
      <c r="AT31" s="76">
        <v>2022</v>
      </c>
      <c r="AU31" s="114">
        <v>11913795570</v>
      </c>
      <c r="AV31" s="114">
        <v>897765090</v>
      </c>
      <c r="AW31" s="280">
        <f t="shared" si="27"/>
        <v>0.8118161150037132</v>
      </c>
      <c r="AX31" s="280"/>
      <c r="AY31" s="280"/>
      <c r="AZ31" s="79">
        <f t="shared" si="13"/>
        <v>2761689862.9856548</v>
      </c>
      <c r="BO31" s="77">
        <v>2041</v>
      </c>
      <c r="BP31" s="234">
        <f>IFERROR(BP$11*VLOOKUP($BO31,fDiesel!$B:$T,18,0),"")</f>
        <v>6120899547.9906607</v>
      </c>
      <c r="BQ31" s="234">
        <f>IFERROR(BQ$11*VLOOKUP($BO31,fDiesel!$B:$T,18,0),"")</f>
        <v>5340337846.3106995</v>
      </c>
      <c r="BR31" s="234">
        <f>IFERROR(BR$11*VLOOKUP($BO31,fDiesel!$B:$T,18,0),"")</f>
        <v>4088553788.248929</v>
      </c>
      <c r="BS31" s="234">
        <f>IFERROR(BS$11*VLOOKUP($BO31,fDiesel!$B:$T,18,0),"")</f>
        <v>1596664483.8474607</v>
      </c>
      <c r="BT31" s="234">
        <f>IFERROR(BT$11*VLOOKUP($BO31,fDiesel!$B:$T,18,0),"")</f>
        <v>4448282687.9433279</v>
      </c>
      <c r="BU31" s="234">
        <f>IFERROR(BU$11*VLOOKUP($BO31,fDiesel!$B:$T,18,0),"")</f>
        <v>-25884900.114773925</v>
      </c>
      <c r="BW31" s="169">
        <f t="shared" si="25"/>
        <v>2041</v>
      </c>
      <c r="BX31" s="234">
        <f>IFERROR(BX$11*VLOOKUP($BO31,fDiesel!$B:$U,19,0),"")</f>
        <v>4213646561.4472022</v>
      </c>
      <c r="BY31" s="234">
        <f>IFERROR(BY$11*VLOOKUP($BO31,fDiesel!$B:$U,19,0),"")</f>
        <v>3676305423.1890445</v>
      </c>
      <c r="BZ31" s="234">
        <f>IFERROR(BZ$11*VLOOKUP($BO31,fDiesel!$B:$U,19,0),"")</f>
        <v>2814573328.0008597</v>
      </c>
      <c r="CA31" s="234">
        <f>IFERROR(CA$11*VLOOKUP($BO31,fDiesel!$B:$U,19,0),"")</f>
        <v>1099148868.4628534</v>
      </c>
      <c r="CB31" s="234">
        <f>IFERROR(CB$11*VLOOKUP($BO31,fDiesel!$B:$U,19,0),"")</f>
        <v>3062211837.5640626</v>
      </c>
      <c r="CC31" s="234">
        <f>IFERROR(CC$11*VLOOKUP($BO31,fDiesel!$B:$U,19,0),"")</f>
        <v>-17819246.910828061</v>
      </c>
      <c r="CD31" s="120"/>
      <c r="CE31" s="120"/>
      <c r="CG31" s="83">
        <f t="shared" si="28"/>
        <v>14865886018.664022</v>
      </c>
    </row>
    <row r="32" spans="3:85" x14ac:dyDescent="0.6">
      <c r="P32" s="177"/>
      <c r="R32" s="81">
        <v>2026</v>
      </c>
      <c r="S32" s="76">
        <f t="shared" si="0"/>
        <v>3072</v>
      </c>
      <c r="T32" s="79">
        <f t="shared" si="1"/>
        <v>0</v>
      </c>
      <c r="U32" s="79">
        <f>IFERROR($S32*Operational_days*24*VLOOKUP($R32,PowerGenOCGT_Capacity_High,2,0)/1000,0)</f>
        <v>538.21440000000007</v>
      </c>
      <c r="V32" s="79">
        <f t="shared" si="3"/>
        <v>4036.6080000000002</v>
      </c>
      <c r="W32" s="83">
        <f t="shared" si="4"/>
        <v>1937.5718400000003</v>
      </c>
      <c r="X32" s="83">
        <f t="shared" si="5"/>
        <v>14531.7888</v>
      </c>
      <c r="Y32" s="83">
        <f>($W32*10^6)/MJ_Litres_Conversion/PowerGen_Efficiency</f>
        <v>131271804.87804879</v>
      </c>
      <c r="Z32" s="83">
        <f t="shared" si="6"/>
        <v>984538536.58536577</v>
      </c>
      <c r="AA32" s="183">
        <f t="shared" ref="AA32:AA36" si="33">Y32</f>
        <v>131271804.87804879</v>
      </c>
      <c r="AB32" s="185">
        <f t="shared" ref="AB32:AB36" si="34">Z32</f>
        <v>984538536.58536577</v>
      </c>
      <c r="AD32" s="177"/>
      <c r="AT32" s="76">
        <v>2023</v>
      </c>
      <c r="AU32" s="114">
        <v>12843098055.67</v>
      </c>
      <c r="AV32" s="114">
        <v>889723107.91999996</v>
      </c>
      <c r="AW32" s="280">
        <f>AU32/(VLOOKUP($AT32,$C$10:$K$29,9,0)+AV32)</f>
        <v>0.86446007881869891</v>
      </c>
      <c r="AX32" s="280"/>
      <c r="AY32" s="280"/>
      <c r="AZ32" s="79">
        <f t="shared" si="13"/>
        <v>2013687550</v>
      </c>
      <c r="BO32" s="77">
        <v>2042</v>
      </c>
      <c r="BP32" s="234">
        <f>IFERROR(BP$11*VLOOKUP($BO32,fDiesel!$B:$T,18,0),"")</f>
        <v>6218156247.1493301</v>
      </c>
      <c r="BQ32" s="234">
        <f>IFERROR(BQ$11*VLOOKUP($BO32,fDiesel!$B:$T,18,0),"")</f>
        <v>5425191980.4542332</v>
      </c>
      <c r="BR32" s="234">
        <f>IFERROR(BR$11*VLOOKUP($BO32,fDiesel!$B:$T,18,0),"")</f>
        <v>4153517972.4607577</v>
      </c>
      <c r="BS32" s="234">
        <f>IFERROR(BS$11*VLOOKUP($BO32,fDiesel!$B:$T,18,0),"")</f>
        <v>1622034336.1290362</v>
      </c>
      <c r="BT32" s="234">
        <f>IFERROR(BT$11*VLOOKUP($BO32,fDiesel!$B:$T,18,0),"")</f>
        <v>4518962706.0945883</v>
      </c>
      <c r="BU32" s="234">
        <f>IFERROR(BU$11*VLOOKUP($BO32,fDiesel!$B:$T,18,0),"")</f>
        <v>-26296192.592860941</v>
      </c>
      <c r="BW32" s="169">
        <f t="shared" si="25"/>
        <v>2042</v>
      </c>
      <c r="BX32" s="234">
        <f>IFERROR(BX$11*VLOOKUP($BO32,fDiesel!$B:$U,19,0),"")</f>
        <v>4261601339.0759902</v>
      </c>
      <c r="BY32" s="234">
        <f>IFERROR(BY$11*VLOOKUP($BO32,fDiesel!$B:$U,19,0),"")</f>
        <v>3718144814.91154</v>
      </c>
      <c r="BZ32" s="234">
        <f>IFERROR(BZ$11*VLOOKUP($BO32,fDiesel!$B:$U,19,0),"")</f>
        <v>2846605496.835125</v>
      </c>
      <c r="CA32" s="234">
        <f>IFERROR(CA$11*VLOOKUP($BO32,fDiesel!$B:$U,19,0),"")</f>
        <v>1111658090.2970564</v>
      </c>
      <c r="CB32" s="234">
        <f>IFERROR(CB$11*VLOOKUP($BO32,fDiesel!$B:$U,19,0),"")</f>
        <v>3097062337.14469</v>
      </c>
      <c r="CC32" s="234">
        <f>IFERROR(CC$11*VLOOKUP($BO32,fDiesel!$B:$U,19,0),"")</f>
        <v>-18022044.65635794</v>
      </c>
      <c r="CD32" s="120"/>
      <c r="CE32" s="120"/>
      <c r="CG32" s="83">
        <f t="shared" si="28"/>
        <v>15035072078.2644</v>
      </c>
    </row>
    <row r="33" spans="1:85" x14ac:dyDescent="0.6">
      <c r="C33" s="156" t="s">
        <v>206</v>
      </c>
      <c r="D33" s="279">
        <f>AVERAGE(D34:D54)</f>
        <v>0.28101119494563748</v>
      </c>
      <c r="E33" s="279">
        <f t="shared" ref="E33:J33" si="35">AVERAGE(E34:E54)</f>
        <v>0.244620070563349</v>
      </c>
      <c r="F33" s="279">
        <f t="shared" si="35"/>
        <v>0.18625975227121569</v>
      </c>
      <c r="G33" s="279">
        <f t="shared" si="35"/>
        <v>7.0083601906424819E-2</v>
      </c>
      <c r="H33" s="279">
        <f t="shared" si="35"/>
        <v>0.20303093013519202</v>
      </c>
      <c r="I33" s="279">
        <f t="shared" si="35"/>
        <v>1.4994450178181037E-2</v>
      </c>
      <c r="J33" s="279">
        <f t="shared" si="35"/>
        <v>1</v>
      </c>
      <c r="P33" s="177"/>
      <c r="R33" s="81">
        <v>2027</v>
      </c>
      <c r="S33" s="76">
        <f t="shared" si="0"/>
        <v>3072</v>
      </c>
      <c r="T33" s="79">
        <f t="shared" si="1"/>
        <v>0</v>
      </c>
      <c r="U33" s="79">
        <f t="shared" si="2"/>
        <v>807.32159999999999</v>
      </c>
      <c r="V33" s="79">
        <f t="shared" si="3"/>
        <v>4036.6080000000002</v>
      </c>
      <c r="W33" s="83">
        <f t="shared" si="4"/>
        <v>2906.3577599999999</v>
      </c>
      <c r="X33" s="83">
        <f t="shared" si="5"/>
        <v>14531.7888</v>
      </c>
      <c r="Y33" s="83">
        <f t="shared" si="18"/>
        <v>196907707.3170732</v>
      </c>
      <c r="Z33" s="83">
        <f t="shared" si="6"/>
        <v>984538536.58536577</v>
      </c>
      <c r="AA33" s="183">
        <f t="shared" si="33"/>
        <v>196907707.3170732</v>
      </c>
      <c r="AB33" s="185">
        <f t="shared" si="34"/>
        <v>984538536.58536577</v>
      </c>
      <c r="AD33" s="177"/>
      <c r="AT33" s="76">
        <v>2024</v>
      </c>
      <c r="AU33" s="114">
        <v>10792547134.049999</v>
      </c>
      <c r="AV33" s="114">
        <v>809358270.51999998</v>
      </c>
      <c r="AW33" s="280">
        <f>AU33/(VLOOKUP($AT33,$C$10:$K$31,9,0)+AV33)</f>
        <v>0.85062535784866067</v>
      </c>
      <c r="AX33" s="280"/>
      <c r="AY33" s="280"/>
      <c r="AZ33" s="79">
        <f t="shared" si="13"/>
        <v>1895232550.0000014</v>
      </c>
      <c r="BO33" s="77">
        <v>2043</v>
      </c>
      <c r="BP33" s="234">
        <f>IFERROR(BP$11*VLOOKUP($BO33,fDiesel!$B:$T,18,0),"")</f>
        <v>6317089705.7652359</v>
      </c>
      <c r="BQ33" s="234">
        <f>IFERROR(BQ$11*VLOOKUP($BO33,fDiesel!$B:$T,18,0),"")</f>
        <v>5511509046.9524698</v>
      </c>
      <c r="BR33" s="234">
        <f>IFERROR(BR$11*VLOOKUP($BO33,fDiesel!$B:$T,18,0),"")</f>
        <v>4219602175.2543511</v>
      </c>
      <c r="BS33" s="234">
        <f>IFERROR(BS$11*VLOOKUP($BO33,fDiesel!$B:$T,18,0),"")</f>
        <v>1647841578.7406332</v>
      </c>
      <c r="BT33" s="234">
        <f>IFERROR(BT$11*VLOOKUP($BO33,fDiesel!$B:$T,18,0),"")</f>
        <v>4590861286.9762106</v>
      </c>
      <c r="BU33" s="234">
        <f>IFERROR(BU$11*VLOOKUP($BO33,fDiesel!$B:$T,18,0),"")</f>
        <v>-26714575.981479451</v>
      </c>
      <c r="BW33" s="169">
        <f t="shared" si="25"/>
        <v>2043</v>
      </c>
      <c r="BX33" s="234">
        <f>IFERROR(BX$11*VLOOKUP($BO33,fDiesel!$B:$U,19,0),"")</f>
        <v>4310247681.1554508</v>
      </c>
      <c r="BY33" s="234">
        <f>IFERROR(BY$11*VLOOKUP($BO33,fDiesel!$B:$U,19,0),"")</f>
        <v>3760587580.0075312</v>
      </c>
      <c r="BZ33" s="234">
        <f>IFERROR(BZ$11*VLOOKUP($BO33,fDiesel!$B:$U,19,0),"")</f>
        <v>2879099607.3223209</v>
      </c>
      <c r="CA33" s="234">
        <f>IFERROR(CA$11*VLOOKUP($BO33,fDiesel!$B:$U,19,0),"")</f>
        <v>1124347709.8633287</v>
      </c>
      <c r="CB33" s="234">
        <f>IFERROR(CB$11*VLOOKUP($BO33,fDiesel!$B:$U,19,0),"")</f>
        <v>3132415422.0315137</v>
      </c>
      <c r="CC33" s="234">
        <f>IFERROR(CC$11*VLOOKUP($BO33,fDiesel!$B:$U,19,0),"")</f>
        <v>-18227766.98455549</v>
      </c>
      <c r="CD33" s="120"/>
      <c r="CE33" s="120"/>
      <c r="CG33" s="83">
        <f t="shared" si="28"/>
        <v>15206698000.380144</v>
      </c>
    </row>
    <row r="34" spans="1:85" x14ac:dyDescent="0.6">
      <c r="C34" s="96">
        <v>2005</v>
      </c>
      <c r="D34" s="278">
        <f>D11/$K11</f>
        <v>0.31561160058749971</v>
      </c>
      <c r="E34" s="278">
        <f t="shared" ref="E34:I34" si="36">E11/$K11</f>
        <v>0.24590721879232977</v>
      </c>
      <c r="F34" s="278">
        <f t="shared" si="36"/>
        <v>0.18218111568245957</v>
      </c>
      <c r="G34" s="278">
        <f t="shared" si="36"/>
        <v>6.9247495027994529E-2</v>
      </c>
      <c r="H34" s="278">
        <f t="shared" si="36"/>
        <v>0.18705256990971642</v>
      </c>
      <c r="I34" s="278">
        <f t="shared" si="36"/>
        <v>0</v>
      </c>
      <c r="J34" s="278">
        <f>K11/$K11</f>
        <v>1</v>
      </c>
      <c r="L34" s="81">
        <v>2022</v>
      </c>
      <c r="M34" s="83">
        <f>SUM(D28:F28)</f>
        <v>8882324518.9350128</v>
      </c>
      <c r="P34" s="177"/>
      <c r="R34" s="81">
        <v>2028</v>
      </c>
      <c r="S34" s="76">
        <f t="shared" si="0"/>
        <v>3072</v>
      </c>
      <c r="T34" s="79">
        <f t="shared" si="1"/>
        <v>0</v>
      </c>
      <c r="U34" s="79">
        <f t="shared" si="2"/>
        <v>1076.4288000000001</v>
      </c>
      <c r="V34" s="79">
        <f t="shared" si="3"/>
        <v>4036.6080000000002</v>
      </c>
      <c r="W34" s="83">
        <f t="shared" si="4"/>
        <v>3875.1436800000006</v>
      </c>
      <c r="X34" s="83">
        <f t="shared" si="5"/>
        <v>14531.7888</v>
      </c>
      <c r="Y34" s="83">
        <f t="shared" si="18"/>
        <v>262543609.75609758</v>
      </c>
      <c r="Z34" s="83">
        <f t="shared" si="6"/>
        <v>984538536.58536577</v>
      </c>
      <c r="AA34" s="183">
        <f t="shared" si="33"/>
        <v>262543609.75609758</v>
      </c>
      <c r="AB34" s="185">
        <f t="shared" si="34"/>
        <v>984538536.58536577</v>
      </c>
      <c r="AD34" s="177"/>
      <c r="AT34" s="76">
        <v>2025</v>
      </c>
      <c r="AU34" s="114">
        <v>11417540722.02</v>
      </c>
      <c r="AV34" s="114">
        <v>672471997</v>
      </c>
      <c r="AW34" s="280">
        <f>AU34/(VLOOKUP($AT34,$C$10:$K$31,9,0)+AV34)</f>
        <v>0.85951149043757769</v>
      </c>
      <c r="AX34" s="280"/>
      <c r="AY34" s="280"/>
      <c r="AZ34" s="79">
        <f t="shared" si="13"/>
        <v>1866215049.7700024</v>
      </c>
      <c r="BO34" s="77">
        <v>2044</v>
      </c>
      <c r="BP34" s="234">
        <f>IFERROR(BP$11*VLOOKUP($BO34,fDiesel!$B:$T,18,0),"")</f>
        <v>6417726148.7283401</v>
      </c>
      <c r="BQ34" s="234">
        <f>IFERROR(BQ$11*VLOOKUP($BO34,fDiesel!$B:$T,18,0),"")</f>
        <v>5599311926.3920412</v>
      </c>
      <c r="BR34" s="234">
        <f>IFERROR(BR$11*VLOOKUP($BO34,fDiesel!$B:$T,18,0),"")</f>
        <v>4286823913.9688458</v>
      </c>
      <c r="BS34" s="234">
        <f>IFERROR(BS$11*VLOOKUP($BO34,fDiesel!$B:$T,18,0),"")</f>
        <v>1674093052.5640645</v>
      </c>
      <c r="BT34" s="234">
        <f>IFERROR(BT$11*VLOOKUP($BO34,fDiesel!$B:$T,18,0),"")</f>
        <v>4663997489.1796808</v>
      </c>
      <c r="BU34" s="234">
        <f>IFERROR(BU$11*VLOOKUP($BO34,fDiesel!$B:$T,18,0),"")</f>
        <v>-27140161.184043549</v>
      </c>
      <c r="BW34" s="169">
        <f t="shared" si="25"/>
        <v>2044</v>
      </c>
      <c r="BX34" s="234">
        <f>IFERROR(BX$11*VLOOKUP($BO34,fDiesel!$B:$U,19,0),"")</f>
        <v>4359590383.1633482</v>
      </c>
      <c r="BY34" s="234">
        <f>IFERROR(BY$11*VLOOKUP($BO34,fDiesel!$B:$U,19,0),"")</f>
        <v>3803637902.4161882</v>
      </c>
      <c r="BZ34" s="234">
        <f>IFERROR(BZ$11*VLOOKUP($BO34,fDiesel!$B:$U,19,0),"")</f>
        <v>2912058862.6793294</v>
      </c>
      <c r="CA34" s="234">
        <f>IFERROR(CA$11*VLOOKUP($BO34,fDiesel!$B:$U,19,0),"")</f>
        <v>1137218978.0838537</v>
      </c>
      <c r="CB34" s="234">
        <f>IFERROR(CB$11*VLOOKUP($BO34,fDiesel!$B:$U,19,0),"")</f>
        <v>3168274577.2744923</v>
      </c>
      <c r="CC34" s="234">
        <f>IFERROR(CC$11*VLOOKUP($BO34,fDiesel!$B:$U,19,0),"")</f>
        <v>-18436434.175195262</v>
      </c>
      <c r="CD34" s="120"/>
      <c r="CE34" s="120"/>
      <c r="CG34" s="83">
        <f t="shared" si="28"/>
        <v>15380780703.617212</v>
      </c>
    </row>
    <row r="35" spans="1:85" x14ac:dyDescent="0.6">
      <c r="C35" s="96">
        <v>2006</v>
      </c>
      <c r="D35" s="278">
        <f t="shared" ref="D35:I35" si="37">D12/$K12</f>
        <v>0.31850609210371994</v>
      </c>
      <c r="E35" s="278">
        <f t="shared" si="37"/>
        <v>0.2517041596836373</v>
      </c>
      <c r="F35" s="278">
        <f t="shared" si="37"/>
        <v>0.17727385991574998</v>
      </c>
      <c r="G35" s="278">
        <f t="shared" si="37"/>
        <v>6.638276139388842E-2</v>
      </c>
      <c r="H35" s="278">
        <f t="shared" si="37"/>
        <v>0.18613312690300435</v>
      </c>
      <c r="I35" s="278">
        <f t="shared" si="37"/>
        <v>0</v>
      </c>
      <c r="J35" s="278">
        <f t="shared" ref="J35:J54" si="38">K12/$K12</f>
        <v>1</v>
      </c>
      <c r="L35" s="81">
        <v>2023</v>
      </c>
      <c r="M35" s="83">
        <f t="shared" ref="M35:M37" si="39">SUM(D29:F29)</f>
        <v>9250282773.5068893</v>
      </c>
      <c r="P35" s="177"/>
      <c r="R35" s="81">
        <v>2029</v>
      </c>
      <c r="S35" s="76">
        <f t="shared" si="0"/>
        <v>3072</v>
      </c>
      <c r="T35" s="79">
        <f t="shared" si="1"/>
        <v>0</v>
      </c>
      <c r="U35" s="79">
        <f t="shared" si="2"/>
        <v>1076.4288000000001</v>
      </c>
      <c r="V35" s="79">
        <f t="shared" si="3"/>
        <v>4036.6080000000002</v>
      </c>
      <c r="W35" s="83">
        <f t="shared" si="4"/>
        <v>3875.1436800000006</v>
      </c>
      <c r="X35" s="83">
        <f t="shared" si="5"/>
        <v>14531.7888</v>
      </c>
      <c r="Y35" s="83">
        <f t="shared" si="18"/>
        <v>262543609.75609758</v>
      </c>
      <c r="Z35" s="83">
        <f t="shared" si="6"/>
        <v>984538536.58536577</v>
      </c>
      <c r="AA35" s="183">
        <f t="shared" si="33"/>
        <v>262543609.75609758</v>
      </c>
      <c r="AB35" s="185">
        <f t="shared" si="34"/>
        <v>984538536.58536577</v>
      </c>
      <c r="AD35" s="177"/>
      <c r="AT35" s="76">
        <v>2026</v>
      </c>
      <c r="AU35" s="361"/>
      <c r="AV35" s="136"/>
      <c r="AW35" s="362">
        <f>(VLOOKUP(AT35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35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35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35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35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35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35,Assumptions!$L$102:$L$131,0),MATCH("PetroSA",Assumptions!$L$102:$R$102,0))))/VLOOKUP(AT35,fDiesel!B:T,18,0)</f>
        <v>0.78039492748963302</v>
      </c>
      <c r="AX35" s="362">
        <f>(VLOOKUP(AT35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35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35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35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35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35,Assumptions!$L$135:$L$164,0),MATCH("PetroSA",Assumptions!$L$135:$R$135,0))))/VLOOKUP(AT35,fDiesel!$B:$T,19,0)</f>
        <v>0.78307730380585705</v>
      </c>
      <c r="AY35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35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35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35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35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35,Assumptions!$L$135:$L$164,0),MATCH("PetroSA",Assumptions!$L$135:$R$135,0)))</f>
        <v>2577407247.4213123</v>
      </c>
      <c r="AZ35" s="389">
        <v>0.84516247852170634</v>
      </c>
      <c r="BO35" s="77">
        <v>2045</v>
      </c>
      <c r="BP35" s="234">
        <f>IFERROR(BP$11*VLOOKUP($BO35,fDiesel!$B:$T,18,0),"")</f>
        <v>6520092223.5431519</v>
      </c>
      <c r="BQ35" s="234">
        <f>IFERROR(BQ$11*VLOOKUP($BO35,fDiesel!$B:$T,18,0),"")</f>
        <v>5688623868.0806246</v>
      </c>
      <c r="BR35" s="234">
        <f>IFERROR(BR$11*VLOOKUP($BO35,fDiesel!$B:$T,18,0),"")</f>
        <v>4355200988.2355957</v>
      </c>
      <c r="BS35" s="234">
        <f>IFERROR(BS$11*VLOOKUP($BO35,fDiesel!$B:$T,18,0),"")</f>
        <v>1700795708.7220695</v>
      </c>
      <c r="BT35" s="234">
        <f>IFERROR(BT$11*VLOOKUP($BO35,fDiesel!$B:$T,18,0),"")</f>
        <v>4738390678.4260101</v>
      </c>
      <c r="BU35" s="234">
        <f>IFERROR(BU$11*VLOOKUP($BO35,fDiesel!$B:$T,18,0),"")</f>
        <v>-27573060.891177729</v>
      </c>
      <c r="BW35" s="169">
        <f t="shared" si="25"/>
        <v>2045</v>
      </c>
      <c r="BX35" s="234">
        <f>IFERROR(BX$11*VLOOKUP($BO35,fDiesel!$B:$U,19,0),"")</f>
        <v>4409634309.7338886</v>
      </c>
      <c r="BY35" s="234">
        <f>IFERROR(BY$11*VLOOKUP($BO35,fDiesel!$B:$U,19,0),"")</f>
        <v>3847300026.414022</v>
      </c>
      <c r="BZ35" s="234">
        <f>IFERROR(BZ$11*VLOOKUP($BO35,fDiesel!$B:$U,19,0),"")</f>
        <v>2945486512.3172011</v>
      </c>
      <c r="CA35" s="234">
        <f>IFERROR(CA$11*VLOOKUP($BO35,fDiesel!$B:$U,19,0),"")</f>
        <v>1150273163.920588</v>
      </c>
      <c r="CB35" s="234">
        <f>IFERROR(CB$11*VLOOKUP($BO35,fDiesel!$B:$U,19,0),"")</f>
        <v>3204643338.1821146</v>
      </c>
      <c r="CC35" s="234">
        <f>IFERROR(CC$11*VLOOKUP($BO35,fDiesel!$B:$U,19,0),"")</f>
        <v>-18648066.800510079</v>
      </c>
      <c r="CD35" s="120"/>
      <c r="CE35" s="120"/>
      <c r="CG35" s="83">
        <f t="shared" si="28"/>
        <v>15557337350.567814</v>
      </c>
    </row>
    <row r="36" spans="1:85" x14ac:dyDescent="0.6">
      <c r="C36" s="96">
        <v>2007</v>
      </c>
      <c r="D36" s="278">
        <f t="shared" ref="D36:I36" si="40">D13/$K13</f>
        <v>0.32304272238042708</v>
      </c>
      <c r="E36" s="278">
        <f t="shared" si="40"/>
        <v>0.23212506129340668</v>
      </c>
      <c r="F36" s="278">
        <f t="shared" si="40"/>
        <v>0.17290925180405289</v>
      </c>
      <c r="G36" s="278">
        <f t="shared" si="40"/>
        <v>6.3604870088243337E-2</v>
      </c>
      <c r="H36" s="278">
        <f t="shared" si="40"/>
        <v>0.20831809443387</v>
      </c>
      <c r="I36" s="278">
        <f t="shared" si="40"/>
        <v>0</v>
      </c>
      <c r="J36" s="278">
        <f t="shared" si="38"/>
        <v>1</v>
      </c>
      <c r="L36" s="390">
        <v>2024</v>
      </c>
      <c r="M36" s="83">
        <f t="shared" si="39"/>
        <v>7866991144.0385313</v>
      </c>
      <c r="P36" s="177"/>
      <c r="R36" s="81">
        <v>2030</v>
      </c>
      <c r="S36" s="76">
        <f t="shared" si="0"/>
        <v>3072</v>
      </c>
      <c r="T36" s="79">
        <f t="shared" si="1"/>
        <v>0</v>
      </c>
      <c r="U36" s="79">
        <f t="shared" si="2"/>
        <v>1076.4288000000001</v>
      </c>
      <c r="V36" s="79">
        <f t="shared" si="3"/>
        <v>4036.6080000000002</v>
      </c>
      <c r="W36" s="83">
        <f t="shared" si="4"/>
        <v>3875.1436800000006</v>
      </c>
      <c r="X36" s="83">
        <f t="shared" si="5"/>
        <v>14531.7888</v>
      </c>
      <c r="Y36" s="83">
        <f t="shared" si="18"/>
        <v>262543609.75609758</v>
      </c>
      <c r="Z36" s="83">
        <f t="shared" si="6"/>
        <v>984538536.58536577</v>
      </c>
      <c r="AA36" s="183">
        <f t="shared" si="33"/>
        <v>262543609.75609758</v>
      </c>
      <c r="AB36" s="185">
        <f t="shared" si="34"/>
        <v>984538536.58536577</v>
      </c>
      <c r="AD36" s="177"/>
      <c r="AT36" s="76">
        <v>2027</v>
      </c>
      <c r="AU36" s="361"/>
      <c r="AV36" s="136"/>
      <c r="AW36" s="362">
        <f>(VLOOKUP(AT36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36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36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36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36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36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36,Assumptions!$L$102:$L$131,0),MATCH("PetroSA",Assumptions!$L$102:$R$102,0))))/VLOOKUP(AT36,fDiesel!B:T,18,0)</f>
        <v>0.78409652163530574</v>
      </c>
      <c r="AX36" s="362">
        <f>(VLOOKUP(AT36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36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36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36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36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36,Assumptions!$L$135:$L$164,0),MATCH("PetroSA",Assumptions!$L$135:$R$135,0))))/VLOOKUP(AT36,fDiesel!$B:$T,19,0)</f>
        <v>0.78450568534002141</v>
      </c>
      <c r="AY36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36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36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36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36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36,Assumptions!$L$135:$L$164,0),MATCH("PetroSA",Assumptions!$L$135:$R$135,0)))</f>
        <v>2581285119.2116871</v>
      </c>
      <c r="AZ36" s="389">
        <v>0.71268594007525377</v>
      </c>
      <c r="BO36" s="77">
        <v>2046</v>
      </c>
      <c r="BP36" s="234" t="str">
        <f>IFERROR(BP$11*VLOOKUP($BO36,fDiesel!$B:$T,18,0),"")</f>
        <v/>
      </c>
      <c r="BQ36" s="234" t="str">
        <f>IFERROR(BQ$11*VLOOKUP($BO36,fDiesel!$B:$T,18,0),"")</f>
        <v/>
      </c>
      <c r="BR36" s="234" t="str">
        <f>IFERROR(BR$11*VLOOKUP($BO36,fDiesel!$B:$T,18,0),"")</f>
        <v/>
      </c>
      <c r="BS36" s="234" t="str">
        <f>IFERROR(BS$11*VLOOKUP($BO36,fDiesel!$B:$T,18,0),"")</f>
        <v/>
      </c>
      <c r="BT36" s="234" t="str">
        <f>IFERROR(BT$11*VLOOKUP($BO36,fDiesel!$B:$T,18,0),"")</f>
        <v/>
      </c>
      <c r="BU36" s="234" t="str">
        <f>IFERROR(BU$11*VLOOKUP($BO36,fDiesel!$B:$T,18,0),"")</f>
        <v/>
      </c>
      <c r="BW36" s="169">
        <f t="shared" si="25"/>
        <v>2046</v>
      </c>
      <c r="BX36" s="234" t="str">
        <f>IFERROR(BX$11*VLOOKUP($BO36,fDiesel!$B:$U,19,0),"")</f>
        <v/>
      </c>
      <c r="BY36" s="234" t="str">
        <f>IFERROR(BY$11*VLOOKUP($BO36,fDiesel!$B:$U,19,0),"")</f>
        <v/>
      </c>
      <c r="BZ36" s="234" t="str">
        <f>IFERROR(BZ$11*VLOOKUP($BO36,fDiesel!$B:$U,19,0),"")</f>
        <v/>
      </c>
      <c r="CA36" s="234" t="str">
        <f>IFERROR(CA$11*VLOOKUP($BO36,fDiesel!$B:$U,19,0),"")</f>
        <v/>
      </c>
      <c r="CB36" s="234" t="str">
        <f>IFERROR(CB$11*VLOOKUP($BO36,fDiesel!$B:$U,19,0),"")</f>
        <v/>
      </c>
      <c r="CC36" s="234" t="str">
        <f>IFERROR(CC$11*VLOOKUP($BO36,fDiesel!$B:$U,19,0),"")</f>
        <v/>
      </c>
      <c r="CD36" s="120"/>
      <c r="CE36" s="120"/>
    </row>
    <row r="37" spans="1:85" x14ac:dyDescent="0.6">
      <c r="C37" s="96">
        <v>2008</v>
      </c>
      <c r="D37" s="278">
        <f t="shared" ref="D37:I37" si="41">D14/$K14</f>
        <v>0.33139100036510194</v>
      </c>
      <c r="E37" s="278">
        <f t="shared" si="41"/>
        <v>0.23913472340728328</v>
      </c>
      <c r="F37" s="278">
        <f t="shared" si="41"/>
        <v>0.178541532907737</v>
      </c>
      <c r="G37" s="278">
        <f t="shared" si="41"/>
        <v>6.2918452803013336E-2</v>
      </c>
      <c r="H37" s="278">
        <f t="shared" si="41"/>
        <v>0.18801429051686441</v>
      </c>
      <c r="I37" s="278">
        <f t="shared" si="41"/>
        <v>0</v>
      </c>
      <c r="J37" s="278">
        <f t="shared" si="38"/>
        <v>1</v>
      </c>
      <c r="L37" s="390">
        <v>2025</v>
      </c>
      <c r="M37" s="83">
        <f t="shared" si="39"/>
        <v>8352360496.170166</v>
      </c>
      <c r="P37" s="177"/>
      <c r="R37" s="81">
        <v>2031</v>
      </c>
      <c r="S37" s="76">
        <f t="shared" si="0"/>
        <v>3072</v>
      </c>
      <c r="T37" s="79">
        <f t="shared" si="1"/>
        <v>0</v>
      </c>
      <c r="U37" s="79">
        <f t="shared" si="2"/>
        <v>1076.4288000000001</v>
      </c>
      <c r="V37" s="79">
        <f t="shared" si="3"/>
        <v>4843.9295999999995</v>
      </c>
      <c r="W37" s="83">
        <f t="shared" ref="W37:W50" si="42">U37*TJ_GWh_Conversion</f>
        <v>3875.1436800000006</v>
      </c>
      <c r="X37" s="83">
        <f t="shared" ref="X37:X50" si="43">V37*TJ_GWh_Conversion</f>
        <v>17438.146559999997</v>
      </c>
      <c r="Y37" s="83">
        <f t="shared" si="18"/>
        <v>262543609.75609758</v>
      </c>
      <c r="Z37" s="83">
        <f t="shared" si="6"/>
        <v>1181446243.9024389</v>
      </c>
      <c r="AA37" s="183">
        <f t="shared" ref="AA37:AA50" si="44">Y37</f>
        <v>262543609.75609758</v>
      </c>
      <c r="AB37" s="185">
        <f t="shared" ref="AB37:AB50" si="45">Z37</f>
        <v>1181446243.9024389</v>
      </c>
      <c r="AD37" s="177"/>
      <c r="AT37" s="76">
        <v>2028</v>
      </c>
      <c r="AU37" s="361"/>
      <c r="AV37" s="136"/>
      <c r="AW37" s="362">
        <f>(VLOOKUP(AT37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37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37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37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37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37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37,Assumptions!$L$102:$L$131,0),MATCH("PetroSA",Assumptions!$L$102:$R$102,0))))/VLOOKUP(AT37,fDiesel!B:T,18,0)</f>
        <v>0.7877335543410845</v>
      </c>
      <c r="AX37" s="362">
        <f>(VLOOKUP(AT37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37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37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37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37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37,Assumptions!$L$135:$L$164,0),MATCH("PetroSA",Assumptions!$L$135:$R$135,0))))/VLOOKUP(AT37,fDiesel!$B:$T,19,0)</f>
        <v>0.78595502900272296</v>
      </c>
      <c r="AY37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37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37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37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37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37,Assumptions!$L$135:$L$164,0),MATCH("PetroSA",Assumptions!$L$135:$R$135,0)))</f>
        <v>2585104235.3688745</v>
      </c>
      <c r="AZ37" s="389">
        <v>0.70443657785130032</v>
      </c>
      <c r="BO37" s="77">
        <v>2047</v>
      </c>
      <c r="BP37" s="234" t="str">
        <f>IFERROR(BP$11*VLOOKUP($BO37,fDiesel!$B:$T,18,0),"")</f>
        <v/>
      </c>
      <c r="BQ37" s="234" t="str">
        <f>IFERROR(BQ$11*VLOOKUP($BO37,fDiesel!$B:$T,18,0),"")</f>
        <v/>
      </c>
      <c r="BR37" s="234" t="str">
        <f>IFERROR(BR$11*VLOOKUP($BO37,fDiesel!$B:$T,18,0),"")</f>
        <v/>
      </c>
      <c r="BS37" s="234" t="str">
        <f>IFERROR(BS$11*VLOOKUP($BO37,fDiesel!$B:$T,18,0),"")</f>
        <v/>
      </c>
      <c r="BT37" s="234" t="str">
        <f>IFERROR(BT$11*VLOOKUP($BO37,fDiesel!$B:$T,18,0),"")</f>
        <v/>
      </c>
      <c r="BU37" s="234" t="str">
        <f>IFERROR(BU$11*VLOOKUP($BO37,fDiesel!$B:$T,18,0),"")</f>
        <v/>
      </c>
      <c r="BW37" s="169">
        <f t="shared" si="25"/>
        <v>2047</v>
      </c>
      <c r="BX37" s="234" t="str">
        <f>IFERROR(BX$11*VLOOKUP($BO37,fDiesel!$B:$U,19,0),"")</f>
        <v/>
      </c>
      <c r="BY37" s="234" t="str">
        <f>IFERROR(BY$11*VLOOKUP($BO37,fDiesel!$B:$U,19,0),"")</f>
        <v/>
      </c>
      <c r="BZ37" s="234" t="str">
        <f>IFERROR(BZ$11*VLOOKUP($BO37,fDiesel!$B:$U,19,0),"")</f>
        <v/>
      </c>
      <c r="CA37" s="234" t="str">
        <f>IFERROR(CA$11*VLOOKUP($BO37,fDiesel!$B:$U,19,0),"")</f>
        <v/>
      </c>
      <c r="CB37" s="234" t="str">
        <f>IFERROR(CB$11*VLOOKUP($BO37,fDiesel!$B:$U,19,0),"")</f>
        <v/>
      </c>
      <c r="CC37" s="234" t="str">
        <f>IFERROR(CC$11*VLOOKUP($BO37,fDiesel!$B:$U,19,0),"")</f>
        <v/>
      </c>
      <c r="CD37" s="120"/>
      <c r="CE37" s="120"/>
    </row>
    <row r="38" spans="1:85" x14ac:dyDescent="0.6">
      <c r="C38" s="96">
        <v>2009</v>
      </c>
      <c r="D38" s="278">
        <f t="shared" ref="D38:I38" si="46">D15/$K15</f>
        <v>0.3417614923719165</v>
      </c>
      <c r="E38" s="278">
        <f t="shared" si="46"/>
        <v>0.24020884622374467</v>
      </c>
      <c r="F38" s="278">
        <f t="shared" si="46"/>
        <v>0.17857573876440422</v>
      </c>
      <c r="G38" s="278">
        <f t="shared" si="46"/>
        <v>6.4270922611567124E-2</v>
      </c>
      <c r="H38" s="278">
        <f t="shared" si="46"/>
        <v>0.17518300002836751</v>
      </c>
      <c r="I38" s="278">
        <f t="shared" si="46"/>
        <v>0</v>
      </c>
      <c r="J38" s="278">
        <f t="shared" si="38"/>
        <v>1</v>
      </c>
      <c r="P38" s="177"/>
      <c r="R38" s="81">
        <v>2032</v>
      </c>
      <c r="S38" s="76">
        <f t="shared" si="0"/>
        <v>3072</v>
      </c>
      <c r="T38" s="79">
        <f t="shared" si="1"/>
        <v>0</v>
      </c>
      <c r="U38" s="79">
        <f t="shared" si="2"/>
        <v>1076.4288000000001</v>
      </c>
      <c r="V38" s="79">
        <f t="shared" si="3"/>
        <v>4843.9295999999995</v>
      </c>
      <c r="W38" s="83">
        <f t="shared" si="42"/>
        <v>3875.1436800000006</v>
      </c>
      <c r="X38" s="83">
        <f t="shared" si="43"/>
        <v>17438.146559999997</v>
      </c>
      <c r="Y38" s="83">
        <f t="shared" si="18"/>
        <v>262543609.75609758</v>
      </c>
      <c r="Z38" s="83">
        <f t="shared" si="6"/>
        <v>1181446243.9024389</v>
      </c>
      <c r="AA38" s="183">
        <f t="shared" si="44"/>
        <v>262543609.75609758</v>
      </c>
      <c r="AB38" s="185">
        <f t="shared" si="45"/>
        <v>1181446243.9024389</v>
      </c>
      <c r="AD38" s="177"/>
      <c r="AT38" s="76">
        <v>2029</v>
      </c>
      <c r="AU38" s="361"/>
      <c r="AV38" s="136"/>
      <c r="AW38" s="362">
        <f>(VLOOKUP(AT38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38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38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38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38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38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38,Assumptions!$L$102:$L$131,0),MATCH("PetroSA",Assumptions!$L$102:$R$102,0))))/VLOOKUP(AT38,fDiesel!B:T,18,0)</f>
        <v>0.79305205086229991</v>
      </c>
      <c r="AX38" s="362">
        <f>(VLOOKUP(AT38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38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38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38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38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38,Assumptions!$L$135:$L$164,0),MATCH("PetroSA",Assumptions!$L$135:$R$135,0))))/VLOOKUP(AT38,fDiesel!$B:$T,19,0)</f>
        <v>0.78930405612279142</v>
      </c>
      <c r="AY38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38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38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38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38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38,Assumptions!$L$135:$L$164,0),MATCH("PetroSA",Assumptions!$L$135:$R$135,0)))</f>
        <v>2552142325.1506872</v>
      </c>
      <c r="AZ38" s="389">
        <v>0.72733972657210177</v>
      </c>
      <c r="BO38" s="77">
        <v>2048</v>
      </c>
      <c r="BP38" s="234" t="str">
        <f>IFERROR(BP$11*VLOOKUP($BO38,fDiesel!$B:$T,18,0),"")</f>
        <v/>
      </c>
      <c r="BQ38" s="234" t="str">
        <f>IFERROR(BQ$11*VLOOKUP($BO38,fDiesel!$B:$T,18,0),"")</f>
        <v/>
      </c>
      <c r="BR38" s="234" t="str">
        <f>IFERROR(BR$11*VLOOKUP($BO38,fDiesel!$B:$T,18,0),"")</f>
        <v/>
      </c>
      <c r="BS38" s="234" t="str">
        <f>IFERROR(BS$11*VLOOKUP($BO38,fDiesel!$B:$T,18,0),"")</f>
        <v/>
      </c>
      <c r="BT38" s="234" t="str">
        <f>IFERROR(BT$11*VLOOKUP($BO38,fDiesel!$B:$T,18,0),"")</f>
        <v/>
      </c>
      <c r="BU38" s="234" t="str">
        <f>IFERROR(BU$11*VLOOKUP($BO38,fDiesel!$B:$T,18,0),"")</f>
        <v/>
      </c>
      <c r="BW38" s="169">
        <f t="shared" si="25"/>
        <v>2048</v>
      </c>
      <c r="BX38" s="234" t="str">
        <f>IFERROR(BX$11*VLOOKUP($BO38,fDiesel!$B:$U,19,0),"")</f>
        <v/>
      </c>
      <c r="BY38" s="234" t="str">
        <f>IFERROR(BY$11*VLOOKUP($BO38,fDiesel!$B:$U,19,0),"")</f>
        <v/>
      </c>
      <c r="BZ38" s="234" t="str">
        <f>IFERROR(BZ$11*VLOOKUP($BO38,fDiesel!$B:$U,19,0),"")</f>
        <v/>
      </c>
      <c r="CA38" s="234" t="str">
        <f>IFERROR(CA$11*VLOOKUP($BO38,fDiesel!$B:$U,19,0),"")</f>
        <v/>
      </c>
      <c r="CB38" s="234" t="str">
        <f>IFERROR(CB$11*VLOOKUP($BO38,fDiesel!$B:$U,19,0),"")</f>
        <v/>
      </c>
      <c r="CC38" s="234" t="str">
        <f>IFERROR(CC$11*VLOOKUP($BO38,fDiesel!$B:$U,19,0),"")</f>
        <v/>
      </c>
      <c r="CD38" s="120"/>
      <c r="CE38" s="120"/>
    </row>
    <row r="39" spans="1:85" x14ac:dyDescent="0.6">
      <c r="C39" s="96">
        <v>2010</v>
      </c>
      <c r="D39" s="278">
        <f t="shared" ref="D39:I39" si="47">D16/$K16</f>
        <v>0.29856248689507614</v>
      </c>
      <c r="E39" s="278">
        <f t="shared" si="47"/>
        <v>0.20402986365690262</v>
      </c>
      <c r="F39" s="278">
        <f t="shared" si="47"/>
        <v>0.14629201951101012</v>
      </c>
      <c r="G39" s="278">
        <f t="shared" si="47"/>
        <v>5.4307617479591508E-2</v>
      </c>
      <c r="H39" s="278">
        <f t="shared" si="47"/>
        <v>0.12731084399357709</v>
      </c>
      <c r="I39" s="278">
        <f t="shared" si="47"/>
        <v>0.16949716846384255</v>
      </c>
      <c r="J39" s="278">
        <f t="shared" si="38"/>
        <v>1</v>
      </c>
      <c r="P39" s="177"/>
      <c r="R39" s="81">
        <v>2033</v>
      </c>
      <c r="S39" s="76">
        <f t="shared" si="0"/>
        <v>3072</v>
      </c>
      <c r="T39" s="79">
        <f t="shared" si="1"/>
        <v>0</v>
      </c>
      <c r="U39" s="79">
        <f>IFERROR($S39*Operational_days*24*VLOOKUP($R39,PowerGenOCGT_Capacity_High,2,0)/1000,0)</f>
        <v>1076.4288000000001</v>
      </c>
      <c r="V39" s="79">
        <f t="shared" si="3"/>
        <v>4843.9295999999995</v>
      </c>
      <c r="W39" s="83">
        <f t="shared" si="42"/>
        <v>3875.1436800000006</v>
      </c>
      <c r="X39" s="83">
        <f t="shared" si="43"/>
        <v>17438.146559999997</v>
      </c>
      <c r="Y39" s="83">
        <f t="shared" si="18"/>
        <v>262543609.75609758</v>
      </c>
      <c r="Z39" s="83">
        <f t="shared" si="6"/>
        <v>1181446243.9024389</v>
      </c>
      <c r="AA39" s="183">
        <f t="shared" si="44"/>
        <v>262543609.75609758</v>
      </c>
      <c r="AB39" s="185">
        <f t="shared" si="45"/>
        <v>1181446243.9024389</v>
      </c>
      <c r="AD39" s="177"/>
      <c r="AT39" s="76">
        <v>2030</v>
      </c>
      <c r="AU39" s="361"/>
      <c r="AV39" s="136"/>
      <c r="AW39" s="362">
        <f>(VLOOKUP(AT39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39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39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39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39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39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39,Assumptions!$L$102:$L$131,0),MATCH("PetroSA",Assumptions!$L$102:$R$102,0))))/VLOOKUP(AT39,fDiesel!B:T,18,0)</f>
        <v>0.79701772800255277</v>
      </c>
      <c r="AX39" s="362">
        <f>(VLOOKUP(AT39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39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39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39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39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39,Assumptions!$L$135:$L$164,0),MATCH("PetroSA",Assumptions!$L$135:$R$135,0))))/VLOOKUP(AT39,fDiesel!$B:$T,19,0)</f>
        <v>0.78995872469149064</v>
      </c>
      <c r="AY39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39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39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39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39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39,Assumptions!$L$135:$L$164,0),MATCH("PetroSA",Assumptions!$L$135:$R$135,0)))</f>
        <v>2552142325.1506872</v>
      </c>
      <c r="AZ39" s="389">
        <v>0.73184619554931651</v>
      </c>
      <c r="CD39" s="120"/>
      <c r="CE39" s="120"/>
    </row>
    <row r="40" spans="1:85" x14ac:dyDescent="0.6">
      <c r="C40" s="96">
        <v>2011</v>
      </c>
      <c r="D40" s="278">
        <f t="shared" ref="D40:I40" si="48">D17/$K17</f>
        <v>0.34243775665968451</v>
      </c>
      <c r="E40" s="278">
        <f t="shared" si="48"/>
        <v>0.22263306057679105</v>
      </c>
      <c r="F40" s="278">
        <f t="shared" si="48"/>
        <v>0.17635892772038078</v>
      </c>
      <c r="G40" s="278">
        <f t="shared" si="48"/>
        <v>5.9860406672757584E-2</v>
      </c>
      <c r="H40" s="278">
        <f t="shared" si="48"/>
        <v>0.17726743403197101</v>
      </c>
      <c r="I40" s="278">
        <f t="shared" si="48"/>
        <v>2.1442414338415077E-2</v>
      </c>
      <c r="J40" s="278">
        <f t="shared" si="38"/>
        <v>1</v>
      </c>
      <c r="P40" s="177"/>
      <c r="R40" s="81">
        <v>2034</v>
      </c>
      <c r="S40" s="76">
        <f t="shared" si="0"/>
        <v>3072</v>
      </c>
      <c r="T40" s="79">
        <f t="shared" si="1"/>
        <v>0</v>
      </c>
      <c r="U40" s="79">
        <f t="shared" si="2"/>
        <v>1076.4288000000001</v>
      </c>
      <c r="V40" s="79">
        <f t="shared" si="3"/>
        <v>4843.9295999999995</v>
      </c>
      <c r="W40" s="83">
        <f t="shared" si="42"/>
        <v>3875.1436800000006</v>
      </c>
      <c r="X40" s="83">
        <f t="shared" si="43"/>
        <v>17438.146559999997</v>
      </c>
      <c r="Y40" s="83">
        <f t="shared" si="18"/>
        <v>262543609.75609758</v>
      </c>
      <c r="Z40" s="83">
        <f t="shared" si="6"/>
        <v>1181446243.9024389</v>
      </c>
      <c r="AA40" s="183">
        <f t="shared" si="44"/>
        <v>262543609.75609758</v>
      </c>
      <c r="AB40" s="185">
        <f t="shared" si="45"/>
        <v>1181446243.9024389</v>
      </c>
      <c r="AD40" s="177"/>
      <c r="AT40" s="76">
        <v>2031</v>
      </c>
      <c r="AU40" s="361"/>
      <c r="AV40" s="136"/>
      <c r="AW40" s="362">
        <f>(VLOOKUP(AT40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40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40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40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40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40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40,Assumptions!$L$102:$L$131,0),MATCH("PetroSA",Assumptions!$L$102:$R$102,0))))/VLOOKUP(AT40,fDiesel!B:T,18,0)</f>
        <v>0.80234529915956032</v>
      </c>
      <c r="AX40" s="362">
        <f>(VLOOKUP(AT40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40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40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40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40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40,Assumptions!$L$135:$L$164,0),MATCH("PetroSA",Assumptions!$L$135:$R$135,0))))/VLOOKUP(AT40,fDiesel!$B:$T,19,0)</f>
        <v>0.87468494605970004</v>
      </c>
      <c r="AY40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40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40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40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40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40,Assumptions!$L$135:$L$164,0),MATCH("PetroSA",Assumptions!$L$135:$R$135,0)))</f>
        <v>1560477805.0194376</v>
      </c>
      <c r="AZ40" s="389">
        <v>0.73628106911322788</v>
      </c>
      <c r="CD40" s="120"/>
      <c r="CE40" s="120"/>
    </row>
    <row r="41" spans="1:85" x14ac:dyDescent="0.6">
      <c r="C41" s="96">
        <v>2012</v>
      </c>
      <c r="D41" s="278">
        <f t="shared" ref="D41:I41" si="49">D18/$K18</f>
        <v>0.32141077954005198</v>
      </c>
      <c r="E41" s="278">
        <f t="shared" si="49"/>
        <v>0.21928300871684733</v>
      </c>
      <c r="F41" s="278">
        <f t="shared" si="49"/>
        <v>0.17928048458582793</v>
      </c>
      <c r="G41" s="278">
        <f t="shared" si="49"/>
        <v>6.0435057959740572E-2</v>
      </c>
      <c r="H41" s="278">
        <f t="shared" si="49"/>
        <v>0.18232401885048941</v>
      </c>
      <c r="I41" s="278">
        <f t="shared" si="49"/>
        <v>3.7266650347042768E-2</v>
      </c>
      <c r="J41" s="278">
        <f t="shared" si="38"/>
        <v>1</v>
      </c>
      <c r="P41" s="177"/>
      <c r="R41" s="81">
        <v>2035</v>
      </c>
      <c r="S41" s="76">
        <f t="shared" si="0"/>
        <v>3072</v>
      </c>
      <c r="T41" s="79">
        <f t="shared" si="1"/>
        <v>0</v>
      </c>
      <c r="U41" s="79">
        <f t="shared" si="2"/>
        <v>1076.4288000000001</v>
      </c>
      <c r="V41" s="79">
        <f t="shared" si="3"/>
        <v>4843.9295999999995</v>
      </c>
      <c r="W41" s="83">
        <f t="shared" si="42"/>
        <v>3875.1436800000006</v>
      </c>
      <c r="X41" s="83">
        <f t="shared" si="43"/>
        <v>17438.146559999997</v>
      </c>
      <c r="Y41" s="83">
        <f t="shared" si="18"/>
        <v>262543609.75609758</v>
      </c>
      <c r="Z41" s="83">
        <f t="shared" si="6"/>
        <v>1181446243.9024389</v>
      </c>
      <c r="AA41" s="183">
        <f t="shared" si="44"/>
        <v>262543609.75609758</v>
      </c>
      <c r="AB41" s="185">
        <f t="shared" si="45"/>
        <v>1181446243.9024389</v>
      </c>
      <c r="AD41" s="177"/>
      <c r="AT41" s="76">
        <v>2032</v>
      </c>
      <c r="AU41" s="361"/>
      <c r="AV41" s="136"/>
      <c r="AW41" s="362">
        <f>(VLOOKUP(AT41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41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41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41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41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41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41,Assumptions!$L$102:$L$131,0),MATCH("PetroSA",Assumptions!$L$102:$R$102,0))))/VLOOKUP(AT41,fDiesel!B:T,18,0)</f>
        <v>0.80607011974364817</v>
      </c>
      <c r="AX41" s="362">
        <f>(VLOOKUP(AT41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41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41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41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41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41,Assumptions!$L$135:$L$164,0),MATCH("PetroSA",Assumptions!$L$135:$R$135,0))))/VLOOKUP(AT41,fDiesel!$B:$T,19,0)</f>
        <v>0.87764991974950157</v>
      </c>
      <c r="AY41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41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41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41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41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41,Assumptions!$L$135:$L$164,0),MATCH("PetroSA",Assumptions!$L$135:$R$135,0)))</f>
        <v>1560477805.0194376</v>
      </c>
      <c r="AZ41" s="389">
        <v>0.74064525211101551</v>
      </c>
      <c r="CD41" s="120"/>
      <c r="CE41" s="120"/>
    </row>
    <row r="42" spans="1:85" x14ac:dyDescent="0.6">
      <c r="C42" s="96">
        <v>2013</v>
      </c>
      <c r="D42" s="278">
        <f t="shared" ref="D42:I42" si="50">D19/$K19</f>
        <v>0.3186180117565296</v>
      </c>
      <c r="E42" s="278">
        <f t="shared" si="50"/>
        <v>0.23116042189651065</v>
      </c>
      <c r="F42" s="278">
        <f t="shared" si="50"/>
        <v>0.18578810968860007</v>
      </c>
      <c r="G42" s="278">
        <f t="shared" si="50"/>
        <v>6.4128283980718376E-2</v>
      </c>
      <c r="H42" s="278">
        <f t="shared" si="50"/>
        <v>0.20028586408990506</v>
      </c>
      <c r="I42" s="278">
        <f t="shared" si="50"/>
        <v>1.9308587736244136E-5</v>
      </c>
      <c r="J42" s="278">
        <f t="shared" si="38"/>
        <v>1</v>
      </c>
      <c r="P42" s="177"/>
      <c r="R42" s="81">
        <v>2036</v>
      </c>
      <c r="S42" s="76">
        <f t="shared" si="0"/>
        <v>3072</v>
      </c>
      <c r="T42" s="79">
        <f t="shared" si="1"/>
        <v>0</v>
      </c>
      <c r="U42" s="79">
        <f t="shared" si="2"/>
        <v>1076.4288000000001</v>
      </c>
      <c r="V42" s="79">
        <f t="shared" si="3"/>
        <v>5382.1440000000002</v>
      </c>
      <c r="W42" s="83">
        <f t="shared" si="42"/>
        <v>3875.1436800000006</v>
      </c>
      <c r="X42" s="83">
        <f t="shared" si="43"/>
        <v>19375.718400000002</v>
      </c>
      <c r="Y42" s="83">
        <f t="shared" si="18"/>
        <v>262543609.75609758</v>
      </c>
      <c r="Z42" s="83">
        <f t="shared" si="6"/>
        <v>1312718048.7804878</v>
      </c>
      <c r="AA42" s="183">
        <f t="shared" si="44"/>
        <v>262543609.75609758</v>
      </c>
      <c r="AB42" s="185">
        <f t="shared" si="45"/>
        <v>1312718048.7804878</v>
      </c>
      <c r="AD42" s="177"/>
      <c r="AT42" s="76">
        <v>2033</v>
      </c>
      <c r="AU42" s="361"/>
      <c r="AV42" s="136"/>
      <c r="AW42" s="362">
        <f>(VLOOKUP(AT42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42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42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42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42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42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42,Assumptions!$L$102:$L$131,0),MATCH("PetroSA",Assumptions!$L$102:$R$102,0))))/VLOOKUP(AT42,fDiesel!B:T,18,0)</f>
        <v>0.81082124899320962</v>
      </c>
      <c r="AX42" s="362">
        <f>(VLOOKUP(AT42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42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42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42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42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42,Assumptions!$L$135:$L$164,0),MATCH("PetroSA",Assumptions!$L$135:$R$135,0))))/VLOOKUP(AT42,fDiesel!$B:$T,19,0)</f>
        <v>0.88199443012351897</v>
      </c>
      <c r="AY42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42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42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42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42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42,Assumptions!$L$135:$L$164,0),MATCH("PetroSA",Assumptions!$L$135:$R$135,0)))</f>
        <v>1540677156.6352501</v>
      </c>
      <c r="AZ42" s="389">
        <v>0.74493965163667031</v>
      </c>
      <c r="CD42" s="120"/>
      <c r="CE42" s="120"/>
    </row>
    <row r="43" spans="1:85" x14ac:dyDescent="0.6">
      <c r="C43" s="96">
        <v>2014</v>
      </c>
      <c r="D43" s="278">
        <f t="shared" ref="D43:I43" si="51">D20/$K20</f>
        <v>0.30187740336470353</v>
      </c>
      <c r="E43" s="278">
        <f t="shared" si="51"/>
        <v>0.24889360072091801</v>
      </c>
      <c r="F43" s="278">
        <f t="shared" si="51"/>
        <v>0.16920900059032543</v>
      </c>
      <c r="G43" s="278">
        <f t="shared" si="51"/>
        <v>6.3725998765310723E-2</v>
      </c>
      <c r="H43" s="278">
        <f t="shared" si="51"/>
        <v>0.22646968338443646</v>
      </c>
      <c r="I43" s="278">
        <f t="shared" si="51"/>
        <v>-1.0175686825694129E-2</v>
      </c>
      <c r="J43" s="278">
        <f t="shared" si="38"/>
        <v>1</v>
      </c>
      <c r="P43" s="177"/>
      <c r="R43" s="81">
        <v>2037</v>
      </c>
      <c r="S43" s="76">
        <f t="shared" si="0"/>
        <v>3072</v>
      </c>
      <c r="T43" s="79">
        <f t="shared" si="1"/>
        <v>0</v>
      </c>
      <c r="U43" s="79">
        <f t="shared" si="2"/>
        <v>1076.4288000000001</v>
      </c>
      <c r="V43" s="79">
        <f t="shared" si="3"/>
        <v>5382.1440000000002</v>
      </c>
      <c r="W43" s="83">
        <f t="shared" si="42"/>
        <v>3875.1436800000006</v>
      </c>
      <c r="X43" s="83">
        <f t="shared" si="43"/>
        <v>19375.718400000002</v>
      </c>
      <c r="Y43" s="83">
        <f t="shared" si="18"/>
        <v>262543609.75609758</v>
      </c>
      <c r="Z43" s="83">
        <f t="shared" si="6"/>
        <v>1312718048.7804878</v>
      </c>
      <c r="AA43" s="183">
        <f t="shared" si="44"/>
        <v>262543609.75609758</v>
      </c>
      <c r="AB43" s="185">
        <f t="shared" si="45"/>
        <v>1312718048.7804878</v>
      </c>
      <c r="AD43" s="177"/>
      <c r="AT43" s="76">
        <v>2034</v>
      </c>
      <c r="AU43" s="361"/>
      <c r="AV43" s="136"/>
      <c r="AW43" s="362">
        <f>(VLOOKUP(AT43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43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43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43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43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43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43,Assumptions!$L$102:$L$131,0),MATCH("PetroSA",Assumptions!$L$102:$R$102,0))))/VLOOKUP(AT43,fDiesel!B:T,18,0)</f>
        <v>0.81545658911091046</v>
      </c>
      <c r="AX43" s="362">
        <f>(VLOOKUP(AT43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43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43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43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43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43,Assumptions!$L$135:$L$164,0),MATCH("PetroSA",Assumptions!$L$135:$R$135,0))))/VLOOKUP(AT43,fDiesel!$B:$T,19,0)</f>
        <v>0.88614264564707379</v>
      </c>
      <c r="AY43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43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43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43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43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43,Assumptions!$L$135:$L$164,0),MATCH("PetroSA",Assumptions!$L$135:$R$135,0)))</f>
        <v>1520876508.2510624</v>
      </c>
      <c r="AZ43" s="389">
        <v>0.74916517613602074</v>
      </c>
      <c r="CD43" s="120"/>
      <c r="CE43" s="120"/>
    </row>
    <row r="44" spans="1:85" x14ac:dyDescent="0.6">
      <c r="C44" s="96">
        <v>2015</v>
      </c>
      <c r="D44" s="278">
        <f t="shared" ref="D44:I44" si="52">D21/$K21</f>
        <v>0.2802213842168495</v>
      </c>
      <c r="E44" s="278">
        <f t="shared" si="52"/>
        <v>0.23490084530972552</v>
      </c>
      <c r="F44" s="278">
        <f t="shared" si="52"/>
        <v>0.15743800720729439</v>
      </c>
      <c r="G44" s="278">
        <f t="shared" si="52"/>
        <v>6.8455566303659843E-2</v>
      </c>
      <c r="H44" s="278">
        <f t="shared" si="52"/>
        <v>0.25690203645544524</v>
      </c>
      <c r="I44" s="278">
        <f t="shared" si="52"/>
        <v>2.0821605070255236E-3</v>
      </c>
      <c r="J44" s="278">
        <f t="shared" si="38"/>
        <v>1</v>
      </c>
      <c r="P44" s="177"/>
      <c r="R44" s="81">
        <v>2038</v>
      </c>
      <c r="S44" s="76">
        <f t="shared" si="0"/>
        <v>3072</v>
      </c>
      <c r="T44" s="79">
        <f t="shared" si="1"/>
        <v>0</v>
      </c>
      <c r="U44" s="79">
        <f t="shared" si="2"/>
        <v>1076.4288000000001</v>
      </c>
      <c r="V44" s="79">
        <f t="shared" si="3"/>
        <v>5382.1440000000002</v>
      </c>
      <c r="W44" s="83">
        <f t="shared" si="42"/>
        <v>3875.1436800000006</v>
      </c>
      <c r="X44" s="83">
        <f t="shared" si="43"/>
        <v>19375.718400000002</v>
      </c>
      <c r="Y44" s="83">
        <f t="shared" si="18"/>
        <v>262543609.75609758</v>
      </c>
      <c r="Z44" s="83">
        <f t="shared" si="6"/>
        <v>1312718048.7804878</v>
      </c>
      <c r="AA44" s="183">
        <f t="shared" si="44"/>
        <v>262543609.75609758</v>
      </c>
      <c r="AB44" s="185">
        <f t="shared" si="45"/>
        <v>1312718048.7804878</v>
      </c>
      <c r="AD44" s="177"/>
      <c r="AT44" s="76">
        <v>2035</v>
      </c>
      <c r="AU44" s="361"/>
      <c r="AV44" s="136"/>
      <c r="AW44" s="362">
        <f>(VLOOKUP(AT44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44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44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44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44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44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44,Assumptions!$L$102:$L$131,0),MATCH("PetroSA",Assumptions!$L$102:$R$102,0))))/VLOOKUP(AT44,fDiesel!B:T,18,0)</f>
        <v>0.81998266704924117</v>
      </c>
      <c r="AX44" s="362">
        <f>(VLOOKUP(AT44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44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44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44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44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44,Assumptions!$L$135:$L$164,0),MATCH("PetroSA",Assumptions!$L$135:$R$135,0))))/VLOOKUP(AT44,fDiesel!$B:$T,19,0)</f>
        <v>0.89010757598804691</v>
      </c>
      <c r="AY44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44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44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44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44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44,Assumptions!$L$135:$L$164,0),MATCH("PetroSA",Assumptions!$L$135:$R$135,0)))</f>
        <v>1501075859.8668749</v>
      </c>
      <c r="AZ44" s="389">
        <v>0.75332273456204868</v>
      </c>
      <c r="CD44" s="121"/>
      <c r="CE44" s="121"/>
    </row>
    <row r="45" spans="1:85" x14ac:dyDescent="0.6">
      <c r="C45" s="96">
        <v>2016</v>
      </c>
      <c r="D45" s="278">
        <f t="shared" ref="D45:I45" si="53">D22/$K22</f>
        <v>0.30753546031083379</v>
      </c>
      <c r="E45" s="278">
        <f t="shared" si="53"/>
        <v>0.24556198923627451</v>
      </c>
      <c r="F45" s="278">
        <f t="shared" si="53"/>
        <v>0.18049645815484064</v>
      </c>
      <c r="G45" s="278">
        <f t="shared" si="53"/>
        <v>7.6492696341073169E-2</v>
      </c>
      <c r="H45" s="278">
        <f t="shared" si="53"/>
        <v>0.18991339599190446</v>
      </c>
      <c r="I45" s="278">
        <f t="shared" si="53"/>
        <v>-3.4926668300889098E-11</v>
      </c>
      <c r="J45" s="278">
        <f t="shared" si="38"/>
        <v>1</v>
      </c>
      <c r="P45" s="177"/>
      <c r="R45" s="81">
        <v>2039</v>
      </c>
      <c r="S45" s="76">
        <f t="shared" si="0"/>
        <v>3072</v>
      </c>
      <c r="T45" s="79">
        <f t="shared" si="1"/>
        <v>0</v>
      </c>
      <c r="U45" s="79">
        <f t="shared" si="2"/>
        <v>1076.4288000000001</v>
      </c>
      <c r="V45" s="79">
        <f t="shared" si="3"/>
        <v>5382.1440000000002</v>
      </c>
      <c r="W45" s="83">
        <f t="shared" si="42"/>
        <v>3875.1436800000006</v>
      </c>
      <c r="X45" s="83">
        <f t="shared" si="43"/>
        <v>19375.718400000002</v>
      </c>
      <c r="Y45" s="83">
        <f t="shared" si="18"/>
        <v>262543609.75609758</v>
      </c>
      <c r="Z45" s="83">
        <f t="shared" si="6"/>
        <v>1312718048.7804878</v>
      </c>
      <c r="AA45" s="183">
        <f t="shared" si="44"/>
        <v>262543609.75609758</v>
      </c>
      <c r="AB45" s="185">
        <f t="shared" si="45"/>
        <v>1312718048.7804878</v>
      </c>
      <c r="AD45" s="177"/>
      <c r="AQ45" s="121"/>
      <c r="AR45" s="121"/>
      <c r="AT45" s="76">
        <v>2036</v>
      </c>
      <c r="AU45" s="361"/>
      <c r="AV45" s="136"/>
      <c r="AW45" s="362">
        <f>(VLOOKUP(AT45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45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45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45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45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45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45,Assumptions!$L$102:$L$131,0),MATCH("PetroSA",Assumptions!$L$102:$R$102,0))))/VLOOKUP(AT45,fDiesel!B:T,18,0)</f>
        <v>0.82810288168560486</v>
      </c>
      <c r="AX45" s="362">
        <f>(VLOOKUP(AT45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45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45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45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45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45,Assumptions!$L$135:$L$164,0),MATCH("PetroSA",Assumptions!$L$135:$R$135,0))))/VLOOKUP(AT45,fDiesel!$B:$T,19,0)</f>
        <v>0.89248285040216624</v>
      </c>
      <c r="AY45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45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45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45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45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45,Assumptions!$L$135:$L$164,0),MATCH("PetroSA",Assumptions!$L$135:$R$135,0)))</f>
        <v>1501075859.8668749</v>
      </c>
      <c r="AZ45" s="389">
        <v>0.75741323557860496</v>
      </c>
      <c r="BM45" s="121"/>
      <c r="BN45" s="121"/>
      <c r="CD45" s="121"/>
      <c r="CE45" s="121"/>
    </row>
    <row r="46" spans="1:85" x14ac:dyDescent="0.6">
      <c r="C46" s="96">
        <v>2017</v>
      </c>
      <c r="D46" s="278">
        <f t="shared" ref="D46:I46" si="54">D23/$K23</f>
        <v>0.27480212726105724</v>
      </c>
      <c r="E46" s="278">
        <f t="shared" si="54"/>
        <v>0.25833522821542498</v>
      </c>
      <c r="F46" s="278">
        <f t="shared" si="54"/>
        <v>0.20282152043273879</v>
      </c>
      <c r="G46" s="278">
        <f t="shared" si="54"/>
        <v>7.6832405140190643E-2</v>
      </c>
      <c r="H46" s="278">
        <f t="shared" si="54"/>
        <v>0.18703625360704504</v>
      </c>
      <c r="I46" s="278">
        <f t="shared" si="54"/>
        <v>1.7246534354336813E-4</v>
      </c>
      <c r="J46" s="278">
        <f t="shared" si="38"/>
        <v>1</v>
      </c>
      <c r="P46" s="177"/>
      <c r="R46" s="81">
        <v>2040</v>
      </c>
      <c r="S46" s="76">
        <f t="shared" si="0"/>
        <v>3072</v>
      </c>
      <c r="T46" s="79">
        <f t="shared" si="1"/>
        <v>0</v>
      </c>
      <c r="U46" s="79">
        <f t="shared" si="2"/>
        <v>1076.4288000000001</v>
      </c>
      <c r="V46" s="79">
        <f t="shared" si="3"/>
        <v>5382.1440000000002</v>
      </c>
      <c r="W46" s="83">
        <f t="shared" si="42"/>
        <v>3875.1436800000006</v>
      </c>
      <c r="X46" s="83">
        <f t="shared" si="43"/>
        <v>19375.718400000002</v>
      </c>
      <c r="Y46" s="83">
        <f t="shared" si="18"/>
        <v>262543609.75609758</v>
      </c>
      <c r="Z46" s="83">
        <f t="shared" si="6"/>
        <v>1312718048.7804878</v>
      </c>
      <c r="AA46" s="183">
        <f t="shared" si="44"/>
        <v>262543609.75609758</v>
      </c>
      <c r="AB46" s="185">
        <f t="shared" si="45"/>
        <v>1312718048.7804878</v>
      </c>
      <c r="AD46" s="177"/>
      <c r="AQ46" s="121"/>
      <c r="AR46" s="121"/>
      <c r="AT46" s="76">
        <v>2037</v>
      </c>
      <c r="AU46" s="361"/>
      <c r="AV46" s="136"/>
      <c r="AW46" s="362">
        <f>(VLOOKUP(AT46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46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46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46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46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46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46,Assumptions!$L$102:$L$131,0),MATCH("PetroSA",Assumptions!$L$102:$R$102,0))))/VLOOKUP(AT46,fDiesel!B:T,18,0)</f>
        <v>0.83129144776467234</v>
      </c>
      <c r="AX46" s="362">
        <f>(VLOOKUP(AT46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46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46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46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46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46,Assumptions!$L$135:$L$164,0),MATCH("PetroSA",Assumptions!$L$135:$R$135,0))))/VLOOKUP(AT46,fDiesel!$B:$T,19,0)</f>
        <v>0.89367224722805294</v>
      </c>
      <c r="AY46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46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46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46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46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46,Assumptions!$L$135:$L$164,0),MATCH("PetroSA",Assumptions!$L$135:$R$135,0)))</f>
        <v>1501075859.8668749</v>
      </c>
      <c r="AZ46" s="389">
        <v>0.76143758681066487</v>
      </c>
      <c r="BM46" s="121"/>
      <c r="BN46" s="121"/>
      <c r="CD46" s="121"/>
      <c r="CE46" s="121"/>
    </row>
    <row r="47" spans="1:85" x14ac:dyDescent="0.6">
      <c r="A47" s="121"/>
      <c r="B47" s="121"/>
      <c r="C47" s="96">
        <v>2018</v>
      </c>
      <c r="D47" s="278">
        <f t="shared" ref="D47:I47" si="55">D24/$K24</f>
        <v>0.27064876900680818</v>
      </c>
      <c r="E47" s="278">
        <f t="shared" si="55"/>
        <v>0.26569489930039702</v>
      </c>
      <c r="F47" s="278">
        <f t="shared" si="55"/>
        <v>0.18964092051261747</v>
      </c>
      <c r="G47" s="278">
        <f t="shared" si="55"/>
        <v>7.6358552033051488E-2</v>
      </c>
      <c r="H47" s="278">
        <f t="shared" si="55"/>
        <v>0.18010136173016641</v>
      </c>
      <c r="I47" s="278">
        <f t="shared" si="55"/>
        <v>1.7555497416959335E-2</v>
      </c>
      <c r="J47" s="278">
        <f t="shared" si="38"/>
        <v>1</v>
      </c>
      <c r="P47" s="177"/>
      <c r="R47" s="81">
        <v>2041</v>
      </c>
      <c r="S47" s="76">
        <f t="shared" si="0"/>
        <v>3072</v>
      </c>
      <c r="T47" s="79">
        <f t="shared" si="1"/>
        <v>0</v>
      </c>
      <c r="U47" s="79">
        <f t="shared" si="2"/>
        <v>1076.4288000000001</v>
      </c>
      <c r="V47" s="79">
        <f t="shared" si="3"/>
        <v>18837.504000000001</v>
      </c>
      <c r="W47" s="83">
        <f t="shared" si="42"/>
        <v>3875.1436800000006</v>
      </c>
      <c r="X47" s="83">
        <f t="shared" si="43"/>
        <v>67815.0144</v>
      </c>
      <c r="Y47" s="83">
        <f t="shared" si="18"/>
        <v>262543609.75609758</v>
      </c>
      <c r="Z47" s="83">
        <f t="shared" si="6"/>
        <v>4594513170.7317066</v>
      </c>
      <c r="AA47" s="183">
        <f t="shared" si="44"/>
        <v>262543609.75609758</v>
      </c>
      <c r="AB47" s="185">
        <f t="shared" si="45"/>
        <v>4594513170.7317066</v>
      </c>
      <c r="AD47" s="177"/>
      <c r="AQ47" s="121"/>
      <c r="AR47" s="121"/>
      <c r="AT47" s="76">
        <v>2038</v>
      </c>
      <c r="AU47" s="361"/>
      <c r="AV47" s="136"/>
      <c r="AW47" s="362">
        <f>(VLOOKUP(AT47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47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47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47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47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47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47,Assumptions!$L$102:$L$131,0),MATCH("PetroSA",Assumptions!$L$102:$R$102,0))))/VLOOKUP(AT47,fDiesel!B:T,18,0)</f>
        <v>0.83441630517609033</v>
      </c>
      <c r="AX47" s="362">
        <f>(VLOOKUP(AT47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47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47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47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47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47,Assumptions!$L$135:$L$164,0),MATCH("PetroSA",Assumptions!$L$135:$R$135,0))))/VLOOKUP(AT47,fDiesel!$B:$T,19,0)</f>
        <v>0.89485287646408318</v>
      </c>
      <c r="AY47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47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47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47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47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47,Assumptions!$L$135:$L$164,0),MATCH("PetroSA",Assumptions!$L$135:$R$135,0)))</f>
        <v>1501075859.8668749</v>
      </c>
      <c r="AZ47" s="389">
        <v>0.76539669413929767</v>
      </c>
      <c r="BM47" s="121"/>
      <c r="BN47" s="121"/>
      <c r="CD47" s="121"/>
      <c r="CE47" s="121"/>
    </row>
    <row r="48" spans="1:85" x14ac:dyDescent="0.6">
      <c r="A48" s="121"/>
      <c r="B48" s="121"/>
      <c r="C48" s="96">
        <v>2019</v>
      </c>
      <c r="D48" s="278">
        <f t="shared" ref="D48:I48" si="56">D25/$K25</f>
        <v>0.25426704936555844</v>
      </c>
      <c r="E48" s="278">
        <f t="shared" si="56"/>
        <v>0.27705668516961929</v>
      </c>
      <c r="F48" s="278">
        <f t="shared" si="56"/>
        <v>0.19974111684053256</v>
      </c>
      <c r="G48" s="278">
        <f t="shared" si="56"/>
        <v>7.7210569025943726E-2</v>
      </c>
      <c r="H48" s="278">
        <f t="shared" si="56"/>
        <v>0.19172457953768854</v>
      </c>
      <c r="I48" s="278">
        <f t="shared" si="56"/>
        <v>6.0657458301271425E-11</v>
      </c>
      <c r="J48" s="278">
        <f t="shared" si="38"/>
        <v>1</v>
      </c>
      <c r="P48" s="177"/>
      <c r="R48" s="81">
        <v>2042</v>
      </c>
      <c r="S48" s="76">
        <f t="shared" si="0"/>
        <v>3072</v>
      </c>
      <c r="T48" s="79">
        <f t="shared" si="1"/>
        <v>0</v>
      </c>
      <c r="U48" s="79">
        <f t="shared" si="2"/>
        <v>1076.4288000000001</v>
      </c>
      <c r="V48" s="79">
        <f t="shared" si="3"/>
        <v>18837.504000000001</v>
      </c>
      <c r="W48" s="83">
        <f t="shared" si="42"/>
        <v>3875.1436800000006</v>
      </c>
      <c r="X48" s="83">
        <f t="shared" si="43"/>
        <v>67815.0144</v>
      </c>
      <c r="Y48" s="83">
        <f t="shared" si="18"/>
        <v>262543609.75609758</v>
      </c>
      <c r="Z48" s="83">
        <f t="shared" si="6"/>
        <v>4594513170.7317066</v>
      </c>
      <c r="AA48" s="183">
        <f t="shared" si="44"/>
        <v>262543609.75609758</v>
      </c>
      <c r="AB48" s="185">
        <f t="shared" si="45"/>
        <v>4594513170.7317066</v>
      </c>
      <c r="AD48" s="177"/>
      <c r="AQ48" s="121"/>
      <c r="AR48" s="121"/>
      <c r="AT48" s="76">
        <v>2039</v>
      </c>
      <c r="AU48" s="361"/>
      <c r="AV48" s="136"/>
      <c r="AW48" s="362">
        <f>(VLOOKUP(AT48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48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48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48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48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48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48,Assumptions!$L$102:$L$131,0),MATCH("PetroSA",Assumptions!$L$102:$R$102,0))))/VLOOKUP(AT48,fDiesel!B:T,18,0)</f>
        <v>0.83747880383673878</v>
      </c>
      <c r="AX48" s="362">
        <f>(VLOOKUP(AT48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48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48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48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48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48,Assumptions!$L$135:$L$164,0),MATCH("PetroSA",Assumptions!$L$135:$R$135,0))))/VLOOKUP(AT48,fDiesel!$B:$T,19,0)</f>
        <v>0.89602456457122792</v>
      </c>
      <c r="AY48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48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48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48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48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48,Assumptions!$L$135:$L$164,0),MATCH("PetroSA",Assumptions!$L$135:$R$135,0)))</f>
        <v>1501075859.8668749</v>
      </c>
      <c r="AZ48" s="389">
        <v>0.76929146103955948</v>
      </c>
      <c r="BM48" s="121"/>
      <c r="BN48" s="121"/>
      <c r="CD48" s="121"/>
      <c r="CE48" s="121"/>
    </row>
    <row r="49" spans="1:83" x14ac:dyDescent="0.6">
      <c r="A49" s="121"/>
      <c r="B49" s="121"/>
      <c r="C49" s="96">
        <v>2020</v>
      </c>
      <c r="D49" s="278">
        <f t="shared" ref="D49:I49" si="57">D26/$K26</f>
        <v>0.25580101068659461</v>
      </c>
      <c r="E49" s="278">
        <f t="shared" si="57"/>
        <v>0.25331518731763392</v>
      </c>
      <c r="F49" s="278">
        <f t="shared" si="57"/>
        <v>0.22345390951848138</v>
      </c>
      <c r="G49" s="278">
        <f t="shared" si="57"/>
        <v>7.9980657741740319E-2</v>
      </c>
      <c r="H49" s="278">
        <f t="shared" si="57"/>
        <v>0.18744923484641393</v>
      </c>
      <c r="I49" s="278">
        <f t="shared" si="57"/>
        <v>-1.1086402013671618E-10</v>
      </c>
      <c r="J49" s="278">
        <f t="shared" si="38"/>
        <v>1</v>
      </c>
      <c r="P49" s="177"/>
      <c r="R49" s="81">
        <v>2043</v>
      </c>
      <c r="S49" s="76">
        <f t="shared" si="0"/>
        <v>3072</v>
      </c>
      <c r="T49" s="79">
        <f t="shared" si="1"/>
        <v>0</v>
      </c>
      <c r="U49" s="79">
        <f t="shared" si="2"/>
        <v>1076.4288000000001</v>
      </c>
      <c r="V49" s="79">
        <f t="shared" si="3"/>
        <v>18837.504000000001</v>
      </c>
      <c r="W49" s="83">
        <f t="shared" si="42"/>
        <v>3875.1436800000006</v>
      </c>
      <c r="X49" s="83">
        <f t="shared" si="43"/>
        <v>67815.0144</v>
      </c>
      <c r="Y49" s="83">
        <f t="shared" si="18"/>
        <v>262543609.75609758</v>
      </c>
      <c r="Z49" s="83">
        <f t="shared" si="6"/>
        <v>4594513170.7317066</v>
      </c>
      <c r="AA49" s="183">
        <f t="shared" si="44"/>
        <v>262543609.75609758</v>
      </c>
      <c r="AB49" s="185">
        <f t="shared" si="45"/>
        <v>4594513170.7317066</v>
      </c>
      <c r="AD49" s="177"/>
      <c r="AQ49" s="121"/>
      <c r="AR49" s="121"/>
      <c r="AT49" s="76">
        <v>2040</v>
      </c>
      <c r="AU49" s="361"/>
      <c r="AV49" s="136"/>
      <c r="AW49" s="362">
        <f>(VLOOKUP(AT49,fDiesel!$B:$T,18,0)-SUM(INDEX(Refinery,MATCH($AU$9,Assumptions!$L$93:$L$98,0),MATCH("Enref",Assumptions!$L$93:$R$93,0))*Crude_oil_litresPerBarrel*(INDEX(Refinery_capacity,2,MATCH("Enref",Assumptions!$L$93:$R$93,0)))*Operational_days*1000*Refinery_availability*INDEX(Production_High,MATCH($AT49,Assumptions!$L$102:$L$131,0),MATCH("Enref",Assumptions!$L$102:$R$102,0)),INDEX(Refinery,MATCH($AU$9,Assumptions!$L$93:$L$98,0),MATCH("SAPREF",Assumptions!$L$93:$R$93,0))*Crude_oil_litresPerBarrel*(INDEX(Refinery_capacity,2,MATCH("SAPREF",Assumptions!$L$93:$R$93,0)))*Operational_days*1000*Refinery_availability*INDEX(Production_High,MATCH($AT49,Assumptions!$L$102:$L$131,0),MATCH("SAPREF",Assumptions!$L$102:$R$102,0)),INDEX(Refinery,MATCH($AU$9,Assumptions!$L$93:$L$98,0),MATCH("Natref",Assumptions!$L$93:$R$93,0))*Crude_oil_litresPerBarrel*(INDEX(Refinery_capacity,2,MATCH("Natref",Assumptions!$L$93:$R$93,0)))*Operational_days*1000*Refinery_availability*INDEX(Production_High,MATCH($AT49,Assumptions!$L$102:$L$131,0),MATCH("Natref",Assumptions!$L$102:$R$102,0)),INDEX(Refinery,MATCH($AU$9,Assumptions!$L$93:$L$98,0),MATCH("Sasol",Assumptions!$L$93:$R$93,0))*Crude_oil_litresPerBarrel*(INDEX(Refinery_capacity,2,MATCH("Sasol",Assumptions!$L$93:$R$93,0)))*Operational_days*1000*Refinery_availability*INDEX(Production_High,MATCH($AT49,Assumptions!$L$102:$L$131,0),MATCH("Sasol",Assumptions!$L$102:$R$102,0)),INDEX(Refinery,MATCH($AU$9,Assumptions!$L$93:$L$98,0),MATCH("Astron",Assumptions!$L$93:$R$93,0))*Crude_oil_litresPerBarrel*(INDEX(Refinery_capacity,2,MATCH("Astron",Assumptions!$L$93:$R$93,0)))*Operational_days*1000*Refinery_availability*INDEX(Production_High,MATCH($AT49,Assumptions!$L$102:$L$131,0),MATCH("Astron",Assumptions!$L$102:$R$102,0)),INDEX(Refinery,MATCH($AU$9,Assumptions!$L$93:$L$98,0),MATCH("PetroSA",Assumptions!$L$93:$R$93,0))*Crude_oil_litresPerBarrel*(INDEX(Refinery_capacity,2,MATCH("PetroSA",Assumptions!$L$93:$R$93,0)))*Operational_days*1000*Refinery_availability*INDEX(Production_High,MATCH($AT49,Assumptions!$L$102:$L$131,0),MATCH("PetroSA",Assumptions!$L$102:$R$102,0))))/VLOOKUP(AT49,fDiesel!B:T,18,0)</f>
        <v>0.84048026570335088</v>
      </c>
      <c r="AX49" s="362">
        <f>(VLOOKUP(AT49,fDiesel!$B:$T,19,0)-SUM(INDEX(Refinery,MATCH($AU$9,Assumptions!$L$93:$L$98,0),MATCH("SAPREF",Assumptions!$L$93:$R$93,0))*Crude_oil_litresPerBarrel*(INDEX(Refinery_capacity,2,MATCH("SAPREF",Assumptions!$L$93:$R$93,0)))*Operational_days*1000*Refinery_availability*INDEX(Production_Low,MATCH($AT49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49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49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49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49,Assumptions!$L$135:$L$164,0),MATCH("PetroSA",Assumptions!$L$135:$R$135,0))))/VLOOKUP(AT49,fDiesel!$B:$T,19,0)</f>
        <v>0.89718715088743795</v>
      </c>
      <c r="AY49" s="361">
        <f>SUM(INDEX(Refinery,MATCH($AU$9,Assumptions!$L$93:$L$98,0),MATCH("SAPREF",Assumptions!$L$93:$R$93,0))*Crude_oil_litresPerBarrel*(INDEX(Refinery_capacity,2,MATCH("SAPREF",Assumptions!$L$93:$R$93,0)))*Operational_days*1000*Refinery_availability*INDEX(Production_Low,MATCH($AT49,Assumptions!$L$135:$L$164,0),MATCH("SAPREF",Assumptions!$L$135:$R$135,0)),INDEX(Refinery,MATCH($AU$9,Assumptions!$L$93:$L$98,0),MATCH("Natref",Assumptions!$L$93:$R$93,0))*Crude_oil_litresPerBarrel*(INDEX(Refinery_capacity,2,MATCH("Natref",Assumptions!$L$93:$R$93,0)))*Operational_days*1000*Refinery_availability*INDEX(Production_Low,MATCH($AT49,Assumptions!$L$135:$L$164,0),MATCH("Natref",Assumptions!$L$135:$R$135,0)),INDEX(Refinery,MATCH($AU$9,Assumptions!$L$93:$L$98,0),MATCH("Sasol",Assumptions!$L$93:$R$93,0))*Crude_oil_litresPerBarrel*(INDEX(Refinery_capacity,2,MATCH("Sasol",Assumptions!$L$93:$R$93,0)))*Operational_days*1000*Refinery_availability*INDEX(Production_Low,MATCH($AT49,Assumptions!$L$135:$L$164,0),MATCH("Sasol",Assumptions!$L$135:$R$135,0)),INDEX(Refinery,MATCH($AU$9,Assumptions!$L$93:$L$98,0),MATCH("Astron",Assumptions!$L$93:$R$93,0))*Crude_oil_litresPerBarrel*(INDEX(Refinery_capacity,2,MATCH("Astron",Assumptions!$L$93:$R$93,0)))*Operational_days*1000*Refinery_availability*INDEX(Production_Low,MATCH($AT49,Assumptions!$L$135:$L$164,0),MATCH("Astron",Assumptions!$L$135:$R$135,0)),INDEX(Refinery,MATCH($AU$9,Assumptions!$L$93:$L$98,0),MATCH("PetroSA",Assumptions!$L$93:$R$93,0))*Crude_oil_litresPerBarrel*(INDEX(Refinery_capacity,2,MATCH("PetroSA",Assumptions!$L$93:$R$93,0)))*Operational_days*1000*Refinery_availability*INDEX(Production_Low,MATCH($AT49,Assumptions!$L$135:$L$164,0),MATCH("PetroSA",Assumptions!$L$135:$R$135,0)))</f>
        <v>1501075859.8668749</v>
      </c>
      <c r="AZ49" s="389">
        <v>0.77312278795956135</v>
      </c>
      <c r="BM49" s="121"/>
      <c r="BN49" s="121"/>
      <c r="CD49" s="121"/>
      <c r="CE49" s="121"/>
    </row>
    <row r="50" spans="1:83" x14ac:dyDescent="0.6">
      <c r="A50" s="121"/>
      <c r="B50" s="121"/>
      <c r="C50" s="96">
        <v>2021</v>
      </c>
      <c r="D50" s="278">
        <f t="shared" ref="D50:I50" si="58">D27/$K27</f>
        <v>0.23265685261204819</v>
      </c>
      <c r="E50" s="278">
        <f t="shared" si="58"/>
        <v>0.24845047917651408</v>
      </c>
      <c r="F50" s="278">
        <f t="shared" si="58"/>
        <v>0.2105966528417452</v>
      </c>
      <c r="G50" s="278">
        <f t="shared" si="58"/>
        <v>7.9913185230077108E-2</v>
      </c>
      <c r="H50" s="278">
        <f t="shared" si="58"/>
        <v>0.22832375771806276</v>
      </c>
      <c r="I50" s="278">
        <f t="shared" si="58"/>
        <v>5.9072421552661532E-5</v>
      </c>
      <c r="J50" s="278">
        <f t="shared" si="38"/>
        <v>1</v>
      </c>
      <c r="P50" s="177"/>
      <c r="R50" s="81">
        <v>2044</v>
      </c>
      <c r="S50" s="76">
        <f t="shared" si="0"/>
        <v>3072</v>
      </c>
      <c r="T50" s="79">
        <f t="shared" si="1"/>
        <v>0</v>
      </c>
      <c r="U50" s="79">
        <f t="shared" si="2"/>
        <v>1076.4288000000001</v>
      </c>
      <c r="V50" s="79">
        <f t="shared" si="3"/>
        <v>18837.504000000001</v>
      </c>
      <c r="W50" s="83">
        <f t="shared" si="42"/>
        <v>3875.1436800000006</v>
      </c>
      <c r="X50" s="83">
        <f t="shared" si="43"/>
        <v>67815.0144</v>
      </c>
      <c r="Y50" s="83">
        <f t="shared" si="18"/>
        <v>262543609.75609758</v>
      </c>
      <c r="Z50" s="83">
        <f t="shared" si="6"/>
        <v>4594513170.7317066</v>
      </c>
      <c r="AA50" s="183">
        <f t="shared" si="44"/>
        <v>262543609.75609758</v>
      </c>
      <c r="AB50" s="185">
        <f t="shared" si="45"/>
        <v>4594513170.7317066</v>
      </c>
      <c r="AD50" s="177"/>
      <c r="AQ50" s="121"/>
      <c r="AR50" s="121"/>
      <c r="BM50" s="121"/>
      <c r="BN50" s="121"/>
      <c r="CD50" s="121"/>
      <c r="CE50" s="121"/>
    </row>
    <row r="51" spans="1:83" x14ac:dyDescent="0.6">
      <c r="A51" s="121"/>
      <c r="B51" s="121"/>
      <c r="C51" s="96">
        <v>2022</v>
      </c>
      <c r="D51" s="278">
        <f t="shared" ref="D51:I51" si="59">D28/$K28</f>
        <v>0.20214814772694703</v>
      </c>
      <c r="E51" s="278">
        <f t="shared" si="59"/>
        <v>0.2357677801863394</v>
      </c>
      <c r="F51" s="278">
        <f t="shared" si="59"/>
        <v>0.20677160368239403</v>
      </c>
      <c r="G51" s="278">
        <f t="shared" si="59"/>
        <v>7.4221016592142572E-2</v>
      </c>
      <c r="H51" s="278">
        <f t="shared" si="59"/>
        <v>0.20412704858566541</v>
      </c>
      <c r="I51" s="278">
        <f t="shared" si="59"/>
        <v>7.6964403226511602E-2</v>
      </c>
      <c r="J51" s="278">
        <f t="shared" si="38"/>
        <v>1</v>
      </c>
      <c r="P51" s="177"/>
      <c r="R51" s="81">
        <v>2045</v>
      </c>
      <c r="S51" s="76">
        <f t="shared" si="0"/>
        <v>3072</v>
      </c>
      <c r="T51" s="79">
        <f t="shared" si="1"/>
        <v>0</v>
      </c>
      <c r="U51" s="79">
        <f t="shared" si="2"/>
        <v>1076.4288000000001</v>
      </c>
      <c r="V51" s="79">
        <f t="shared" si="3"/>
        <v>18837.504000000001</v>
      </c>
      <c r="W51" s="83">
        <f t="shared" ref="W51" si="60">U51*TJ_GWh_Conversion</f>
        <v>3875.1436800000006</v>
      </c>
      <c r="X51" s="83">
        <f t="shared" ref="X51" si="61">V51*TJ_GWh_Conversion</f>
        <v>67815.0144</v>
      </c>
      <c r="Y51" s="83">
        <f t="shared" si="18"/>
        <v>262543609.75609758</v>
      </c>
      <c r="Z51" s="83">
        <f t="shared" si="6"/>
        <v>4594513170.7317066</v>
      </c>
      <c r="AA51" s="183">
        <f t="shared" ref="AA51" si="62">Y51</f>
        <v>262543609.75609758</v>
      </c>
      <c r="AB51" s="185">
        <f t="shared" ref="AB51" si="63">Z51</f>
        <v>4594513170.7317066</v>
      </c>
      <c r="AD51" s="177"/>
      <c r="AQ51" s="121"/>
      <c r="AR51" s="121"/>
      <c r="BM51" s="121"/>
      <c r="BN51" s="121"/>
      <c r="CD51" s="120"/>
      <c r="CE51" s="120"/>
    </row>
    <row r="52" spans="1:83" x14ac:dyDescent="0.6">
      <c r="A52" s="121"/>
      <c r="B52" s="121"/>
      <c r="C52" s="96">
        <v>2023</v>
      </c>
      <c r="D52" s="278">
        <f t="shared" ref="D52:I52" si="64">D29/$K29</f>
        <v>0.2033116488823267</v>
      </c>
      <c r="E52" s="278">
        <f t="shared" si="64"/>
        <v>0.26095280765000939</v>
      </c>
      <c r="F52" s="278">
        <f t="shared" si="64"/>
        <v>0.19802818911144537</v>
      </c>
      <c r="G52" s="278">
        <f t="shared" si="64"/>
        <v>7.780304161473886E-2</v>
      </c>
      <c r="H52" s="278">
        <f t="shared" si="64"/>
        <v>0.25990431274147963</v>
      </c>
      <c r="I52" s="278">
        <f t="shared" si="64"/>
        <v>0</v>
      </c>
      <c r="J52" s="278">
        <f t="shared" si="38"/>
        <v>1</v>
      </c>
      <c r="P52" s="177"/>
      <c r="R52" s="81"/>
      <c r="AD52" s="177"/>
      <c r="AQ52" s="121"/>
      <c r="AR52" s="121"/>
      <c r="BM52" s="121"/>
      <c r="BN52" s="121"/>
      <c r="CD52" s="120"/>
      <c r="CE52" s="120"/>
    </row>
    <row r="53" spans="1:83" x14ac:dyDescent="0.6">
      <c r="A53" s="121"/>
      <c r="B53" s="121"/>
      <c r="C53" s="391">
        <v>2024</v>
      </c>
      <c r="D53" s="278">
        <f t="shared" ref="D53:I53" si="65">D30/$K30</f>
        <v>0.20331164888232678</v>
      </c>
      <c r="E53" s="278">
        <f t="shared" si="65"/>
        <v>0.26095280765000939</v>
      </c>
      <c r="F53" s="278">
        <f t="shared" si="65"/>
        <v>0.19802818911144535</v>
      </c>
      <c r="G53" s="278">
        <f t="shared" si="65"/>
        <v>7.780304161473886E-2</v>
      </c>
      <c r="H53" s="278">
        <f t="shared" si="65"/>
        <v>0.25990431274147963</v>
      </c>
      <c r="I53" s="278">
        <f t="shared" si="65"/>
        <v>0</v>
      </c>
      <c r="J53" s="278">
        <f t="shared" si="38"/>
        <v>1</v>
      </c>
      <c r="P53" s="177"/>
      <c r="AD53" s="177"/>
      <c r="AQ53" s="121"/>
      <c r="AR53" s="121"/>
      <c r="BM53" s="121"/>
      <c r="BN53" s="121"/>
      <c r="CD53" s="120"/>
      <c r="CE53" s="120"/>
    </row>
    <row r="54" spans="1:83" x14ac:dyDescent="0.6">
      <c r="A54" s="121"/>
      <c r="B54" s="121"/>
      <c r="C54" s="391">
        <v>2025</v>
      </c>
      <c r="D54" s="278">
        <f t="shared" ref="D54:I54" si="66">D31/$K31</f>
        <v>0.20331164888232672</v>
      </c>
      <c r="E54" s="278">
        <f t="shared" si="66"/>
        <v>0.26095280765000933</v>
      </c>
      <c r="F54" s="278">
        <f t="shared" si="66"/>
        <v>0.19802818911144532</v>
      </c>
      <c r="G54" s="278">
        <f t="shared" si="66"/>
        <v>7.7803041614738846E-2</v>
      </c>
      <c r="H54" s="278">
        <f t="shared" si="66"/>
        <v>0.25990431274147957</v>
      </c>
      <c r="I54" s="278">
        <f t="shared" si="66"/>
        <v>0</v>
      </c>
      <c r="J54" s="278">
        <f t="shared" si="38"/>
        <v>1</v>
      </c>
      <c r="P54" s="177"/>
      <c r="AD54" s="177"/>
      <c r="AQ54" s="121"/>
      <c r="AR54" s="121"/>
      <c r="BM54" s="121"/>
      <c r="BN54" s="121"/>
      <c r="CD54" s="120"/>
      <c r="CE54" s="120"/>
    </row>
    <row r="55" spans="1:83" x14ac:dyDescent="0.6">
      <c r="A55" s="121"/>
      <c r="B55" s="121"/>
      <c r="P55" s="177"/>
      <c r="AD55" s="177"/>
      <c r="AQ55" s="121"/>
      <c r="AR55" s="121"/>
      <c r="BM55" s="121"/>
      <c r="BN55" s="121"/>
      <c r="CD55" s="120"/>
      <c r="CE55" s="120"/>
    </row>
    <row r="56" spans="1:83" x14ac:dyDescent="0.6">
      <c r="A56" s="121"/>
      <c r="B56" s="121"/>
      <c r="P56" s="177"/>
      <c r="AD56" s="177"/>
      <c r="CD56" s="120"/>
      <c r="CE56" s="120"/>
    </row>
    <row r="57" spans="1:83" x14ac:dyDescent="0.6">
      <c r="A57" s="121"/>
      <c r="B57" s="121"/>
      <c r="P57" s="177"/>
      <c r="AD57" s="177"/>
      <c r="CD57" s="120"/>
      <c r="CE57" s="120"/>
    </row>
    <row r="58" spans="1:83" x14ac:dyDescent="0.6">
      <c r="P58" s="177"/>
      <c r="AD58" s="177"/>
      <c r="CD58" s="120"/>
      <c r="CE58" s="120"/>
    </row>
    <row r="59" spans="1:83" x14ac:dyDescent="0.6">
      <c r="P59" s="177"/>
      <c r="AD59" s="177"/>
      <c r="CD59" s="120"/>
      <c r="CE59" s="120"/>
    </row>
    <row r="60" spans="1:83" x14ac:dyDescent="0.6">
      <c r="P60" s="177"/>
      <c r="AD60" s="177"/>
      <c r="CD60" s="120"/>
      <c r="CE60" s="120"/>
    </row>
    <row r="61" spans="1:83" x14ac:dyDescent="0.6">
      <c r="P61" s="177"/>
      <c r="AD61" s="177"/>
      <c r="CD61" s="120"/>
      <c r="CE61" s="120"/>
    </row>
    <row r="62" spans="1:83" x14ac:dyDescent="0.6">
      <c r="P62" s="177"/>
      <c r="AD62" s="177"/>
      <c r="CD62" s="120"/>
      <c r="CE62" s="120"/>
    </row>
    <row r="63" spans="1:83" x14ac:dyDescent="0.6">
      <c r="P63" s="177"/>
      <c r="AD63" s="177"/>
      <c r="CD63" s="120"/>
      <c r="CE63" s="120"/>
    </row>
    <row r="64" spans="1:83" x14ac:dyDescent="0.6">
      <c r="P64" s="177"/>
      <c r="AD64" s="177"/>
      <c r="CD64" s="120"/>
      <c r="CE64" s="120"/>
    </row>
    <row r="65" spans="16:30" x14ac:dyDescent="0.6">
      <c r="P65" s="177"/>
      <c r="AD65" s="177"/>
    </row>
    <row r="66" spans="16:30" x14ac:dyDescent="0.6">
      <c r="P66" s="177"/>
      <c r="AD66" s="177"/>
    </row>
    <row r="67" spans="16:30" x14ac:dyDescent="0.6">
      <c r="P67" s="177"/>
      <c r="AD67" s="177"/>
    </row>
    <row r="68" spans="16:30" x14ac:dyDescent="0.6">
      <c r="P68" s="177"/>
      <c r="AD68" s="177"/>
    </row>
    <row r="69" spans="16:30" x14ac:dyDescent="0.6">
      <c r="P69" s="177"/>
      <c r="AD69" s="177"/>
    </row>
    <row r="70" spans="16:30" x14ac:dyDescent="0.6">
      <c r="P70" s="177"/>
      <c r="AD70" s="177"/>
    </row>
    <row r="71" spans="16:30" x14ac:dyDescent="0.6">
      <c r="P71" s="177"/>
      <c r="AD71" s="177"/>
    </row>
    <row r="72" spans="16:30" x14ac:dyDescent="0.6">
      <c r="P72" s="177"/>
      <c r="AD72" s="177"/>
    </row>
    <row r="73" spans="16:30" x14ac:dyDescent="0.6">
      <c r="P73" s="177"/>
      <c r="AD73" s="177"/>
    </row>
    <row r="74" spans="16:30" x14ac:dyDescent="0.6">
      <c r="P74" s="177"/>
      <c r="AD74" s="177"/>
    </row>
    <row r="75" spans="16:30" x14ac:dyDescent="0.6">
      <c r="P75" s="177"/>
      <c r="AD75" s="177"/>
    </row>
    <row r="76" spans="16:30" x14ac:dyDescent="0.6">
      <c r="P76" s="177"/>
      <c r="AD76" s="177"/>
    </row>
    <row r="77" spans="16:30" x14ac:dyDescent="0.6">
      <c r="P77" s="177"/>
      <c r="AD77" s="177"/>
    </row>
    <row r="78" spans="16:30" x14ac:dyDescent="0.6">
      <c r="P78" s="177"/>
    </row>
  </sheetData>
  <mergeCells count="6">
    <mergeCell ref="C2:AP4"/>
    <mergeCell ref="AS2:BL4"/>
    <mergeCell ref="S7:S8"/>
    <mergeCell ref="BP9:BU9"/>
    <mergeCell ref="BX9:CC9"/>
    <mergeCell ref="BO2:CC4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B1D1DDC1-C6F0-45F4-8DC6-A0410C8E21D1}">
          <x14:formula1>
            <xm:f>Assumptions!$H$44:$H$45</xm:f>
          </x14:formula1>
          <xm:sqref>AZ10</xm:sqref>
        </x14:dataValidation>
        <x14:dataValidation type="list" allowBlank="1" showInputMessage="1" showErrorMessage="1" xr:uid="{BF6D0B09-855A-494B-817E-3CB361A21638}">
          <x14:formula1>
            <xm:f>Assumptions!$C$172:$C$176</xm:f>
          </x14:formula1>
          <xm:sqref>S7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8432-C94D-4AAA-8735-C04DEB2E2DA8}">
  <sheetPr codeName="Sheet7">
    <tabColor theme="4" tint="0.39997558519241921"/>
  </sheetPr>
  <dimension ref="A1:BS73"/>
  <sheetViews>
    <sheetView showGridLines="0" topLeftCell="W9" zoomScale="62" zoomScaleNormal="62" workbookViewId="0">
      <selection activeCell="AL34" sqref="AL34"/>
    </sheetView>
  </sheetViews>
  <sheetFormatPr defaultColWidth="8.86328125" defaultRowHeight="15.75" x14ac:dyDescent="0.6"/>
  <cols>
    <col min="1" max="2" width="2.3984375" style="120" customWidth="1"/>
    <col min="3" max="3" width="8.86328125" style="75" bestFit="1" customWidth="1"/>
    <col min="4" max="6" width="17" style="75" bestFit="1" customWidth="1"/>
    <col min="7" max="7" width="15.3984375" style="75" bestFit="1" customWidth="1"/>
    <col min="8" max="8" width="17" style="75" bestFit="1" customWidth="1"/>
    <col min="9" max="9" width="17.1328125" style="75" bestFit="1" customWidth="1"/>
    <col min="10" max="10" width="16.1328125" style="75" bestFit="1" customWidth="1"/>
    <col min="11" max="14" width="16.1328125" style="75" customWidth="1"/>
    <col min="15" max="15" width="17.3984375" style="75" bestFit="1" customWidth="1"/>
    <col min="16" max="17" width="3.86328125" style="75" customWidth="1"/>
    <col min="18" max="18" width="3.59765625" style="75" customWidth="1"/>
    <col min="19" max="19" width="17.59765625" style="75" bestFit="1" customWidth="1"/>
    <col min="20" max="23" width="18" style="75" customWidth="1"/>
    <col min="24" max="24" width="18.59765625" style="75" customWidth="1"/>
    <col min="25" max="25" width="19.59765625" style="75" customWidth="1"/>
    <col min="26" max="28" width="18.3984375" style="75" customWidth="1"/>
    <col min="29" max="30" width="3.86328125" style="75" customWidth="1"/>
    <col min="31" max="31" width="3.59765625" style="75" customWidth="1"/>
    <col min="32" max="33" width="2.3984375" style="120" customWidth="1"/>
    <col min="34" max="34" width="3.1328125" style="75" customWidth="1"/>
    <col min="35" max="35" width="8.86328125" style="75" bestFit="1" customWidth="1"/>
    <col min="36" max="36" width="17.1328125" style="75" customWidth="1"/>
    <col min="37" max="37" width="15.3984375" style="75" bestFit="1" customWidth="1"/>
    <col min="38" max="38" width="14.1328125" style="75" customWidth="1"/>
    <col min="39" max="39" width="16.1328125" style="75" customWidth="1"/>
    <col min="40" max="40" width="16.86328125" style="75" customWidth="1"/>
    <col min="41" max="42" width="8.86328125" style="75" bestFit="1" customWidth="1"/>
    <col min="43" max="43" width="9.59765625" style="75" bestFit="1" customWidth="1"/>
    <col min="44" max="52" width="8.86328125" style="75"/>
    <col min="53" max="54" width="2.3984375" style="120" customWidth="1"/>
    <col min="55" max="55" width="7.86328125" style="75" bestFit="1" customWidth="1"/>
    <col min="56" max="58" width="18.59765625" style="75" bestFit="1" customWidth="1"/>
    <col min="59" max="59" width="17.59765625" style="75" bestFit="1" customWidth="1"/>
    <col min="60" max="60" width="18.59765625" style="75" bestFit="1" customWidth="1"/>
    <col min="61" max="61" width="15.59765625" style="75" bestFit="1" customWidth="1"/>
    <col min="62" max="63" width="8.86328125" style="75"/>
    <col min="64" max="64" width="19.1328125" style="75" customWidth="1"/>
    <col min="65" max="66" width="14.3984375" style="75" bestFit="1" customWidth="1"/>
    <col min="67" max="67" width="12.86328125" style="75" bestFit="1" customWidth="1"/>
    <col min="68" max="68" width="14.3984375" style="75" bestFit="1" customWidth="1"/>
    <col min="69" max="69" width="8.3984375" style="75" bestFit="1" customWidth="1"/>
    <col min="70" max="71" width="2.3984375" style="120" customWidth="1"/>
    <col min="72" max="16384" width="8.86328125" style="75"/>
  </cols>
  <sheetData>
    <row r="1" spans="3:71" ht="16.149999999999999" thickBot="1" x14ac:dyDescent="0.65"/>
    <row r="2" spans="3:71" ht="12.6" customHeight="1" x14ac:dyDescent="0.6">
      <c r="C2" s="539" t="s">
        <v>255</v>
      </c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H2" s="539" t="s">
        <v>256</v>
      </c>
      <c r="AI2" s="548"/>
      <c r="AJ2" s="548"/>
      <c r="AK2" s="548"/>
      <c r="AL2" s="548"/>
      <c r="AM2" s="548"/>
      <c r="AN2" s="548"/>
      <c r="AO2" s="548"/>
      <c r="AP2" s="548"/>
      <c r="AQ2" s="548"/>
      <c r="AR2" s="548"/>
      <c r="AS2" s="548"/>
      <c r="AT2" s="548"/>
      <c r="AU2" s="548"/>
      <c r="AV2" s="548"/>
      <c r="AW2" s="548"/>
      <c r="AX2" s="548"/>
      <c r="AY2" s="548"/>
      <c r="AZ2" s="549"/>
      <c r="BC2" s="539" t="s">
        <v>257</v>
      </c>
      <c r="BD2" s="495"/>
      <c r="BE2" s="495"/>
      <c r="BF2" s="495"/>
      <c r="BG2" s="495"/>
      <c r="BH2" s="495"/>
      <c r="BI2" s="495"/>
      <c r="BJ2" s="495"/>
      <c r="BK2" s="495"/>
      <c r="BL2" s="495"/>
      <c r="BM2" s="495"/>
      <c r="BN2" s="495"/>
      <c r="BO2" s="495"/>
      <c r="BP2" s="495"/>
      <c r="BQ2" s="496"/>
    </row>
    <row r="3" spans="3:71" ht="12.6" customHeight="1" x14ac:dyDescent="0.6">
      <c r="C3" s="550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573"/>
      <c r="AD3" s="573"/>
      <c r="AE3" s="573"/>
      <c r="AH3" s="550"/>
      <c r="AI3" s="551"/>
      <c r="AJ3" s="551"/>
      <c r="AK3" s="551"/>
      <c r="AL3" s="551"/>
      <c r="AM3" s="551"/>
      <c r="AN3" s="551"/>
      <c r="AO3" s="551"/>
      <c r="AP3" s="551"/>
      <c r="AQ3" s="551"/>
      <c r="AR3" s="551"/>
      <c r="AS3" s="551"/>
      <c r="AT3" s="551"/>
      <c r="AU3" s="551"/>
      <c r="AV3" s="551"/>
      <c r="AW3" s="551"/>
      <c r="AX3" s="551"/>
      <c r="AY3" s="551"/>
      <c r="AZ3" s="552"/>
      <c r="BC3" s="497"/>
      <c r="BD3" s="498"/>
      <c r="BE3" s="498"/>
      <c r="BF3" s="498"/>
      <c r="BG3" s="498"/>
      <c r="BH3" s="498"/>
      <c r="BI3" s="498"/>
      <c r="BJ3" s="498"/>
      <c r="BK3" s="498"/>
      <c r="BL3" s="498"/>
      <c r="BM3" s="498"/>
      <c r="BN3" s="498"/>
      <c r="BO3" s="498"/>
      <c r="BP3" s="498"/>
      <c r="BQ3" s="499"/>
    </row>
    <row r="4" spans="3:71" ht="12.95" customHeight="1" thickBot="1" x14ac:dyDescent="0.65">
      <c r="C4" s="553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74"/>
      <c r="S4" s="574"/>
      <c r="T4" s="574"/>
      <c r="U4" s="574"/>
      <c r="V4" s="574"/>
      <c r="W4" s="574"/>
      <c r="X4" s="574"/>
      <c r="Y4" s="574"/>
      <c r="Z4" s="574"/>
      <c r="AA4" s="574"/>
      <c r="AB4" s="574"/>
      <c r="AC4" s="574"/>
      <c r="AD4" s="574"/>
      <c r="AE4" s="574"/>
      <c r="AH4" s="553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5"/>
      <c r="BC4" s="500"/>
      <c r="BD4" s="501"/>
      <c r="BE4" s="501"/>
      <c r="BF4" s="501"/>
      <c r="BG4" s="501"/>
      <c r="BH4" s="501"/>
      <c r="BI4" s="501"/>
      <c r="BJ4" s="501"/>
      <c r="BK4" s="501"/>
      <c r="BL4" s="501"/>
      <c r="BM4" s="501"/>
      <c r="BN4" s="501"/>
      <c r="BO4" s="501"/>
      <c r="BP4" s="501"/>
      <c r="BQ4" s="502"/>
    </row>
    <row r="5" spans="3:71" x14ac:dyDescent="0.6">
      <c r="Q5" s="177"/>
      <c r="AD5" s="177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</row>
    <row r="6" spans="3:71" ht="19.149999999999999" x14ac:dyDescent="0.75">
      <c r="C6" s="80" t="s">
        <v>234</v>
      </c>
      <c r="D6" s="80"/>
      <c r="E6" s="80"/>
      <c r="Q6" s="177"/>
      <c r="T6" s="191" t="s">
        <v>258</v>
      </c>
      <c r="U6" s="192"/>
      <c r="V6" s="192"/>
      <c r="W6" s="193"/>
      <c r="X6" s="80" t="s">
        <v>259</v>
      </c>
      <c r="Y6" s="80"/>
      <c r="Z6" s="80"/>
      <c r="AA6" s="193"/>
      <c r="AB6" s="193"/>
      <c r="AD6" s="177"/>
      <c r="AI6" s="80" t="s">
        <v>187</v>
      </c>
      <c r="AJ6" s="80"/>
      <c r="AK6" s="80"/>
      <c r="AL6" s="80"/>
      <c r="AM6" s="80"/>
    </row>
    <row r="7" spans="3:71" x14ac:dyDescent="0.6">
      <c r="Q7" s="177"/>
      <c r="S7" s="139"/>
      <c r="X7" s="75" t="s">
        <v>260</v>
      </c>
      <c r="Z7" s="75" t="s">
        <v>261</v>
      </c>
      <c r="AD7" s="177"/>
      <c r="AL7" s="117"/>
      <c r="AM7" s="117"/>
      <c r="BR7" s="186"/>
      <c r="BS7" s="186"/>
    </row>
    <row r="8" spans="3:71" ht="50.1" customHeight="1" x14ac:dyDescent="0.6">
      <c r="Q8" s="177"/>
      <c r="X8" s="117"/>
      <c r="Y8" s="117"/>
      <c r="Z8" s="117"/>
      <c r="AA8" s="117"/>
      <c r="AB8" s="117"/>
      <c r="AD8" s="177"/>
      <c r="AJ8" s="200" t="s">
        <v>111</v>
      </c>
      <c r="AL8" s="117"/>
      <c r="AM8" s="117"/>
      <c r="AN8" s="223" t="s">
        <v>190</v>
      </c>
      <c r="BR8" s="186"/>
      <c r="BS8" s="186"/>
    </row>
    <row r="9" spans="3:71" ht="66.599999999999994" customHeight="1" x14ac:dyDescent="0.6">
      <c r="C9" s="117" t="s">
        <v>30</v>
      </c>
      <c r="D9" s="117" t="s">
        <v>198</v>
      </c>
      <c r="E9" s="117" t="s">
        <v>199</v>
      </c>
      <c r="F9" s="117" t="s">
        <v>97</v>
      </c>
      <c r="G9" s="117" t="s">
        <v>200</v>
      </c>
      <c r="H9" s="117" t="s">
        <v>201</v>
      </c>
      <c r="I9" s="117" t="s">
        <v>202</v>
      </c>
      <c r="J9" s="194" t="s">
        <v>49</v>
      </c>
      <c r="K9" s="117" t="s">
        <v>55</v>
      </c>
      <c r="L9" s="117" t="s">
        <v>49</v>
      </c>
      <c r="M9" s="117" t="s">
        <v>55</v>
      </c>
      <c r="N9" s="117" t="s">
        <v>262</v>
      </c>
      <c r="O9" s="194" t="s">
        <v>248</v>
      </c>
      <c r="P9" s="117"/>
      <c r="Q9" s="177"/>
      <c r="S9" s="117" t="s">
        <v>30</v>
      </c>
      <c r="T9" s="117" t="s">
        <v>263</v>
      </c>
      <c r="U9" s="117" t="s">
        <v>264</v>
      </c>
      <c r="V9" s="117" t="s">
        <v>265</v>
      </c>
      <c r="W9" s="117" t="s">
        <v>266</v>
      </c>
      <c r="X9" s="223" t="s">
        <v>51</v>
      </c>
      <c r="Y9" s="223" t="s">
        <v>57</v>
      </c>
      <c r="Z9" s="223" t="s">
        <v>63</v>
      </c>
      <c r="AA9" s="223" t="s">
        <v>68</v>
      </c>
      <c r="AB9" s="117"/>
      <c r="AC9" s="117"/>
      <c r="AD9" s="177"/>
      <c r="AI9" s="117" t="s">
        <v>30</v>
      </c>
      <c r="AJ9" s="117" t="s">
        <v>194</v>
      </c>
      <c r="AK9" s="117" t="s">
        <v>195</v>
      </c>
      <c r="AL9" s="117" t="s">
        <v>196</v>
      </c>
      <c r="AM9" s="117" t="s">
        <v>197</v>
      </c>
      <c r="AN9" s="222" t="s">
        <v>55</v>
      </c>
      <c r="BD9" s="556" t="s">
        <v>196</v>
      </c>
      <c r="BE9" s="556"/>
      <c r="BF9" s="556"/>
      <c r="BG9" s="556"/>
      <c r="BH9" s="556"/>
      <c r="BI9" s="556"/>
      <c r="BL9" s="557" t="s">
        <v>197</v>
      </c>
      <c r="BM9" s="557"/>
      <c r="BN9" s="557"/>
      <c r="BO9" s="557"/>
      <c r="BP9" s="557"/>
      <c r="BQ9" s="557"/>
    </row>
    <row r="10" spans="3:71" ht="31.5" x14ac:dyDescent="0.6">
      <c r="C10" s="81">
        <v>2005</v>
      </c>
      <c r="D10" s="114"/>
      <c r="E10" s="114">
        <v>4148248751</v>
      </c>
      <c r="F10" s="114">
        <v>1749328083</v>
      </c>
      <c r="G10" s="114">
        <v>820530839</v>
      </c>
      <c r="H10" s="114">
        <v>1954870759</v>
      </c>
      <c r="I10" s="114"/>
      <c r="J10" s="196">
        <f>SUM(D10:F10)</f>
        <v>5897576834</v>
      </c>
      <c r="K10" s="115">
        <f t="shared" ref="K10:K27" si="0">SUM(D10:I10)</f>
        <v>8672978432</v>
      </c>
      <c r="L10" s="198">
        <f>J10/10^9</f>
        <v>5.8975768339999997</v>
      </c>
      <c r="M10" s="198">
        <f>K10/10^9</f>
        <v>8.6729784320000007</v>
      </c>
      <c r="N10" s="198">
        <f t="shared" ref="N10:N27" si="1">IFERROR(VLOOKUP($C10,ULP_CPIIndex2015,4,0),)</f>
        <v>0</v>
      </c>
      <c r="O10" s="195"/>
      <c r="P10" s="83"/>
      <c r="Q10" s="177"/>
      <c r="S10" s="81">
        <v>2005</v>
      </c>
      <c r="T10" s="114">
        <v>0</v>
      </c>
      <c r="U10" s="114">
        <v>0</v>
      </c>
      <c r="V10" s="114">
        <v>0</v>
      </c>
      <c r="W10" s="114">
        <v>0</v>
      </c>
      <c r="X10" s="115">
        <f>IFERROR(K10/T10,)</f>
        <v>0</v>
      </c>
      <c r="Y10" s="115">
        <f>IFERROR(J10/U10,)</f>
        <v>0</v>
      </c>
      <c r="Z10" s="115">
        <f>IFERROR(K10/V10,)</f>
        <v>0</v>
      </c>
      <c r="AA10" s="115">
        <f>IFERROR(J10/W10,)</f>
        <v>0</v>
      </c>
      <c r="AB10" s="115"/>
      <c r="AC10" s="83"/>
      <c r="AD10" s="177"/>
      <c r="AI10" s="76">
        <v>2002</v>
      </c>
      <c r="AJ10" s="114">
        <v>216860572</v>
      </c>
      <c r="AK10" s="114">
        <v>2378150278.6666665</v>
      </c>
      <c r="AL10" s="280" t="e">
        <f t="shared" ref="AL10:AL31" si="2">AJ10/VLOOKUP($AI10,$C$10:$K$29,9,0)</f>
        <v>#N/A</v>
      </c>
      <c r="AM10" s="280"/>
      <c r="AN10" s="79">
        <f t="shared" ref="AN10:AN48" si="3">IFERROR((INDEX(GasolineDemandSupply,MATCH($AI10,C:C,0),MATCH($AN$9,$C$9:$K$9,0)))-AJ10+AK10,)</f>
        <v>0</v>
      </c>
      <c r="AO10" s="83"/>
      <c r="AP10" s="83"/>
      <c r="AQ10" s="83"/>
      <c r="BD10" s="117" t="s">
        <v>198</v>
      </c>
      <c r="BE10" s="117" t="s">
        <v>199</v>
      </c>
      <c r="BF10" s="117" t="s">
        <v>97</v>
      </c>
      <c r="BG10" s="117" t="s">
        <v>200</v>
      </c>
      <c r="BH10" s="117" t="s">
        <v>201</v>
      </c>
      <c r="BI10" s="117" t="s">
        <v>202</v>
      </c>
      <c r="BL10" s="117" t="s">
        <v>198</v>
      </c>
      <c r="BM10" s="117" t="s">
        <v>199</v>
      </c>
      <c r="BN10" s="117" t="s">
        <v>97</v>
      </c>
      <c r="BO10" s="117" t="s">
        <v>200</v>
      </c>
      <c r="BP10" s="117" t="s">
        <v>201</v>
      </c>
      <c r="BQ10" s="117" t="s">
        <v>202</v>
      </c>
    </row>
    <row r="11" spans="3:71" x14ac:dyDescent="0.6">
      <c r="C11" s="81">
        <v>2006</v>
      </c>
      <c r="D11" s="114">
        <v>2556539703</v>
      </c>
      <c r="E11" s="114">
        <v>4154681560</v>
      </c>
      <c r="F11" s="114">
        <v>1780948057</v>
      </c>
      <c r="G11" s="114">
        <v>818104802</v>
      </c>
      <c r="H11" s="114">
        <v>1968138131</v>
      </c>
      <c r="I11" s="114"/>
      <c r="J11" s="196">
        <f t="shared" ref="J11:J30" si="4">SUM(D11:F11)</f>
        <v>8492169320</v>
      </c>
      <c r="K11" s="115">
        <f t="shared" si="0"/>
        <v>11278412253</v>
      </c>
      <c r="L11" s="198">
        <f t="shared" ref="L11:M27" si="5">J11/10^9</f>
        <v>8.4921693200000004</v>
      </c>
      <c r="M11" s="198">
        <f t="shared" si="5"/>
        <v>11.278412253000001</v>
      </c>
      <c r="N11" s="198">
        <f t="shared" si="1"/>
        <v>0</v>
      </c>
      <c r="O11" s="195"/>
      <c r="P11" s="83"/>
      <c r="Q11" s="177"/>
      <c r="S11" s="81">
        <v>2006</v>
      </c>
      <c r="T11" s="114">
        <v>0</v>
      </c>
      <c r="U11" s="114">
        <v>0</v>
      </c>
      <c r="V11" s="114">
        <v>0</v>
      </c>
      <c r="W11" s="114">
        <v>0</v>
      </c>
      <c r="X11" s="115">
        <f t="shared" ref="X11:X27" si="6">IFERROR(K11/T11,)</f>
        <v>0</v>
      </c>
      <c r="Y11" s="115">
        <f t="shared" ref="Y11:Y27" si="7">IFERROR(J11/U11,)</f>
        <v>0</v>
      </c>
      <c r="Z11" s="115">
        <f t="shared" ref="Z11:Z27" si="8">IFERROR(K11/V11,)</f>
        <v>0</v>
      </c>
      <c r="AA11" s="115">
        <f t="shared" ref="AA11:AA27" si="9">IFERROR(J11/W11,)</f>
        <v>0</v>
      </c>
      <c r="AB11" s="115"/>
      <c r="AC11" s="83"/>
      <c r="AD11" s="177"/>
      <c r="AI11" s="76">
        <v>2003</v>
      </c>
      <c r="AJ11" s="114">
        <v>363580582.66666669</v>
      </c>
      <c r="AK11" s="114">
        <v>492079501.33333331</v>
      </c>
      <c r="AL11" s="280" t="e">
        <f t="shared" si="2"/>
        <v>#N/A</v>
      </c>
      <c r="AM11" s="280"/>
      <c r="AN11" s="79">
        <f t="shared" si="3"/>
        <v>0</v>
      </c>
      <c r="AO11" s="83"/>
      <c r="AP11" s="83"/>
      <c r="AQ11" s="83"/>
      <c r="BD11" s="272">
        <f>D$52+$BJ$11</f>
        <v>0.21922266552290112</v>
      </c>
      <c r="BE11" s="272">
        <f>E$52+$BJ$11</f>
        <v>0.37325999499398593</v>
      </c>
      <c r="BF11" s="272">
        <f>F$52+$BJ$11</f>
        <v>0.16155731406617188</v>
      </c>
      <c r="BG11" s="272">
        <f>G$52+$BJ$11</f>
        <v>7.6569155947776732E-2</v>
      </c>
      <c r="BH11" s="272">
        <f>H$52+$BJ$11</f>
        <v>0.17056306291216725</v>
      </c>
      <c r="BI11" s="285">
        <f>AVERAGE(I53:I71)/COUNTA(BD11:BH11)-BJ11</f>
        <v>0</v>
      </c>
      <c r="BJ11" s="232">
        <v>2.4616062303060558E-3</v>
      </c>
      <c r="BK11" s="232"/>
      <c r="BL11" s="281">
        <f t="shared" ref="BL11:BQ11" si="10">BD11</f>
        <v>0.21922266552290112</v>
      </c>
      <c r="BM11" s="281">
        <f t="shared" si="10"/>
        <v>0.37325999499398593</v>
      </c>
      <c r="BN11" s="281">
        <f t="shared" si="10"/>
        <v>0.16155731406617188</v>
      </c>
      <c r="BO11" s="281">
        <f t="shared" si="10"/>
        <v>7.6569155947776732E-2</v>
      </c>
      <c r="BP11" s="281">
        <f t="shared" si="10"/>
        <v>0.17056306291216725</v>
      </c>
      <c r="BQ11" s="281">
        <f t="shared" si="10"/>
        <v>0</v>
      </c>
    </row>
    <row r="12" spans="3:71" x14ac:dyDescent="0.6">
      <c r="C12" s="81">
        <v>2007</v>
      </c>
      <c r="D12" s="114">
        <v>2712752786</v>
      </c>
      <c r="E12" s="114">
        <v>4217140874</v>
      </c>
      <c r="F12" s="114">
        <v>1803123147</v>
      </c>
      <c r="G12" s="114">
        <v>837175350</v>
      </c>
      <c r="H12" s="114">
        <v>1998621179</v>
      </c>
      <c r="I12" s="114"/>
      <c r="J12" s="196">
        <f t="shared" si="4"/>
        <v>8733016807</v>
      </c>
      <c r="K12" s="115">
        <f t="shared" si="0"/>
        <v>11568813336</v>
      </c>
      <c r="L12" s="198">
        <f t="shared" si="5"/>
        <v>8.7330168070000003</v>
      </c>
      <c r="M12" s="198">
        <f t="shared" si="5"/>
        <v>11.568813336</v>
      </c>
      <c r="N12" s="198">
        <f t="shared" si="1"/>
        <v>0</v>
      </c>
      <c r="O12" s="195"/>
      <c r="P12" s="83"/>
      <c r="Q12" s="177"/>
      <c r="S12" s="81">
        <v>2007</v>
      </c>
      <c r="T12" s="114">
        <v>0</v>
      </c>
      <c r="U12" s="114">
        <v>0</v>
      </c>
      <c r="V12" s="114">
        <v>0</v>
      </c>
      <c r="W12" s="114">
        <v>0</v>
      </c>
      <c r="X12" s="115">
        <f t="shared" si="6"/>
        <v>0</v>
      </c>
      <c r="Y12" s="115">
        <f t="shared" si="7"/>
        <v>0</v>
      </c>
      <c r="Z12" s="115">
        <f t="shared" si="8"/>
        <v>0</v>
      </c>
      <c r="AA12" s="115">
        <f t="shared" si="9"/>
        <v>0</v>
      </c>
      <c r="AB12" s="115"/>
      <c r="AC12" s="83"/>
      <c r="AD12" s="177"/>
      <c r="AI12" s="76">
        <v>2004</v>
      </c>
      <c r="AJ12" s="114">
        <v>741370229.33333337</v>
      </c>
      <c r="AK12" s="114">
        <v>343390916</v>
      </c>
      <c r="AL12" s="280" t="e">
        <f t="shared" si="2"/>
        <v>#N/A</v>
      </c>
      <c r="AM12" s="280"/>
      <c r="AN12" s="79">
        <f t="shared" si="3"/>
        <v>0</v>
      </c>
      <c r="AO12" s="83"/>
      <c r="AP12" s="83"/>
      <c r="AQ12" s="83"/>
      <c r="BC12" s="77">
        <v>2022</v>
      </c>
      <c r="BD12" s="115">
        <f>IFERROR(BD$11*VLOOKUP('Gasoline - DemandSupply'!$BC12,fGasoline!$B:$W,21,0), "")</f>
        <v>0</v>
      </c>
      <c r="BE12" s="115">
        <f>IFERROR(BE$11*VLOOKUP('Gasoline - DemandSupply'!$BC12,fGasoline!$B:$W,21,0), "")</f>
        <v>0</v>
      </c>
      <c r="BF12" s="115">
        <f>IFERROR(BF$11*VLOOKUP('Gasoline - DemandSupply'!$BC12,fGasoline!$B:$W,21,0), "")</f>
        <v>0</v>
      </c>
      <c r="BG12" s="115">
        <f>IFERROR(BG$11*VLOOKUP('Gasoline - DemandSupply'!$BC12,fGasoline!$B:$W,21,0), "")</f>
        <v>0</v>
      </c>
      <c r="BH12" s="115">
        <f>IFERROR(BH$11*VLOOKUP('Gasoline - DemandSupply'!$BC12,fGasoline!$B:$W,21,0), "")</f>
        <v>0</v>
      </c>
      <c r="BI12" s="115">
        <f>IFERROR(BI$11*VLOOKUP('Gasoline - DemandSupply'!$BC12,fGasoline!$B:$W,21,0), "")</f>
        <v>0</v>
      </c>
      <c r="BK12" s="169">
        <f t="shared" ref="BK12:BK38" si="11">BC12</f>
        <v>2022</v>
      </c>
      <c r="BL12" s="115">
        <f>IFERROR(BD$11*VLOOKUP('Gasoline - DemandSupply'!$BC12,fGasoline!$B:$W,22,0), "")</f>
        <v>0</v>
      </c>
      <c r="BM12" s="115">
        <f>IFERROR(BE$11*VLOOKUP('Gasoline - DemandSupply'!$BC12,fGasoline!$B:$W,22,0), "")</f>
        <v>0</v>
      </c>
      <c r="BN12" s="115">
        <f>IFERROR(BF$11*VLOOKUP('Gasoline - DemandSupply'!$BC12,fGasoline!$B:$W,22,0), "")</f>
        <v>0</v>
      </c>
      <c r="BO12" s="115">
        <f>IFERROR(BG$11*VLOOKUP('Gasoline - DemandSupply'!$BC12,fGasoline!$B:$W,22,0), "")</f>
        <v>0</v>
      </c>
      <c r="BP12" s="115">
        <f>IFERROR(BH$11*VLOOKUP('Gasoline - DemandSupply'!$BC12,fGasoline!$B:$W,22,0), "")</f>
        <v>0</v>
      </c>
      <c r="BQ12" s="115">
        <f>IFERROR(BI$11*VLOOKUP('Gasoline - DemandSupply'!$BC12,fGasoline!$B:$W,22,0), "")</f>
        <v>0</v>
      </c>
    </row>
    <row r="13" spans="3:71" x14ac:dyDescent="0.6">
      <c r="C13" s="81">
        <v>2008</v>
      </c>
      <c r="D13" s="114">
        <v>2585172737</v>
      </c>
      <c r="E13" s="114">
        <v>4072826682</v>
      </c>
      <c r="F13" s="114">
        <v>1721412398</v>
      </c>
      <c r="G13" s="114">
        <v>802512954</v>
      </c>
      <c r="H13" s="114">
        <v>1905013636</v>
      </c>
      <c r="I13" s="114"/>
      <c r="J13" s="196">
        <f t="shared" si="4"/>
        <v>8379411817</v>
      </c>
      <c r="K13" s="115">
        <f t="shared" si="0"/>
        <v>11086938407</v>
      </c>
      <c r="L13" s="198">
        <f t="shared" si="5"/>
        <v>8.3794118169999994</v>
      </c>
      <c r="M13" s="198">
        <f t="shared" si="5"/>
        <v>11.086938407</v>
      </c>
      <c r="N13" s="198">
        <f t="shared" si="1"/>
        <v>13.716001529983394</v>
      </c>
      <c r="O13" s="195"/>
      <c r="P13" s="83"/>
      <c r="Q13" s="177"/>
      <c r="S13" s="81">
        <v>2008</v>
      </c>
      <c r="T13" s="114">
        <v>0</v>
      </c>
      <c r="U13" s="114">
        <v>0</v>
      </c>
      <c r="V13" s="114">
        <v>0</v>
      </c>
      <c r="W13" s="114">
        <v>0</v>
      </c>
      <c r="X13" s="115">
        <f t="shared" si="6"/>
        <v>0</v>
      </c>
      <c r="Y13" s="115">
        <f t="shared" si="7"/>
        <v>0</v>
      </c>
      <c r="Z13" s="115">
        <f t="shared" si="8"/>
        <v>0</v>
      </c>
      <c r="AA13" s="115">
        <f t="shared" si="9"/>
        <v>0</v>
      </c>
      <c r="AB13" s="115"/>
      <c r="AC13" s="83"/>
      <c r="AD13" s="177"/>
      <c r="AI13" s="76">
        <v>2005</v>
      </c>
      <c r="AJ13" s="114">
        <v>1031297184</v>
      </c>
      <c r="AK13" s="114">
        <v>362769446.66666669</v>
      </c>
      <c r="AL13" s="280">
        <f t="shared" si="2"/>
        <v>0.1189092296361426</v>
      </c>
      <c r="AM13" s="280"/>
      <c r="AN13" s="79">
        <f t="shared" si="3"/>
        <v>8004450694.666667</v>
      </c>
      <c r="AO13" s="83"/>
      <c r="AP13" s="83"/>
      <c r="AQ13" s="83"/>
      <c r="BC13" s="77">
        <v>2023</v>
      </c>
      <c r="BD13" s="115">
        <f>IFERROR(BD$11*VLOOKUP('Gasoline - DemandSupply'!$BC13,fGasoline!$B:$W,21,0), "")</f>
        <v>0</v>
      </c>
      <c r="BE13" s="115">
        <f>IFERROR(BE$11*VLOOKUP('Gasoline - DemandSupply'!$BC13,fGasoline!$B:$W,21,0), "")</f>
        <v>0</v>
      </c>
      <c r="BF13" s="115">
        <f>IFERROR(BF$11*VLOOKUP('Gasoline - DemandSupply'!$BC13,fGasoline!$B:$W,21,0), "")</f>
        <v>0</v>
      </c>
      <c r="BG13" s="115">
        <f>IFERROR(BG$11*VLOOKUP('Gasoline - DemandSupply'!$BC13,fGasoline!$B:$W,21,0), "")</f>
        <v>0</v>
      </c>
      <c r="BH13" s="115">
        <f>IFERROR(BH$11*VLOOKUP('Gasoline - DemandSupply'!$BC13,fGasoline!$B:$W,21,0), "")</f>
        <v>0</v>
      </c>
      <c r="BI13" s="115">
        <f>IFERROR(BI$11*VLOOKUP('Gasoline - DemandSupply'!$BC13,fGasoline!$B:$W,21,0), "")</f>
        <v>0</v>
      </c>
      <c r="BK13" s="169">
        <f t="shared" si="11"/>
        <v>2023</v>
      </c>
      <c r="BL13" s="115">
        <f>IFERROR(BD$11*VLOOKUP('Gasoline - DemandSupply'!$BC13,fGasoline!$B:$W,22,0), "")</f>
        <v>0</v>
      </c>
      <c r="BM13" s="115">
        <f>IFERROR(BE$11*VLOOKUP('Gasoline - DemandSupply'!$BC13,fGasoline!$B:$W,22,0), "")</f>
        <v>0</v>
      </c>
      <c r="BN13" s="115">
        <f>IFERROR(BF$11*VLOOKUP('Gasoline - DemandSupply'!$BC13,fGasoline!$B:$W,22,0), "")</f>
        <v>0</v>
      </c>
      <c r="BO13" s="115">
        <f>IFERROR(BG$11*VLOOKUP('Gasoline - DemandSupply'!$BC13,fGasoline!$B:$W,22,0), "")</f>
        <v>0</v>
      </c>
      <c r="BP13" s="115">
        <f>IFERROR(BH$11*VLOOKUP('Gasoline - DemandSupply'!$BC13,fGasoline!$B:$W,22,0), "")</f>
        <v>0</v>
      </c>
      <c r="BQ13" s="115">
        <f>IFERROR(BI$11*VLOOKUP('Gasoline - DemandSupply'!$BC13,fGasoline!$B:$W,22,0), "")</f>
        <v>0</v>
      </c>
    </row>
    <row r="14" spans="3:71" x14ac:dyDescent="0.6">
      <c r="C14" s="81">
        <v>2009</v>
      </c>
      <c r="D14" s="114">
        <v>2673513957</v>
      </c>
      <c r="E14" s="114">
        <v>4120606012</v>
      </c>
      <c r="F14" s="114">
        <v>1779151795</v>
      </c>
      <c r="G14" s="114">
        <v>833771005</v>
      </c>
      <c r="H14" s="114">
        <v>1914143449</v>
      </c>
      <c r="I14" s="114"/>
      <c r="J14" s="196">
        <f t="shared" si="4"/>
        <v>8573271764</v>
      </c>
      <c r="K14" s="115">
        <f t="shared" si="0"/>
        <v>11321186218</v>
      </c>
      <c r="L14" s="198">
        <f t="shared" si="5"/>
        <v>8.5732717639999994</v>
      </c>
      <c r="M14" s="198">
        <f t="shared" si="5"/>
        <v>11.321186217999999</v>
      </c>
      <c r="N14" s="198">
        <f t="shared" si="1"/>
        <v>10.11640329174644</v>
      </c>
      <c r="O14" s="195"/>
      <c r="P14" s="83"/>
      <c r="Q14" s="177"/>
      <c r="S14" s="81">
        <v>2009</v>
      </c>
      <c r="T14" s="114">
        <v>0</v>
      </c>
      <c r="U14" s="114">
        <v>0</v>
      </c>
      <c r="V14" s="114">
        <v>0</v>
      </c>
      <c r="W14" s="114">
        <v>0</v>
      </c>
      <c r="X14" s="115">
        <f t="shared" si="6"/>
        <v>0</v>
      </c>
      <c r="Y14" s="115">
        <f t="shared" si="7"/>
        <v>0</v>
      </c>
      <c r="Z14" s="115">
        <f t="shared" si="8"/>
        <v>0</v>
      </c>
      <c r="AA14" s="115">
        <f t="shared" si="9"/>
        <v>0</v>
      </c>
      <c r="AB14" s="115"/>
      <c r="AC14" s="83"/>
      <c r="AD14" s="177"/>
      <c r="AI14" s="76">
        <v>2006</v>
      </c>
      <c r="AJ14" s="114">
        <v>1724849573.3333333</v>
      </c>
      <c r="AK14" s="114">
        <v>555552109.33333337</v>
      </c>
      <c r="AL14" s="280">
        <f t="shared" si="2"/>
        <v>0.1529337228185228</v>
      </c>
      <c r="AM14" s="280"/>
      <c r="AN14" s="79">
        <f t="shared" si="3"/>
        <v>10109114789</v>
      </c>
      <c r="AO14" s="83"/>
      <c r="AP14" s="83"/>
      <c r="AQ14" s="83"/>
      <c r="BC14" s="77">
        <v>2024</v>
      </c>
      <c r="BD14" s="115">
        <f>IFERROR(BD$11*VLOOKUP('Gasoline - DemandSupply'!$BC14,fGasoline!$B:$W,21,0), "")</f>
        <v>0</v>
      </c>
      <c r="BE14" s="115">
        <f>IFERROR(BE$11*VLOOKUP('Gasoline - DemandSupply'!$BC14,fGasoline!$B:$W,21,0), "")</f>
        <v>0</v>
      </c>
      <c r="BF14" s="115">
        <f>IFERROR(BF$11*VLOOKUP('Gasoline - DemandSupply'!$BC14,fGasoline!$B:$W,21,0), "")</f>
        <v>0</v>
      </c>
      <c r="BG14" s="115">
        <f>IFERROR(BG$11*VLOOKUP('Gasoline - DemandSupply'!$BC14,fGasoline!$B:$W,21,0), "")</f>
        <v>0</v>
      </c>
      <c r="BH14" s="115">
        <f>IFERROR(BH$11*VLOOKUP('Gasoline - DemandSupply'!$BC14,fGasoline!$B:$W,21,0), "")</f>
        <v>0</v>
      </c>
      <c r="BI14" s="115">
        <f>IFERROR(BI$11*VLOOKUP('Gasoline - DemandSupply'!$BC14,fGasoline!$B:$W,21,0), "")</f>
        <v>0</v>
      </c>
      <c r="BK14" s="169">
        <f t="shared" si="11"/>
        <v>2024</v>
      </c>
      <c r="BL14" s="115">
        <f>IFERROR(BD$11*VLOOKUP('Gasoline - DemandSupply'!$BC14,fGasoline!$B:$W,22,0), "")</f>
        <v>0</v>
      </c>
      <c r="BM14" s="115">
        <f>IFERROR(BE$11*VLOOKUP('Gasoline - DemandSupply'!$BC14,fGasoline!$B:$W,22,0), "")</f>
        <v>0</v>
      </c>
      <c r="BN14" s="115">
        <f>IFERROR(BF$11*VLOOKUP('Gasoline - DemandSupply'!$BC14,fGasoline!$B:$W,22,0), "")</f>
        <v>0</v>
      </c>
      <c r="BO14" s="115">
        <f>IFERROR(BG$11*VLOOKUP('Gasoline - DemandSupply'!$BC14,fGasoline!$B:$W,22,0), "")</f>
        <v>0</v>
      </c>
      <c r="BP14" s="115">
        <f>IFERROR(BH$11*VLOOKUP('Gasoline - DemandSupply'!$BC14,fGasoline!$B:$W,22,0), "")</f>
        <v>0</v>
      </c>
      <c r="BQ14" s="115">
        <f>IFERROR(BI$11*VLOOKUP('Gasoline - DemandSupply'!$BC14,fGasoline!$B:$W,22,0), "")</f>
        <v>0</v>
      </c>
    </row>
    <row r="15" spans="3:71" x14ac:dyDescent="0.6">
      <c r="C15" s="81">
        <v>2010</v>
      </c>
      <c r="D15" s="114">
        <v>2224878210</v>
      </c>
      <c r="E15" s="114">
        <v>3578886698</v>
      </c>
      <c r="F15" s="114">
        <v>1556260857</v>
      </c>
      <c r="G15" s="114">
        <v>721058892</v>
      </c>
      <c r="H15" s="114">
        <v>1651981670</v>
      </c>
      <c r="I15" s="114">
        <v>2055168343</v>
      </c>
      <c r="J15" s="196">
        <f t="shared" si="4"/>
        <v>7360025765</v>
      </c>
      <c r="K15" s="115">
        <f t="shared" si="0"/>
        <v>11788234670</v>
      </c>
      <c r="L15" s="198">
        <f t="shared" si="5"/>
        <v>7.3600257649999996</v>
      </c>
      <c r="M15" s="198">
        <f t="shared" si="5"/>
        <v>11.78823467</v>
      </c>
      <c r="N15" s="198">
        <f t="shared" si="1"/>
        <v>10.569258156805544</v>
      </c>
      <c r="O15" s="195"/>
      <c r="P15" s="83"/>
      <c r="Q15" s="177"/>
      <c r="S15" s="81">
        <v>2010</v>
      </c>
      <c r="T15" s="114">
        <v>6876451.0999999996</v>
      </c>
      <c r="U15" s="114">
        <v>5100195.55</v>
      </c>
      <c r="V15" s="114">
        <v>6659986.0999999996</v>
      </c>
      <c r="W15" s="114">
        <v>4935390.55</v>
      </c>
      <c r="X15" s="115">
        <f t="shared" si="6"/>
        <v>1714.2904819027945</v>
      </c>
      <c r="Y15" s="115">
        <f t="shared" si="7"/>
        <v>1443.0869743808157</v>
      </c>
      <c r="Z15" s="115">
        <f t="shared" si="8"/>
        <v>1770.0088998684248</v>
      </c>
      <c r="AA15" s="115">
        <f t="shared" si="9"/>
        <v>1491.2752477106396</v>
      </c>
      <c r="AB15" s="115"/>
      <c r="AC15" s="83"/>
      <c r="AD15" s="177"/>
      <c r="AI15" s="76">
        <v>2007</v>
      </c>
      <c r="AJ15" s="114">
        <v>1696287553.3333333</v>
      </c>
      <c r="AK15" s="114">
        <v>395191404</v>
      </c>
      <c r="AL15" s="280">
        <f t="shared" si="2"/>
        <v>0.14662589014681404</v>
      </c>
      <c r="AM15" s="280"/>
      <c r="AN15" s="79">
        <f t="shared" si="3"/>
        <v>10267717186.666666</v>
      </c>
      <c r="AO15" s="83"/>
      <c r="AP15" s="83"/>
      <c r="AQ15" s="83"/>
      <c r="BC15" s="77">
        <v>2025</v>
      </c>
      <c r="BD15" s="115">
        <f>IFERROR(BD$11*VLOOKUP('Gasoline - DemandSupply'!$BC15,fGasoline!$B:$W,21,0), "")</f>
        <v>2031706938.9372885</v>
      </c>
      <c r="BE15" s="115">
        <f>IFERROR(BE$11*VLOOKUP('Gasoline - DemandSupply'!$BC15,fGasoline!$B:$W,21,0), "")</f>
        <v>3459290671.6470752</v>
      </c>
      <c r="BF15" s="115">
        <f>IFERROR(BF$11*VLOOKUP('Gasoline - DemandSupply'!$BC15,fGasoline!$B:$W,21,0), "")</f>
        <v>1497277278.5212891</v>
      </c>
      <c r="BG15" s="115">
        <f>IFERROR(BG$11*VLOOKUP('Gasoline - DemandSupply'!$BC15,fGasoline!$B:$W,21,0), "")</f>
        <v>709625918.81913829</v>
      </c>
      <c r="BH15" s="115">
        <f>IFERROR(BH$11*VLOOKUP('Gasoline - DemandSupply'!$BC15,fGasoline!$B:$W,21,0), "")</f>
        <v>1580740557.1795073</v>
      </c>
      <c r="BI15" s="115">
        <f>IFERROR(BI$11*VLOOKUP('Gasoline - DemandSupply'!$BC15,fGasoline!$B:$W,21,0), "")</f>
        <v>0</v>
      </c>
      <c r="BK15" s="169">
        <f t="shared" si="11"/>
        <v>2025</v>
      </c>
      <c r="BL15" s="115">
        <f>IFERROR(BD$11*VLOOKUP('Gasoline - DemandSupply'!$BC15,fGasoline!$B:$W,22,0), "")</f>
        <v>2031706938.9372885</v>
      </c>
      <c r="BM15" s="115">
        <f>IFERROR(BE$11*VLOOKUP('Gasoline - DemandSupply'!$BC15,fGasoline!$B:$W,22,0), "")</f>
        <v>3459290671.6470752</v>
      </c>
      <c r="BN15" s="115">
        <f>IFERROR(BF$11*VLOOKUP('Gasoline - DemandSupply'!$BC15,fGasoline!$B:$W,22,0), "")</f>
        <v>1497277278.5212891</v>
      </c>
      <c r="BO15" s="115">
        <f>IFERROR(BG$11*VLOOKUP('Gasoline - DemandSupply'!$BC15,fGasoline!$B:$W,22,0), "")</f>
        <v>709625918.81913829</v>
      </c>
      <c r="BP15" s="115">
        <f>IFERROR(BH$11*VLOOKUP('Gasoline - DemandSupply'!$BC15,fGasoline!$B:$W,22,0), "")</f>
        <v>1580740557.1795073</v>
      </c>
      <c r="BQ15" s="115">
        <f>IFERROR(BI$11*VLOOKUP('Gasoline - DemandSupply'!$BC15,fGasoline!$B:$W,22,0), "")</f>
        <v>0</v>
      </c>
    </row>
    <row r="16" spans="3:71" x14ac:dyDescent="0.6">
      <c r="C16" s="81">
        <v>2011</v>
      </c>
      <c r="D16" s="114">
        <v>2931673528</v>
      </c>
      <c r="E16" s="114">
        <v>4180621463</v>
      </c>
      <c r="F16" s="114">
        <v>1907556048</v>
      </c>
      <c r="G16" s="114">
        <v>867235532</v>
      </c>
      <c r="H16" s="114">
        <v>2076224343</v>
      </c>
      <c r="I16" s="114">
        <v>315003793</v>
      </c>
      <c r="J16" s="196">
        <f t="shared" si="4"/>
        <v>9019851039</v>
      </c>
      <c r="K16" s="115">
        <f t="shared" si="0"/>
        <v>12278314707</v>
      </c>
      <c r="L16" s="198">
        <f t="shared" si="5"/>
        <v>9.0198510390000006</v>
      </c>
      <c r="M16" s="198">
        <f t="shared" si="5"/>
        <v>12.278314707</v>
      </c>
      <c r="N16" s="198">
        <f t="shared" si="1"/>
        <v>12.269760152634946</v>
      </c>
      <c r="O16" s="195"/>
      <c r="P16" s="83"/>
      <c r="Q16" s="177"/>
      <c r="S16" s="81">
        <v>2011</v>
      </c>
      <c r="T16" s="114">
        <v>7143791</v>
      </c>
      <c r="U16" s="114">
        <v>5311545.3</v>
      </c>
      <c r="V16" s="114">
        <v>6923067</v>
      </c>
      <c r="W16" s="114">
        <v>5143922.3</v>
      </c>
      <c r="X16" s="115">
        <f t="shared" si="6"/>
        <v>1718.7393509972505</v>
      </c>
      <c r="Y16" s="115">
        <f t="shared" si="7"/>
        <v>1698.1594864680906</v>
      </c>
      <c r="Z16" s="115">
        <f t="shared" si="8"/>
        <v>1773.5368886362071</v>
      </c>
      <c r="AA16" s="115">
        <f t="shared" si="9"/>
        <v>1753.4967507188046</v>
      </c>
      <c r="AB16" s="115"/>
      <c r="AC16" s="83"/>
      <c r="AD16" s="177"/>
      <c r="AI16" s="76">
        <v>2008</v>
      </c>
      <c r="AJ16" s="114">
        <v>1274450861.3333333</v>
      </c>
      <c r="AK16" s="114">
        <v>484328181.33333325</v>
      </c>
      <c r="AL16" s="280">
        <f t="shared" si="2"/>
        <v>0.11495065766115185</v>
      </c>
      <c r="AM16" s="280"/>
      <c r="AN16" s="79">
        <f t="shared" si="3"/>
        <v>10296815727</v>
      </c>
      <c r="AO16" s="83"/>
      <c r="AP16" s="83"/>
      <c r="AQ16" s="83"/>
      <c r="BC16" s="77">
        <v>2026</v>
      </c>
      <c r="BD16" s="115">
        <f>IFERROR(BD$11*VLOOKUP('Gasoline - DemandSupply'!$BC16,fGasoline!$B:$W,21,0), "")</f>
        <v>2085853664.4938087</v>
      </c>
      <c r="BE16" s="115">
        <f>IFERROR(BE$11*VLOOKUP('Gasoline - DemandSupply'!$BC16,fGasoline!$B:$W,21,0), "")</f>
        <v>3551483723.2275753</v>
      </c>
      <c r="BF16" s="115">
        <f>IFERROR(BF$11*VLOOKUP('Gasoline - DemandSupply'!$BC16,fGasoline!$B:$W,21,0), "")</f>
        <v>1537180997.0785098</v>
      </c>
      <c r="BG16" s="115">
        <f>IFERROR(BG$11*VLOOKUP('Gasoline - DemandSupply'!$BC16,fGasoline!$B:$W,21,0), "")</f>
        <v>728538055.7704407</v>
      </c>
      <c r="BH16" s="115">
        <f>IFERROR(BH$11*VLOOKUP('Gasoline - DemandSupply'!$BC16,fGasoline!$B:$W,21,0), "")</f>
        <v>1622868643.4134548</v>
      </c>
      <c r="BI16" s="115">
        <f>IFERROR(BI$11*VLOOKUP('Gasoline - DemandSupply'!$BC16,fGasoline!$B:$W,21,0), "")</f>
        <v>0</v>
      </c>
      <c r="BK16" s="169">
        <f t="shared" si="11"/>
        <v>2026</v>
      </c>
      <c r="BL16" s="115">
        <f>IFERROR(BD$11*VLOOKUP('Gasoline - DemandSupply'!$BC16,fGasoline!$B:$W,22,0), "")</f>
        <v>2050996843.4653332</v>
      </c>
      <c r="BM16" s="115">
        <f>IFERROR(BE$11*VLOOKUP('Gasoline - DemandSupply'!$BC16,fGasoline!$B:$W,22,0), "")</f>
        <v>3492134673.6593595</v>
      </c>
      <c r="BN16" s="115">
        <f>IFERROR(BF$11*VLOOKUP('Gasoline - DemandSupply'!$BC16,fGasoline!$B:$W,22,0), "")</f>
        <v>1511493076.6766045</v>
      </c>
      <c r="BO16" s="115">
        <f>IFERROR(BG$11*VLOOKUP('Gasoline - DemandSupply'!$BC16,fGasoline!$B:$W,22,0), "")</f>
        <v>716363414.25330126</v>
      </c>
      <c r="BP16" s="115">
        <f>IFERROR(BH$11*VLOOKUP('Gasoline - DemandSupply'!$BC16,fGasoline!$B:$W,22,0), "")</f>
        <v>1595748791.8058803</v>
      </c>
      <c r="BQ16" s="115">
        <f>IFERROR(BI$11*VLOOKUP('Gasoline - DemandSupply'!$BC16,fGasoline!$B:$W,22,0), "")</f>
        <v>0</v>
      </c>
    </row>
    <row r="17" spans="3:69" x14ac:dyDescent="0.6">
      <c r="C17" s="81">
        <v>2012</v>
      </c>
      <c r="D17" s="114">
        <v>2700937238</v>
      </c>
      <c r="E17" s="114">
        <v>4246404878</v>
      </c>
      <c r="F17" s="114">
        <v>1928521197</v>
      </c>
      <c r="G17" s="114">
        <v>836275857</v>
      </c>
      <c r="H17" s="114">
        <v>2020941489</v>
      </c>
      <c r="I17" s="114">
        <v>327249354</v>
      </c>
      <c r="J17" s="196">
        <f t="shared" si="4"/>
        <v>8875863313</v>
      </c>
      <c r="K17" s="115">
        <f t="shared" si="0"/>
        <v>12060330013</v>
      </c>
      <c r="L17" s="198">
        <f t="shared" si="5"/>
        <v>8.875863313</v>
      </c>
      <c r="M17" s="198">
        <f t="shared" si="5"/>
        <v>12.060330013</v>
      </c>
      <c r="N17" s="198">
        <f t="shared" si="1"/>
        <v>13.550740237837728</v>
      </c>
      <c r="O17" s="195"/>
      <c r="P17" s="83"/>
      <c r="Q17" s="177"/>
      <c r="S17" s="81">
        <v>2012</v>
      </c>
      <c r="T17" s="114">
        <v>7460577.2750000004</v>
      </c>
      <c r="U17" s="114">
        <v>5555314.5999999996</v>
      </c>
      <c r="V17" s="114">
        <v>7236527.2750000004</v>
      </c>
      <c r="W17" s="114">
        <v>5386106.5999999996</v>
      </c>
      <c r="X17" s="115">
        <f t="shared" si="6"/>
        <v>1616.5411292519584</v>
      </c>
      <c r="Y17" s="115">
        <f t="shared" si="7"/>
        <v>1597.7246928553786</v>
      </c>
      <c r="Z17" s="115">
        <f t="shared" si="8"/>
        <v>1666.5908321336356</v>
      </c>
      <c r="AA17" s="115">
        <f t="shared" si="9"/>
        <v>1647.9182407938233</v>
      </c>
      <c r="AB17" s="115"/>
      <c r="AC17" s="83"/>
      <c r="AD17" s="177"/>
      <c r="AI17" s="76">
        <v>2009</v>
      </c>
      <c r="AJ17" s="114">
        <v>1979120654.6666667</v>
      </c>
      <c r="AK17" s="114">
        <v>443748093.33333331</v>
      </c>
      <c r="AL17" s="280">
        <f t="shared" si="2"/>
        <v>0.17481566123521444</v>
      </c>
      <c r="AM17" s="280"/>
      <c r="AN17" s="79">
        <f t="shared" si="3"/>
        <v>9785813656.6666679</v>
      </c>
      <c r="AO17" s="83"/>
      <c r="AP17" s="83"/>
      <c r="AQ17" s="83"/>
      <c r="BC17" s="77">
        <v>2027</v>
      </c>
      <c r="BD17" s="115">
        <f>IFERROR(BD$11*VLOOKUP('Gasoline - DemandSupply'!$BC17,fGasoline!$B:$W,21,0), "")</f>
        <v>2110323629.2221546</v>
      </c>
      <c r="BE17" s="115">
        <f>IFERROR(BE$11*VLOOKUP('Gasoline - DemandSupply'!$BC17,fGasoline!$B:$W,21,0), "")</f>
        <v>3593147567.1107764</v>
      </c>
      <c r="BF17" s="115">
        <f>IFERROR(BF$11*VLOOKUP('Gasoline - DemandSupply'!$BC17,fGasoline!$B:$W,21,0), "")</f>
        <v>1555214268.2613771</v>
      </c>
      <c r="BG17" s="115">
        <f>IFERROR(BG$11*VLOOKUP('Gasoline - DemandSupply'!$BC17,fGasoline!$B:$W,21,0), "")</f>
        <v>737084820.49867809</v>
      </c>
      <c r="BH17" s="115">
        <f>IFERROR(BH$11*VLOOKUP('Gasoline - DemandSupply'!$BC17,fGasoline!$B:$W,21,0), "")</f>
        <v>1641907149.8720098</v>
      </c>
      <c r="BI17" s="115">
        <f>IFERROR(BI$11*VLOOKUP('Gasoline - DemandSupply'!$BC17,fGasoline!$B:$W,21,0), "")</f>
        <v>0</v>
      </c>
      <c r="BK17" s="169">
        <f t="shared" si="11"/>
        <v>2027</v>
      </c>
      <c r="BL17" s="115">
        <f>IFERROR(BD$11*VLOOKUP('Gasoline - DemandSupply'!$BC17,fGasoline!$B:$W,22,0), "")</f>
        <v>2040580225.0690043</v>
      </c>
      <c r="BM17" s="115">
        <f>IFERROR(BE$11*VLOOKUP('Gasoline - DemandSupply'!$BC17,fGasoline!$B:$W,22,0), "")</f>
        <v>3474398793.4701743</v>
      </c>
      <c r="BN17" s="115">
        <f>IFERROR(BF$11*VLOOKUP('Gasoline - DemandSupply'!$BC17,fGasoline!$B:$W,22,0), "")</f>
        <v>1503816494.121835</v>
      </c>
      <c r="BO17" s="115">
        <f>IFERROR(BG$11*VLOOKUP('Gasoline - DemandSupply'!$BC17,fGasoline!$B:$W,22,0), "")</f>
        <v>712725142.28660238</v>
      </c>
      <c r="BP17" s="115">
        <f>IFERROR(BH$11*VLOOKUP('Gasoline - DemandSupply'!$BC17,fGasoline!$B:$W,22,0), "")</f>
        <v>1587644290.6831191</v>
      </c>
      <c r="BQ17" s="115">
        <f>IFERROR(BI$11*VLOOKUP('Gasoline - DemandSupply'!$BC17,fGasoline!$B:$W,22,0), "")</f>
        <v>0</v>
      </c>
    </row>
    <row r="18" spans="3:69" x14ac:dyDescent="0.6">
      <c r="C18" s="81">
        <v>2013</v>
      </c>
      <c r="D18" s="114">
        <v>2805698302</v>
      </c>
      <c r="E18" s="114">
        <v>4199665396</v>
      </c>
      <c r="F18" s="114">
        <v>1820905886</v>
      </c>
      <c r="G18" s="114">
        <v>795680794</v>
      </c>
      <c r="H18" s="114">
        <v>1818163651</v>
      </c>
      <c r="I18" s="114">
        <v>-188794</v>
      </c>
      <c r="J18" s="196">
        <f t="shared" si="4"/>
        <v>8826269584</v>
      </c>
      <c r="K18" s="115">
        <f t="shared" si="0"/>
        <v>11439925235</v>
      </c>
      <c r="L18" s="198">
        <f t="shared" si="5"/>
        <v>8.8262695840000003</v>
      </c>
      <c r="M18" s="198">
        <f t="shared" si="5"/>
        <v>11.439925235</v>
      </c>
      <c r="N18" s="198">
        <f t="shared" si="1"/>
        <v>14.293444875066665</v>
      </c>
      <c r="O18" s="195"/>
      <c r="P18" s="83"/>
      <c r="Q18" s="177"/>
      <c r="S18" s="81">
        <v>2013</v>
      </c>
      <c r="T18" s="114">
        <v>7761102.4500000002</v>
      </c>
      <c r="U18" s="114">
        <v>5789849.7000000002</v>
      </c>
      <c r="V18" s="114">
        <v>7534482.4500000002</v>
      </c>
      <c r="W18" s="114">
        <v>5620253.7000000002</v>
      </c>
      <c r="X18" s="115">
        <f t="shared" si="6"/>
        <v>1474.0077596836775</v>
      </c>
      <c r="Y18" s="115">
        <f t="shared" si="7"/>
        <v>1524.4384640934634</v>
      </c>
      <c r="Z18" s="115">
        <f t="shared" si="8"/>
        <v>1518.3425418954953</v>
      </c>
      <c r="AA18" s="115">
        <f t="shared" si="9"/>
        <v>1570.4397087981988</v>
      </c>
      <c r="AB18" s="115"/>
      <c r="AC18" s="83"/>
      <c r="AD18" s="177"/>
      <c r="AI18" s="76">
        <v>2010</v>
      </c>
      <c r="AJ18" s="114">
        <v>2095196218.6666667</v>
      </c>
      <c r="AK18" s="114">
        <v>438534336</v>
      </c>
      <c r="AL18" s="280">
        <f t="shared" si="2"/>
        <v>0.17773621558440411</v>
      </c>
      <c r="AM18" s="280"/>
      <c r="AN18" s="79">
        <f t="shared" si="3"/>
        <v>10131572787.333334</v>
      </c>
      <c r="AO18" s="83"/>
      <c r="AP18" s="83"/>
      <c r="AQ18" s="83"/>
      <c r="BC18" s="77">
        <v>2028</v>
      </c>
      <c r="BD18" s="115">
        <f>IFERROR(BD$11*VLOOKUP('Gasoline - DemandSupply'!$BC18,fGasoline!$B:$W,21,0), "")</f>
        <v>2135502606.3804474</v>
      </c>
      <c r="BE18" s="115">
        <f>IFERROR(BE$11*VLOOKUP('Gasoline - DemandSupply'!$BC18,fGasoline!$B:$W,21,0), "")</f>
        <v>3636018612.7010703</v>
      </c>
      <c r="BF18" s="115">
        <f>IFERROR(BF$11*VLOOKUP('Gasoline - DemandSupply'!$BC18,fGasoline!$B:$W,21,0), "")</f>
        <v>1573770049.9408145</v>
      </c>
      <c r="BG18" s="115">
        <f>IFERROR(BG$11*VLOOKUP('Gasoline - DemandSupply'!$BC18,fGasoline!$B:$W,21,0), "")</f>
        <v>745879226.0590713</v>
      </c>
      <c r="BH18" s="115">
        <f>IFERROR(BH$11*VLOOKUP('Gasoline - DemandSupply'!$BC18,fGasoline!$B:$W,21,0), "")</f>
        <v>1661497293.3221416</v>
      </c>
      <c r="BI18" s="115">
        <f>IFERROR(BI$11*VLOOKUP('Gasoline - DemandSupply'!$BC18,fGasoline!$B:$W,21,0), "")</f>
        <v>0</v>
      </c>
      <c r="BK18" s="169">
        <f t="shared" si="11"/>
        <v>2028</v>
      </c>
      <c r="BL18" s="115">
        <f>IFERROR(BD$11*VLOOKUP('Gasoline - DemandSupply'!$BC18,fGasoline!$B:$W,22,0), "")</f>
        <v>2030679436.7115915</v>
      </c>
      <c r="BM18" s="115">
        <f>IFERROR(BE$11*VLOOKUP('Gasoline - DemandSupply'!$BC18,fGasoline!$B:$W,22,0), "")</f>
        <v>3457541192.5286403</v>
      </c>
      <c r="BN18" s="115">
        <f>IFERROR(BF$11*VLOOKUP('Gasoline - DemandSupply'!$BC18,fGasoline!$B:$W,22,0), "")</f>
        <v>1496520055.2689183</v>
      </c>
      <c r="BO18" s="115">
        <f>IFERROR(BG$11*VLOOKUP('Gasoline - DemandSupply'!$BC18,fGasoline!$B:$W,22,0), "")</f>
        <v>709267037.23192453</v>
      </c>
      <c r="BP18" s="115">
        <f>IFERROR(BH$11*VLOOKUP('Gasoline - DemandSupply'!$BC18,fGasoline!$B:$W,22,0), "")</f>
        <v>1579941123.7525578</v>
      </c>
      <c r="BQ18" s="115">
        <f>IFERROR(BI$11*VLOOKUP('Gasoline - DemandSupply'!$BC18,fGasoline!$B:$W,22,0), "")</f>
        <v>0</v>
      </c>
    </row>
    <row r="19" spans="3:69" x14ac:dyDescent="0.6">
      <c r="C19" s="81">
        <v>2014</v>
      </c>
      <c r="D19" s="114">
        <v>2667996960</v>
      </c>
      <c r="E19" s="114">
        <v>4002539655</v>
      </c>
      <c r="F19" s="114">
        <v>1728255097</v>
      </c>
      <c r="G19" s="114">
        <v>812038975</v>
      </c>
      <c r="H19" s="114">
        <v>1819834178</v>
      </c>
      <c r="I19" s="114">
        <v>-140457186</v>
      </c>
      <c r="J19" s="196">
        <f t="shared" si="4"/>
        <v>8398791712</v>
      </c>
      <c r="K19" s="115">
        <f t="shared" si="0"/>
        <v>10890207679</v>
      </c>
      <c r="L19" s="198">
        <f t="shared" si="5"/>
        <v>8.3987917119999995</v>
      </c>
      <c r="M19" s="198">
        <f t="shared" si="5"/>
        <v>10.890207679</v>
      </c>
      <c r="N19" s="198">
        <f t="shared" si="1"/>
        <v>14.529909583333335</v>
      </c>
      <c r="O19" s="195"/>
      <c r="P19" s="83"/>
      <c r="Q19" s="177"/>
      <c r="S19" s="81">
        <v>2014</v>
      </c>
      <c r="T19" s="114">
        <v>8031401.875</v>
      </c>
      <c r="U19" s="114">
        <v>5993685.7249999996</v>
      </c>
      <c r="V19" s="114">
        <v>7800892.875</v>
      </c>
      <c r="W19" s="114">
        <v>5822498.7249999996</v>
      </c>
      <c r="X19" s="115">
        <f t="shared" si="6"/>
        <v>1355.9535244897704</v>
      </c>
      <c r="Y19" s="115">
        <f t="shared" si="7"/>
        <v>1401.2732894833255</v>
      </c>
      <c r="Z19" s="115">
        <f t="shared" si="8"/>
        <v>1396.020667570057</v>
      </c>
      <c r="AA19" s="115">
        <f t="shared" si="9"/>
        <v>1442.4720568745167</v>
      </c>
      <c r="AB19" s="115"/>
      <c r="AC19" s="83"/>
      <c r="AD19" s="177"/>
      <c r="AI19" s="76">
        <v>2011</v>
      </c>
      <c r="AJ19" s="114">
        <v>2420092698.6666665</v>
      </c>
      <c r="AK19" s="114">
        <v>234469780</v>
      </c>
      <c r="AL19" s="280">
        <f t="shared" si="2"/>
        <v>0.19710300284834248</v>
      </c>
      <c r="AM19" s="280"/>
      <c r="AN19" s="79">
        <f t="shared" si="3"/>
        <v>10092691788.333334</v>
      </c>
      <c r="AO19" s="83"/>
      <c r="AP19" s="83"/>
      <c r="AQ19" s="83"/>
      <c r="BC19" s="77">
        <v>2029</v>
      </c>
      <c r="BD19" s="115">
        <f>IFERROR(BD$11*VLOOKUP('Gasoline - DemandSupply'!$BC19,fGasoline!$B:$W,21,0), "")</f>
        <v>2161221960.7243261</v>
      </c>
      <c r="BE19" s="115">
        <f>IFERROR(BE$11*VLOOKUP('Gasoline - DemandSupply'!$BC19,fGasoline!$B:$W,21,0), "")</f>
        <v>3679809732.7969155</v>
      </c>
      <c r="BF19" s="115">
        <f>IFERROR(BF$11*VLOOKUP('Gasoline - DemandSupply'!$BC19,fGasoline!$B:$W,21,0), "")</f>
        <v>1592724065.4729316</v>
      </c>
      <c r="BG19" s="115">
        <f>IFERROR(BG$11*VLOOKUP('Gasoline - DemandSupply'!$BC19,fGasoline!$B:$W,21,0), "")</f>
        <v>754862372.25399268</v>
      </c>
      <c r="BH19" s="115">
        <f>IFERROR(BH$11*VLOOKUP('Gasoline - DemandSupply'!$BC19,fGasoline!$B:$W,21,0), "")</f>
        <v>1681507869.521239</v>
      </c>
      <c r="BI19" s="115">
        <f>IFERROR(BI$11*VLOOKUP('Gasoline - DemandSupply'!$BC19,fGasoline!$B:$W,21,0), "")</f>
        <v>0</v>
      </c>
      <c r="BK19" s="169">
        <f t="shared" si="11"/>
        <v>2029</v>
      </c>
      <c r="BL19" s="115">
        <f>IFERROR(BD$11*VLOOKUP('Gasoline - DemandSupply'!$BC19,fGasoline!$B:$W,22,0), "")</f>
        <v>2020870253.0353675</v>
      </c>
      <c r="BM19" s="115">
        <f>IFERROR(BE$11*VLOOKUP('Gasoline - DemandSupply'!$BC19,fGasoline!$B:$W,22,0), "")</f>
        <v>3440839562.5163002</v>
      </c>
      <c r="BN19" s="115">
        <f>IFERROR(BF$11*VLOOKUP('Gasoline - DemandSupply'!$BC19,fGasoline!$B:$W,22,0), "")</f>
        <v>1489291124.974998</v>
      </c>
      <c r="BO19" s="115">
        <f>IFERROR(BG$11*VLOOKUP('Gasoline - DemandSupply'!$BC19,fGasoline!$B:$W,22,0), "")</f>
        <v>705840927.46889591</v>
      </c>
      <c r="BP19" s="115">
        <f>IFERROR(BH$11*VLOOKUP('Gasoline - DemandSupply'!$BC19,fGasoline!$B:$W,22,0), "")</f>
        <v>1572309228.5354548</v>
      </c>
      <c r="BQ19" s="115">
        <f>IFERROR(BI$11*VLOOKUP('Gasoline - DemandSupply'!$BC19,fGasoline!$B:$W,22,0), "")</f>
        <v>0</v>
      </c>
    </row>
    <row r="20" spans="3:69" x14ac:dyDescent="0.6">
      <c r="C20" s="81">
        <v>2015</v>
      </c>
      <c r="D20" s="114">
        <v>2816589685</v>
      </c>
      <c r="E20" s="114">
        <v>4136166321</v>
      </c>
      <c r="F20" s="114">
        <v>1794236466</v>
      </c>
      <c r="G20" s="114">
        <v>863189023</v>
      </c>
      <c r="H20" s="114">
        <v>1859472977</v>
      </c>
      <c r="I20" s="114">
        <v>6054948</v>
      </c>
      <c r="J20" s="196">
        <f t="shared" si="4"/>
        <v>8746992472</v>
      </c>
      <c r="K20" s="115">
        <f t="shared" si="0"/>
        <v>11475709420</v>
      </c>
      <c r="L20" s="198">
        <f t="shared" si="5"/>
        <v>8.7469924720000005</v>
      </c>
      <c r="M20" s="198">
        <f t="shared" si="5"/>
        <v>11.475709419999999</v>
      </c>
      <c r="N20" s="198">
        <f t="shared" si="1"/>
        <v>12.244166666666667</v>
      </c>
      <c r="O20" s="195"/>
      <c r="P20" s="83"/>
      <c r="Q20" s="177"/>
      <c r="S20" s="81">
        <v>2015</v>
      </c>
      <c r="T20" s="114">
        <v>8003416</v>
      </c>
      <c r="U20" s="114">
        <v>5986875</v>
      </c>
      <c r="V20" s="114">
        <v>8003416</v>
      </c>
      <c r="W20" s="114">
        <v>5986875</v>
      </c>
      <c r="X20" s="115">
        <f t="shared" si="6"/>
        <v>1433.8514229424036</v>
      </c>
      <c r="Y20" s="115">
        <f t="shared" si="7"/>
        <v>1461.0280775863869</v>
      </c>
      <c r="Z20" s="115">
        <f t="shared" si="8"/>
        <v>1433.8514229424036</v>
      </c>
      <c r="AA20" s="115">
        <f t="shared" si="9"/>
        <v>1461.0280775863869</v>
      </c>
      <c r="AB20" s="115"/>
      <c r="AC20" s="83"/>
      <c r="AD20" s="177"/>
      <c r="AI20" s="76">
        <v>2012</v>
      </c>
      <c r="AJ20" s="114">
        <v>1827120704</v>
      </c>
      <c r="AK20" s="114">
        <v>443611296</v>
      </c>
      <c r="AL20" s="280">
        <f t="shared" si="2"/>
        <v>0.15149840029505998</v>
      </c>
      <c r="AM20" s="280"/>
      <c r="AN20" s="79">
        <f t="shared" si="3"/>
        <v>10676820605</v>
      </c>
      <c r="AO20" s="83"/>
      <c r="AP20" s="83"/>
      <c r="AQ20" s="83"/>
      <c r="BC20" s="77">
        <v>2030</v>
      </c>
      <c r="BD20" s="115">
        <f>IFERROR(BD$11*VLOOKUP('Gasoline - DemandSupply'!$BC20,fGasoline!$B:$W,21,0), "")</f>
        <v>2187248346.4362926</v>
      </c>
      <c r="BE20" s="115">
        <f>IFERROR(BE$11*VLOOKUP('Gasoline - DemandSupply'!$BC20,fGasoline!$B:$W,21,0), "")</f>
        <v>3724123620.5848794</v>
      </c>
      <c r="BF20" s="115">
        <f>IFERROR(BF$11*VLOOKUP('Gasoline - DemandSupply'!$BC20,fGasoline!$B:$W,21,0), "")</f>
        <v>1611904349.4113925</v>
      </c>
      <c r="BG20" s="115">
        <f>IFERROR(BG$11*VLOOKUP('Gasoline - DemandSupply'!$BC20,fGasoline!$B:$W,21,0), "")</f>
        <v>763952757.05331624</v>
      </c>
      <c r="BH20" s="115">
        <f>IFERROR(BH$11*VLOOKUP('Gasoline - DemandSupply'!$BC20,fGasoline!$B:$W,21,0), "")</f>
        <v>1701757327.0897713</v>
      </c>
      <c r="BI20" s="115">
        <f>IFERROR(BI$11*VLOOKUP('Gasoline - DemandSupply'!$BC20,fGasoline!$B:$W,21,0), "")</f>
        <v>0</v>
      </c>
      <c r="BK20" s="169">
        <f t="shared" si="11"/>
        <v>2030</v>
      </c>
      <c r="BL20" s="115">
        <f>IFERROR(BD$11*VLOOKUP('Gasoline - DemandSupply'!$BC20,fGasoline!$B:$W,22,0), "")</f>
        <v>2010521107.2589076</v>
      </c>
      <c r="BM20" s="115">
        <f>IFERROR(BE$11*VLOOKUP('Gasoline - DemandSupply'!$BC20,fGasoline!$B:$W,22,0), "")</f>
        <v>3423218564.7444711</v>
      </c>
      <c r="BN20" s="115">
        <f>IFERROR(BF$11*VLOOKUP('Gasoline - DemandSupply'!$BC20,fGasoline!$B:$W,22,0), "")</f>
        <v>1481664266.7277632</v>
      </c>
      <c r="BO20" s="115">
        <f>IFERROR(BG$11*VLOOKUP('Gasoline - DemandSupply'!$BC20,fGasoline!$B:$W,22,0), "")</f>
        <v>702226222.05057657</v>
      </c>
      <c r="BP20" s="115">
        <f>IFERROR(BH$11*VLOOKUP('Gasoline - DemandSupply'!$BC20,fGasoline!$B:$W,22,0), "")</f>
        <v>1564257223.5206125</v>
      </c>
      <c r="BQ20" s="115">
        <f>IFERROR(BI$11*VLOOKUP('Gasoline - DemandSupply'!$BC20,fGasoline!$B:$W,22,0), "")</f>
        <v>0</v>
      </c>
    </row>
    <row r="21" spans="3:69" x14ac:dyDescent="0.6">
      <c r="C21" s="81">
        <v>2016</v>
      </c>
      <c r="D21" s="114">
        <v>2715817926.5109987</v>
      </c>
      <c r="E21" s="114">
        <v>4193951649.8859973</v>
      </c>
      <c r="F21" s="114">
        <v>1772447100.2969992</v>
      </c>
      <c r="G21" s="114">
        <v>850970339.31499994</v>
      </c>
      <c r="H21" s="114">
        <v>1929065450.6769986</v>
      </c>
      <c r="I21" s="114">
        <v>0.31400680541992188</v>
      </c>
      <c r="J21" s="196">
        <f t="shared" si="4"/>
        <v>8682216676.6939945</v>
      </c>
      <c r="K21" s="115">
        <f t="shared" si="0"/>
        <v>11462252467</v>
      </c>
      <c r="L21" s="198">
        <f t="shared" si="5"/>
        <v>8.6822166766939937</v>
      </c>
      <c r="M21" s="198">
        <f t="shared" si="5"/>
        <v>11.462252467000001</v>
      </c>
      <c r="N21" s="198">
        <f t="shared" si="1"/>
        <v>11.653940311513589</v>
      </c>
      <c r="O21" s="195"/>
      <c r="P21" s="83"/>
      <c r="Q21" s="177"/>
      <c r="S21" s="81">
        <v>2016</v>
      </c>
      <c r="T21" s="114">
        <v>8114387</v>
      </c>
      <c r="U21" s="114">
        <v>6068372</v>
      </c>
      <c r="V21" s="114">
        <v>8114387</v>
      </c>
      <c r="W21" s="114">
        <v>6068372</v>
      </c>
      <c r="X21" s="115">
        <f t="shared" si="6"/>
        <v>1412.5839039966913</v>
      </c>
      <c r="Y21" s="115">
        <f t="shared" si="7"/>
        <v>1430.7324397208995</v>
      </c>
      <c r="Z21" s="115">
        <f t="shared" si="8"/>
        <v>1412.5839039966913</v>
      </c>
      <c r="AA21" s="115">
        <f t="shared" si="9"/>
        <v>1430.7324397208995</v>
      </c>
      <c r="AB21" s="115"/>
      <c r="AC21" s="83"/>
      <c r="AD21" s="177"/>
      <c r="AI21" s="76">
        <v>2013</v>
      </c>
      <c r="AJ21" s="114">
        <v>1508536793.3733332</v>
      </c>
      <c r="AK21" s="114">
        <v>956496631.85000014</v>
      </c>
      <c r="AL21" s="280">
        <f t="shared" si="2"/>
        <v>0.13186596611296239</v>
      </c>
      <c r="AM21" s="280"/>
      <c r="AN21" s="79">
        <f t="shared" si="3"/>
        <v>10887885073.476667</v>
      </c>
      <c r="AO21" s="83"/>
      <c r="AP21" s="83"/>
      <c r="AQ21" s="83"/>
      <c r="BC21" s="77">
        <v>2031</v>
      </c>
      <c r="BD21" s="115">
        <f>IFERROR(BD$11*VLOOKUP('Gasoline - DemandSupply'!$BC21,fGasoline!$B:$W,21,0), "")</f>
        <v>2212694136.3959966</v>
      </c>
      <c r="BE21" s="115">
        <f>IFERROR(BE$11*VLOOKUP('Gasoline - DemandSupply'!$BC21,fGasoline!$B:$W,21,0), "")</f>
        <v>3767448955.6286912</v>
      </c>
      <c r="BF21" s="115">
        <f>IFERROR(BF$11*VLOOKUP('Gasoline - DemandSupply'!$BC21,fGasoline!$B:$W,21,0), "")</f>
        <v>1630656760.2096834</v>
      </c>
      <c r="BG21" s="115">
        <f>IFERROR(BG$11*VLOOKUP('Gasoline - DemandSupply'!$BC21,fGasoline!$B:$W,21,0), "")</f>
        <v>772840353.84898341</v>
      </c>
      <c r="BH21" s="115">
        <f>IFERROR(BH$11*VLOOKUP('Gasoline - DemandSupply'!$BC21,fGasoline!$B:$W,21,0), "")</f>
        <v>1721555060.4281309</v>
      </c>
      <c r="BI21" s="115">
        <f>IFERROR(BI$11*VLOOKUP('Gasoline - DemandSupply'!$BC21,fGasoline!$B:$W,21,0), "")</f>
        <v>0</v>
      </c>
      <c r="BK21" s="169">
        <f t="shared" si="11"/>
        <v>2031</v>
      </c>
      <c r="BL21" s="115">
        <f>IFERROR(BD$11*VLOOKUP('Gasoline - DemandSupply'!$BC21,fGasoline!$B:$W,22,0), "")</f>
        <v>1998167106.3185685</v>
      </c>
      <c r="BM21" s="115">
        <f>IFERROR(BE$11*VLOOKUP('Gasoline - DemandSupply'!$BC21,fGasoline!$B:$W,22,0), "")</f>
        <v>3402183995.5399246</v>
      </c>
      <c r="BN21" s="115">
        <f>IFERROR(BF$11*VLOOKUP('Gasoline - DemandSupply'!$BC21,fGasoline!$B:$W,22,0), "")</f>
        <v>1472559919.7610319</v>
      </c>
      <c r="BO21" s="115">
        <f>IFERROR(BG$11*VLOOKUP('Gasoline - DemandSupply'!$BC21,fGasoline!$B:$W,22,0), "")</f>
        <v>697911269.38670158</v>
      </c>
      <c r="BP21" s="115">
        <f>IFERROR(BH$11*VLOOKUP('Gasoline - DemandSupply'!$BC21,fGasoline!$B:$W,22,0), "")</f>
        <v>1554645369.5885475</v>
      </c>
      <c r="BQ21" s="115">
        <f>IFERROR(BI$11*VLOOKUP('Gasoline - DemandSupply'!$BC21,fGasoline!$B:$W,22,0), "")</f>
        <v>0</v>
      </c>
    </row>
    <row r="22" spans="3:69" x14ac:dyDescent="0.6">
      <c r="C22" s="81">
        <v>2017</v>
      </c>
      <c r="D22" s="114">
        <v>2646688009.158999</v>
      </c>
      <c r="E22" s="114">
        <v>4104688398.4149919</v>
      </c>
      <c r="F22" s="114">
        <v>1732124616.9139988</v>
      </c>
      <c r="G22" s="114">
        <v>825219515.2299993</v>
      </c>
      <c r="H22" s="114">
        <v>1865090464.6519966</v>
      </c>
      <c r="I22" s="114">
        <v>271976.63001441956</v>
      </c>
      <c r="J22" s="196">
        <f t="shared" si="4"/>
        <v>8483501024.4879894</v>
      </c>
      <c r="K22" s="115">
        <f t="shared" si="0"/>
        <v>11174082981</v>
      </c>
      <c r="L22" s="198">
        <f t="shared" si="5"/>
        <v>8.4835010244879889</v>
      </c>
      <c r="M22" s="198">
        <f t="shared" si="5"/>
        <v>11.174082981</v>
      </c>
      <c r="N22" s="198">
        <f t="shared" si="1"/>
        <v>11.984234279716526</v>
      </c>
      <c r="O22" s="195"/>
      <c r="P22" s="83"/>
      <c r="Q22" s="177"/>
      <c r="S22" s="81">
        <v>2017</v>
      </c>
      <c r="T22" s="114">
        <v>8155562</v>
      </c>
      <c r="U22" s="114">
        <v>6100173</v>
      </c>
      <c r="V22" s="114">
        <v>8155562</v>
      </c>
      <c r="W22" s="114">
        <v>6100173</v>
      </c>
      <c r="X22" s="115">
        <f t="shared" si="6"/>
        <v>1370.1180839530127</v>
      </c>
      <c r="Y22" s="115">
        <f t="shared" si="7"/>
        <v>1390.6984317474257</v>
      </c>
      <c r="Z22" s="115">
        <f t="shared" si="8"/>
        <v>1370.1180839530127</v>
      </c>
      <c r="AA22" s="115">
        <f t="shared" si="9"/>
        <v>1390.6984317474257</v>
      </c>
      <c r="AB22" s="115"/>
      <c r="AC22" s="83"/>
      <c r="AD22" s="177"/>
      <c r="AI22" s="76">
        <v>2014</v>
      </c>
      <c r="AJ22" s="114">
        <v>1150194821.8699999</v>
      </c>
      <c r="AK22" s="114">
        <v>989307545</v>
      </c>
      <c r="AL22" s="280">
        <f t="shared" si="2"/>
        <v>0.1056173450289625</v>
      </c>
      <c r="AM22" s="280"/>
      <c r="AN22" s="79">
        <f t="shared" si="3"/>
        <v>10729320402.130001</v>
      </c>
      <c r="AO22" s="83"/>
      <c r="AP22" s="83"/>
      <c r="AQ22" s="83"/>
      <c r="BC22" s="77">
        <v>2032</v>
      </c>
      <c r="BD22" s="115">
        <f>IFERROR(BD$11*VLOOKUP('Gasoline - DemandSupply'!$BC22,fGasoline!$B:$W,21,0), "")</f>
        <v>2237308323.992413</v>
      </c>
      <c r="BE22" s="115">
        <f>IFERROR(BE$11*VLOOKUP('Gasoline - DemandSupply'!$BC22,fGasoline!$B:$W,21,0), "")</f>
        <v>3809358360.9226418</v>
      </c>
      <c r="BF22" s="115">
        <f>IFERROR(BF$11*VLOOKUP('Gasoline - DemandSupply'!$BC22,fGasoline!$B:$W,21,0), "")</f>
        <v>1648796317.2053649</v>
      </c>
      <c r="BG22" s="115">
        <f>IFERROR(BG$11*VLOOKUP('Gasoline - DemandSupply'!$BC22,fGasoline!$B:$W,21,0), "")</f>
        <v>781437492.12436366</v>
      </c>
      <c r="BH22" s="115">
        <f>IFERROR(BH$11*VLOOKUP('Gasoline - DemandSupply'!$BC22,fGasoline!$B:$W,21,0), "")</f>
        <v>1740705777.4286997</v>
      </c>
      <c r="BI22" s="115">
        <f>IFERROR(BI$11*VLOOKUP('Gasoline - DemandSupply'!$BC22,fGasoline!$B:$W,21,0), "")</f>
        <v>0</v>
      </c>
      <c r="BK22" s="169">
        <f t="shared" si="11"/>
        <v>2032</v>
      </c>
      <c r="BL22" s="115">
        <f>IFERROR(BD$11*VLOOKUP('Gasoline - DemandSupply'!$BC22,fGasoline!$B:$W,22,0), "")</f>
        <v>1982710662.2690036</v>
      </c>
      <c r="BM22" s="115">
        <f>IFERROR(BE$11*VLOOKUP('Gasoline - DemandSupply'!$BC22,fGasoline!$B:$W,22,0), "")</f>
        <v>3375867044.1662869</v>
      </c>
      <c r="BN22" s="115">
        <f>IFERROR(BF$11*VLOOKUP('Gasoline - DemandSupply'!$BC22,fGasoline!$B:$W,22,0), "")</f>
        <v>1461169210.777061</v>
      </c>
      <c r="BO22" s="115">
        <f>IFERROR(BG$11*VLOOKUP('Gasoline - DemandSupply'!$BC22,fGasoline!$B:$W,22,0), "")</f>
        <v>692512708.64935136</v>
      </c>
      <c r="BP22" s="115">
        <f>IFERROR(BH$11*VLOOKUP('Gasoline - DemandSupply'!$BC22,fGasoline!$B:$W,22,0), "")</f>
        <v>1542619704.1194408</v>
      </c>
      <c r="BQ22" s="115">
        <f>IFERROR(BI$11*VLOOKUP('Gasoline - DemandSupply'!$BC22,fGasoline!$B:$W,22,0), "")</f>
        <v>0</v>
      </c>
    </row>
    <row r="23" spans="3:69" x14ac:dyDescent="0.6">
      <c r="C23" s="81">
        <v>2018</v>
      </c>
      <c r="D23" s="114">
        <v>2694853230.2869954</v>
      </c>
      <c r="E23" s="114">
        <v>4011750417.7709875</v>
      </c>
      <c r="F23" s="114">
        <v>1637377951.6149979</v>
      </c>
      <c r="G23" s="114">
        <v>804316073.99999964</v>
      </c>
      <c r="H23" s="114">
        <v>1780701568.8269968</v>
      </c>
      <c r="I23" s="114">
        <v>212631303.50002289</v>
      </c>
      <c r="J23" s="196">
        <f t="shared" si="4"/>
        <v>8343981599.6729813</v>
      </c>
      <c r="K23" s="115">
        <f t="shared" si="0"/>
        <v>11141630546</v>
      </c>
      <c r="L23" s="198">
        <f t="shared" si="5"/>
        <v>8.3439815996729809</v>
      </c>
      <c r="M23" s="198">
        <f t="shared" si="5"/>
        <v>11.141630546</v>
      </c>
      <c r="N23" s="198">
        <f t="shared" si="1"/>
        <v>12.926871155855082</v>
      </c>
      <c r="O23" s="195"/>
      <c r="P23" s="83"/>
      <c r="Q23" s="177"/>
      <c r="S23" s="81">
        <v>2018</v>
      </c>
      <c r="T23" s="114">
        <v>8828204.3249999993</v>
      </c>
      <c r="U23" s="114">
        <v>6569615.9249999998</v>
      </c>
      <c r="V23" s="114">
        <v>8592956.3249999993</v>
      </c>
      <c r="W23" s="114">
        <v>6399656.9249999998</v>
      </c>
      <c r="X23" s="115">
        <f t="shared" si="6"/>
        <v>1262.0494650819039</v>
      </c>
      <c r="Y23" s="115">
        <f t="shared" si="7"/>
        <v>1270.0866679162802</v>
      </c>
      <c r="Z23" s="115">
        <f t="shared" si="8"/>
        <v>1296.6003927641284</v>
      </c>
      <c r="AA23" s="115">
        <f t="shared" si="9"/>
        <v>1303.8170166712462</v>
      </c>
      <c r="AB23" s="115"/>
      <c r="AC23" s="83"/>
      <c r="AD23" s="177"/>
      <c r="AI23" s="76">
        <v>2015</v>
      </c>
      <c r="AJ23" s="114">
        <v>1869645208.21</v>
      </c>
      <c r="AK23" s="114">
        <v>1086494822.3099999</v>
      </c>
      <c r="AL23" s="280">
        <f t="shared" si="2"/>
        <v>0.16292197194811858</v>
      </c>
      <c r="AM23" s="280"/>
      <c r="AN23" s="79">
        <f t="shared" si="3"/>
        <v>10692559034.1</v>
      </c>
      <c r="AO23" s="83"/>
      <c r="AP23" s="83"/>
      <c r="AQ23" s="83"/>
      <c r="BC23" s="77">
        <v>2033</v>
      </c>
      <c r="BD23" s="115">
        <f>IFERROR(BD$11*VLOOKUP('Gasoline - DemandSupply'!$BC23,fGasoline!$B:$W,21,0), "")</f>
        <v>2260748428.7960486</v>
      </c>
      <c r="BE23" s="115">
        <f>IFERROR(BE$11*VLOOKUP('Gasoline - DemandSupply'!$BC23,fGasoline!$B:$W,21,0), "")</f>
        <v>3849268711.345552</v>
      </c>
      <c r="BF23" s="115">
        <f>IFERROR(BF$11*VLOOKUP('Gasoline - DemandSupply'!$BC23,fGasoline!$B:$W,21,0), "")</f>
        <v>1666070627.6169829</v>
      </c>
      <c r="BG23" s="115">
        <f>IFERROR(BG$11*VLOOKUP('Gasoline - DemandSupply'!$BC23,fGasoline!$B:$W,21,0), "")</f>
        <v>789624551.77834964</v>
      </c>
      <c r="BH23" s="115">
        <f>IFERROR(BH$11*VLOOKUP('Gasoline - DemandSupply'!$BC23,fGasoline!$B:$W,21,0), "")</f>
        <v>1758943016.0862718</v>
      </c>
      <c r="BI23" s="115">
        <f>IFERROR(BI$11*VLOOKUP('Gasoline - DemandSupply'!$BC23,fGasoline!$B:$W,21,0), "")</f>
        <v>0</v>
      </c>
      <c r="BK23" s="169">
        <f t="shared" si="11"/>
        <v>2033</v>
      </c>
      <c r="BL23" s="115">
        <f>IFERROR(BD$11*VLOOKUP('Gasoline - DemandSupply'!$BC23,fGasoline!$B:$W,22,0), "")</f>
        <v>1962713860.7798054</v>
      </c>
      <c r="BM23" s="115">
        <f>IFERROR(BE$11*VLOOKUP('Gasoline - DemandSupply'!$BC23,fGasoline!$B:$W,22,0), "")</f>
        <v>3341819442.3549037</v>
      </c>
      <c r="BN23" s="115">
        <f>IFERROR(BF$11*VLOOKUP('Gasoline - DemandSupply'!$BC23,fGasoline!$B:$W,22,0), "")</f>
        <v>1446432461.1312001</v>
      </c>
      <c r="BO23" s="115">
        <f>IFERROR(BG$11*VLOOKUP('Gasoline - DemandSupply'!$BC23,fGasoline!$B:$W,22,0), "")</f>
        <v>685528311.26493394</v>
      </c>
      <c r="BP23" s="115">
        <f>IFERROR(BH$11*VLOOKUP('Gasoline - DemandSupply'!$BC23,fGasoline!$B:$W,22,0), "")</f>
        <v>1527061478.411762</v>
      </c>
      <c r="BQ23" s="115">
        <f>IFERROR(BI$11*VLOOKUP('Gasoline - DemandSupply'!$BC23,fGasoline!$B:$W,22,0), "")</f>
        <v>0</v>
      </c>
    </row>
    <row r="24" spans="3:69" x14ac:dyDescent="0.6">
      <c r="C24" s="81">
        <v>2019</v>
      </c>
      <c r="D24" s="114">
        <v>2465230883.5799975</v>
      </c>
      <c r="E24" s="114">
        <v>4089419951.9469891</v>
      </c>
      <c r="F24" s="114">
        <v>1682021553.7139974</v>
      </c>
      <c r="G24" s="114">
        <v>789584594.09899974</v>
      </c>
      <c r="H24" s="114">
        <v>1746951081.7219985</v>
      </c>
      <c r="I24" s="114">
        <v>-6.1981201171875E-2</v>
      </c>
      <c r="J24" s="196">
        <f t="shared" si="4"/>
        <v>8236672389.240984</v>
      </c>
      <c r="K24" s="115">
        <f t="shared" si="0"/>
        <v>10773208065</v>
      </c>
      <c r="L24" s="198">
        <f t="shared" si="5"/>
        <v>8.2366723892409848</v>
      </c>
      <c r="M24" s="198">
        <f t="shared" si="5"/>
        <v>10.773208065</v>
      </c>
      <c r="N24" s="198">
        <f t="shared" si="1"/>
        <v>12.644779320295711</v>
      </c>
      <c r="O24" s="195"/>
      <c r="P24" s="83"/>
      <c r="Q24" s="177"/>
      <c r="S24" s="81">
        <v>2019</v>
      </c>
      <c r="T24" s="114">
        <v>9007209.25</v>
      </c>
      <c r="U24" s="114">
        <v>6705598.25</v>
      </c>
      <c r="V24" s="114">
        <v>8772318.25</v>
      </c>
      <c r="W24" s="114">
        <v>6536911.25</v>
      </c>
      <c r="X24" s="115">
        <f t="shared" si="6"/>
        <v>1196.0650370146559</v>
      </c>
      <c r="Y24" s="115">
        <f t="shared" si="7"/>
        <v>1228.3277467809803</v>
      </c>
      <c r="Z24" s="115">
        <f t="shared" si="8"/>
        <v>1228.0913389114673</v>
      </c>
      <c r="AA24" s="115">
        <f t="shared" si="9"/>
        <v>1260.0251210754902</v>
      </c>
      <c r="AB24" s="115"/>
      <c r="AC24" s="83"/>
      <c r="AD24" s="177"/>
      <c r="AI24" s="76">
        <v>2016</v>
      </c>
      <c r="AJ24" s="114">
        <v>1395638476.0999999</v>
      </c>
      <c r="AK24" s="114">
        <v>1158906980.25</v>
      </c>
      <c r="AL24" s="280">
        <f t="shared" si="2"/>
        <v>0.12175953025969934</v>
      </c>
      <c r="AM24" s="280"/>
      <c r="AN24" s="79">
        <f t="shared" si="3"/>
        <v>11225520971.15</v>
      </c>
      <c r="AO24" s="83"/>
      <c r="AP24" s="83"/>
      <c r="AQ24" s="83"/>
      <c r="BC24" s="77">
        <v>2034</v>
      </c>
      <c r="BD24" s="115">
        <f>IFERROR(BD$11*VLOOKUP('Gasoline - DemandSupply'!$BC24,fGasoline!$B:$W,21,0), "")</f>
        <v>2265788267.5912695</v>
      </c>
      <c r="BE24" s="115">
        <f>IFERROR(BE$11*VLOOKUP('Gasoline - DemandSupply'!$BC24,fGasoline!$B:$W,21,0), "")</f>
        <v>3857849804.9062366</v>
      </c>
      <c r="BF24" s="115">
        <f>IFERROR(BF$11*VLOOKUP('Gasoline - DemandSupply'!$BC24,fGasoline!$B:$W,21,0), "")</f>
        <v>1669784763.7312405</v>
      </c>
      <c r="BG24" s="115">
        <f>IFERROR(BG$11*VLOOKUP('Gasoline - DemandSupply'!$BC24,fGasoline!$B:$W,21,0), "")</f>
        <v>791384845.13917732</v>
      </c>
      <c r="BH24" s="115">
        <f>IFERROR(BH$11*VLOOKUP('Gasoline - DemandSupply'!$BC24,fGasoline!$B:$W,21,0), "")</f>
        <v>1762864190.6575511</v>
      </c>
      <c r="BI24" s="115">
        <f>IFERROR(BI$11*VLOOKUP('Gasoline - DemandSupply'!$BC24,fGasoline!$B:$W,21,0), "")</f>
        <v>0</v>
      </c>
      <c r="BK24" s="169">
        <f t="shared" si="11"/>
        <v>2034</v>
      </c>
      <c r="BL24" s="115">
        <f>IFERROR(BD$11*VLOOKUP('Gasoline - DemandSupply'!$BC24,fGasoline!$B:$W,22,0), "")</f>
        <v>1936534492.1545658</v>
      </c>
      <c r="BM24" s="115">
        <f>IFERROR(BE$11*VLOOKUP('Gasoline - DemandSupply'!$BC24,fGasoline!$B:$W,22,0), "")</f>
        <v>3297245077.8443055</v>
      </c>
      <c r="BN24" s="115">
        <f>IFERROR(BF$11*VLOOKUP('Gasoline - DemandSupply'!$BC24,fGasoline!$B:$W,22,0), "")</f>
        <v>1427139435.6178319</v>
      </c>
      <c r="BO24" s="115">
        <f>IFERROR(BG$11*VLOOKUP('Gasoline - DemandSupply'!$BC24,fGasoline!$B:$W,22,0), "")</f>
        <v>676384493.2473079</v>
      </c>
      <c r="BP24" s="115">
        <f>IFERROR(BH$11*VLOOKUP('Gasoline - DemandSupply'!$BC24,fGasoline!$B:$W,22,0), "")</f>
        <v>1506692994.6731994</v>
      </c>
      <c r="BQ24" s="115">
        <f>IFERROR(BI$11*VLOOKUP('Gasoline - DemandSupply'!$BC24,fGasoline!$B:$W,22,0), "")</f>
        <v>0</v>
      </c>
    </row>
    <row r="25" spans="3:69" x14ac:dyDescent="0.6">
      <c r="C25" s="81">
        <v>2020</v>
      </c>
      <c r="D25" s="114">
        <v>2102899835.675</v>
      </c>
      <c r="E25" s="114">
        <v>3145679471.5049977</v>
      </c>
      <c r="F25" s="114">
        <v>1450665566.197999</v>
      </c>
      <c r="G25" s="114">
        <v>676506299.82299972</v>
      </c>
      <c r="H25" s="114">
        <v>1385719788.2949986</v>
      </c>
      <c r="I25" s="114">
        <v>-0.49599456787109375</v>
      </c>
      <c r="J25" s="196">
        <f t="shared" si="4"/>
        <v>6699244873.3779964</v>
      </c>
      <c r="K25" s="115">
        <f t="shared" si="0"/>
        <v>8761470961</v>
      </c>
      <c r="L25" s="198">
        <f t="shared" si="5"/>
        <v>6.6992448733779968</v>
      </c>
      <c r="M25" s="198">
        <f t="shared" si="5"/>
        <v>8.7614709610000006</v>
      </c>
      <c r="N25" s="198">
        <f t="shared" si="1"/>
        <v>11.439035777818907</v>
      </c>
      <c r="O25" s="195"/>
      <c r="P25" s="83"/>
      <c r="Q25" s="177"/>
      <c r="S25" s="81">
        <v>2020</v>
      </c>
      <c r="T25" s="114">
        <v>9002155.2249999996</v>
      </c>
      <c r="U25" s="114">
        <v>6708833.6500000004</v>
      </c>
      <c r="V25" s="114">
        <v>8768542.2249999996</v>
      </c>
      <c r="W25" s="114">
        <v>6541691.6500000004</v>
      </c>
      <c r="X25" s="115">
        <f t="shared" si="6"/>
        <v>973.2637065253449</v>
      </c>
      <c r="Y25" s="115">
        <f t="shared" si="7"/>
        <v>998.57072374689096</v>
      </c>
      <c r="Z25" s="115">
        <f t="shared" si="8"/>
        <v>999.19356446960603</v>
      </c>
      <c r="AA25" s="115">
        <f t="shared" si="9"/>
        <v>1024.0844771975756</v>
      </c>
      <c r="AB25" s="115"/>
      <c r="AC25" s="83"/>
      <c r="AD25" s="177"/>
      <c r="AI25" s="76">
        <v>2017</v>
      </c>
      <c r="AJ25" s="114">
        <v>2114180559.6399996</v>
      </c>
      <c r="AK25" s="114">
        <v>1082043018.1700001</v>
      </c>
      <c r="AL25" s="280">
        <f t="shared" si="2"/>
        <v>0.18920394302019009</v>
      </c>
      <c r="AM25" s="280"/>
      <c r="AN25" s="79">
        <f t="shared" si="3"/>
        <v>10141945439.530001</v>
      </c>
      <c r="AO25" s="83"/>
      <c r="AP25" s="83"/>
      <c r="AQ25" s="83"/>
      <c r="BC25" s="77">
        <v>2035</v>
      </c>
      <c r="BD25" s="115">
        <f>IFERROR(BD$11*VLOOKUP('Gasoline - DemandSupply'!$BC25,fGasoline!$B:$W,21,0), "")</f>
        <v>2269124357.884274</v>
      </c>
      <c r="BE25" s="115">
        <f>IFERROR(BE$11*VLOOKUP('Gasoline - DemandSupply'!$BC25,fGasoline!$B:$W,21,0), "")</f>
        <v>3863530007.0107784</v>
      </c>
      <c r="BF25" s="115">
        <f>IFERROR(BF$11*VLOOKUP('Gasoline - DemandSupply'!$BC25,fGasoline!$B:$W,21,0), "")</f>
        <v>1672243313.288306</v>
      </c>
      <c r="BG25" s="115">
        <f>IFERROR(BG$11*VLOOKUP('Gasoline - DemandSupply'!$BC25,fGasoline!$B:$W,21,0), "")</f>
        <v>792550060.50270581</v>
      </c>
      <c r="BH25" s="115">
        <f>IFERROR(BH$11*VLOOKUP('Gasoline - DemandSupply'!$BC25,fGasoline!$B:$W,21,0), "")</f>
        <v>1765459788.0478537</v>
      </c>
      <c r="BI25" s="115">
        <f>IFERROR(BI$11*VLOOKUP('Gasoline - DemandSupply'!$BC25,fGasoline!$B:$W,21,0), "")</f>
        <v>0</v>
      </c>
      <c r="BK25" s="169">
        <f t="shared" si="11"/>
        <v>2035</v>
      </c>
      <c r="BL25" s="115">
        <f>IFERROR(BD$11*VLOOKUP('Gasoline - DemandSupply'!$BC25,fGasoline!$B:$W,22,0), "")</f>
        <v>1902689348.7834654</v>
      </c>
      <c r="BM25" s="115">
        <f>IFERROR(BE$11*VLOOKUP('Gasoline - DemandSupply'!$BC25,fGasoline!$B:$W,22,0), "")</f>
        <v>3239618563.6554799</v>
      </c>
      <c r="BN25" s="115">
        <f>IFERROR(BF$11*VLOOKUP('Gasoline - DemandSupply'!$BC25,fGasoline!$B:$W,22,0), "")</f>
        <v>1402197076.4681652</v>
      </c>
      <c r="BO25" s="115">
        <f>IFERROR(BG$11*VLOOKUP('Gasoline - DemandSupply'!$BC25,fGasoline!$B:$W,22,0), "")</f>
        <v>664563206.1797719</v>
      </c>
      <c r="BP25" s="115">
        <f>IFERROR(BH$11*VLOOKUP('Gasoline - DemandSupply'!$BC25,fGasoline!$B:$W,22,0), "")</f>
        <v>1480360264.4132745</v>
      </c>
      <c r="BQ25" s="115">
        <f>IFERROR(BI$11*VLOOKUP('Gasoline - DemandSupply'!$BC25,fGasoline!$B:$W,22,0), "")</f>
        <v>0</v>
      </c>
    </row>
    <row r="26" spans="3:69" x14ac:dyDescent="0.6">
      <c r="C26" s="81">
        <v>2021</v>
      </c>
      <c r="D26" s="114">
        <v>2077951739.5739989</v>
      </c>
      <c r="E26" s="114">
        <v>3452352140.8249984</v>
      </c>
      <c r="F26" s="114">
        <v>1552058877.0590007</v>
      </c>
      <c r="G26" s="114">
        <v>732653207.96100032</v>
      </c>
      <c r="H26" s="114">
        <v>1486568271.3069994</v>
      </c>
      <c r="I26" s="114">
        <v>-7.7259979248046875</v>
      </c>
      <c r="J26" s="196">
        <f t="shared" si="4"/>
        <v>7082362757.4579983</v>
      </c>
      <c r="K26" s="115">
        <f t="shared" si="0"/>
        <v>9301584229</v>
      </c>
      <c r="L26" s="198">
        <f t="shared" si="5"/>
        <v>7.0823627574579984</v>
      </c>
      <c r="M26" s="198">
        <f t="shared" si="5"/>
        <v>9.3015842289999995</v>
      </c>
      <c r="N26" s="198">
        <f t="shared" si="1"/>
        <v>13.353394777286253</v>
      </c>
      <c r="O26" s="195"/>
      <c r="P26" s="83"/>
      <c r="Q26" s="177"/>
      <c r="S26" s="81">
        <v>2021</v>
      </c>
      <c r="T26" s="114">
        <v>9188296.6500000004</v>
      </c>
      <c r="U26" s="114">
        <v>6851268.1500000004</v>
      </c>
      <c r="V26" s="114">
        <v>8950424.6500000004</v>
      </c>
      <c r="W26" s="114">
        <v>6680989.1500000004</v>
      </c>
      <c r="X26" s="115">
        <f t="shared" si="6"/>
        <v>1012.3295517455892</v>
      </c>
      <c r="Y26" s="115">
        <f t="shared" si="7"/>
        <v>1033.7301945272714</v>
      </c>
      <c r="Z26" s="115">
        <f t="shared" si="8"/>
        <v>1039.233845625414</v>
      </c>
      <c r="AA26" s="115">
        <f t="shared" si="9"/>
        <v>1060.0769734011615</v>
      </c>
      <c r="AB26" s="115"/>
      <c r="AC26" s="83"/>
      <c r="AD26" s="177"/>
      <c r="AI26" s="76">
        <v>2018</v>
      </c>
      <c r="AJ26" s="114">
        <v>2195270855.29</v>
      </c>
      <c r="AK26" s="114">
        <v>1320567063.7</v>
      </c>
      <c r="AL26" s="280">
        <f t="shared" si="2"/>
        <v>0.19703317626863265</v>
      </c>
      <c r="AM26" s="280"/>
      <c r="AN26" s="79">
        <f t="shared" si="3"/>
        <v>10266926754.41</v>
      </c>
      <c r="AO26" s="83"/>
      <c r="AP26" s="83"/>
      <c r="AQ26" s="83"/>
      <c r="BC26" s="77">
        <v>2036</v>
      </c>
      <c r="BD26" s="115">
        <f>IFERROR(BD$11*VLOOKUP('Gasoline - DemandSupply'!$BC26,fGasoline!$B:$W,21,0), "")</f>
        <v>2270217691.79106</v>
      </c>
      <c r="BE26" s="115">
        <f>IFERROR(BE$11*VLOOKUP('Gasoline - DemandSupply'!$BC26,fGasoline!$B:$W,21,0), "")</f>
        <v>3865391574.5982366</v>
      </c>
      <c r="BF26" s="115">
        <f>IFERROR(BF$11*VLOOKUP('Gasoline - DemandSupply'!$BC26,fGasoline!$B:$W,21,0), "")</f>
        <v>1673049051.5496144</v>
      </c>
      <c r="BG26" s="115">
        <f>IFERROR(BG$11*VLOOKUP('Gasoline - DemandSupply'!$BC26,fGasoline!$B:$W,21,0), "")</f>
        <v>792931935.49821329</v>
      </c>
      <c r="BH26" s="115">
        <f>IFERROR(BH$11*VLOOKUP('Gasoline - DemandSupply'!$BC26,fGasoline!$B:$W,21,0), "")</f>
        <v>1766310440.8737481</v>
      </c>
      <c r="BI26" s="115">
        <f>IFERROR(BI$11*VLOOKUP('Gasoline - DemandSupply'!$BC26,fGasoline!$B:$W,21,0), "")</f>
        <v>0</v>
      </c>
      <c r="BK26" s="169">
        <f t="shared" si="11"/>
        <v>2036</v>
      </c>
      <c r="BL26" s="115">
        <f>IFERROR(BD$11*VLOOKUP('Gasoline - DemandSupply'!$BC26,fGasoline!$B:$W,22,0), "")</f>
        <v>1860378285.5170417</v>
      </c>
      <c r="BM26" s="115">
        <f>IFERROR(BE$11*VLOOKUP('Gasoline - DemandSupply'!$BC26,fGasoline!$B:$W,22,0), "")</f>
        <v>3167577530.7388096</v>
      </c>
      <c r="BN26" s="115">
        <f>IFERROR(BF$11*VLOOKUP('Gasoline - DemandSupply'!$BC26,fGasoline!$B:$W,22,0), "")</f>
        <v>1371015712.4413092</v>
      </c>
      <c r="BO26" s="115">
        <f>IFERROR(BG$11*VLOOKUP('Gasoline - DemandSupply'!$BC26,fGasoline!$B:$W,22,0), "")</f>
        <v>649784978.78327763</v>
      </c>
      <c r="BP26" s="115">
        <f>IFERROR(BH$11*VLOOKUP('Gasoline - DemandSupply'!$BC26,fGasoline!$B:$W,22,0), "")</f>
        <v>1447440746.1299891</v>
      </c>
      <c r="BQ26" s="115">
        <f>IFERROR(BI$11*VLOOKUP('Gasoline - DemandSupply'!$BC26,fGasoline!$B:$W,22,0), "")</f>
        <v>0</v>
      </c>
    </row>
    <row r="27" spans="3:69" x14ac:dyDescent="0.6">
      <c r="C27" s="81">
        <v>2022</v>
      </c>
      <c r="D27" s="114">
        <v>1899400691.741056</v>
      </c>
      <c r="E27" s="114">
        <v>3555337038.8554497</v>
      </c>
      <c r="F27" s="114">
        <v>1505036446.8720198</v>
      </c>
      <c r="G27" s="114">
        <v>700322838.06086326</v>
      </c>
      <c r="H27" s="114">
        <v>1524772900.0115995</v>
      </c>
      <c r="I27" s="114"/>
      <c r="J27" s="196">
        <f t="shared" si="4"/>
        <v>6959774177.4685259</v>
      </c>
      <c r="K27" s="115">
        <f t="shared" si="0"/>
        <v>9184869915.5409889</v>
      </c>
      <c r="L27" s="198">
        <f t="shared" si="5"/>
        <v>6.9597741774685256</v>
      </c>
      <c r="M27" s="198">
        <f t="shared" si="5"/>
        <v>9.1848699155409896</v>
      </c>
      <c r="N27" s="198">
        <f t="shared" si="1"/>
        <v>16.085106382978726</v>
      </c>
      <c r="O27" s="195"/>
      <c r="P27" s="83"/>
      <c r="Q27" s="177"/>
      <c r="S27" s="81">
        <v>2022</v>
      </c>
      <c r="T27" s="114">
        <v>8982518.4250000007</v>
      </c>
      <c r="U27" s="114">
        <v>6636752.0499999998</v>
      </c>
      <c r="V27" s="114">
        <v>8782732.4250000007</v>
      </c>
      <c r="W27" s="114">
        <v>6504736.0499999998</v>
      </c>
      <c r="X27" s="115">
        <f t="shared" si="6"/>
        <v>1022.5272558281436</v>
      </c>
      <c r="Y27" s="115">
        <f t="shared" si="7"/>
        <v>1048.6717184904514</v>
      </c>
      <c r="Z27" s="115">
        <f t="shared" si="8"/>
        <v>1045.7872870402275</v>
      </c>
      <c r="AA27" s="115">
        <f t="shared" si="9"/>
        <v>1069.9548950135381</v>
      </c>
      <c r="AB27" s="115"/>
      <c r="AC27" s="83"/>
      <c r="AD27" s="177"/>
      <c r="AI27" s="76">
        <v>2019</v>
      </c>
      <c r="AJ27" s="114">
        <v>1477345841.0900002</v>
      </c>
      <c r="AK27" s="114">
        <v>1179148166.8900001</v>
      </c>
      <c r="AL27" s="280">
        <f t="shared" si="2"/>
        <v>0.13713146837752085</v>
      </c>
      <c r="AM27" s="280"/>
      <c r="AN27" s="79">
        <f t="shared" si="3"/>
        <v>10475010390.799999</v>
      </c>
      <c r="AO27" s="83"/>
      <c r="AP27" s="83"/>
      <c r="AQ27" s="83"/>
      <c r="BC27" s="77">
        <v>2037</v>
      </c>
      <c r="BD27" s="115">
        <f>IFERROR(BD$11*VLOOKUP('Gasoline - DemandSupply'!$BC27,fGasoline!$B:$W,21,0), "")</f>
        <v>2268479443.4421482</v>
      </c>
      <c r="BE27" s="115">
        <f>IFERROR(BE$11*VLOOKUP('Gasoline - DemandSupply'!$BC27,fGasoline!$B:$W,21,0), "")</f>
        <v>3862431941.8957262</v>
      </c>
      <c r="BF27" s="115">
        <f>IFERROR(BF$11*VLOOKUP('Gasoline - DemandSupply'!$BC27,fGasoline!$B:$W,21,0), "")</f>
        <v>1671768040.1461616</v>
      </c>
      <c r="BG27" s="115">
        <f>IFERROR(BG$11*VLOOKUP('Gasoline - DemandSupply'!$BC27,fGasoline!$B:$W,21,0), "")</f>
        <v>792324807.54186654</v>
      </c>
      <c r="BH27" s="115">
        <f>IFERROR(BH$11*VLOOKUP('Gasoline - DemandSupply'!$BC27,fGasoline!$B:$W,21,0), "")</f>
        <v>1764958021.5799434</v>
      </c>
      <c r="BI27" s="115">
        <f>IFERROR(BI$11*VLOOKUP('Gasoline - DemandSupply'!$BC27,fGasoline!$B:$W,21,0), "")</f>
        <v>0</v>
      </c>
      <c r="BK27" s="169">
        <f t="shared" si="11"/>
        <v>2037</v>
      </c>
      <c r="BL27" s="115">
        <f>IFERROR(BD$11*VLOOKUP('Gasoline - DemandSupply'!$BC27,fGasoline!$B:$W,22,0), "")</f>
        <v>1809876062.5849206</v>
      </c>
      <c r="BM27" s="115">
        <f>IFERROR(BE$11*VLOOKUP('Gasoline - DemandSupply'!$BC27,fGasoline!$B:$W,22,0), "")</f>
        <v>3081589800.2554421</v>
      </c>
      <c r="BN27" s="115">
        <f>IFERROR(BF$11*VLOOKUP('Gasoline - DemandSupply'!$BC27,fGasoline!$B:$W,22,0), "")</f>
        <v>1333797829.5557816</v>
      </c>
      <c r="BO27" s="115">
        <f>IFERROR(BG$11*VLOOKUP('Gasoline - DemandSupply'!$BC27,fGasoline!$B:$W,22,0), "")</f>
        <v>632145778.13686907</v>
      </c>
      <c r="BP27" s="115">
        <f>IFERROR(BH$11*VLOOKUP('Gasoline - DemandSupply'!$BC27,fGasoline!$B:$W,22,0), "")</f>
        <v>1408148213.0945497</v>
      </c>
      <c r="BQ27" s="115">
        <f>IFERROR(BI$11*VLOOKUP('Gasoline - DemandSupply'!$BC27,fGasoline!$B:$W,22,0), "")</f>
        <v>0</v>
      </c>
    </row>
    <row r="28" spans="3:69" x14ac:dyDescent="0.6">
      <c r="C28" s="81">
        <v>2023</v>
      </c>
      <c r="D28" s="114">
        <v>2061624042.1605487</v>
      </c>
      <c r="E28" s="114">
        <v>3868828454.2448468</v>
      </c>
      <c r="F28" s="114">
        <v>1605637973.9239638</v>
      </c>
      <c r="G28" s="114">
        <v>746732796.22877908</v>
      </c>
      <c r="H28" s="114">
        <v>1698523165.8018615</v>
      </c>
      <c r="I28" s="114"/>
      <c r="J28" s="196">
        <f t="shared" si="4"/>
        <v>7536090470.3293591</v>
      </c>
      <c r="K28" s="115">
        <f>SUM(D28:I28)</f>
        <v>9981346432.3599987</v>
      </c>
      <c r="L28" s="198">
        <f t="shared" ref="L28:M30" si="12">J28/10^9</f>
        <v>7.5360904703293592</v>
      </c>
      <c r="M28" s="198">
        <f t="shared" si="12"/>
        <v>9.9813464323599987</v>
      </c>
      <c r="N28" s="198">
        <f>IFERROR(VLOOKUP($C28,ULP_CPIIndex2015,4,0),)</f>
        <v>16.163120567375888</v>
      </c>
      <c r="O28" s="195"/>
      <c r="P28" s="83"/>
      <c r="Q28" s="177"/>
      <c r="S28" s="81">
        <v>2023</v>
      </c>
      <c r="T28" s="114">
        <v>9314834</v>
      </c>
      <c r="U28" s="114">
        <v>6945515</v>
      </c>
      <c r="V28" s="114">
        <v>9076611</v>
      </c>
      <c r="W28" s="114">
        <v>6775358</v>
      </c>
      <c r="X28" s="115">
        <f>IFERROR(K28/T28,)</f>
        <v>1071.5538712080106</v>
      </c>
      <c r="Y28" s="115">
        <f t="shared" ref="Y28:Z30" si="13">IFERROR(J28/U28,)</f>
        <v>1085.0297595396971</v>
      </c>
      <c r="Z28" s="115">
        <f t="shared" si="13"/>
        <v>1099.6776696015725</v>
      </c>
      <c r="AA28" s="115">
        <f>IFERROR(J28/W28,)</f>
        <v>1112.2793024854716</v>
      </c>
      <c r="AB28" s="115"/>
      <c r="AC28" s="83"/>
      <c r="AD28" s="177"/>
      <c r="AI28" s="76">
        <v>2020</v>
      </c>
      <c r="AJ28" s="114">
        <v>1719673064</v>
      </c>
      <c r="AK28" s="114">
        <v>1154779071</v>
      </c>
      <c r="AL28" s="280">
        <f t="shared" si="2"/>
        <v>0.19627675211785708</v>
      </c>
      <c r="AM28" s="280"/>
      <c r="AN28" s="79">
        <f t="shared" si="3"/>
        <v>8196576968</v>
      </c>
      <c r="AO28" s="83"/>
      <c r="AP28" s="83"/>
      <c r="AQ28" s="83"/>
      <c r="BC28" s="77">
        <v>2038</v>
      </c>
      <c r="BD28" s="115">
        <f>IFERROR(BD$11*VLOOKUP('Gasoline - DemandSupply'!$BC28,fGasoline!$B:$W,21,0), "")</f>
        <v>2263326549.4779773</v>
      </c>
      <c r="BE28" s="115">
        <f>IFERROR(BE$11*VLOOKUP('Gasoline - DemandSupply'!$BC28,fGasoline!$B:$W,21,0), "")</f>
        <v>3853658354.6816335</v>
      </c>
      <c r="BF28" s="115">
        <f>IFERROR(BF$11*VLOOKUP('Gasoline - DemandSupply'!$BC28,fGasoline!$B:$W,21,0), "")</f>
        <v>1667970587.4214008</v>
      </c>
      <c r="BG28" s="115">
        <f>IFERROR(BG$11*VLOOKUP('Gasoline - DemandSupply'!$BC28,fGasoline!$B:$W,21,0), "")</f>
        <v>790525026.75467527</v>
      </c>
      <c r="BH28" s="115">
        <f>IFERROR(BH$11*VLOOKUP('Gasoline - DemandSupply'!$BC28,fGasoline!$B:$W,21,0), "")</f>
        <v>1760948886.0496633</v>
      </c>
      <c r="BI28" s="115">
        <f>IFERROR(BI$11*VLOOKUP('Gasoline - DemandSupply'!$BC28,fGasoline!$B:$W,21,0), "")</f>
        <v>0</v>
      </c>
      <c r="BK28" s="169">
        <f t="shared" si="11"/>
        <v>2038</v>
      </c>
      <c r="BL28" s="115">
        <f>IFERROR(BD$11*VLOOKUP('Gasoline - DemandSupply'!$BC28,fGasoline!$B:$W,22,0), "")</f>
        <v>1752482555.6653533</v>
      </c>
      <c r="BM28" s="115">
        <f>IFERROR(BE$11*VLOOKUP('Gasoline - DemandSupply'!$BC28,fGasoline!$B:$W,22,0), "")</f>
        <v>2983868608.6332779</v>
      </c>
      <c r="BN28" s="115">
        <f>IFERROR(BF$11*VLOOKUP('Gasoline - DemandSupply'!$BC28,fGasoline!$B:$W,22,0), "")</f>
        <v>1291501378.1343617</v>
      </c>
      <c r="BO28" s="115">
        <f>IFERROR(BG$11*VLOOKUP('Gasoline - DemandSupply'!$BC28,fGasoline!$B:$W,22,0), "")</f>
        <v>612099619.26350617</v>
      </c>
      <c r="BP28" s="115">
        <f>IFERROR(BH$11*VLOOKUP('Gasoline - DemandSupply'!$BC28,fGasoline!$B:$W,22,0), "")</f>
        <v>1363494015.0073111</v>
      </c>
      <c r="BQ28" s="115">
        <f>IFERROR(BI$11*VLOOKUP('Gasoline - DemandSupply'!$BC28,fGasoline!$B:$W,22,0), "")</f>
        <v>0</v>
      </c>
    </row>
    <row r="29" spans="3:69" x14ac:dyDescent="0.6">
      <c r="C29" s="81">
        <v>2024</v>
      </c>
      <c r="D29" s="114">
        <v>1868736648.6722991</v>
      </c>
      <c r="E29" s="114">
        <v>3506857395.9279261</v>
      </c>
      <c r="F29" s="114">
        <v>1455413045.7399778</v>
      </c>
      <c r="G29" s="114">
        <v>676867806.4191848</v>
      </c>
      <c r="H29" s="114">
        <v>1539607815.8006136</v>
      </c>
      <c r="I29" s="114"/>
      <c r="J29" s="196">
        <f t="shared" si="4"/>
        <v>6831007090.3402033</v>
      </c>
      <c r="K29" s="115">
        <f>SUM(D29:I29)</f>
        <v>9047482712.5600014</v>
      </c>
      <c r="L29" s="198">
        <f t="shared" si="12"/>
        <v>6.8310070903402034</v>
      </c>
      <c r="M29" s="198">
        <f t="shared" si="12"/>
        <v>9.0474827125600008</v>
      </c>
      <c r="N29" s="198">
        <f>IFERROR(VLOOKUP($C29,ULP_CPIIndex2015,4,0),)</f>
        <v>15.502793296089386</v>
      </c>
      <c r="O29" s="195"/>
      <c r="Q29" s="177"/>
      <c r="S29" s="81">
        <v>2024</v>
      </c>
      <c r="T29" s="114">
        <v>9443071.5746029969</v>
      </c>
      <c r="U29" s="114">
        <v>7218303.3746401872</v>
      </c>
      <c r="V29" s="114">
        <v>9203025.5746029969</v>
      </c>
      <c r="W29" s="114">
        <v>7047475.3746401872</v>
      </c>
      <c r="X29" s="115">
        <f>IFERROR(K29/T29,)</f>
        <v>958.10803096029406</v>
      </c>
      <c r="Y29" s="115">
        <f t="shared" si="13"/>
        <v>946.34524704785088</v>
      </c>
      <c r="Z29" s="115">
        <f t="shared" si="13"/>
        <v>983.09872543739993</v>
      </c>
      <c r="AA29" s="115">
        <f>IFERROR(J29/W29,)</f>
        <v>969.28427943445831</v>
      </c>
      <c r="AB29" s="83"/>
      <c r="AD29" s="177"/>
      <c r="AI29" s="76">
        <v>2021</v>
      </c>
      <c r="AJ29" s="114">
        <v>4008612764</v>
      </c>
      <c r="AK29" s="114">
        <v>1053632565</v>
      </c>
      <c r="AL29" s="280">
        <f t="shared" si="2"/>
        <v>0.43096021766938947</v>
      </c>
      <c r="AM29" s="280"/>
      <c r="AN29" s="79">
        <f t="shared" si="3"/>
        <v>6346604030</v>
      </c>
      <c r="AO29" s="83"/>
      <c r="AP29" s="83"/>
      <c r="AQ29" s="83"/>
      <c r="BC29" s="77">
        <v>2039</v>
      </c>
      <c r="BD29" s="115">
        <f>IFERROR(BD$11*VLOOKUP('Gasoline - DemandSupply'!$BC29,fGasoline!$B:$W,21,0), "")</f>
        <v>2254258600.2643199</v>
      </c>
      <c r="BE29" s="115">
        <f>IFERROR(BE$11*VLOOKUP('Gasoline - DemandSupply'!$BC29,fGasoline!$B:$W,21,0), "")</f>
        <v>3838218789.2971787</v>
      </c>
      <c r="BF29" s="115">
        <f>IFERROR(BF$11*VLOOKUP('Gasoline - DemandSupply'!$BC29,fGasoline!$B:$W,21,0), "")</f>
        <v>1661287913.8230641</v>
      </c>
      <c r="BG29" s="115">
        <f>IFERROR(BG$11*VLOOKUP('Gasoline - DemandSupply'!$BC29,fGasoline!$B:$W,21,0), "")</f>
        <v>787357812.1976819</v>
      </c>
      <c r="BH29" s="115">
        <f>IFERROR(BH$11*VLOOKUP('Gasoline - DemandSupply'!$BC29,fGasoline!$B:$W,21,0), "")</f>
        <v>1753893697.7162664</v>
      </c>
      <c r="BI29" s="115">
        <f>IFERROR(BI$11*VLOOKUP('Gasoline - DemandSupply'!$BC29,fGasoline!$B:$W,21,0), "")</f>
        <v>0</v>
      </c>
      <c r="BK29" s="169">
        <f t="shared" si="11"/>
        <v>2039</v>
      </c>
      <c r="BL29" s="115">
        <f>IFERROR(BD$11*VLOOKUP('Gasoline - DemandSupply'!$BC29,fGasoline!$B:$W,22,0), "")</f>
        <v>1690058492.3402555</v>
      </c>
      <c r="BM29" s="115">
        <f>IFERROR(BE$11*VLOOKUP('Gasoline - DemandSupply'!$BC29,fGasoline!$B:$W,22,0), "")</f>
        <v>2877582128.1334038</v>
      </c>
      <c r="BN29" s="115">
        <f>IFERROR(BF$11*VLOOKUP('Gasoline - DemandSupply'!$BC29,fGasoline!$B:$W,22,0), "")</f>
        <v>1245497631.3053374</v>
      </c>
      <c r="BO29" s="115">
        <f>IFERROR(BG$11*VLOOKUP('Gasoline - DemandSupply'!$BC29,fGasoline!$B:$W,22,0), "")</f>
        <v>590296409.14272618</v>
      </c>
      <c r="BP29" s="115">
        <f>IFERROR(BH$11*VLOOKUP('Gasoline - DemandSupply'!$BC29,fGasoline!$B:$W,22,0), "")</f>
        <v>1314925864.3794761</v>
      </c>
      <c r="BQ29" s="115">
        <f>IFERROR(BI$11*VLOOKUP('Gasoline - DemandSupply'!$BC29,fGasoline!$B:$W,22,0), "")</f>
        <v>0</v>
      </c>
    </row>
    <row r="30" spans="3:69" x14ac:dyDescent="0.6">
      <c r="C30" s="81">
        <v>2025</v>
      </c>
      <c r="D30" s="114">
        <v>1914238076.9054396</v>
      </c>
      <c r="E30" s="114">
        <v>3592245040.1623564</v>
      </c>
      <c r="F30" s="114">
        <v>1490850554.9777639</v>
      </c>
      <c r="G30" s="114">
        <v>693348701.11292744</v>
      </c>
      <c r="H30" s="114">
        <v>1577095363.6515138</v>
      </c>
      <c r="I30" s="114"/>
      <c r="J30" s="196">
        <f t="shared" si="4"/>
        <v>6997333672.0455599</v>
      </c>
      <c r="K30" s="115">
        <f>SUM(D30:I30)</f>
        <v>9267777736.8100014</v>
      </c>
      <c r="L30" s="198">
        <f t="shared" si="12"/>
        <v>6.9973336720455599</v>
      </c>
      <c r="M30" s="198">
        <f t="shared" si="12"/>
        <v>9.2677777368100021</v>
      </c>
      <c r="N30" s="198">
        <f>IFERROR(VLOOKUP($C30,ULP_CPIIndex2015,4,0),)</f>
        <v>13.751592356687897</v>
      </c>
      <c r="O30" s="195"/>
      <c r="Q30" s="177"/>
      <c r="S30" s="81">
        <v>2025</v>
      </c>
      <c r="T30" s="114">
        <v>9653655.9189345948</v>
      </c>
      <c r="U30" s="114">
        <v>7043871.3746401872</v>
      </c>
      <c r="V30" s="114">
        <v>9411811.9189345948</v>
      </c>
      <c r="W30" s="114">
        <v>6872281.3746401872</v>
      </c>
      <c r="X30" s="115">
        <f>IFERROR(K30/T30,)</f>
        <v>960.02776716251765</v>
      </c>
      <c r="Y30" s="115">
        <f t="shared" si="13"/>
        <v>993.39316405433306</v>
      </c>
      <c r="Z30" s="115">
        <f t="shared" si="13"/>
        <v>984.69644491781366</v>
      </c>
      <c r="AA30" s="115">
        <f>IFERROR(J30/W30,)</f>
        <v>1018.1966206836111</v>
      </c>
      <c r="AB30" s="83"/>
      <c r="AD30" s="177"/>
      <c r="AI30" s="76">
        <v>2022</v>
      </c>
      <c r="AJ30" s="114">
        <v>5455133853</v>
      </c>
      <c r="AK30" s="114">
        <v>866040055</v>
      </c>
      <c r="AL30" s="280">
        <f t="shared" si="2"/>
        <v>0.59392608748544184</v>
      </c>
      <c r="AM30" s="280"/>
      <c r="AN30" s="79">
        <f t="shared" si="3"/>
        <v>4595776117.5409889</v>
      </c>
      <c r="AO30" s="83"/>
      <c r="AP30" s="83"/>
      <c r="AQ30" s="83"/>
      <c r="BC30" s="77">
        <v>2040</v>
      </c>
      <c r="BD30" s="115">
        <f>IFERROR(BD$11*VLOOKUP('Gasoline - DemandSupply'!$BC30,fGasoline!$B:$W,21,0), "")</f>
        <v>2240938854.1439819</v>
      </c>
      <c r="BE30" s="115">
        <f>IFERROR(BE$11*VLOOKUP('Gasoline - DemandSupply'!$BC30,fGasoline!$B:$W,21,0), "")</f>
        <v>3815539891.7555408</v>
      </c>
      <c r="BF30" s="115">
        <f>IFERROR(BF$11*VLOOKUP('Gasoline - DemandSupply'!$BC30,fGasoline!$B:$W,21,0), "")</f>
        <v>1651471855.788589</v>
      </c>
      <c r="BG30" s="115">
        <f>IFERROR(BG$11*VLOOKUP('Gasoline - DemandSupply'!$BC30,fGasoline!$B:$W,21,0), "")</f>
        <v>782705548.18364716</v>
      </c>
      <c r="BH30" s="115">
        <f>IFERROR(BH$11*VLOOKUP('Gasoline - DemandSupply'!$BC30,fGasoline!$B:$W,21,0), "")</f>
        <v>1743530459.5443447</v>
      </c>
      <c r="BI30" s="115">
        <f>IFERROR(BI$11*VLOOKUP('Gasoline - DemandSupply'!$BC30,fGasoline!$B:$W,21,0), "")</f>
        <v>0</v>
      </c>
      <c r="BK30" s="169">
        <f t="shared" si="11"/>
        <v>2040</v>
      </c>
      <c r="BL30" s="115">
        <f>IFERROR(BD$11*VLOOKUP('Gasoline - DemandSupply'!$BC30,fGasoline!$B:$W,22,0), "")</f>
        <v>1624484706.8576496</v>
      </c>
      <c r="BM30" s="115">
        <f>IFERROR(BE$11*VLOOKUP('Gasoline - DemandSupply'!$BC30,fGasoline!$B:$W,22,0), "")</f>
        <v>2765932765.6799703</v>
      </c>
      <c r="BN30" s="115">
        <f>IFERROR(BF$11*VLOOKUP('Gasoline - DemandSupply'!$BC30,fGasoline!$B:$W,22,0), "")</f>
        <v>1197172679.9119585</v>
      </c>
      <c r="BO30" s="115">
        <f>IFERROR(BG$11*VLOOKUP('Gasoline - DemandSupply'!$BC30,fGasoline!$B:$W,22,0), "")</f>
        <v>567393077.52449441</v>
      </c>
      <c r="BP30" s="115">
        <f>IFERROR(BH$11*VLOOKUP('Gasoline - DemandSupply'!$BC30,fGasoline!$B:$W,22,0), "")</f>
        <v>1263907117.4265506</v>
      </c>
      <c r="BQ30" s="115">
        <f>IFERROR(BI$11*VLOOKUP('Gasoline - DemandSupply'!$BC30,fGasoline!$B:$W,22,0), "")</f>
        <v>0</v>
      </c>
    </row>
    <row r="31" spans="3:69" x14ac:dyDescent="0.6">
      <c r="Q31" s="177"/>
      <c r="S31" s="81"/>
      <c r="T31" s="76"/>
      <c r="U31" s="79"/>
      <c r="V31" s="79"/>
      <c r="W31" s="79"/>
      <c r="X31" s="83"/>
      <c r="Y31" s="83"/>
      <c r="Z31" s="83"/>
      <c r="AA31" s="83"/>
      <c r="AB31" s="83"/>
      <c r="AD31" s="177"/>
      <c r="AI31" s="76">
        <v>2023</v>
      </c>
      <c r="AJ31" s="114">
        <v>4482774760.3800001</v>
      </c>
      <c r="AK31" s="114">
        <v>994107918.01999998</v>
      </c>
      <c r="AL31" s="280">
        <f t="shared" si="2"/>
        <v>0.44911523618162691</v>
      </c>
      <c r="AM31" s="280"/>
      <c r="AN31" s="79">
        <f t="shared" si="3"/>
        <v>6492679589.9999981</v>
      </c>
      <c r="AO31" s="83"/>
      <c r="AP31" s="83"/>
      <c r="AQ31" s="83"/>
      <c r="BC31" s="77">
        <v>2041</v>
      </c>
      <c r="BD31" s="115">
        <f>IFERROR(BD$11*VLOOKUP('Gasoline - DemandSupply'!$BC31,fGasoline!$B:$W,21,0), "")</f>
        <v>2223253441.7918315</v>
      </c>
      <c r="BE31" s="115">
        <f>IFERROR(BE$11*VLOOKUP('Gasoline - DemandSupply'!$BC31,fGasoline!$B:$W,21,0), "")</f>
        <v>3785427782.1783462</v>
      </c>
      <c r="BF31" s="115">
        <f>IFERROR(BF$11*VLOOKUP('Gasoline - DemandSupply'!$BC31,fGasoline!$B:$W,21,0), "")</f>
        <v>1638438496.7107263</v>
      </c>
      <c r="BG31" s="115">
        <f>IFERROR(BG$11*VLOOKUP('Gasoline - DemandSupply'!$BC31,fGasoline!$B:$W,21,0), "")</f>
        <v>776528462.92121518</v>
      </c>
      <c r="BH31" s="115">
        <f>IFERROR(BH$11*VLOOKUP('Gasoline - DemandSupply'!$BC31,fGasoline!$B:$W,21,0), "")</f>
        <v>1729770577.1323121</v>
      </c>
      <c r="BI31" s="115">
        <f>IFERROR(BI$11*VLOOKUP('Gasoline - DemandSupply'!$BC31,fGasoline!$B:$W,21,0), "")</f>
        <v>0</v>
      </c>
      <c r="BK31" s="169">
        <f t="shared" si="11"/>
        <v>2041</v>
      </c>
      <c r="BL31" s="115">
        <f>IFERROR(BD$11*VLOOKUP('Gasoline - DemandSupply'!$BC31,fGasoline!$B:$W,22,0), "")</f>
        <v>1557323802.8791976</v>
      </c>
      <c r="BM31" s="115">
        <f>IFERROR(BE$11*VLOOKUP('Gasoline - DemandSupply'!$BC31,fGasoline!$B:$W,22,0), "")</f>
        <v>2651581092.1292729</v>
      </c>
      <c r="BN31" s="115">
        <f>IFERROR(BF$11*VLOOKUP('Gasoline - DemandSupply'!$BC31,fGasoline!$B:$W,22,0), "")</f>
        <v>1147678093.0674186</v>
      </c>
      <c r="BO31" s="115">
        <f>IFERROR(BG$11*VLOOKUP('Gasoline - DemandSupply'!$BC31,fGasoline!$B:$W,22,0), "")</f>
        <v>543935403.9392668</v>
      </c>
      <c r="BP31" s="115">
        <f>IFERROR(BH$11*VLOOKUP('Gasoline - DemandSupply'!$BC31,fGasoline!$B:$W,22,0), "")</f>
        <v>1211653535.6028316</v>
      </c>
      <c r="BQ31" s="115">
        <f>IFERROR(BI$11*VLOOKUP('Gasoline - DemandSupply'!$BC31,fGasoline!$B:$W,22,0), "")</f>
        <v>0</v>
      </c>
    </row>
    <row r="32" spans="3:69" x14ac:dyDescent="0.6">
      <c r="Q32" s="177"/>
      <c r="S32" s="81"/>
      <c r="T32" s="76"/>
      <c r="U32" s="79"/>
      <c r="V32" s="79"/>
      <c r="W32" s="79"/>
      <c r="X32" s="83"/>
      <c r="Y32" s="83"/>
      <c r="Z32" s="83"/>
      <c r="AA32" s="83"/>
      <c r="AB32" s="83"/>
      <c r="AD32" s="177"/>
      <c r="AI32" s="76">
        <v>2024</v>
      </c>
      <c r="AJ32" s="114">
        <v>4000854433.4499998</v>
      </c>
      <c r="AK32" s="114">
        <v>928506310.88999999</v>
      </c>
      <c r="AL32" s="280">
        <f>AJ32/VLOOKUP($AI32,$C$10:$K$30,9,0)</f>
        <v>0.44220636397523999</v>
      </c>
      <c r="AM32" s="280"/>
      <c r="AN32" s="79">
        <f t="shared" si="3"/>
        <v>5975134590.0000019</v>
      </c>
      <c r="AO32" s="111"/>
      <c r="AP32" s="111"/>
      <c r="AQ32" s="111"/>
      <c r="BC32" s="77">
        <v>2042</v>
      </c>
      <c r="BD32" s="115">
        <f>IFERROR(BD$11*VLOOKUP('Gasoline - DemandSupply'!$BC32,fGasoline!$B:$W,21,0), "")</f>
        <v>2201326706.9587102</v>
      </c>
      <c r="BE32" s="115">
        <f>IFERROR(BE$11*VLOOKUP('Gasoline - DemandSupply'!$BC32,fGasoline!$B:$W,21,0), "")</f>
        <v>3748094174.7499194</v>
      </c>
      <c r="BF32" s="115">
        <f>IFERROR(BF$11*VLOOKUP('Gasoline - DemandSupply'!$BC32,fGasoline!$B:$W,21,0), "")</f>
        <v>1622279472.3806889</v>
      </c>
      <c r="BG32" s="115">
        <f>IFERROR(BG$11*VLOOKUP('Gasoline - DemandSupply'!$BC32,fGasoline!$B:$W,21,0), "")</f>
        <v>768869986.66440034</v>
      </c>
      <c r="BH32" s="115">
        <f>IFERROR(BH$11*VLOOKUP('Gasoline - DemandSupply'!$BC32,fGasoline!$B:$W,21,0), "")</f>
        <v>1712710794.3590324</v>
      </c>
      <c r="BI32" s="115">
        <f>IFERROR(BI$11*VLOOKUP('Gasoline - DemandSupply'!$BC32,fGasoline!$B:$W,21,0), "")</f>
        <v>0</v>
      </c>
      <c r="BK32" s="169">
        <f t="shared" si="11"/>
        <v>2042</v>
      </c>
      <c r="BL32" s="115">
        <f>IFERROR(BD$11*VLOOKUP('Gasoline - DemandSupply'!$BC32,fGasoline!$B:$W,22,0), "")</f>
        <v>1489721876.1143136</v>
      </c>
      <c r="BM32" s="115">
        <f>IFERROR(BE$11*VLOOKUP('Gasoline - DemandSupply'!$BC32,fGasoline!$B:$W,22,0), "")</f>
        <v>2536478510.0780187</v>
      </c>
      <c r="BN32" s="115">
        <f>IFERROR(BF$11*VLOOKUP('Gasoline - DemandSupply'!$BC32,fGasoline!$B:$W,22,0), "")</f>
        <v>1097858492.1252351</v>
      </c>
      <c r="BO32" s="115">
        <f>IFERROR(BG$11*VLOOKUP('Gasoline - DemandSupply'!$BC32,fGasoline!$B:$W,22,0), "")</f>
        <v>520323691.79953891</v>
      </c>
      <c r="BP32" s="115">
        <f>IFERROR(BH$11*VLOOKUP('Gasoline - DemandSupply'!$BC32,fGasoline!$B:$W,22,0), "")</f>
        <v>1159056822.3009486</v>
      </c>
      <c r="BQ32" s="115">
        <f>IFERROR(BI$11*VLOOKUP('Gasoline - DemandSupply'!$BC32,fGasoline!$B:$W,22,0), "")</f>
        <v>0</v>
      </c>
    </row>
    <row r="33" spans="1:71" x14ac:dyDescent="0.6">
      <c r="Q33" s="177"/>
      <c r="S33" s="81"/>
      <c r="T33" s="76"/>
      <c r="U33" s="79"/>
      <c r="V33" s="79"/>
      <c r="W33" s="79"/>
      <c r="X33" s="83"/>
      <c r="Y33" s="83"/>
      <c r="Z33" s="83"/>
      <c r="AA33" s="83"/>
      <c r="AB33" s="83">
        <f>VLOOKUP('Gasoline - DemandSupply'!AI48,fGasoline!B:W,21,0)</f>
        <v>10222204208.669664</v>
      </c>
      <c r="AD33" s="177"/>
      <c r="AI33" s="76">
        <v>2025</v>
      </c>
      <c r="AJ33" s="114">
        <v>4057336766.77</v>
      </c>
      <c r="AK33" s="114">
        <v>753961119.96000004</v>
      </c>
      <c r="AL33" s="280">
        <f>AJ33/VLOOKUP($AI33,$C$10:$K$30,9,0)</f>
        <v>0.43778960631036329</v>
      </c>
      <c r="AM33" s="280"/>
      <c r="AN33" s="79">
        <f t="shared" si="3"/>
        <v>5964402090.000001</v>
      </c>
      <c r="AO33" s="111"/>
      <c r="AP33" s="111"/>
      <c r="AQ33" s="111"/>
      <c r="BC33" s="77">
        <v>2043</v>
      </c>
      <c r="BD33" s="115">
        <f>IFERROR(BD$11*VLOOKUP('Gasoline - DemandSupply'!$BC33,fGasoline!$B:$W,21,0), "")</f>
        <v>2175487804.9643979</v>
      </c>
      <c r="BE33" s="115">
        <f>IFERROR(BE$11*VLOOKUP('Gasoline - DemandSupply'!$BC33,fGasoline!$B:$W,21,0), "")</f>
        <v>3704099506.561563</v>
      </c>
      <c r="BF33" s="115">
        <f>IFERROR(BF$11*VLOOKUP('Gasoline - DemandSupply'!$BC33,fGasoline!$B:$W,21,0), "")</f>
        <v>1603237355.5691674</v>
      </c>
      <c r="BG33" s="115">
        <f>IFERROR(BG$11*VLOOKUP('Gasoline - DemandSupply'!$BC33,fGasoline!$B:$W,21,0), "")</f>
        <v>759845085.37692308</v>
      </c>
      <c r="BH33" s="115">
        <f>IFERROR(BH$11*VLOOKUP('Gasoline - DemandSupply'!$BC33,fGasoline!$B:$W,21,0), "")</f>
        <v>1692607205.8184724</v>
      </c>
      <c r="BI33" s="115">
        <f>IFERROR(BI$11*VLOOKUP('Gasoline - DemandSupply'!$BC33,fGasoline!$B:$W,21,0), "")</f>
        <v>0</v>
      </c>
      <c r="BK33" s="169">
        <f t="shared" si="11"/>
        <v>2043</v>
      </c>
      <c r="BL33" s="115">
        <f>IFERROR(BD$11*VLOOKUP('Gasoline - DemandSupply'!$BC33,fGasoline!$B:$W,22,0), "")</f>
        <v>1422453305.1364453</v>
      </c>
      <c r="BM33" s="115">
        <f>IFERROR(BE$11*VLOOKUP('Gasoline - DemandSupply'!$BC33,fGasoline!$B:$W,22,0), "")</f>
        <v>2421943517.053637</v>
      </c>
      <c r="BN33" s="115">
        <f>IFERROR(BF$11*VLOOKUP('Gasoline - DemandSupply'!$BC33,fGasoline!$B:$W,22,0), "")</f>
        <v>1048284559.5105038</v>
      </c>
      <c r="BO33" s="115">
        <f>IFERROR(BG$11*VLOOKUP('Gasoline - DemandSupply'!$BC33,fGasoline!$B:$W,22,0), "")</f>
        <v>496828412.74478066</v>
      </c>
      <c r="BP33" s="115">
        <f>IFERROR(BH$11*VLOOKUP('Gasoline - DemandSupply'!$BC33,fGasoline!$B:$W,22,0), "")</f>
        <v>1106719471.7065539</v>
      </c>
      <c r="BQ33" s="115">
        <f>IFERROR(BI$11*VLOOKUP('Gasoline - DemandSupply'!$BC33,fGasoline!$B:$W,22,0), "")</f>
        <v>0</v>
      </c>
    </row>
    <row r="34" spans="1:71" x14ac:dyDescent="0.6">
      <c r="D34" s="75">
        <v>2022</v>
      </c>
      <c r="E34" s="83">
        <f>SUM(D27:F27)</f>
        <v>6959774177.4685259</v>
      </c>
      <c r="Q34" s="177"/>
      <c r="S34" s="81"/>
      <c r="T34" s="76"/>
      <c r="U34" s="79"/>
      <c r="V34" s="79"/>
      <c r="W34" s="79"/>
      <c r="X34" s="83"/>
      <c r="Y34" s="83"/>
      <c r="Z34" s="83"/>
      <c r="AA34" s="83" t="s">
        <v>267</v>
      </c>
      <c r="AB34" s="83">
        <f>VLOOKUP('Gasoline - DemandSupply'!AI48,fGasoline!B:W,21,0)</f>
        <v>10222204208.669664</v>
      </c>
      <c r="AD34" s="177"/>
      <c r="AI34" s="76">
        <v>2026</v>
      </c>
      <c r="AJ34" s="360"/>
      <c r="AK34" s="136"/>
      <c r="AL34" s="362">
        <f>(VLOOKUP('Gasoline - DemandSupply'!AI34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34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34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34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34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34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34,Assumptions!$L$102:$L$131,0),MATCH("PetroSA",Assumptions!$L$102:$R$102,0))))/VLOOKUP('Gasoline - DemandSupply'!AI34,fGasoline!B:W,21,0)</f>
        <v>0.21773783385190859</v>
      </c>
      <c r="AM34" s="362">
        <f>(VLOOKUP($AI34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34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34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34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34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34,Assumptions!$L$135:$L$164,0),MATCH("PetroSA",Assumptions!$L$135:$R$135,0))))/VLOOKUP($AI34,fGasoline!$B:$W,22,0)</f>
        <v>0.28044769986492274</v>
      </c>
      <c r="AN34" s="79">
        <f t="shared" si="3"/>
        <v>0</v>
      </c>
      <c r="AO34" s="111"/>
      <c r="AP34" s="111"/>
      <c r="AQ34" s="111"/>
      <c r="BC34" s="77">
        <v>2044</v>
      </c>
      <c r="BD34" s="115">
        <f>IFERROR(BD$11*VLOOKUP('Gasoline - DemandSupply'!$BC34,fGasoline!$B:$W,21,0), "")</f>
        <v>2146203520.1749961</v>
      </c>
      <c r="BE34" s="115">
        <f>IFERROR(BE$11*VLOOKUP('Gasoline - DemandSupply'!$BC34,fGasoline!$B:$W,21,0), "")</f>
        <v>3654238549.1289806</v>
      </c>
      <c r="BF34" s="115">
        <f>IFERROR(BF$11*VLOOKUP('Gasoline - DemandSupply'!$BC34,fGasoline!$B:$W,21,0), "")</f>
        <v>1581656145.5075173</v>
      </c>
      <c r="BG34" s="115">
        <f>IFERROR(BG$11*VLOOKUP('Gasoline - DemandSupply'!$BC34,fGasoline!$B:$W,21,0), "")</f>
        <v>749616795.50776005</v>
      </c>
      <c r="BH34" s="115">
        <f>IFERROR(BH$11*VLOOKUP('Gasoline - DemandSupply'!$BC34,fGasoline!$B:$W,21,0), "")</f>
        <v>1669822986.4178064</v>
      </c>
      <c r="BI34" s="115">
        <f>IFERROR(BI$11*VLOOKUP('Gasoline - DemandSupply'!$BC34,fGasoline!$B:$W,21,0), "")</f>
        <v>0</v>
      </c>
      <c r="BK34" s="169">
        <f t="shared" si="11"/>
        <v>2044</v>
      </c>
      <c r="BL34" s="115">
        <f>IFERROR(BD$11*VLOOKUP('Gasoline - DemandSupply'!$BC34,fGasoline!$B:$W,22,0), "")</f>
        <v>1356012551.6445978</v>
      </c>
      <c r="BM34" s="115">
        <f>IFERROR(BE$11*VLOOKUP('Gasoline - DemandSupply'!$BC34,fGasoline!$B:$W,22,0), "")</f>
        <v>2308818009.4488001</v>
      </c>
      <c r="BN34" s="115">
        <f>IFERROR(BF$11*VLOOKUP('Gasoline - DemandSupply'!$BC34,fGasoline!$B:$W,22,0), "")</f>
        <v>999320691.41286778</v>
      </c>
      <c r="BO34" s="115">
        <f>IFERROR(BG$11*VLOOKUP('Gasoline - DemandSupply'!$BC34,fGasoline!$B:$W,22,0), "")</f>
        <v>473622270.24454904</v>
      </c>
      <c r="BP34" s="115">
        <f>IFERROR(BH$11*VLOOKUP('Gasoline - DemandSupply'!$BC34,fGasoline!$B:$W,22,0), "")</f>
        <v>1055026192.6802669</v>
      </c>
      <c r="BQ34" s="115">
        <f>IFERROR(BI$11*VLOOKUP('Gasoline - DemandSupply'!$BC34,fGasoline!$B:$W,22,0), "")</f>
        <v>0</v>
      </c>
    </row>
    <row r="35" spans="1:71" x14ac:dyDescent="0.6">
      <c r="D35" s="75">
        <v>2023</v>
      </c>
      <c r="E35" s="83">
        <f t="shared" ref="E35:E37" si="14">SUM(D28:F28)</f>
        <v>7536090470.3293591</v>
      </c>
      <c r="Q35" s="177"/>
      <c r="S35" s="81"/>
      <c r="T35" s="76"/>
      <c r="U35" s="79"/>
      <c r="V35" s="79"/>
      <c r="W35" s="79"/>
      <c r="X35" s="83"/>
      <c r="Y35" s="83"/>
      <c r="Z35" s="83"/>
      <c r="AA35" s="83"/>
      <c r="AB35" s="83"/>
      <c r="AD35" s="177"/>
      <c r="AI35" s="76">
        <v>2027</v>
      </c>
      <c r="AJ35" s="360"/>
      <c r="AK35" s="136"/>
      <c r="AL35" s="362">
        <f>(VLOOKUP('Gasoline - DemandSupply'!AI35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35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35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35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35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35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35,Assumptions!$L$102:$L$131,0),MATCH("PetroSA",Assumptions!$L$102:$R$102,0))))/VLOOKUP('Gasoline - DemandSupply'!AI35,fGasoline!B:W,21,0)</f>
        <v>0.22255423860020798</v>
      </c>
      <c r="AM35" s="362">
        <f>(VLOOKUP($AI35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35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35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35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35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35,Assumptions!$L$135:$L$164,0),MATCH("PetroSA",Assumptions!$L$135:$R$135,0))))/VLOOKUP($AI35,fGasoline!$B:$W,22,0)</f>
        <v>0.27441381133919068</v>
      </c>
      <c r="AN35" s="79">
        <f t="shared" si="3"/>
        <v>0</v>
      </c>
      <c r="AO35" s="111"/>
      <c r="AP35" s="111"/>
      <c r="AQ35" s="111"/>
      <c r="BC35" s="77">
        <v>2045</v>
      </c>
      <c r="BD35" s="115">
        <f>IFERROR(BD$11*VLOOKUP('Gasoline - DemandSupply'!$BC35,fGasoline!$B:$W,21,0), "")</f>
        <v>2114002001.2234001</v>
      </c>
      <c r="BE35" s="115">
        <f>IFERROR(BE$11*VLOOKUP('Gasoline - DemandSupply'!$BC35,fGasoline!$B:$W,21,0), "")</f>
        <v>3599410555.9832821</v>
      </c>
      <c r="BF35" s="115">
        <f>IFERROR(BF$11*VLOOKUP('Gasoline - DemandSupply'!$BC35,fGasoline!$B:$W,21,0), "")</f>
        <v>1557925064.1512089</v>
      </c>
      <c r="BG35" s="115">
        <f>IFERROR(BG$11*VLOOKUP('Gasoline - DemandSupply'!$BC35,fGasoline!$B:$W,21,0), "")</f>
        <v>738369586.55480421</v>
      </c>
      <c r="BH35" s="115">
        <f>IFERROR(BH$11*VLOOKUP('Gasoline - DemandSupply'!$BC35,fGasoline!$B:$W,21,0), "")</f>
        <v>1644769054.655287</v>
      </c>
      <c r="BI35" s="115">
        <f>IFERROR(BI$11*VLOOKUP('Gasoline - DemandSupply'!$BC35,fGasoline!$B:$W,21,0), "")</f>
        <v>0</v>
      </c>
      <c r="BK35" s="169">
        <f t="shared" si="11"/>
        <v>2045</v>
      </c>
      <c r="BL35" s="115">
        <f>IFERROR(BD$11*VLOOKUP('Gasoline - DemandSupply'!$BC35,fGasoline!$B:$W,22,0), "")</f>
        <v>1290701879.1936235</v>
      </c>
      <c r="BM35" s="115">
        <f>IFERROR(BE$11*VLOOKUP('Gasoline - DemandSupply'!$BC35,fGasoline!$B:$W,22,0), "")</f>
        <v>2197616637.0270333</v>
      </c>
      <c r="BN35" s="115">
        <f>IFERROR(BF$11*VLOOKUP('Gasoline - DemandSupply'!$BC35,fGasoline!$B:$W,22,0), "")</f>
        <v>951189642.57324553</v>
      </c>
      <c r="BO35" s="115">
        <f>IFERROR(BG$11*VLOOKUP('Gasoline - DemandSupply'!$BC35,fGasoline!$B:$W,22,0), "")</f>
        <v>450810837.62181044</v>
      </c>
      <c r="BP35" s="115">
        <f>IFERROR(BH$11*VLOOKUP('Gasoline - DemandSupply'!$BC35,fGasoline!$B:$W,22,0), "")</f>
        <v>1004212157.0625502</v>
      </c>
      <c r="BQ35" s="115">
        <f>IFERROR(BI$11*VLOOKUP('Gasoline - DemandSupply'!$BC35,fGasoline!$B:$W,22,0), "")</f>
        <v>0</v>
      </c>
    </row>
    <row r="36" spans="1:71" x14ac:dyDescent="0.6">
      <c r="D36" s="75">
        <v>2024</v>
      </c>
      <c r="E36" s="83">
        <f t="shared" si="14"/>
        <v>6831007090.3402033</v>
      </c>
      <c r="Q36" s="177"/>
      <c r="AD36" s="177"/>
      <c r="AI36" s="76">
        <v>2028</v>
      </c>
      <c r="AJ36" s="360"/>
      <c r="AK36" s="136"/>
      <c r="AL36" s="362">
        <f>(VLOOKUP('Gasoline - DemandSupply'!AI36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36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36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36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36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36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36,Assumptions!$L$102:$L$131,0),MATCH("PetroSA",Assumptions!$L$102:$R$102,0))))/VLOOKUP('Gasoline - DemandSupply'!AI36,fGasoline!B:W,21,0)</f>
        <v>0.22755096585656609</v>
      </c>
      <c r="AM36" s="362">
        <f>(VLOOKUP($AI36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36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36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36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36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36,Assumptions!$L$135:$L$164,0),MATCH("PetroSA",Assumptions!$L$135:$R$135,0))))/VLOOKUP($AI36,fGasoline!$B:$W,22,0)</f>
        <v>0.26853980824664786</v>
      </c>
      <c r="AN36" s="79">
        <f t="shared" si="3"/>
        <v>0</v>
      </c>
      <c r="AO36" s="111"/>
      <c r="AP36" s="111"/>
      <c r="AQ36" s="111"/>
      <c r="BC36" s="77">
        <v>2046</v>
      </c>
      <c r="BD36" s="115" t="str">
        <f>IFERROR(BD$11*VLOOKUP('Gasoline - DemandSupply'!$BC36,fGasoline!$B:$W,21,0), "")</f>
        <v/>
      </c>
      <c r="BE36" s="115" t="str">
        <f>IFERROR(BE$11*VLOOKUP('Gasoline - DemandSupply'!$BC36,fGasoline!$B:$W,21,0), "")</f>
        <v/>
      </c>
      <c r="BF36" s="115" t="str">
        <f>IFERROR(BF$11*VLOOKUP('Gasoline - DemandSupply'!$BC36,fGasoline!$B:$W,21,0), "")</f>
        <v/>
      </c>
      <c r="BG36" s="115" t="str">
        <f>IFERROR(BG$11*VLOOKUP('Gasoline - DemandSupply'!$BC36,fGasoline!$B:$W,21,0), "")</f>
        <v/>
      </c>
      <c r="BH36" s="115" t="str">
        <f>IFERROR(BH$11*VLOOKUP('Gasoline - DemandSupply'!$BC36,fGasoline!$B:$W,21,0), "")</f>
        <v/>
      </c>
      <c r="BI36" s="115" t="str">
        <f>IFERROR(BI$11*VLOOKUP('Gasoline - DemandSupply'!$BC36,fGasoline!$B:$W,21,0), "")</f>
        <v/>
      </c>
      <c r="BK36" s="169">
        <f t="shared" si="11"/>
        <v>2046</v>
      </c>
      <c r="BL36" s="115" t="str">
        <f>IFERROR(BD$11*VLOOKUP('Gasoline - DemandSupply'!$BC36,fGasoline!$B:$W,22,0), "")</f>
        <v/>
      </c>
      <c r="BM36" s="115" t="str">
        <f>IFERROR(BE$11*VLOOKUP('Gasoline - DemandSupply'!$BC36,fGasoline!$B:$W,22,0), "")</f>
        <v/>
      </c>
      <c r="BN36" s="115" t="str">
        <f>IFERROR(BF$11*VLOOKUP('Gasoline - DemandSupply'!$BC36,fGasoline!$B:$W,22,0), "")</f>
        <v/>
      </c>
      <c r="BO36" s="115" t="str">
        <f>IFERROR(BG$11*VLOOKUP('Gasoline - DemandSupply'!$BC36,fGasoline!$B:$W,22,0), "")</f>
        <v/>
      </c>
      <c r="BP36" s="115" t="str">
        <f>IFERROR(BH$11*VLOOKUP('Gasoline - DemandSupply'!$BC36,fGasoline!$B:$W,22,0), "")</f>
        <v/>
      </c>
      <c r="BQ36" s="115" t="str">
        <f>IFERROR(BI$11*VLOOKUP('Gasoline - DemandSupply'!$BC36,fGasoline!$B:$W,22,0), "")</f>
        <v/>
      </c>
    </row>
    <row r="37" spans="1:71" x14ac:dyDescent="0.6">
      <c r="D37" s="75">
        <v>2025</v>
      </c>
      <c r="E37" s="83">
        <f t="shared" si="14"/>
        <v>6997333672.0455599</v>
      </c>
      <c r="Q37" s="177"/>
      <c r="AD37" s="177"/>
      <c r="AI37" s="76">
        <v>2029</v>
      </c>
      <c r="AJ37" s="360"/>
      <c r="AK37" s="136"/>
      <c r="AL37" s="362">
        <f>(VLOOKUP('Gasoline - DemandSupply'!AI37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37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37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37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37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37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37,Assumptions!$L$102:$L$131,0),MATCH("PetroSA",Assumptions!$L$102:$R$102,0))))/VLOOKUP('Gasoline - DemandSupply'!AI37,fGasoline!B:W,21,0)</f>
        <v>0.24687515109428643</v>
      </c>
      <c r="AM37" s="362">
        <f>(VLOOKUP($AI37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37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37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37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37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37,Assumptions!$L$135:$L$164,0),MATCH("PetroSA",Assumptions!$L$135:$R$135,0))))/VLOOKUP($AI37,fGasoline!$B:$W,22,0)</f>
        <v>0.28525156574294375</v>
      </c>
      <c r="AN37" s="79">
        <f t="shared" si="3"/>
        <v>0</v>
      </c>
      <c r="AO37" s="111"/>
      <c r="AP37" s="111"/>
      <c r="AQ37" s="111"/>
      <c r="BC37" s="77">
        <v>2047</v>
      </c>
      <c r="BD37" s="115" t="str">
        <f>IFERROR(BD$11*VLOOKUP('Gasoline - DemandSupply'!$BC37,fGasoline!$B:$W,21,0), "")</f>
        <v/>
      </c>
      <c r="BE37" s="115" t="str">
        <f>IFERROR(BE$11*VLOOKUP('Gasoline - DemandSupply'!$BC37,fGasoline!$B:$W,21,0), "")</f>
        <v/>
      </c>
      <c r="BF37" s="115" t="str">
        <f>IFERROR(BF$11*VLOOKUP('Gasoline - DemandSupply'!$BC37,fGasoline!$B:$W,21,0), "")</f>
        <v/>
      </c>
      <c r="BG37" s="115" t="str">
        <f>IFERROR(BG$11*VLOOKUP('Gasoline - DemandSupply'!$BC37,fGasoline!$B:$W,21,0), "")</f>
        <v/>
      </c>
      <c r="BH37" s="115" t="str">
        <f>IFERROR(BH$11*VLOOKUP('Gasoline - DemandSupply'!$BC37,fGasoline!$B:$W,21,0), "")</f>
        <v/>
      </c>
      <c r="BI37" s="115" t="str">
        <f>IFERROR(BI$11*VLOOKUP('Gasoline - DemandSupply'!$BC37,fGasoline!$B:$W,21,0), "")</f>
        <v/>
      </c>
      <c r="BK37" s="169">
        <f t="shared" si="11"/>
        <v>2047</v>
      </c>
      <c r="BL37" s="115" t="str">
        <f>IFERROR(BD$11*VLOOKUP('Gasoline - DemandSupply'!$BC37,fGasoline!$B:$W,22,0), "")</f>
        <v/>
      </c>
      <c r="BM37" s="115" t="str">
        <f>IFERROR(BE$11*VLOOKUP('Gasoline - DemandSupply'!$BC37,fGasoline!$B:$W,22,0), "")</f>
        <v/>
      </c>
      <c r="BN37" s="115" t="str">
        <f>IFERROR(BF$11*VLOOKUP('Gasoline - DemandSupply'!$BC37,fGasoline!$B:$W,22,0), "")</f>
        <v/>
      </c>
      <c r="BO37" s="115" t="str">
        <f>IFERROR(BG$11*VLOOKUP('Gasoline - DemandSupply'!$BC37,fGasoline!$B:$W,22,0), "")</f>
        <v/>
      </c>
      <c r="BP37" s="115" t="str">
        <f>IFERROR(BH$11*VLOOKUP('Gasoline - DemandSupply'!$BC37,fGasoline!$B:$W,22,0), "")</f>
        <v/>
      </c>
      <c r="BQ37" s="115" t="str">
        <f>IFERROR(BI$11*VLOOKUP('Gasoline - DemandSupply'!$BC37,fGasoline!$B:$W,22,0), "")</f>
        <v/>
      </c>
    </row>
    <row r="38" spans="1:71" x14ac:dyDescent="0.6">
      <c r="Q38" s="177"/>
      <c r="AA38" s="75" t="s">
        <v>268</v>
      </c>
      <c r="AB38" s="79">
        <f>SUM(INDEX(Refinery,MATCH(Product_select,Assumptions!$L$93:$L$98,0),MATCH("Enref",Assumptions!$L$93:$R$93,0))*Crude_oil_litresPerBarrel*(INDEX(Refinery_capacity,2,MATCH("Enref",Assumptions!$L$93:$R$93,0)))*Operational_days*1000*Refinery_availability*INDEX(Production_High,MATCH($AI32,Assumptions!$L$102:$L$131,0),MATCH("Enref",Assumptions!$L$102:$R$102,0)),INDEX(Refinery,MATCH(Product_select,Assumptions!$L$93:$L$98,0),MATCH("SAPREF",Assumptions!$L$93:$R$93,0))*Crude_oil_litresPerBarrel*(INDEX(Refinery_capacity,2,MATCH("SAPREF",Assumptions!$L$93:$R$93,0)))*Operational_days*1000*Refinery_availability*INDEX(Production_High,MATCH($AI32,Assumptions!$L$102:$L$131,0),MATCH("SAPREF",Assumptions!$L$102:$R$102,0)),INDEX(Refinery,MATCH(Product_select,Assumptions!$L$93:$L$98,0),MATCH("Natref",Assumptions!$L$93:$R$93,0))*Crude_oil_litresPerBarrel*(INDEX(Refinery_capacity,2,MATCH("Natref",Assumptions!$L$93:$R$93,0)))*Operational_days*1000*Refinery_availability*INDEX(Production_High,MATCH($AI32,Assumptions!$L$102:$L$131,0),MATCH("Natref",Assumptions!$L$102:$R$102,0)),INDEX(Refinery,MATCH(Product_select,Assumptions!$L$93:$L$98,0),MATCH("Sasol",Assumptions!$L$93:$R$93,0))*Crude_oil_litresPerBarrel*(INDEX(Refinery_capacity,2,MATCH("Sasol",Assumptions!$L$93:$R$93,0)))*Operational_days*1000*Refinery_availability*INDEX(Production_High,MATCH($AI32,Assumptions!$L$102:$L$131,0),MATCH("Sasol",Assumptions!$L$102:$R$102,0)),INDEX(Refinery,MATCH(Product_select,Assumptions!$L$93:$L$98,0),MATCH("Astron",Assumptions!$L$93:$R$93,0))*Crude_oil_litresPerBarrel*(INDEX(Refinery_capacity,2,MATCH("Astron",Assumptions!$L$93:$R$93,0)))*Operational_days*1000*Refinery_availability*INDEX(Production_High,MATCH($AI32,Assumptions!$L$102:$L$131,0),MATCH("Astron",Assumptions!$L$102:$R$102,0)),INDEX(Refinery,MATCH(Product_select,Assumptions!$L$93:$L$98,0),MATCH("PetroSA",Assumptions!$L$93:$R$93,0))*Crude_oil_litresPerBarrel*(INDEX(Refinery_capacity,2,MATCH("PetroSA",Assumptions!$L$93:$R$93,0)))*Operational_days*1000*Refinery_availability*INDEX(Production_High,MATCH($AI32,Assumptions!$L$102:$L$131,0),MATCH("PetroSA",Assumptions!$L$102:$R$102,0)))</f>
        <v>7437640582.6728745</v>
      </c>
      <c r="AD38" s="177"/>
      <c r="AI38" s="76">
        <v>2030</v>
      </c>
      <c r="AJ38" s="360"/>
      <c r="AK38" s="136"/>
      <c r="AL38" s="362">
        <f>(VLOOKUP('Gasoline - DemandSupply'!AI38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38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38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38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38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38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38,Assumptions!$L$102:$L$131,0),MATCH("PetroSA",Assumptions!$L$102:$R$102,0))))/VLOOKUP('Gasoline - DemandSupply'!AI38,fGasoline!B:W,21,0)</f>
        <v>0.25583669304210543</v>
      </c>
      <c r="AM38" s="362">
        <f>(VLOOKUP($AI38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38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38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38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38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38,Assumptions!$L$135:$L$164,0),MATCH("PetroSA",Assumptions!$L$135:$R$135,0))))/VLOOKUP($AI38,fGasoline!$B:$W,22,0)</f>
        <v>0.28157240230968456</v>
      </c>
      <c r="AN38" s="79">
        <f t="shared" si="3"/>
        <v>0</v>
      </c>
      <c r="AO38" s="111"/>
      <c r="AP38" s="111"/>
      <c r="AQ38" s="111"/>
      <c r="BC38" s="77">
        <v>2048</v>
      </c>
      <c r="BD38" s="115" t="str">
        <f>IFERROR(BD$11*VLOOKUP('Gasoline - DemandSupply'!$BC38,fGasoline!$B:$W,21,0), "")</f>
        <v/>
      </c>
      <c r="BE38" s="115" t="str">
        <f>IFERROR(BE$11*VLOOKUP('Gasoline - DemandSupply'!$BC38,fGasoline!$B:$W,21,0), "")</f>
        <v/>
      </c>
      <c r="BF38" s="115" t="str">
        <f>IFERROR(BF$11*VLOOKUP('Gasoline - DemandSupply'!$BC38,fGasoline!$B:$W,21,0), "")</f>
        <v/>
      </c>
      <c r="BG38" s="115" t="str">
        <f>IFERROR(BG$11*VLOOKUP('Gasoline - DemandSupply'!$BC38,fGasoline!$B:$W,21,0), "")</f>
        <v/>
      </c>
      <c r="BH38" s="115" t="str">
        <f>IFERROR(BH$11*VLOOKUP('Gasoline - DemandSupply'!$BC38,fGasoline!$B:$W,21,0), "")</f>
        <v/>
      </c>
      <c r="BI38" s="115" t="str">
        <f>IFERROR(BI$11*VLOOKUP('Gasoline - DemandSupply'!$BC38,fGasoline!$B:$W,21,0), "")</f>
        <v/>
      </c>
      <c r="BK38" s="169">
        <f t="shared" si="11"/>
        <v>2048</v>
      </c>
      <c r="BL38" s="115" t="str">
        <f>IFERROR(BD$11*VLOOKUP('Gasoline - DemandSupply'!$BC38,fGasoline!$B:$W,22,0), "")</f>
        <v/>
      </c>
      <c r="BM38" s="115" t="str">
        <f>IFERROR(BE$11*VLOOKUP('Gasoline - DemandSupply'!$BC38,fGasoline!$B:$W,22,0), "")</f>
        <v/>
      </c>
      <c r="BN38" s="115" t="str">
        <f>IFERROR(BF$11*VLOOKUP('Gasoline - DemandSupply'!$BC38,fGasoline!$B:$W,22,0), "")</f>
        <v/>
      </c>
      <c r="BO38" s="115" t="str">
        <f>IFERROR(BG$11*VLOOKUP('Gasoline - DemandSupply'!$BC38,fGasoline!$B:$W,22,0), "")</f>
        <v/>
      </c>
      <c r="BP38" s="115" t="str">
        <f>IFERROR(BH$11*VLOOKUP('Gasoline - DemandSupply'!$BC38,fGasoline!$B:$W,22,0), "")</f>
        <v/>
      </c>
      <c r="BQ38" s="115" t="str">
        <f>IFERROR(BI$11*VLOOKUP('Gasoline - DemandSupply'!$BC38,fGasoline!$B:$W,22,0), "")</f>
        <v/>
      </c>
    </row>
    <row r="39" spans="1:71" x14ac:dyDescent="0.6">
      <c r="Q39" s="177"/>
      <c r="AD39" s="177"/>
      <c r="AI39" s="76">
        <v>2031</v>
      </c>
      <c r="AJ39" s="360"/>
      <c r="AK39" s="136"/>
      <c r="AL39" s="362">
        <f>(VLOOKUP('Gasoline - DemandSupply'!AI39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39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39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39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39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39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39,Assumptions!$L$102:$L$131,0),MATCH("PetroSA",Assumptions!$L$102:$R$102,0))))/VLOOKUP('Gasoline - DemandSupply'!AI39,fGasoline!B:W,21,0)</f>
        <v>0.25449844215877371</v>
      </c>
      <c r="AM39" s="362">
        <f>(VLOOKUP($AI39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39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39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39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39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39,Assumptions!$L$135:$L$164,0),MATCH("PetroSA",Assumptions!$L$135:$R$135,0))))/VLOOKUP($AI39,fGasoline!$B:$W,22,0)</f>
        <v>0.47296588211776752</v>
      </c>
      <c r="AN39" s="79">
        <f t="shared" si="3"/>
        <v>0</v>
      </c>
    </row>
    <row r="40" spans="1:71" x14ac:dyDescent="0.6">
      <c r="Q40" s="177"/>
      <c r="AD40" s="177"/>
      <c r="AI40" s="76">
        <v>2032</v>
      </c>
      <c r="AJ40" s="360"/>
      <c r="AK40" s="136"/>
      <c r="AL40" s="362">
        <f>(VLOOKUP('Gasoline - DemandSupply'!AI40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40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40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40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40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40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40,Assumptions!$L$102:$L$131,0),MATCH("PetroSA",Assumptions!$L$102:$R$102,0))))/VLOOKUP('Gasoline - DemandSupply'!AI40,fGasoline!B:W,21,0)</f>
        <v>0.26270022418467692</v>
      </c>
      <c r="AM40" s="362">
        <f>(VLOOKUP($AI40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40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40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40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40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40,Assumptions!$L$135:$L$164,0),MATCH("PetroSA",Assumptions!$L$135:$R$135,0))))/VLOOKUP($AI40,fGasoline!$B:$W,22,0)</f>
        <v>0.46885732835332866</v>
      </c>
      <c r="AN40" s="79">
        <f t="shared" si="3"/>
        <v>0</v>
      </c>
    </row>
    <row r="41" spans="1:71" x14ac:dyDescent="0.6">
      <c r="Q41" s="177"/>
      <c r="AD41" s="177"/>
      <c r="AI41" s="76">
        <v>2033</v>
      </c>
      <c r="AJ41" s="360"/>
      <c r="AK41" s="136"/>
      <c r="AL41" s="362">
        <f>(VLOOKUP('Gasoline - DemandSupply'!AI41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41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41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41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41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41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41,Assumptions!$L$102:$L$131,0),MATCH("PetroSA",Assumptions!$L$102:$R$102,0))))/VLOOKUP('Gasoline - DemandSupply'!AI41,fGasoline!B:W,21,0)</f>
        <v>0.27973990791094316</v>
      </c>
      <c r="AM41" s="362">
        <f>(VLOOKUP($AI41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41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41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41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41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41,Assumptions!$L$135:$L$164,0),MATCH("PetroSA",Assumptions!$L$135:$R$135,0))))/VLOOKUP($AI41,fGasoline!$B:$W,22,0)</f>
        <v>0.47597830214705567</v>
      </c>
      <c r="AN41" s="79">
        <f t="shared" si="3"/>
        <v>0</v>
      </c>
      <c r="BD41" s="111"/>
    </row>
    <row r="42" spans="1:71" x14ac:dyDescent="0.6">
      <c r="Q42" s="177"/>
      <c r="AD42" s="177"/>
      <c r="AI42" s="76">
        <v>2034</v>
      </c>
      <c r="AJ42" s="360"/>
      <c r="AK42" s="136"/>
      <c r="AL42" s="362">
        <f>(VLOOKUP('Gasoline - DemandSupply'!AI42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42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42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42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42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42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42,Assumptions!$L$102:$L$131,0),MATCH("PetroSA",Assumptions!$L$102:$R$102,0))))/VLOOKUP('Gasoline - DemandSupply'!AI42,fGasoline!B:W,21,0)</f>
        <v>0.2907162419775543</v>
      </c>
      <c r="AM42" s="362">
        <f>(VLOOKUP($AI42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42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42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42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42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42,Assumptions!$L$135:$L$164,0),MATCH("PetroSA",Assumptions!$L$135:$R$135,0))))/VLOOKUP($AI42,fGasoline!$B:$W,22,0)</f>
        <v>0.48159608555495076</v>
      </c>
      <c r="AN42" s="79">
        <f t="shared" si="3"/>
        <v>0</v>
      </c>
      <c r="BE42" s="83">
        <f>SUM(BD20:BH20)</f>
        <v>9988986400.5756512</v>
      </c>
    </row>
    <row r="43" spans="1:71" x14ac:dyDescent="0.6">
      <c r="Q43" s="177"/>
      <c r="AD43" s="177"/>
      <c r="AI43" s="76">
        <v>2035</v>
      </c>
      <c r="AJ43" s="360"/>
      <c r="AK43" s="136"/>
      <c r="AL43" s="362">
        <f>(VLOOKUP('Gasoline - DemandSupply'!AI43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43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43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43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43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43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43,Assumptions!$L$102:$L$131,0),MATCH("PetroSA",Assumptions!$L$102:$R$102,0))))/VLOOKUP('Gasoline - DemandSupply'!AI43,fGasoline!B:W,21,0)</f>
        <v>0.30115166771759172</v>
      </c>
      <c r="AM43" s="362">
        <f>(VLOOKUP($AI43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43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43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43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43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43,Assumptions!$L$135:$L$164,0),MATCH("PetroSA",Assumptions!$L$135:$R$135,0))))/VLOOKUP($AI43,fGasoline!$B:$W,22,0)</f>
        <v>0.48530248866827846</v>
      </c>
      <c r="AN43" s="79">
        <f t="shared" si="3"/>
        <v>0</v>
      </c>
    </row>
    <row r="44" spans="1:71" x14ac:dyDescent="0.6">
      <c r="Q44" s="177"/>
      <c r="AD44" s="177"/>
      <c r="AF44" s="121"/>
      <c r="AG44" s="121"/>
      <c r="AI44" s="76">
        <v>2036</v>
      </c>
      <c r="AJ44" s="360"/>
      <c r="AK44" s="136"/>
      <c r="AL44" s="362">
        <f>(VLOOKUP('Gasoline - DemandSupply'!AI44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44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44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44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44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44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44,Assumptions!$L$102:$L$131,0),MATCH("PetroSA",Assumptions!$L$102:$R$102,0))))/VLOOKUP('Gasoline - DemandSupply'!AI44,fGasoline!B:W,21,0)</f>
        <v>0.33180667001081698</v>
      </c>
      <c r="AM44" s="362">
        <f>(VLOOKUP($AI44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44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44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44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44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44,Assumptions!$L$135:$L$164,0),MATCH("PetroSA",Assumptions!$L$135:$R$135,0))))/VLOOKUP($AI44,fGasoline!$B:$W,22,0)</f>
        <v>0.47359659039233998</v>
      </c>
      <c r="AN44" s="79">
        <f t="shared" si="3"/>
        <v>0</v>
      </c>
      <c r="BA44" s="121"/>
      <c r="BB44" s="121"/>
      <c r="BR44" s="121"/>
      <c r="BS44" s="121"/>
    </row>
    <row r="45" spans="1:71" x14ac:dyDescent="0.6">
      <c r="A45" s="121"/>
      <c r="B45" s="121"/>
      <c r="Q45" s="177"/>
      <c r="AD45" s="177"/>
      <c r="AF45" s="121"/>
      <c r="AG45" s="121"/>
      <c r="AI45" s="76">
        <v>2037</v>
      </c>
      <c r="AJ45" s="360"/>
      <c r="AK45" s="136"/>
      <c r="AL45" s="362">
        <f>(VLOOKUP('Gasoline - DemandSupply'!AI45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45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45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45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45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45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45,Assumptions!$L$102:$L$131,0),MATCH("PetroSA",Assumptions!$L$102:$R$102,0))))/VLOOKUP('Gasoline - DemandSupply'!AI45,fGasoline!B:W,21,0)</f>
        <v>0.33129465922052076</v>
      </c>
      <c r="AM45" s="362">
        <f>(VLOOKUP($AI45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45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45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45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45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45,Assumptions!$L$135:$L$164,0),MATCH("PetroSA",Assumptions!$L$135:$R$135,0))))/VLOOKUP($AI45,fGasoline!$B:$W,22,0)</f>
        <v>0.45890799215414579</v>
      </c>
      <c r="AN45" s="79">
        <f t="shared" si="3"/>
        <v>0</v>
      </c>
      <c r="BA45" s="121"/>
      <c r="BB45" s="121"/>
      <c r="BR45" s="121"/>
      <c r="BS45" s="121"/>
    </row>
    <row r="46" spans="1:71" x14ac:dyDescent="0.6">
      <c r="A46" s="121"/>
      <c r="B46" s="121"/>
      <c r="Q46" s="177"/>
      <c r="AD46" s="177"/>
      <c r="AF46" s="121"/>
      <c r="AG46" s="121"/>
      <c r="AI46" s="76">
        <v>2038</v>
      </c>
      <c r="AJ46" s="360"/>
      <c r="AK46" s="136"/>
      <c r="AL46" s="362">
        <f>(VLOOKUP('Gasoline - DemandSupply'!AI46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46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46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46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46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46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46,Assumptions!$L$102:$L$131,0),MATCH("PetroSA",Assumptions!$L$102:$R$102,0))))/VLOOKUP('Gasoline - DemandSupply'!AI46,fGasoline!B:W,21,0)</f>
        <v>0.32977222415028917</v>
      </c>
      <c r="AM46" s="362">
        <f>(VLOOKUP($AI46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46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46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46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46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46,Assumptions!$L$135:$L$164,0),MATCH("PetroSA",Assumptions!$L$135:$R$135,0))))/VLOOKUP($AI46,fGasoline!$B:$W,22,0)</f>
        <v>0.44118732052975229</v>
      </c>
      <c r="AN46" s="79">
        <f t="shared" si="3"/>
        <v>0</v>
      </c>
      <c r="BA46" s="121"/>
      <c r="BB46" s="121"/>
      <c r="BR46" s="121"/>
      <c r="BS46" s="121"/>
    </row>
    <row r="47" spans="1:71" x14ac:dyDescent="0.6">
      <c r="A47" s="121"/>
      <c r="B47" s="121"/>
      <c r="Q47" s="177"/>
      <c r="AD47" s="177"/>
      <c r="AF47" s="121"/>
      <c r="AG47" s="121"/>
      <c r="AI47" s="76">
        <v>2039</v>
      </c>
      <c r="AJ47" s="360"/>
      <c r="AK47" s="136"/>
      <c r="AL47" s="362">
        <f>(VLOOKUP('Gasoline - DemandSupply'!AI47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47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47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47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47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47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47,Assumptions!$L$102:$L$131,0),MATCH("PetroSA",Assumptions!$L$102:$R$102,0))))/VLOOKUP('Gasoline - DemandSupply'!AI47,fGasoline!B:W,21,0)</f>
        <v>0.32707617524433186</v>
      </c>
      <c r="AM47" s="362">
        <f>(VLOOKUP($AI47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47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47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47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47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47,Assumptions!$L$135:$L$164,0),MATCH("PetroSA",Assumptions!$L$135:$R$135,0))))/VLOOKUP($AI47,fGasoline!$B:$W,22,0)</f>
        <v>0.42054699461901141</v>
      </c>
      <c r="AN47" s="79">
        <f t="shared" si="3"/>
        <v>0</v>
      </c>
      <c r="BA47" s="121"/>
      <c r="BB47" s="121"/>
      <c r="BR47" s="121"/>
      <c r="BS47" s="121"/>
    </row>
    <row r="48" spans="1:71" x14ac:dyDescent="0.6">
      <c r="A48" s="121"/>
      <c r="B48" s="121"/>
      <c r="Q48" s="177"/>
      <c r="AD48" s="177"/>
      <c r="AF48" s="121"/>
      <c r="AG48" s="121"/>
      <c r="AI48" s="76">
        <v>2040</v>
      </c>
      <c r="AJ48" s="360"/>
      <c r="AK48" s="136"/>
      <c r="AL48" s="362">
        <f>(VLOOKUP('Gasoline - DemandSupply'!AI48,fGasoline!B:W,21,0)-SUM(INDEX(Refinery,MATCH($AJ$8,Assumptions!$L$93:$L$98,0),MATCH("Enref",Assumptions!$L$93:$R$93,0))*Crude_oil_litresPerBarrel*(INDEX(Refinery_capacity,2,MATCH("Enref",Assumptions!$L$93:$R$93,0)))*Operational_days*1000*Refinery_availability*INDEX(Production_High,MATCH($AI48,Assumptions!$L$102:$L$131,0),MATCH("Enref",Assumptions!$L$102:$R$102,0)),INDEX(Refinery,MATCH($AJ$8,Assumptions!$L$93:$L$98,0),MATCH("SAPREF",Assumptions!$L$93:$R$93,0))*Crude_oil_litresPerBarrel*(INDEX(Refinery_capacity,2,MATCH("SAPREF",Assumptions!$L$93:$R$93,0)))*Operational_days*1000*Refinery_availability*INDEX(Production_High,MATCH($AI48,Assumptions!$L$102:$L$131,0),MATCH("SAPREF",Assumptions!$L$102:$R$102,0)),INDEX(Refinery,MATCH($AJ$8,Assumptions!$L$93:$L$98,0),MATCH("Natref",Assumptions!$L$93:$R$93,0))*Crude_oil_litresPerBarrel*(INDEX(Refinery_capacity,2,MATCH("Natref",Assumptions!$L$93:$R$93,0)))*Operational_days*1000*Refinery_availability*INDEX(Production_High,MATCH($AI48,Assumptions!$L$102:$L$131,0),MATCH("Natref",Assumptions!$L$102:$R$102,0)),INDEX(Refinery,MATCH($AJ$8,Assumptions!$L$93:$L$98,0),MATCH("Sasol",Assumptions!$L$93:$R$93,0))*Crude_oil_litresPerBarrel*(INDEX(Refinery_capacity,2,MATCH("Sasol",Assumptions!$L$93:$R$93,0)))*Operational_days*1000*Refinery_availability*INDEX(Production_High,MATCH($AI48,Assumptions!$L$102:$L$131,0),MATCH("Sasol",Assumptions!$L$102:$R$102,0)),INDEX(Refinery,MATCH($AJ$8,Assumptions!$L$93:$L$98,0),MATCH("Astron",Assumptions!$L$93:$R$93,0))*Crude_oil_litresPerBarrel*(INDEX(Refinery_capacity,2,MATCH("Astron",Assumptions!$L$93:$R$93,0)))*Operational_days*1000*Refinery_availability*INDEX(Production_High,MATCH($AI48,Assumptions!$L$102:$L$131,0),MATCH("Astron",Assumptions!$L$102:$R$102,0)),INDEX(Refinery,MATCH($AJ$8,Assumptions!$L$93:$L$98,0),MATCH("PetroSA",Assumptions!$L$93:$R$93,0))*Crude_oil_litresPerBarrel*(INDEX(Refinery_capacity,2,MATCH("PetroSA",Assumptions!$L$93:$R$93,0)))*Operational_days*1000*Refinery_availability*INDEX(Production_High,MATCH($AI48,Assumptions!$L$102:$L$131,0),MATCH("PetroSA",Assumptions!$L$102:$R$102,0))))/VLOOKUP('Gasoline - DemandSupply'!AI48,fGasoline!B:W,21,0)</f>
        <v>0.32307643447162065</v>
      </c>
      <c r="AM48" s="362">
        <f>(VLOOKUP($AI48,fGasoline!$B:$W,22,0)-SUM(INDEX(Refinery,MATCH($AJ$8,Assumptions!$L$93:$L$98,0),MATCH("SAPREF",Assumptions!$L$93:$R$93,0))*Crude_oil_litresPerBarrel*(INDEX(Refinery_capacity,2,MATCH("SAPREF",Assumptions!$L$93:$R$93,0)))*Operational_days*1000*Refinery_availability*INDEX(Production_Low,MATCH($AI48,Assumptions!$L$135:$L$164,0),MATCH("SAPREF",Assumptions!$L$135:$R$135,0)),INDEX(Refinery,MATCH($AJ$8,Assumptions!$L$93:$L$98,0),MATCH("Natref",Assumptions!$L$93:$R$93,0))*Crude_oil_litresPerBarrel*(INDEX(Refinery_capacity,2,MATCH("Natref",Assumptions!$L$93:$R$93,0)))*Operational_days*1000*Refinery_availability*INDEX(Production_Low,MATCH($AI48,Assumptions!$L$135:$L$164,0),MATCH("Natref",Assumptions!$L$135:$R$135,0)),INDEX(Refinery,MATCH($AJ$8,Assumptions!$L$93:$L$98,0),MATCH("Sasol",Assumptions!$L$93:$R$93,0))*Crude_oil_litresPerBarrel*(INDEX(Refinery_capacity,2,MATCH("Sasol",Assumptions!$L$93:$R$93,0)))*Operational_days*1000*Refinery_availability*INDEX(Production_Low,MATCH($AI48,Assumptions!$L$135:$L$164,0),MATCH("Sasol",Assumptions!$L$135:$R$135,0)),INDEX(Refinery,MATCH($AJ$8,Assumptions!$L$93:$L$98,0),MATCH("Astron",Assumptions!$L$93:$R$93,0))*Crude_oil_litresPerBarrel*(INDEX(Refinery_capacity,2,MATCH("Astron",Assumptions!$L$93:$R$93,0)))*Operational_days*1000*Refinery_availability*INDEX(Production_Low,MATCH($AI48,Assumptions!$L$135:$L$164,0),MATCH("Astron",Assumptions!$L$135:$R$135,0)),INDEX(Refinery,MATCH($AJ$8,Assumptions!$L$93:$L$98,0),MATCH("PetroSA",Assumptions!$L$93:$R$93,0))*Crude_oil_litresPerBarrel*(INDEX(Refinery_capacity,2,MATCH("PetroSA",Assumptions!$L$93:$R$93,0)))*Operational_days*1000*Refinery_availability*INDEX(Production_Low,MATCH($AI48,Assumptions!$L$135:$L$164,0),MATCH("PetroSA",Assumptions!$L$135:$R$135,0))))/VLOOKUP($AI48,fGasoline!$B:$W,22,0)</f>
        <v>0.39715685317187871</v>
      </c>
      <c r="AN48" s="79">
        <f t="shared" si="3"/>
        <v>0</v>
      </c>
      <c r="BA48" s="121"/>
      <c r="BB48" s="121"/>
      <c r="BR48" s="121"/>
      <c r="BS48" s="121"/>
    </row>
    <row r="49" spans="1:71" x14ac:dyDescent="0.6">
      <c r="A49" s="121"/>
      <c r="B49" s="121"/>
      <c r="Q49" s="177"/>
      <c r="AD49" s="177"/>
      <c r="AF49" s="121"/>
      <c r="AG49" s="121"/>
      <c r="BA49" s="121"/>
      <c r="BB49" s="121"/>
      <c r="BR49" s="121"/>
      <c r="BS49" s="121"/>
    </row>
    <row r="50" spans="1:71" x14ac:dyDescent="0.6">
      <c r="A50" s="121"/>
      <c r="B50" s="121"/>
      <c r="Q50" s="177"/>
      <c r="AD50" s="177"/>
      <c r="AF50" s="121"/>
      <c r="AG50" s="121"/>
      <c r="BA50" s="121"/>
      <c r="BB50" s="121"/>
      <c r="BR50" s="121"/>
      <c r="BS50" s="121"/>
    </row>
    <row r="51" spans="1:71" x14ac:dyDescent="0.6">
      <c r="A51" s="121"/>
      <c r="B51" s="121"/>
      <c r="Q51" s="177"/>
      <c r="AD51" s="177"/>
      <c r="AF51" s="121"/>
      <c r="AG51" s="121"/>
      <c r="BA51" s="121"/>
      <c r="BB51" s="121"/>
    </row>
    <row r="52" spans="1:71" x14ac:dyDescent="0.6">
      <c r="A52" s="121"/>
      <c r="B52" s="121"/>
      <c r="C52" s="156" t="s">
        <v>206</v>
      </c>
      <c r="D52" s="272">
        <f>AVERAGE(D53:D73)</f>
        <v>0.21676105929259507</v>
      </c>
      <c r="E52" s="272">
        <f>AVERAGE(E53:E73)</f>
        <v>0.37079838876367988</v>
      </c>
      <c r="F52" s="272">
        <f t="shared" ref="F52:J52" si="15">AVERAGE(F53:F73)</f>
        <v>0.15909570783586582</v>
      </c>
      <c r="G52" s="272">
        <f t="shared" si="15"/>
        <v>7.4107549717470675E-2</v>
      </c>
      <c r="H52" s="272">
        <f t="shared" si="15"/>
        <v>0.16810145668186119</v>
      </c>
      <c r="I52" s="272">
        <f t="shared" si="15"/>
        <v>1.1135837708527394E-2</v>
      </c>
      <c r="J52" s="272">
        <f t="shared" si="15"/>
        <v>1</v>
      </c>
      <c r="Q52" s="177"/>
      <c r="AD52" s="177"/>
      <c r="AF52" s="121"/>
      <c r="AG52" s="121"/>
      <c r="BA52" s="121"/>
      <c r="BB52" s="121"/>
    </row>
    <row r="53" spans="1:71" x14ac:dyDescent="0.6">
      <c r="A53" s="121"/>
      <c r="B53" s="121"/>
      <c r="C53" s="283">
        <v>2005</v>
      </c>
      <c r="D53" s="278">
        <f>D10/$K10</f>
        <v>0</v>
      </c>
      <c r="E53" s="278">
        <f>E10/$K10</f>
        <v>0.47829575312842193</v>
      </c>
      <c r="F53" s="278">
        <f t="shared" ref="F53:I53" si="16">F10/$K10</f>
        <v>0.20169865481800844</v>
      </c>
      <c r="G53" s="278">
        <f t="shared" si="16"/>
        <v>9.46077342902817E-2</v>
      </c>
      <c r="H53" s="278">
        <f t="shared" si="16"/>
        <v>0.22539785776328794</v>
      </c>
      <c r="I53" s="278">
        <f t="shared" si="16"/>
        <v>0</v>
      </c>
      <c r="J53" s="284">
        <f>K10/$K10</f>
        <v>1</v>
      </c>
      <c r="Q53" s="177"/>
      <c r="AD53" s="177"/>
      <c r="AF53" s="121"/>
      <c r="AG53" s="121"/>
      <c r="BA53" s="121"/>
      <c r="BB53" s="121"/>
    </row>
    <row r="54" spans="1:71" x14ac:dyDescent="0.6">
      <c r="A54" s="121"/>
      <c r="B54" s="121"/>
      <c r="C54" s="283">
        <v>2006</v>
      </c>
      <c r="D54" s="278">
        <f t="shared" ref="D54:I73" si="17">D11/$K11</f>
        <v>0.22667549701598941</v>
      </c>
      <c r="E54" s="278">
        <f t="shared" si="17"/>
        <v>0.36837468491142233</v>
      </c>
      <c r="F54" s="278">
        <f t="shared" si="17"/>
        <v>0.157907692771762</v>
      </c>
      <c r="G54" s="278">
        <f t="shared" si="17"/>
        <v>7.2537231628715143E-2</v>
      </c>
      <c r="H54" s="278">
        <f t="shared" si="17"/>
        <v>0.17450489367211111</v>
      </c>
      <c r="I54" s="278">
        <f t="shared" si="17"/>
        <v>0</v>
      </c>
      <c r="J54" s="284">
        <f t="shared" ref="J54:J73" si="18">K11/$K11</f>
        <v>1</v>
      </c>
      <c r="Q54" s="177"/>
      <c r="AD54" s="177"/>
      <c r="AF54" s="121"/>
      <c r="AG54" s="121"/>
      <c r="BA54" s="121"/>
      <c r="BB54" s="121"/>
    </row>
    <row r="55" spans="1:71" x14ac:dyDescent="0.6">
      <c r="A55" s="121"/>
      <c r="B55" s="121"/>
      <c r="C55" s="283">
        <v>2007</v>
      </c>
      <c r="D55" s="278">
        <f t="shared" si="17"/>
        <v>0.23448842220994412</v>
      </c>
      <c r="E55" s="278">
        <f t="shared" si="17"/>
        <v>0.36452665900287634</v>
      </c>
      <c r="F55" s="278">
        <f t="shared" si="17"/>
        <v>0.15586068290937113</v>
      </c>
      <c r="G55" s="278">
        <f t="shared" si="17"/>
        <v>7.2364842070263655E-2</v>
      </c>
      <c r="H55" s="278">
        <f t="shared" si="17"/>
        <v>0.17275939380754479</v>
      </c>
      <c r="I55" s="278">
        <f t="shared" si="17"/>
        <v>0</v>
      </c>
      <c r="J55" s="284">
        <f t="shared" si="18"/>
        <v>1</v>
      </c>
      <c r="Q55" s="177"/>
      <c r="AD55" s="177"/>
    </row>
    <row r="56" spans="1:71" x14ac:dyDescent="0.6">
      <c r="C56" s="283">
        <v>2008</v>
      </c>
      <c r="D56" s="278">
        <f t="shared" si="17"/>
        <v>0.23317282392114583</v>
      </c>
      <c r="E56" s="278">
        <f t="shared" si="17"/>
        <v>0.3673535950581745</v>
      </c>
      <c r="F56" s="278">
        <f t="shared" si="17"/>
        <v>0.15526490134671855</v>
      </c>
      <c r="G56" s="278">
        <f t="shared" si="17"/>
        <v>7.2383639607244005E-2</v>
      </c>
      <c r="H56" s="278">
        <f t="shared" si="17"/>
        <v>0.17182504006671714</v>
      </c>
      <c r="I56" s="278">
        <f t="shared" si="17"/>
        <v>0</v>
      </c>
      <c r="J56" s="284">
        <f t="shared" si="18"/>
        <v>1</v>
      </c>
      <c r="Q56" s="177"/>
      <c r="AD56" s="177"/>
    </row>
    <row r="57" spans="1:71" x14ac:dyDescent="0.6">
      <c r="C57" s="283">
        <v>2009</v>
      </c>
      <c r="D57" s="278">
        <f t="shared" si="17"/>
        <v>0.23615139840640328</v>
      </c>
      <c r="E57" s="278">
        <f t="shared" si="17"/>
        <v>0.36397299122670435</v>
      </c>
      <c r="F57" s="278">
        <f t="shared" si="17"/>
        <v>0.15715241854879627</v>
      </c>
      <c r="G57" s="278">
        <f t="shared" si="17"/>
        <v>7.3646964986262178E-2</v>
      </c>
      <c r="H57" s="278">
        <f t="shared" si="17"/>
        <v>0.16907622683183393</v>
      </c>
      <c r="I57" s="278">
        <f t="shared" si="17"/>
        <v>0</v>
      </c>
      <c r="J57" s="284">
        <f t="shared" si="18"/>
        <v>1</v>
      </c>
      <c r="Q57" s="177"/>
      <c r="AD57" s="177"/>
    </row>
    <row r="58" spans="1:71" x14ac:dyDescent="0.6">
      <c r="C58" s="283">
        <v>2010</v>
      </c>
      <c r="D58" s="278">
        <f t="shared" si="17"/>
        <v>0.18873718349551655</v>
      </c>
      <c r="E58" s="278">
        <f t="shared" si="17"/>
        <v>0.30359818905776842</v>
      </c>
      <c r="F58" s="278">
        <f t="shared" si="17"/>
        <v>0.13201814356143965</v>
      </c>
      <c r="G58" s="278">
        <f t="shared" si="17"/>
        <v>6.1167673717510071E-2</v>
      </c>
      <c r="H58" s="278">
        <f t="shared" si="17"/>
        <v>0.14013817303825357</v>
      </c>
      <c r="I58" s="278">
        <f t="shared" si="17"/>
        <v>0.17434063712951178</v>
      </c>
      <c r="J58" s="284">
        <f t="shared" si="18"/>
        <v>1</v>
      </c>
      <c r="Q58" s="177"/>
      <c r="AD58" s="177"/>
    </row>
    <row r="59" spans="1:71" x14ac:dyDescent="0.6">
      <c r="C59" s="283">
        <v>2011</v>
      </c>
      <c r="D59" s="278">
        <f t="shared" si="17"/>
        <v>0.2387683976147493</v>
      </c>
      <c r="E59" s="278">
        <f t="shared" si="17"/>
        <v>0.34048821542394436</v>
      </c>
      <c r="F59" s="278">
        <f t="shared" si="17"/>
        <v>0.1553597617849363</v>
      </c>
      <c r="G59" s="278">
        <f t="shared" si="17"/>
        <v>7.0631479376040071E-2</v>
      </c>
      <c r="H59" s="278">
        <f t="shared" si="17"/>
        <v>0.16909685022296439</v>
      </c>
      <c r="I59" s="278">
        <f t="shared" si="17"/>
        <v>2.5655295577365591E-2</v>
      </c>
      <c r="J59" s="284">
        <f t="shared" si="18"/>
        <v>1</v>
      </c>
      <c r="Q59" s="177"/>
      <c r="AD59" s="177"/>
    </row>
    <row r="60" spans="1:71" x14ac:dyDescent="0.6">
      <c r="C60" s="283">
        <v>2012</v>
      </c>
      <c r="D60" s="278">
        <f t="shared" si="17"/>
        <v>0.22395218332239844</v>
      </c>
      <c r="E60" s="278">
        <f t="shared" si="17"/>
        <v>0.35209690559236273</v>
      </c>
      <c r="F60" s="278">
        <f t="shared" si="17"/>
        <v>0.15990617130055479</v>
      </c>
      <c r="G60" s="278">
        <f t="shared" si="17"/>
        <v>6.934104258329303E-2</v>
      </c>
      <c r="H60" s="278">
        <f t="shared" si="17"/>
        <v>0.16756933573306856</v>
      </c>
      <c r="I60" s="278">
        <f t="shared" si="17"/>
        <v>2.7134361468322449E-2</v>
      </c>
      <c r="J60" s="284">
        <f t="shared" si="18"/>
        <v>1</v>
      </c>
      <c r="Q60" s="177"/>
      <c r="AD60" s="177"/>
    </row>
    <row r="61" spans="1:71" x14ac:dyDescent="0.6">
      <c r="C61" s="283">
        <v>2013</v>
      </c>
      <c r="D61" s="278">
        <f t="shared" si="17"/>
        <v>0.24525495091664382</v>
      </c>
      <c r="E61" s="278">
        <f t="shared" si="17"/>
        <v>0.36710601771690687</v>
      </c>
      <c r="F61" s="278">
        <f t="shared" si="17"/>
        <v>0.15917113517744069</v>
      </c>
      <c r="G61" s="278">
        <f t="shared" si="17"/>
        <v>6.9552971514677916E-2</v>
      </c>
      <c r="H61" s="278">
        <f t="shared" si="17"/>
        <v>0.15893142775421293</v>
      </c>
      <c r="I61" s="278">
        <f t="shared" si="17"/>
        <v>-1.6503079882234912E-5</v>
      </c>
      <c r="J61" s="284">
        <f t="shared" si="18"/>
        <v>1</v>
      </c>
      <c r="Q61" s="177"/>
      <c r="AD61" s="177"/>
    </row>
    <row r="62" spans="1:71" x14ac:dyDescent="0.6">
      <c r="C62" s="283">
        <v>2014</v>
      </c>
      <c r="D62" s="278">
        <f t="shared" si="17"/>
        <v>0.24499045735783345</v>
      </c>
      <c r="E62" s="278">
        <f t="shared" si="17"/>
        <v>0.36753565891293782</v>
      </c>
      <c r="F62" s="278">
        <f t="shared" si="17"/>
        <v>0.15869808436552224</v>
      </c>
      <c r="G62" s="278">
        <f t="shared" si="17"/>
        <v>7.4565976970841941E-2</v>
      </c>
      <c r="H62" s="278">
        <f t="shared" si="17"/>
        <v>0.16710738965146232</v>
      </c>
      <c r="I62" s="278">
        <f t="shared" si="17"/>
        <v>-1.2897567258597732E-2</v>
      </c>
      <c r="J62" s="284">
        <f t="shared" si="18"/>
        <v>1</v>
      </c>
      <c r="Q62" s="177"/>
      <c r="AD62" s="177"/>
    </row>
    <row r="63" spans="1:71" x14ac:dyDescent="0.6">
      <c r="C63" s="283">
        <v>2015</v>
      </c>
      <c r="D63" s="278">
        <f t="shared" si="17"/>
        <v>0.24543926496528526</v>
      </c>
      <c r="E63" s="278">
        <f t="shared" si="17"/>
        <v>0.36042794128190814</v>
      </c>
      <c r="F63" s="278">
        <f t="shared" si="17"/>
        <v>0.15635081024908001</v>
      </c>
      <c r="G63" s="278">
        <f t="shared" si="17"/>
        <v>7.5218794011603682E-2</v>
      </c>
      <c r="H63" s="278">
        <f t="shared" si="17"/>
        <v>0.16203555779822107</v>
      </c>
      <c r="I63" s="278">
        <f t="shared" si="17"/>
        <v>5.276316939018485E-4</v>
      </c>
      <c r="J63" s="284">
        <f t="shared" si="18"/>
        <v>1</v>
      </c>
      <c r="Q63" s="177"/>
      <c r="AD63" s="177"/>
    </row>
    <row r="64" spans="1:71" x14ac:dyDescent="0.6">
      <c r="C64" s="283">
        <v>2016</v>
      </c>
      <c r="D64" s="278">
        <f t="shared" si="17"/>
        <v>0.23693579724664765</v>
      </c>
      <c r="E64" s="278">
        <f t="shared" si="17"/>
        <v>0.3658924510658309</v>
      </c>
      <c r="F64" s="278">
        <f t="shared" si="17"/>
        <v>0.15463340258818251</v>
      </c>
      <c r="G64" s="278">
        <f t="shared" si="17"/>
        <v>7.42411093949428E-2</v>
      </c>
      <c r="H64" s="278">
        <f t="shared" si="17"/>
        <v>0.1682972396770013</v>
      </c>
      <c r="I64" s="278">
        <f t="shared" si="17"/>
        <v>2.7394860331680206E-11</v>
      </c>
      <c r="J64" s="284">
        <f t="shared" si="18"/>
        <v>1</v>
      </c>
      <c r="Q64" s="177"/>
      <c r="AD64" s="177"/>
    </row>
    <row r="65" spans="3:30" x14ac:dyDescent="0.6">
      <c r="C65" s="283">
        <v>2017</v>
      </c>
      <c r="D65" s="278">
        <f t="shared" si="17"/>
        <v>0.23685952696604545</v>
      </c>
      <c r="E65" s="278">
        <f t="shared" si="17"/>
        <v>0.36734006767217081</v>
      </c>
      <c r="F65" s="278">
        <f t="shared" si="17"/>
        <v>0.15501268603958285</v>
      </c>
      <c r="G65" s="278">
        <f t="shared" si="17"/>
        <v>7.3851206996866967E-2</v>
      </c>
      <c r="H65" s="278">
        <f t="shared" si="17"/>
        <v>0.16691217237453201</v>
      </c>
      <c r="I65" s="278">
        <f t="shared" si="17"/>
        <v>2.4339950801947563E-5</v>
      </c>
      <c r="J65" s="284">
        <f t="shared" si="18"/>
        <v>1</v>
      </c>
      <c r="Q65" s="177"/>
      <c r="AD65" s="177"/>
    </row>
    <row r="66" spans="3:30" x14ac:dyDescent="0.6">
      <c r="C66" s="283">
        <v>2018</v>
      </c>
      <c r="D66" s="278">
        <f t="shared" si="17"/>
        <v>0.24187242784266305</v>
      </c>
      <c r="E66" s="278">
        <f t="shared" si="17"/>
        <v>0.36006851970255482</v>
      </c>
      <c r="F66" s="278">
        <f t="shared" si="17"/>
        <v>0.14696035242371586</v>
      </c>
      <c r="G66" s="278">
        <f t="shared" si="17"/>
        <v>7.2190158404485977E-2</v>
      </c>
      <c r="H66" s="278">
        <f t="shared" si="17"/>
        <v>0.15982414436334844</v>
      </c>
      <c r="I66" s="278">
        <f t="shared" si="17"/>
        <v>1.9084397263231859E-2</v>
      </c>
      <c r="J66" s="284">
        <f t="shared" si="18"/>
        <v>1</v>
      </c>
      <c r="Q66" s="177"/>
      <c r="AD66" s="177"/>
    </row>
    <row r="67" spans="3:30" x14ac:dyDescent="0.6">
      <c r="C67" s="283">
        <v>2019</v>
      </c>
      <c r="D67" s="278">
        <f t="shared" si="17"/>
        <v>0.2288297848427378</v>
      </c>
      <c r="E67" s="278">
        <f t="shared" si="17"/>
        <v>0.37959166176625675</v>
      </c>
      <c r="F67" s="278">
        <f t="shared" si="17"/>
        <v>0.15613005370039676</v>
      </c>
      <c r="G67" s="278">
        <f t="shared" si="17"/>
        <v>7.3291501411190813E-2</v>
      </c>
      <c r="H67" s="278">
        <f t="shared" si="17"/>
        <v>0.16215699828517127</v>
      </c>
      <c r="I67" s="278">
        <f t="shared" si="17"/>
        <v>-5.7532724512431482E-12</v>
      </c>
      <c r="J67" s="284">
        <f t="shared" si="18"/>
        <v>1</v>
      </c>
      <c r="Q67" s="177"/>
      <c r="AD67" s="177"/>
    </row>
    <row r="68" spans="3:30" x14ac:dyDescent="0.6">
      <c r="C68" s="283">
        <v>2020</v>
      </c>
      <c r="D68" s="278">
        <f t="shared" si="17"/>
        <v>0.2400167557520482</v>
      </c>
      <c r="E68" s="278">
        <f t="shared" si="17"/>
        <v>0.35903554157827877</v>
      </c>
      <c r="F68" s="278">
        <f t="shared" si="17"/>
        <v>0.16557328930899359</v>
      </c>
      <c r="G68" s="278">
        <f t="shared" si="17"/>
        <v>7.7213780977456542E-2</v>
      </c>
      <c r="H68" s="278">
        <f t="shared" si="17"/>
        <v>0.15816063243983383</v>
      </c>
      <c r="I68" s="278">
        <f t="shared" si="17"/>
        <v>-5.6610878479072523E-11</v>
      </c>
      <c r="J68" s="284">
        <f t="shared" si="18"/>
        <v>1</v>
      </c>
      <c r="Q68" s="177"/>
      <c r="AD68" s="177"/>
    </row>
    <row r="69" spans="3:30" x14ac:dyDescent="0.6">
      <c r="C69" s="283">
        <v>2021</v>
      </c>
      <c r="D69" s="278">
        <f t="shared" si="17"/>
        <v>0.22339761576264267</v>
      </c>
      <c r="E69" s="278">
        <f t="shared" si="17"/>
        <v>0.37115743467241125</v>
      </c>
      <c r="F69" s="278">
        <f t="shared" si="17"/>
        <v>0.16685962722565814</v>
      </c>
      <c r="G69" s="278">
        <f t="shared" si="17"/>
        <v>7.876649718192863E-2</v>
      </c>
      <c r="H69" s="278">
        <f t="shared" si="17"/>
        <v>0.15981882598797026</v>
      </c>
      <c r="I69" s="278">
        <f t="shared" si="17"/>
        <v>-8.3061097277568795E-10</v>
      </c>
      <c r="J69" s="284">
        <f t="shared" si="18"/>
        <v>1</v>
      </c>
      <c r="Q69" s="177"/>
      <c r="AD69" s="177"/>
    </row>
    <row r="70" spans="3:30" x14ac:dyDescent="0.6">
      <c r="C70" s="283">
        <v>2022</v>
      </c>
      <c r="D70" s="278">
        <f t="shared" si="17"/>
        <v>0.20679668946941002</v>
      </c>
      <c r="E70" s="278">
        <f t="shared" si="17"/>
        <v>0.38708627030631609</v>
      </c>
      <c r="F70" s="278">
        <f t="shared" si="17"/>
        <v>0.16386039875485522</v>
      </c>
      <c r="G70" s="278">
        <f t="shared" si="17"/>
        <v>7.6247442206655816E-2</v>
      </c>
      <c r="H70" s="278">
        <f t="shared" si="17"/>
        <v>0.16600919926276281</v>
      </c>
      <c r="I70" s="278">
        <f t="shared" si="17"/>
        <v>0</v>
      </c>
      <c r="J70" s="284">
        <f t="shared" si="18"/>
        <v>1</v>
      </c>
      <c r="Q70" s="177"/>
      <c r="AD70" s="177"/>
    </row>
    <row r="71" spans="3:30" x14ac:dyDescent="0.6">
      <c r="C71" s="283">
        <v>2023</v>
      </c>
      <c r="D71" s="278">
        <f t="shared" si="17"/>
        <v>0.20654768934546403</v>
      </c>
      <c r="E71" s="278">
        <f t="shared" si="17"/>
        <v>0.38760586865334334</v>
      </c>
      <c r="F71" s="278">
        <f t="shared" si="17"/>
        <v>0.16086386589272259</v>
      </c>
      <c r="G71" s="278">
        <f t="shared" si="17"/>
        <v>7.4812832245541139E-2</v>
      </c>
      <c r="H71" s="278">
        <f t="shared" si="17"/>
        <v>0.17016974386292905</v>
      </c>
      <c r="I71" s="278">
        <f t="shared" si="17"/>
        <v>0</v>
      </c>
      <c r="J71" s="284">
        <f t="shared" si="18"/>
        <v>1</v>
      </c>
      <c r="Q71" s="177"/>
      <c r="AD71" s="177"/>
    </row>
    <row r="72" spans="3:30" x14ac:dyDescent="0.6">
      <c r="C72" s="283">
        <v>2024</v>
      </c>
      <c r="D72" s="278">
        <f t="shared" si="17"/>
        <v>0.206547689345464</v>
      </c>
      <c r="E72" s="278">
        <f t="shared" si="17"/>
        <v>0.38760586865334329</v>
      </c>
      <c r="F72" s="278">
        <f t="shared" si="17"/>
        <v>0.16086386589272256</v>
      </c>
      <c r="G72" s="278">
        <f t="shared" si="17"/>
        <v>7.4812832245541125E-2</v>
      </c>
      <c r="H72" s="278">
        <f t="shared" si="17"/>
        <v>0.17016974386292902</v>
      </c>
      <c r="I72" s="278">
        <f t="shared" si="17"/>
        <v>0</v>
      </c>
      <c r="J72" s="284">
        <f t="shared" si="18"/>
        <v>1</v>
      </c>
    </row>
    <row r="73" spans="3:30" x14ac:dyDescent="0.6">
      <c r="C73" s="283">
        <v>2025</v>
      </c>
      <c r="D73" s="278">
        <f t="shared" si="17"/>
        <v>0.206547689345464</v>
      </c>
      <c r="E73" s="278">
        <f t="shared" si="17"/>
        <v>0.38760586865334329</v>
      </c>
      <c r="F73" s="278">
        <f t="shared" si="17"/>
        <v>0.16086386589272256</v>
      </c>
      <c r="G73" s="278">
        <f t="shared" si="17"/>
        <v>7.4812832245541125E-2</v>
      </c>
      <c r="H73" s="278">
        <f t="shared" si="17"/>
        <v>0.17016974386292902</v>
      </c>
      <c r="I73" s="278">
        <f t="shared" si="17"/>
        <v>0</v>
      </c>
      <c r="J73" s="284">
        <f t="shared" si="18"/>
        <v>1</v>
      </c>
    </row>
  </sheetData>
  <mergeCells count="5">
    <mergeCell ref="BL9:BQ9"/>
    <mergeCell ref="BD9:BI9"/>
    <mergeCell ref="C2:AE4"/>
    <mergeCell ref="AH2:AZ4"/>
    <mergeCell ref="BC2:BQ4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6C1AFBB-776E-4C41-9680-998AAF1A7548}">
          <x14:formula1>
            <xm:f>Assumptions!$H$44:$H$45</xm:f>
          </x14:formula1>
          <xm:sqref>AN9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C2D2-B608-4C15-802D-3641547608CA}">
  <sheetPr codeName="Sheet8">
    <tabColor theme="4"/>
  </sheetPr>
  <dimension ref="A1:D22"/>
  <sheetViews>
    <sheetView zoomScale="55" zoomScaleNormal="55" workbookViewId="0">
      <selection activeCell="B13" sqref="B13"/>
    </sheetView>
  </sheetViews>
  <sheetFormatPr defaultRowHeight="14.25" x14ac:dyDescent="0.45"/>
  <cols>
    <col min="1" max="1" width="5.1328125" bestFit="1" customWidth="1"/>
    <col min="2" max="2" width="15.59765625" bestFit="1" customWidth="1"/>
    <col min="3" max="3" width="14.3984375" bestFit="1" customWidth="1"/>
    <col min="4" max="4" width="15.59765625" bestFit="1" customWidth="1"/>
  </cols>
  <sheetData>
    <row r="1" spans="1:4" x14ac:dyDescent="0.45">
      <c r="A1" t="str">
        <f>'Jet - DemandSupply'!Y8</f>
        <v>Year</v>
      </c>
      <c r="B1" t="str">
        <f>'Jet - DemandSupply'!Z8</f>
        <v>Imports (Litres)</v>
      </c>
      <c r="C1" t="str">
        <f>'Jet - DemandSupply'!AA8</f>
        <v>Exports (Litres)</v>
      </c>
      <c r="D1" t="str">
        <f>'Jet - DemandSupply'!AD8</f>
        <v>RSA Demand</v>
      </c>
    </row>
    <row r="2" spans="1:4" ht="15.75" x14ac:dyDescent="0.6">
      <c r="A2">
        <f>'Jet - DemandSupply'!Y9</f>
        <v>2002</v>
      </c>
      <c r="B2" s="79">
        <f>'Jet - DemandSupply'!Z9+'Diesel - DemandSupply'!AU11+'Gasoline - DemandSupply'!AJ10</f>
        <v>722492241.90116799</v>
      </c>
      <c r="C2" s="79">
        <f>'Jet - DemandSupply'!AA9+'Diesel - DemandSupply'!AV11+'Gasoline - DemandSupply'!AK10</f>
        <v>3837593022.1527405</v>
      </c>
      <c r="D2" s="79">
        <f>'Jet - DemandSupply'!AD9+'Diesel - DemandSupply'!AZ11+'Gasoline - DemandSupply'!AN10</f>
        <v>0</v>
      </c>
    </row>
    <row r="3" spans="1:4" ht="15.75" x14ac:dyDescent="0.6">
      <c r="A3">
        <f>'Jet - DemandSupply'!Y10</f>
        <v>2003</v>
      </c>
      <c r="B3" s="79">
        <f>'Jet - DemandSupply'!Z10+'Diesel - DemandSupply'!AU12+'Gasoline - DemandSupply'!AJ11</f>
        <v>377469274.76010782</v>
      </c>
      <c r="C3" s="79">
        <f>'Jet - DemandSupply'!AA10+'Diesel - DemandSupply'!AV12+'Gasoline - DemandSupply'!AK11</f>
        <v>2355047364.4959574</v>
      </c>
      <c r="D3" s="79">
        <f>'Jet - DemandSupply'!AD10+'Diesel - DemandSupply'!AZ12+'Gasoline - DemandSupply'!AN11</f>
        <v>0</v>
      </c>
    </row>
    <row r="4" spans="1:4" ht="15.75" x14ac:dyDescent="0.6">
      <c r="A4">
        <f>'Jet - DemandSupply'!Y11</f>
        <v>2004</v>
      </c>
      <c r="B4" s="79">
        <f>'Jet - DemandSupply'!Z11+'Diesel - DemandSupply'!AU13+'Gasoline - DemandSupply'!AJ12</f>
        <v>1488732783.7807727</v>
      </c>
      <c r="C4" s="79">
        <f>'Jet - DemandSupply'!AA11+'Diesel - DemandSupply'!AV13+'Gasoline - DemandSupply'!AK12</f>
        <v>1904145065.3036838</v>
      </c>
      <c r="D4" s="79">
        <f>'Jet - DemandSupply'!AD11+'Diesel - DemandSupply'!AZ13+'Gasoline - DemandSupply'!AN12</f>
        <v>0</v>
      </c>
    </row>
    <row r="5" spans="1:4" ht="15.75" x14ac:dyDescent="0.6">
      <c r="A5">
        <f>'Jet - DemandSupply'!Y12</f>
        <v>2005</v>
      </c>
      <c r="B5" s="79">
        <f>'Jet - DemandSupply'!Z12+'Diesel - DemandSupply'!AU14+'Gasoline - DemandSupply'!AJ13</f>
        <v>2062013839.6379156</v>
      </c>
      <c r="C5" s="79">
        <f>'Jet - DemandSupply'!AA12+'Diesel - DemandSupply'!AV14+'Gasoline - DemandSupply'!AK13</f>
        <v>3920499311.2893081</v>
      </c>
      <c r="D5" s="79"/>
    </row>
    <row r="6" spans="1:4" ht="15.75" x14ac:dyDescent="0.6">
      <c r="A6">
        <f>'Jet - DemandSupply'!Y13</f>
        <v>2006</v>
      </c>
      <c r="B6" s="79">
        <f>'Jet - DemandSupply'!Z13+'Diesel - DemandSupply'!AU15+'Gasoline - DemandSupply'!AJ14</f>
        <v>4036356244.6046724</v>
      </c>
      <c r="C6" s="79">
        <f>'Jet - DemandSupply'!AA13+'Diesel - DemandSupply'!AV15+'Gasoline - DemandSupply'!AK14</f>
        <v>1483657624.068284</v>
      </c>
      <c r="D6" s="79"/>
    </row>
    <row r="7" spans="1:4" ht="15.75" x14ac:dyDescent="0.6">
      <c r="A7">
        <f>'Jet - DemandSupply'!Y14</f>
        <v>2007</v>
      </c>
      <c r="B7" s="79">
        <f>'Jet - DemandSupply'!Z14+'Diesel - DemandSupply'!AU16+'Gasoline - DemandSupply'!AJ15</f>
        <v>4773609944.8203058</v>
      </c>
      <c r="C7" s="79">
        <f>'Jet - DemandSupply'!AA14+'Diesel - DemandSupply'!AV16+'Gasoline - DemandSupply'!AK15</f>
        <v>1343045548.654088</v>
      </c>
      <c r="D7" s="79"/>
    </row>
    <row r="8" spans="1:4" ht="15.75" x14ac:dyDescent="0.6">
      <c r="A8">
        <f>'Jet - DemandSupply'!Y15</f>
        <v>2008</v>
      </c>
      <c r="B8" s="79">
        <f>'Jet - DemandSupply'!Z15+'Diesel - DemandSupply'!AU17+'Gasoline - DemandSupply'!AJ16</f>
        <v>3859314941.5893974</v>
      </c>
      <c r="C8" s="79">
        <f>'Jet - DemandSupply'!AA15+'Diesel - DemandSupply'!AV17+'Gasoline - DemandSupply'!AK16</f>
        <v>1475934165.5426774</v>
      </c>
      <c r="D8" s="79"/>
    </row>
    <row r="9" spans="1:4" ht="15.75" x14ac:dyDescent="0.6">
      <c r="A9">
        <f>'Jet - DemandSupply'!Y16</f>
        <v>2009</v>
      </c>
      <c r="B9" s="79">
        <f>'Jet - DemandSupply'!Z16+'Diesel - DemandSupply'!AU18+'Gasoline - DemandSupply'!AJ17</f>
        <v>4399901516.0772686</v>
      </c>
      <c r="C9" s="79">
        <f>'Jet - DemandSupply'!AA16+'Diesel - DemandSupply'!AV18+'Gasoline - DemandSupply'!AK17</f>
        <v>1352856193.3333333</v>
      </c>
      <c r="D9" s="79"/>
    </row>
    <row r="10" spans="1:4" ht="15.75" x14ac:dyDescent="0.6">
      <c r="A10">
        <f>'Jet - DemandSupply'!Y17</f>
        <v>2010</v>
      </c>
      <c r="B10" s="79">
        <f>'Jet - DemandSupply'!Z17+'Diesel - DemandSupply'!AU19+'Gasoline - DemandSupply'!AJ18</f>
        <v>4938828801.7079964</v>
      </c>
      <c r="C10" s="79">
        <f>'Jet - DemandSupply'!AA17+'Diesel - DemandSupply'!AV19+'Gasoline - DemandSupply'!AK18</f>
        <v>1243382517.9631627</v>
      </c>
      <c r="D10" s="79">
        <f>'Jet - DemandSupply'!AD17+'Diesel - DemandSupply'!AZ19+'Gasoline - DemandSupply'!AN18</f>
        <v>21004797716.255165</v>
      </c>
    </row>
    <row r="11" spans="1:4" ht="15.75" x14ac:dyDescent="0.6">
      <c r="A11">
        <f>'Jet - DemandSupply'!Y18</f>
        <v>2011</v>
      </c>
      <c r="B11" s="79">
        <f>'Jet - DemandSupply'!Z18+'Diesel - DemandSupply'!AU20+'Gasoline - DemandSupply'!AJ19</f>
        <v>6423887803.8553448</v>
      </c>
      <c r="C11" s="79">
        <f>'Jet - DemandSupply'!AA18+'Diesel - DemandSupply'!AV20+'Gasoline - DemandSupply'!AK19</f>
        <v>933246221.03773594</v>
      </c>
      <c r="D11" s="79">
        <f>'Jet - DemandSupply'!AD18+'Diesel - DemandSupply'!AZ20+'Gasoline - DemandSupply'!AN19</f>
        <v>20820572915.182388</v>
      </c>
    </row>
    <row r="12" spans="1:4" ht="15.75" x14ac:dyDescent="0.6">
      <c r="A12">
        <f>'Jet - DemandSupply'!Y19</f>
        <v>2012</v>
      </c>
      <c r="B12" s="79">
        <f>'Jet - DemandSupply'!Z19+'Diesel - DemandSupply'!AU21+'Gasoline - DemandSupply'!AJ20</f>
        <v>5305051748.7200003</v>
      </c>
      <c r="C12" s="79">
        <f>'Jet - DemandSupply'!AA19+'Diesel - DemandSupply'!AV21+'Gasoline - DemandSupply'!AK20</f>
        <v>1518150608.5040431</v>
      </c>
      <c r="D12" s="79">
        <f>'Jet - DemandSupply'!AD19+'Diesel - DemandSupply'!AZ21+'Gasoline - DemandSupply'!AN20</f>
        <v>22398145177.784042</v>
      </c>
    </row>
    <row r="13" spans="1:4" ht="15.75" x14ac:dyDescent="0.6">
      <c r="A13">
        <f>'Jet - DemandSupply'!Y20</f>
        <v>2013</v>
      </c>
      <c r="B13" s="79">
        <f>'Jet - DemandSupply'!Z20+'Diesel - DemandSupply'!AU22+'Gasoline - DemandSupply'!AJ21</f>
        <v>5945164712.2233324</v>
      </c>
      <c r="C13" s="79">
        <f>'Jet - DemandSupply'!AA20+'Diesel - DemandSupply'!AV22+'Gasoline - DemandSupply'!AK21</f>
        <v>2657661972.7810154</v>
      </c>
      <c r="D13" s="79">
        <f>'Jet - DemandSupply'!AD20+'Diesel - DemandSupply'!AZ22+'Gasoline - DemandSupply'!AN21</f>
        <v>22628897781.557682</v>
      </c>
    </row>
    <row r="14" spans="1:4" ht="15.75" x14ac:dyDescent="0.6">
      <c r="A14">
        <f>'Jet - DemandSupply'!Y21</f>
        <v>2014</v>
      </c>
      <c r="B14" s="79">
        <f>'Jet - DemandSupply'!Z21+'Diesel - DemandSupply'!AU23+'Gasoline - DemandSupply'!AJ22</f>
        <v>6434989976.8500004</v>
      </c>
      <c r="C14" s="79">
        <f>'Jet - DemandSupply'!AA21+'Diesel - DemandSupply'!AV23+'Gasoline - DemandSupply'!AK22</f>
        <v>2638065215.0900002</v>
      </c>
      <c r="D14" s="79">
        <f>'Jet - DemandSupply'!AD21+'Diesel - DemandSupply'!AZ23+'Gasoline - DemandSupply'!AN22</f>
        <v>22023540233.240002</v>
      </c>
    </row>
    <row r="15" spans="1:4" ht="15.75" x14ac:dyDescent="0.6">
      <c r="A15">
        <f>'Jet - DemandSupply'!Y22</f>
        <v>2015</v>
      </c>
      <c r="B15" s="79">
        <f>'Jet - DemandSupply'!Z22+'Diesel - DemandSupply'!AU24+'Gasoline - DemandSupply'!AJ23</f>
        <v>8595457978.0200005</v>
      </c>
      <c r="C15" s="79">
        <f>'Jet - DemandSupply'!AA22+'Diesel - DemandSupply'!AV24+'Gasoline - DemandSupply'!AK23</f>
        <v>3598471295.0799999</v>
      </c>
      <c r="D15" s="79">
        <f>'Jet - DemandSupply'!AD22+'Diesel - DemandSupply'!AZ24+'Gasoline - DemandSupply'!AN23</f>
        <v>22476517010.059998</v>
      </c>
    </row>
    <row r="16" spans="1:4" ht="15.75" x14ac:dyDescent="0.6">
      <c r="A16">
        <f>'Jet - DemandSupply'!Y23</f>
        <v>2016</v>
      </c>
      <c r="B16" s="79">
        <f>'Jet - DemandSupply'!Z23+'Diesel - DemandSupply'!AU25+'Gasoline - DemandSupply'!AJ24</f>
        <v>5928352930.3299999</v>
      </c>
      <c r="C16" s="79">
        <f>'Jet - DemandSupply'!AA23+'Diesel - DemandSupply'!AV25+'Gasoline - DemandSupply'!AK24</f>
        <v>3426514023.9099998</v>
      </c>
      <c r="D16" s="79">
        <f>'Jet - DemandSupply'!AD23+'Diesel - DemandSupply'!AZ25+'Gasoline - DemandSupply'!AN24</f>
        <v>23659162553.580002</v>
      </c>
    </row>
    <row r="17" spans="1:4" ht="15.75" x14ac:dyDescent="0.6">
      <c r="A17">
        <f>'Jet - DemandSupply'!Y24</f>
        <v>2017</v>
      </c>
      <c r="B17" s="79">
        <f>'Jet - DemandSupply'!Z24+'Diesel - DemandSupply'!AU26+'Gasoline - DemandSupply'!AJ25</f>
        <v>8571227811.4499998</v>
      </c>
      <c r="C17" s="79">
        <f>'Jet - DemandSupply'!AA24+'Diesel - DemandSupply'!AV26+'Gasoline - DemandSupply'!AK25</f>
        <v>3260712565.6100001</v>
      </c>
      <c r="D17" s="79">
        <f>'Jet - DemandSupply'!AD24+'Diesel - DemandSupply'!AZ26+'Gasoline - DemandSupply'!AN25</f>
        <v>20737236620.16</v>
      </c>
    </row>
    <row r="18" spans="1:4" ht="15.75" x14ac:dyDescent="0.6">
      <c r="A18">
        <f>'Jet - DemandSupply'!Y25</f>
        <v>2018</v>
      </c>
      <c r="B18" s="79">
        <f>'Jet - DemandSupply'!Z25+'Diesel - DemandSupply'!AU27+'Gasoline - DemandSupply'!AJ26</f>
        <v>8695603397.7999992</v>
      </c>
      <c r="C18" s="79">
        <f>'Jet - DemandSupply'!AA25+'Diesel - DemandSupply'!AV27+'Gasoline - DemandSupply'!AK26</f>
        <v>3599148358.0699997</v>
      </c>
      <c r="D18" s="79">
        <f>'Jet - DemandSupply'!AD25+'Diesel - DemandSupply'!AZ27+'Gasoline - DemandSupply'!AN26</f>
        <v>20940644274.27</v>
      </c>
    </row>
    <row r="19" spans="1:4" ht="15.75" x14ac:dyDescent="0.6">
      <c r="A19">
        <f>'Jet - DemandSupply'!Y26</f>
        <v>2019</v>
      </c>
      <c r="B19" s="79">
        <f>'Jet - DemandSupply'!Z26+'Diesel - DemandSupply'!AU28+'Gasoline - DemandSupply'!AJ27</f>
        <v>7797081134.6500006</v>
      </c>
      <c r="C19" s="79">
        <f>'Jet - DemandSupply'!AA26+'Diesel - DemandSupply'!AV28+'Gasoline - DemandSupply'!AK27</f>
        <v>3296100285.2200003</v>
      </c>
      <c r="D19" s="79">
        <f>'Jet - DemandSupply'!AD26+'Diesel - DemandSupply'!AZ28+'Gasoline - DemandSupply'!AN27</f>
        <v>21630363585.57</v>
      </c>
    </row>
    <row r="20" spans="1:4" ht="15.75" x14ac:dyDescent="0.6">
      <c r="A20">
        <f>'Jet - DemandSupply'!Y27</f>
        <v>2020</v>
      </c>
      <c r="B20" s="79">
        <f>'Jet - DemandSupply'!Z27+'Diesel - DemandSupply'!AU29+'Gasoline - DemandSupply'!AJ28</f>
        <v>9206008705</v>
      </c>
      <c r="C20" s="79">
        <f>'Jet - DemandSupply'!AA27+'Diesel - DemandSupply'!AV29+'Gasoline - DemandSupply'!AK28</f>
        <v>2692964472</v>
      </c>
      <c r="D20" s="79">
        <f>'Jet - DemandSupply'!AD27+'Diesel - DemandSupply'!AZ29+'Gasoline - DemandSupply'!AN28</f>
        <v>15036753580</v>
      </c>
    </row>
    <row r="21" spans="1:4" ht="15.75" x14ac:dyDescent="0.6">
      <c r="A21">
        <f>'Jet - DemandSupply'!Y28</f>
        <v>2021</v>
      </c>
      <c r="B21" s="79">
        <f>'Jet - DemandSupply'!Z28+'Diesel - DemandSupply'!AU30+'Gasoline - DemandSupply'!AJ29</f>
        <v>14473509214</v>
      </c>
      <c r="C21" s="79">
        <f>'Jet - DemandSupply'!AA28+'Diesel - DemandSupply'!AV30+'Gasoline - DemandSupply'!AK29</f>
        <v>2094489575</v>
      </c>
      <c r="D21" s="79">
        <f>'Jet - DemandSupply'!AD28+'Diesel - DemandSupply'!AZ30+'Gasoline - DemandSupply'!AN29</f>
        <v>10923293280</v>
      </c>
    </row>
    <row r="22" spans="1:4" ht="15.75" x14ac:dyDescent="0.6">
      <c r="A22">
        <f>'Jet - DemandSupply'!Y29</f>
        <v>2022</v>
      </c>
      <c r="B22" s="79">
        <f>'Jet - DemandSupply'!Z29+'Diesel - DemandSupply'!AU31+'Gasoline - DemandSupply'!AJ30</f>
        <v>18432755929</v>
      </c>
      <c r="C22" s="79">
        <f>'Jet - DemandSupply'!AA29+'Diesel - DemandSupply'!AV31+'Gasoline - DemandSupply'!AK30</f>
        <v>2182579925</v>
      </c>
      <c r="D22" s="79">
        <f>'Jet - DemandSupply'!AD29+'Diesel - DemandSupply'!AZ31+'Gasoline - DemandSupply'!AN30</f>
        <v>8195260538.4466438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7E12-69B5-426B-8BBB-0B979CEAA2A0}">
  <sheetPr>
    <tabColor theme="4" tint="0.39997558519241921"/>
  </sheetPr>
  <dimension ref="A1:U56"/>
  <sheetViews>
    <sheetView zoomScale="54" zoomScaleNormal="54" workbookViewId="0">
      <selection activeCell="U11" sqref="U11"/>
    </sheetView>
  </sheetViews>
  <sheetFormatPr defaultRowHeight="14.25" x14ac:dyDescent="0.45"/>
  <cols>
    <col min="2" max="2" width="14.86328125" bestFit="1" customWidth="1"/>
    <col min="3" max="3" width="18.86328125" bestFit="1" customWidth="1"/>
    <col min="4" max="4" width="15.1328125" bestFit="1" customWidth="1"/>
    <col min="5" max="5" width="14.86328125" bestFit="1" customWidth="1"/>
    <col min="6" max="6" width="14" bestFit="1" customWidth="1"/>
    <col min="7" max="7" width="16.59765625" bestFit="1" customWidth="1"/>
    <col min="8" max="8" width="19" bestFit="1" customWidth="1"/>
    <col min="9" max="9" width="16.59765625" bestFit="1" customWidth="1"/>
    <col min="10" max="10" width="14.86328125" bestFit="1" customWidth="1"/>
    <col min="11" max="11" width="8.73046875" style="444"/>
    <col min="12" max="12" width="11.86328125" customWidth="1"/>
    <col min="13" max="13" width="15.59765625" bestFit="1" customWidth="1"/>
    <col min="14" max="14" width="19.3984375" bestFit="1" customWidth="1"/>
    <col min="15" max="16" width="15.59765625" bestFit="1" customWidth="1"/>
    <col min="18" max="18" width="16" customWidth="1"/>
    <col min="19" max="19" width="19.3984375" bestFit="1" customWidth="1"/>
    <col min="20" max="20" width="12.86328125" bestFit="1" customWidth="1"/>
    <col min="21" max="21" width="14.59765625" bestFit="1" customWidth="1"/>
  </cols>
  <sheetData>
    <row r="1" spans="1:21" x14ac:dyDescent="0.45">
      <c r="A1" s="575" t="s">
        <v>269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6" t="s">
        <v>182</v>
      </c>
      <c r="M1" s="576"/>
      <c r="N1" s="576"/>
      <c r="O1" s="576"/>
      <c r="P1" s="576"/>
      <c r="Q1" s="576"/>
      <c r="R1" s="576"/>
      <c r="S1" s="576"/>
      <c r="T1" s="576"/>
      <c r="U1" s="576"/>
    </row>
    <row r="2" spans="1:21" x14ac:dyDescent="0.45">
      <c r="A2" s="443"/>
      <c r="B2" s="577" t="s">
        <v>270</v>
      </c>
      <c r="C2" s="577"/>
      <c r="D2" s="577"/>
      <c r="E2" s="577"/>
      <c r="G2" s="578" t="s">
        <v>271</v>
      </c>
      <c r="H2" s="578"/>
      <c r="I2" s="578"/>
      <c r="J2" s="578"/>
      <c r="L2" s="577" t="s">
        <v>196</v>
      </c>
      <c r="M2" s="577"/>
      <c r="N2" s="577"/>
      <c r="O2" s="577"/>
      <c r="P2" s="577"/>
      <c r="R2" s="578" t="s">
        <v>197</v>
      </c>
      <c r="S2" s="578"/>
      <c r="T2" s="578"/>
      <c r="U2" s="578"/>
    </row>
    <row r="3" spans="1:21" x14ac:dyDescent="0.45">
      <c r="A3" s="208"/>
      <c r="B3" s="208" t="s">
        <v>272</v>
      </c>
      <c r="C3" s="208" t="s">
        <v>273</v>
      </c>
      <c r="D3" s="208" t="s">
        <v>274</v>
      </c>
      <c r="E3" s="208" t="s">
        <v>275</v>
      </c>
      <c r="F3" s="54"/>
      <c r="G3" s="208" t="s">
        <v>276</v>
      </c>
      <c r="H3" s="208" t="s">
        <v>277</v>
      </c>
      <c r="I3" s="208" t="s">
        <v>274</v>
      </c>
      <c r="J3" s="208" t="s">
        <v>275</v>
      </c>
      <c r="L3" s="208"/>
      <c r="M3" s="208" t="s">
        <v>278</v>
      </c>
      <c r="N3" s="208" t="s">
        <v>279</v>
      </c>
      <c r="O3" s="208" t="s">
        <v>274</v>
      </c>
      <c r="P3" s="208" t="s">
        <v>275</v>
      </c>
      <c r="Q3" s="54"/>
      <c r="R3" s="208" t="s">
        <v>278</v>
      </c>
      <c r="S3" s="208" t="s">
        <v>279</v>
      </c>
      <c r="T3" s="208" t="s">
        <v>274</v>
      </c>
      <c r="U3" s="208" t="s">
        <v>275</v>
      </c>
    </row>
    <row r="4" spans="1:21" x14ac:dyDescent="0.45">
      <c r="A4" s="208">
        <f>'[1]Gasoline - DemandSupply'!BC12</f>
        <v>2022</v>
      </c>
      <c r="B4" s="445">
        <v>9184869915.5409889</v>
      </c>
      <c r="C4" s="445">
        <v>5222682473.8971367</v>
      </c>
      <c r="D4" s="445">
        <v>897765090</v>
      </c>
      <c r="E4" s="445">
        <f>B4-(C4+D4)</f>
        <v>3064422351.6438522</v>
      </c>
      <c r="F4" s="54"/>
      <c r="G4" s="445">
        <v>9184869915.5409889</v>
      </c>
      <c r="H4" s="445">
        <v>5222682473.8971367</v>
      </c>
      <c r="I4" s="445">
        <v>897765090</v>
      </c>
      <c r="J4" s="445">
        <f>G4-(H4+I4)</f>
        <v>3064422351.6438522</v>
      </c>
      <c r="L4" s="446">
        <f>'[1]Gasoline - DemandSupply'!BC12</f>
        <v>2022</v>
      </c>
      <c r="M4" s="445">
        <v>6959774177.4685259</v>
      </c>
      <c r="N4" s="208">
        <v>5222682473.8971367</v>
      </c>
      <c r="O4" s="445">
        <f>N4*0.1</f>
        <v>522268247.3897137</v>
      </c>
      <c r="P4" s="445">
        <f>M4-(N4+O4)</f>
        <v>1214823456.1816759</v>
      </c>
      <c r="Q4" s="54"/>
      <c r="R4" s="208">
        <v>6959774177.4685259</v>
      </c>
      <c r="S4" s="445">
        <v>5205036198.729825</v>
      </c>
      <c r="T4" s="445">
        <f>S4*0.1</f>
        <v>520503619.8729825</v>
      </c>
      <c r="U4" s="445">
        <f>R4-(S4+T4)</f>
        <v>1234234358.8657179</v>
      </c>
    </row>
    <row r="5" spans="1:21" x14ac:dyDescent="0.45">
      <c r="A5" s="208">
        <f>'[1]Gasoline - DemandSupply'!BC13</f>
        <v>2023</v>
      </c>
      <c r="B5" s="445">
        <v>9981346432.3599987</v>
      </c>
      <c r="C5" s="445">
        <v>6069946538.5453129</v>
      </c>
      <c r="D5" s="445">
        <v>889723107.91999996</v>
      </c>
      <c r="E5" s="445">
        <f>B5-(C5+D5)</f>
        <v>3021676785.8946857</v>
      </c>
      <c r="F5" s="54">
        <f>H5-H4</f>
        <v>847264064.64817619</v>
      </c>
      <c r="G5" s="445">
        <v>9981346432.3599987</v>
      </c>
      <c r="H5" s="445">
        <v>6069946538.5453129</v>
      </c>
      <c r="I5" s="445">
        <v>889723107.91999996</v>
      </c>
      <c r="J5" s="445">
        <f t="shared" ref="J5:J12" si="0">G5-(H5+I5)</f>
        <v>3021676785.8946857</v>
      </c>
      <c r="L5" s="446">
        <f>'[1]Gasoline - DemandSupply'!BC13</f>
        <v>2023</v>
      </c>
      <c r="M5" s="445">
        <v>7536090470.3293591</v>
      </c>
      <c r="N5" s="208">
        <v>5268735139.1894989</v>
      </c>
      <c r="O5" s="445">
        <f t="shared" ref="O5:O12" si="1">N5*0.1</f>
        <v>526873513.9189499</v>
      </c>
      <c r="P5" s="445">
        <f t="shared" ref="P5:P12" si="2">M5-(N5+O5)</f>
        <v>1740481817.2209101</v>
      </c>
      <c r="Q5" s="54"/>
      <c r="R5" s="208">
        <v>7536090470.3293591</v>
      </c>
      <c r="S5" s="445">
        <v>5232110794.5026245</v>
      </c>
      <c r="T5" s="445">
        <f t="shared" ref="T5:T12" si="3">S5*0.1</f>
        <v>523211079.45026249</v>
      </c>
      <c r="U5" s="445">
        <f t="shared" ref="U5:U12" si="4">R5-(S5+T5)</f>
        <v>1780768596.3764725</v>
      </c>
    </row>
    <row r="6" spans="1:21" x14ac:dyDescent="0.45">
      <c r="A6" s="208">
        <f>'[1]Gasoline - DemandSupply'!BC14</f>
        <v>2024</v>
      </c>
      <c r="B6" s="445">
        <v>9047482712.5600014</v>
      </c>
      <c r="C6" s="445">
        <v>6787764109.1970005</v>
      </c>
      <c r="D6" s="445">
        <v>809358270.51999998</v>
      </c>
      <c r="E6" s="445">
        <f t="shared" ref="E6:E12" si="5">B6-(C6+D6)</f>
        <v>1450360332.8430004</v>
      </c>
      <c r="F6" s="54">
        <f t="shared" ref="F6:F12" si="6">H6-H5</f>
        <v>1086019538.6266861</v>
      </c>
      <c r="G6" s="445">
        <v>9047482712.5600014</v>
      </c>
      <c r="H6" s="445">
        <v>7155966077.171999</v>
      </c>
      <c r="I6" s="445">
        <v>809358270.51999998</v>
      </c>
      <c r="J6" s="445">
        <f t="shared" si="0"/>
        <v>1082158364.8680019</v>
      </c>
      <c r="L6" s="446">
        <f>'[1]Gasoline - DemandSupply'!BC14</f>
        <v>2024</v>
      </c>
      <c r="M6" s="445">
        <v>6831007090.3402033</v>
      </c>
      <c r="N6" s="208">
        <v>5322437787.9228745</v>
      </c>
      <c r="O6" s="445">
        <f t="shared" si="1"/>
        <v>532243778.79228747</v>
      </c>
      <c r="P6" s="445">
        <f t="shared" si="2"/>
        <v>976325523.62504101</v>
      </c>
      <c r="Q6" s="54"/>
      <c r="R6" s="208">
        <v>6831007090.3402033</v>
      </c>
      <c r="S6" s="445">
        <v>4807836367.2556877</v>
      </c>
      <c r="T6" s="445">
        <f t="shared" si="3"/>
        <v>480783636.72556877</v>
      </c>
      <c r="U6" s="445">
        <f t="shared" si="4"/>
        <v>1542387086.3589468</v>
      </c>
    </row>
    <row r="7" spans="1:21" x14ac:dyDescent="0.45">
      <c r="A7" s="208">
        <f>'[1]Gasoline - DemandSupply'!BC15</f>
        <v>2025</v>
      </c>
      <c r="B7" s="445">
        <v>9267777736.8100014</v>
      </c>
      <c r="C7" s="445">
        <v>6711264274.7868748</v>
      </c>
      <c r="D7" s="445">
        <v>672471997</v>
      </c>
      <c r="E7" s="445">
        <f t="shared" si="5"/>
        <v>1884041465.0231266</v>
      </c>
      <c r="F7" s="54">
        <f t="shared" si="6"/>
        <v>56679600.814876556</v>
      </c>
      <c r="G7" s="445">
        <v>9267777736.8100014</v>
      </c>
      <c r="H7" s="445">
        <v>7212645677.9868755</v>
      </c>
      <c r="I7" s="445">
        <v>672471997</v>
      </c>
      <c r="J7" s="445">
        <f t="shared" si="0"/>
        <v>1382660061.8231258</v>
      </c>
      <c r="L7" s="446">
        <f>'[1]Gasoline - DemandSupply'!BC15</f>
        <v>2025</v>
      </c>
      <c r="M7" s="445">
        <v>6997333672.0455599</v>
      </c>
      <c r="N7" s="208">
        <v>5286890629.8444366</v>
      </c>
      <c r="O7" s="445">
        <f t="shared" si="1"/>
        <v>528689062.98444366</v>
      </c>
      <c r="P7" s="445">
        <f t="shared" si="2"/>
        <v>1181753979.2166796</v>
      </c>
      <c r="Q7" s="54"/>
      <c r="R7" s="208">
        <v>6997333672.0455599</v>
      </c>
      <c r="S7" s="445">
        <v>4829810974.067812</v>
      </c>
      <c r="T7" s="445">
        <f t="shared" si="3"/>
        <v>482981097.4067812</v>
      </c>
      <c r="U7" s="445">
        <f t="shared" si="4"/>
        <v>1684541600.5709667</v>
      </c>
    </row>
    <row r="8" spans="1:21" x14ac:dyDescent="0.45">
      <c r="A8" s="208">
        <f>'[1]Gasoline - DemandSupply'!BC16</f>
        <v>2026</v>
      </c>
      <c r="B8" s="445">
        <f>SUM('Gasoline - DemandSupply'!BD16:BH16)</f>
        <v>9525925083.9837894</v>
      </c>
      <c r="C8" s="445">
        <v>6711264274.7868748</v>
      </c>
      <c r="D8" s="445">
        <f t="shared" ref="D8:D12" si="7">C8*0.1</f>
        <v>671126427.47868752</v>
      </c>
      <c r="E8" s="445">
        <f t="shared" si="5"/>
        <v>2143534381.7182274</v>
      </c>
      <c r="F8" s="54">
        <f t="shared" si="6"/>
        <v>66589717.612499237</v>
      </c>
      <c r="G8" s="445">
        <f>SUM('Gasoline - DemandSupply'!BL16:BP16)</f>
        <v>9366736799.8604794</v>
      </c>
      <c r="H8" s="445">
        <v>7279235395.5993748</v>
      </c>
      <c r="I8" s="445">
        <f t="shared" ref="I8:I12" si="8">H8*0.1</f>
        <v>727923539.55993748</v>
      </c>
      <c r="J8" s="445">
        <f t="shared" si="0"/>
        <v>1359577864.7011671</v>
      </c>
      <c r="L8" s="446">
        <f>'[1]Gasoline - DemandSupply'!BC16</f>
        <v>2026</v>
      </c>
      <c r="M8" s="445">
        <f>SUM('Gasoline - DemandSupply'!BD16:BF16)</f>
        <v>7174518384.7998943</v>
      </c>
      <c r="N8" s="208">
        <v>5327843306.1761246</v>
      </c>
      <c r="O8" s="445">
        <f t="shared" si="1"/>
        <v>532784330.61761248</v>
      </c>
      <c r="P8" s="445">
        <f t="shared" si="2"/>
        <v>1313890748.0061569</v>
      </c>
      <c r="Q8" s="54"/>
      <c r="R8" s="208">
        <f>SUM('Gasoline - DemandSupply'!BL16:BN16)</f>
        <v>7054624593.8012972</v>
      </c>
      <c r="S8" s="445">
        <v>4851785580.8799372</v>
      </c>
      <c r="T8" s="445">
        <f t="shared" si="3"/>
        <v>485178558.08799374</v>
      </c>
      <c r="U8" s="445">
        <f t="shared" si="4"/>
        <v>1717660454.8333664</v>
      </c>
    </row>
    <row r="9" spans="1:21" x14ac:dyDescent="0.45">
      <c r="A9" s="208">
        <f>'[1]Gasoline - DemandSupply'!BC17</f>
        <v>2027</v>
      </c>
      <c r="B9" s="445">
        <f>SUM('Gasoline - DemandSupply'!BD17:BH17)</f>
        <v>9637677434.9649963</v>
      </c>
      <c r="C9" s="445">
        <v>6456264826.7531252</v>
      </c>
      <c r="D9" s="445">
        <f t="shared" si="7"/>
        <v>645626482.67531252</v>
      </c>
      <c r="E9" s="445">
        <f t="shared" si="5"/>
        <v>2535786125.5365582</v>
      </c>
      <c r="F9" s="54">
        <f t="shared" si="6"/>
        <v>-254999448.03375053</v>
      </c>
      <c r="G9" s="445">
        <f>SUM('Gasoline - DemandSupply'!BL17:BP17)</f>
        <v>9319164945.6307354</v>
      </c>
      <c r="H9" s="445">
        <v>7024235947.5656242</v>
      </c>
      <c r="I9" s="445">
        <f t="shared" si="8"/>
        <v>702423594.75656247</v>
      </c>
      <c r="J9" s="445">
        <f t="shared" si="0"/>
        <v>1592505403.3085489</v>
      </c>
      <c r="L9" s="446">
        <f>'[1]Gasoline - DemandSupply'!BC17</f>
        <v>2027</v>
      </c>
      <c r="M9" s="445">
        <f>SUM('Gasoline - DemandSupply'!BD17:BF17)</f>
        <v>7258685464.5943089</v>
      </c>
      <c r="N9" s="208">
        <v>5368795982.5078125</v>
      </c>
      <c r="O9" s="445">
        <f t="shared" si="1"/>
        <v>536879598.2507813</v>
      </c>
      <c r="P9" s="445">
        <f t="shared" si="2"/>
        <v>1353009883.8357153</v>
      </c>
      <c r="Q9" s="54"/>
      <c r="R9" s="208">
        <f>SUM('Gasoline - DemandSupply'!BL17:BN17)</f>
        <v>7018795512.6610136</v>
      </c>
      <c r="S9" s="445">
        <v>4873760187.6920624</v>
      </c>
      <c r="T9" s="445">
        <f t="shared" si="3"/>
        <v>487376018.76920629</v>
      </c>
      <c r="U9" s="445">
        <f t="shared" si="4"/>
        <v>1657659306.1997452</v>
      </c>
    </row>
    <row r="10" spans="1:21" x14ac:dyDescent="0.45">
      <c r="A10" s="208">
        <f>'[1]Gasoline - DemandSupply'!BC18</f>
        <v>2028</v>
      </c>
      <c r="B10" s="445">
        <f>SUM('Gasoline - DemandSupply'!BD18:BH18)</f>
        <v>9752667788.4035454</v>
      </c>
      <c r="C10" s="445">
        <v>6328765102.7362499</v>
      </c>
      <c r="D10" s="445">
        <f t="shared" si="7"/>
        <v>632876510.27362502</v>
      </c>
      <c r="E10" s="445">
        <f t="shared" si="5"/>
        <v>2791026175.3936701</v>
      </c>
      <c r="F10" s="54">
        <f t="shared" si="6"/>
        <v>-127499724.01687431</v>
      </c>
      <c r="G10" s="445">
        <f>SUM('Gasoline - DemandSupply'!BL18:BP18)</f>
        <v>9273948845.4936314</v>
      </c>
      <c r="H10" s="445">
        <v>6896736223.5487499</v>
      </c>
      <c r="I10" s="445">
        <f t="shared" si="8"/>
        <v>689673622.35487509</v>
      </c>
      <c r="J10" s="445">
        <f t="shared" si="0"/>
        <v>1687538999.5900059</v>
      </c>
      <c r="L10" s="446">
        <f>'[1]Gasoline - DemandSupply'!BC18</f>
        <v>2028</v>
      </c>
      <c r="M10" s="445">
        <f>SUM('Gasoline - DemandSupply'!BD18:BF18)</f>
        <v>7345291269.0223331</v>
      </c>
      <c r="N10" s="208">
        <v>5409415710.2514372</v>
      </c>
      <c r="O10" s="445">
        <f t="shared" si="1"/>
        <v>540941571.02514374</v>
      </c>
      <c r="P10" s="445">
        <f t="shared" si="2"/>
        <v>1394933987.7457523</v>
      </c>
      <c r="Q10" s="54"/>
      <c r="R10" s="208">
        <f>SUM('Gasoline - DemandSupply'!BL18:BN18)</f>
        <v>6984740684.5091496</v>
      </c>
      <c r="S10" s="445">
        <v>4895401845.9161243</v>
      </c>
      <c r="T10" s="445">
        <f t="shared" si="3"/>
        <v>489540184.59161246</v>
      </c>
      <c r="U10" s="445">
        <f t="shared" si="4"/>
        <v>1599798654.0014124</v>
      </c>
    </row>
    <row r="11" spans="1:21" x14ac:dyDescent="0.45">
      <c r="A11" s="208">
        <f>'[1]Gasoline - DemandSupply'!BC19</f>
        <v>2029</v>
      </c>
      <c r="B11" s="445">
        <f>SUM('Gasoline - DemandSupply'!BD19:BH19)</f>
        <v>9870126000.7694054</v>
      </c>
      <c r="C11" s="445">
        <v>4543768966.5</v>
      </c>
      <c r="D11" s="445">
        <f t="shared" si="7"/>
        <v>454376896.65000004</v>
      </c>
      <c r="E11" s="445">
        <f t="shared" si="5"/>
        <v>4871980137.6194057</v>
      </c>
      <c r="F11" s="54">
        <f t="shared" si="6"/>
        <v>0</v>
      </c>
      <c r="G11" s="445">
        <f>SUM('Gasoline - DemandSupply'!BL19:BP19)</f>
        <v>9229151096.5310173</v>
      </c>
      <c r="H11" s="445">
        <v>6896736223.5487499</v>
      </c>
      <c r="I11" s="445">
        <f t="shared" si="8"/>
        <v>689673622.35487509</v>
      </c>
      <c r="J11" s="445">
        <f t="shared" si="0"/>
        <v>1642741250.6273918</v>
      </c>
      <c r="L11" s="446">
        <f>'[1]Gasoline - DemandSupply'!BC19</f>
        <v>2029</v>
      </c>
      <c r="M11" s="445">
        <f>SUM('Gasoline - DemandSupply'!BD19:BF19)</f>
        <v>7433755758.994174</v>
      </c>
      <c r="N11" s="208">
        <v>5309531133.8326874</v>
      </c>
      <c r="O11" s="445">
        <f t="shared" si="1"/>
        <v>530953113.38326877</v>
      </c>
      <c r="P11" s="445">
        <f t="shared" si="2"/>
        <v>1593271511.7782183</v>
      </c>
      <c r="Q11" s="54"/>
      <c r="R11" s="208">
        <f>SUM('Gasoline - DemandSupply'!BL19:BN19)</f>
        <v>6951000940.5266666</v>
      </c>
      <c r="S11" s="445">
        <v>4708617688.0130615</v>
      </c>
      <c r="T11" s="445">
        <f t="shared" si="3"/>
        <v>470861768.80130619</v>
      </c>
      <c r="U11" s="445">
        <f t="shared" si="4"/>
        <v>1771521483.7122993</v>
      </c>
    </row>
    <row r="12" spans="1:21" x14ac:dyDescent="0.45">
      <c r="A12" s="208">
        <f>'[1]Gasoline - DemandSupply'!BC20</f>
        <v>2030</v>
      </c>
      <c r="B12" s="445">
        <f>SUM('Gasoline - DemandSupply'!BD20:BH20)</f>
        <v>9988986400.5756512</v>
      </c>
      <c r="C12" s="445">
        <v>4543768966.5</v>
      </c>
      <c r="D12" s="445">
        <f t="shared" si="7"/>
        <v>454376896.65000004</v>
      </c>
      <c r="E12" s="445">
        <f t="shared" si="5"/>
        <v>4990840537.4256516</v>
      </c>
      <c r="F12" s="54">
        <f t="shared" si="6"/>
        <v>0</v>
      </c>
      <c r="G12" s="445">
        <f>SUM('Gasoline - DemandSupply'!BL20:BP20)</f>
        <v>9181887384.30233</v>
      </c>
      <c r="H12" s="445">
        <v>6896736223.5487499</v>
      </c>
      <c r="I12" s="445">
        <f t="shared" si="8"/>
        <v>689673622.35487509</v>
      </c>
      <c r="J12" s="445">
        <f t="shared" si="0"/>
        <v>1595477538.3987045</v>
      </c>
      <c r="L12" s="446">
        <f>'[1]Gasoline - DemandSupply'!BC20</f>
        <v>2030</v>
      </c>
      <c r="M12" s="445">
        <f>SUM('Gasoline - DemandSupply'!BD20:BF20)</f>
        <v>7523276316.4325638</v>
      </c>
      <c r="N12" s="208">
        <v>5309531133.8326874</v>
      </c>
      <c r="O12" s="445">
        <f t="shared" si="1"/>
        <v>530953113.38326877</v>
      </c>
      <c r="P12" s="445">
        <f t="shared" si="2"/>
        <v>1682792069.216608</v>
      </c>
      <c r="Q12" s="54"/>
      <c r="R12" s="208">
        <f>SUM('Gasoline - DemandSupply'!BL20:BN20)</f>
        <v>6915403938.731142</v>
      </c>
      <c r="S12" s="445">
        <v>4708617688.0130615</v>
      </c>
      <c r="T12" s="445">
        <f t="shared" si="3"/>
        <v>470861768.80130619</v>
      </c>
      <c r="U12" s="445">
        <f t="shared" si="4"/>
        <v>1735924481.9167747</v>
      </c>
    </row>
    <row r="13" spans="1:21" x14ac:dyDescent="0.45">
      <c r="B13" s="54"/>
      <c r="C13" s="54"/>
      <c r="D13" s="54"/>
      <c r="E13" s="54"/>
      <c r="F13" s="54"/>
      <c r="G13" s="54"/>
      <c r="M13" s="54"/>
      <c r="N13" s="54"/>
      <c r="O13" s="54"/>
      <c r="P13" s="54"/>
      <c r="Q13" s="54"/>
      <c r="R13" s="54"/>
    </row>
    <row r="14" spans="1:21" x14ac:dyDescent="0.45">
      <c r="B14" s="54"/>
      <c r="C14" s="54"/>
      <c r="D14" s="54">
        <v>9184869915.0459938</v>
      </c>
      <c r="E14" s="54"/>
      <c r="F14" s="54"/>
      <c r="G14" s="54"/>
      <c r="M14" s="54"/>
      <c r="N14" s="54"/>
      <c r="O14" s="54"/>
      <c r="P14" s="54"/>
      <c r="Q14" s="54"/>
      <c r="R14" s="54"/>
    </row>
    <row r="15" spans="1:21" x14ac:dyDescent="0.45">
      <c r="A15" s="577" t="s">
        <v>196</v>
      </c>
      <c r="B15" s="577"/>
      <c r="C15" s="577"/>
      <c r="D15" s="577"/>
      <c r="E15" s="577"/>
      <c r="G15" s="578" t="s">
        <v>197</v>
      </c>
      <c r="H15" s="578"/>
      <c r="I15" s="578"/>
      <c r="J15" s="578"/>
      <c r="L15" s="577" t="s">
        <v>196</v>
      </c>
      <c r="M15" s="577"/>
      <c r="N15" s="577"/>
      <c r="O15" s="577"/>
      <c r="P15" s="577"/>
      <c r="R15" s="578" t="s">
        <v>197</v>
      </c>
      <c r="S15" s="578"/>
      <c r="T15" s="578"/>
      <c r="U15" s="578"/>
    </row>
    <row r="16" spans="1:21" x14ac:dyDescent="0.45">
      <c r="A16" s="208"/>
      <c r="B16" s="208" t="s">
        <v>280</v>
      </c>
      <c r="C16" s="208" t="s">
        <v>281</v>
      </c>
      <c r="D16" s="208" t="s">
        <v>274</v>
      </c>
      <c r="E16" s="208" t="s">
        <v>275</v>
      </c>
      <c r="F16" s="54"/>
      <c r="G16" s="208" t="s">
        <v>280</v>
      </c>
      <c r="H16" s="208" t="s">
        <v>281</v>
      </c>
      <c r="I16" s="208" t="s">
        <v>274</v>
      </c>
      <c r="J16" s="208" t="s">
        <v>275</v>
      </c>
      <c r="L16" s="208"/>
      <c r="M16" s="208" t="s">
        <v>282</v>
      </c>
      <c r="N16" s="208" t="s">
        <v>283</v>
      </c>
      <c r="O16" s="208" t="s">
        <v>274</v>
      </c>
      <c r="P16" s="208" t="s">
        <v>275</v>
      </c>
      <c r="Q16" s="54"/>
      <c r="R16" s="208" t="s">
        <v>284</v>
      </c>
      <c r="S16" s="208" t="s">
        <v>285</v>
      </c>
      <c r="T16" s="208" t="s">
        <v>274</v>
      </c>
      <c r="U16" s="208" t="s">
        <v>275</v>
      </c>
    </row>
    <row r="17" spans="1:21" x14ac:dyDescent="0.45">
      <c r="A17" s="208">
        <f>'[1]Diesel - DemandSupply'!BO12</f>
        <v>2022</v>
      </c>
      <c r="B17" s="445">
        <v>13967062497.75</v>
      </c>
      <c r="C17" s="467">
        <v>1765548021.6511872</v>
      </c>
      <c r="D17" s="445">
        <v>866040055</v>
      </c>
      <c r="E17" s="445">
        <f>B17-(C17+D17)</f>
        <v>11335474421.098812</v>
      </c>
      <c r="F17" s="54"/>
      <c r="G17" s="445">
        <v>13967062497.75</v>
      </c>
      <c r="H17" s="445">
        <v>1765548021.6511872</v>
      </c>
      <c r="I17" s="445">
        <v>866040055</v>
      </c>
      <c r="J17" s="445">
        <f>G17-(H17+I17)</f>
        <v>11335474421.098812</v>
      </c>
      <c r="L17" s="208">
        <f>'[1]Diesel - DemandSupply'!BO12</f>
        <v>2022</v>
      </c>
      <c r="M17" s="445">
        <v>8882324518.9350128</v>
      </c>
      <c r="N17" s="208">
        <v>1765548021.6511872</v>
      </c>
      <c r="O17" s="445">
        <f>N17*0.1</f>
        <v>176554802.16511872</v>
      </c>
      <c r="P17" s="445">
        <f>M17-(N17+O17)</f>
        <v>6940221695.1187067</v>
      </c>
      <c r="Q17" s="54"/>
      <c r="R17" s="208">
        <v>8882324518.9350128</v>
      </c>
      <c r="S17" s="445">
        <v>1762433973.0922496</v>
      </c>
      <c r="T17" s="445">
        <f>S17*0.1</f>
        <v>176243397.30922496</v>
      </c>
      <c r="U17" s="445">
        <f>R17-(S17+T17)</f>
        <v>6943647148.5335388</v>
      </c>
    </row>
    <row r="18" spans="1:21" x14ac:dyDescent="0.45">
      <c r="A18" s="208">
        <f>'[1]Diesel - DemandSupply'!BO13</f>
        <v>2023</v>
      </c>
      <c r="B18" s="445">
        <v>11878421413.530001</v>
      </c>
      <c r="C18" s="467">
        <v>2362466084.4140625</v>
      </c>
      <c r="D18" s="445">
        <v>994107918.01999998</v>
      </c>
      <c r="E18" s="445">
        <f t="shared" ref="E18:E25" si="9">B18-(C18+D18)</f>
        <v>8521847411.0959377</v>
      </c>
      <c r="F18" s="54"/>
      <c r="G18" s="445">
        <v>11878421413.530001</v>
      </c>
      <c r="H18" s="445">
        <v>2362466084.4140625</v>
      </c>
      <c r="I18" s="445">
        <v>994107918.01999998</v>
      </c>
      <c r="J18" s="445">
        <f t="shared" ref="J18:J25" si="10">G18-(H18+I18)</f>
        <v>8521847411.0959377</v>
      </c>
      <c r="L18" s="208">
        <f>'[1]Diesel - DemandSupply'!BO13</f>
        <v>2023</v>
      </c>
      <c r="M18" s="445">
        <v>9250282773.5068893</v>
      </c>
      <c r="N18" s="208">
        <v>1775608291.7336247</v>
      </c>
      <c r="O18" s="445">
        <f t="shared" ref="O18:O25" si="11">N18*0.1</f>
        <v>177560829.17336249</v>
      </c>
      <c r="P18" s="445">
        <f t="shared" ref="P18:P25" si="12">M18-(N18+O18)</f>
        <v>7297113652.5999022</v>
      </c>
      <c r="Q18" s="54"/>
      <c r="R18" s="208">
        <v>9250282773.5068893</v>
      </c>
      <c r="S18" s="445">
        <v>1769145172.0829997</v>
      </c>
      <c r="T18" s="445">
        <f t="shared" ref="T18:T25" si="13">S18*0.1</f>
        <v>176914517.20829999</v>
      </c>
      <c r="U18" s="445">
        <f t="shared" ref="U18:U25" si="14">R18-(S18+T18)</f>
        <v>7304223084.2155895</v>
      </c>
    </row>
    <row r="19" spans="1:21" x14ac:dyDescent="0.45">
      <c r="A19" s="208">
        <f>'[1]Diesel - DemandSupply'!BO14</f>
        <v>2024</v>
      </c>
      <c r="B19" s="445">
        <v>12611283774.790003</v>
      </c>
      <c r="C19" s="467">
        <v>2761253623.665</v>
      </c>
      <c r="D19" s="445">
        <v>928506310.88999999</v>
      </c>
      <c r="E19" s="445">
        <f t="shared" si="9"/>
        <v>8921523840.2350025</v>
      </c>
      <c r="F19" s="54"/>
      <c r="G19" s="445">
        <v>12611283774.790003</v>
      </c>
      <c r="H19" s="445">
        <v>2915323950.6899996</v>
      </c>
      <c r="I19" s="445">
        <v>928506310.88999999</v>
      </c>
      <c r="J19" s="445">
        <f t="shared" si="10"/>
        <v>8767453513.2100029</v>
      </c>
      <c r="L19" s="208">
        <f>'[1]Diesel - DemandSupply'!BO14</f>
        <v>2024</v>
      </c>
      <c r="M19" s="445">
        <v>7866991144.0385313</v>
      </c>
      <c r="N19" s="208">
        <v>1789918552.6166248</v>
      </c>
      <c r="O19" s="445">
        <f t="shared" si="11"/>
        <v>178991855.26166248</v>
      </c>
      <c r="P19" s="445">
        <f t="shared" si="12"/>
        <v>5898080736.160244</v>
      </c>
      <c r="Q19" s="54"/>
      <c r="R19" s="208">
        <v>7866991144.0385313</v>
      </c>
      <c r="S19" s="445">
        <v>1780106361.8743122</v>
      </c>
      <c r="T19" s="445">
        <f t="shared" si="13"/>
        <v>178010636.18743122</v>
      </c>
      <c r="U19" s="445">
        <f t="shared" si="14"/>
        <v>5908874145.9767876</v>
      </c>
    </row>
    <row r="20" spans="1:21" x14ac:dyDescent="0.45">
      <c r="A20" s="208">
        <f>'[1]Diesel - DemandSupply'!BO15</f>
        <v>2025</v>
      </c>
      <c r="B20" s="445">
        <f>SUM('Diesel - DemandSupply'!BP15:BU15)</f>
        <v>12681615846.880764</v>
      </c>
      <c r="C20" s="467">
        <v>2718753715.6593747</v>
      </c>
      <c r="D20" s="445">
        <v>753961119.96000004</v>
      </c>
      <c r="E20" s="445">
        <f t="shared" si="9"/>
        <v>9208901011.2613888</v>
      </c>
      <c r="F20" s="54"/>
      <c r="G20" s="445">
        <f>SUM('Diesel - DemandSupply'!BX15:CB15)</f>
        <v>12696835124.075405</v>
      </c>
      <c r="H20" s="445">
        <v>2896326295.9593744</v>
      </c>
      <c r="I20" s="445">
        <v>753961119.96000004</v>
      </c>
      <c r="J20" s="445">
        <f t="shared" si="10"/>
        <v>9046547708.1560307</v>
      </c>
      <c r="L20" s="208">
        <f>'[1]Diesel - DemandSupply'!BO15</f>
        <v>2025</v>
      </c>
      <c r="M20" s="445">
        <v>8352360496.170166</v>
      </c>
      <c r="N20" s="208">
        <v>1754645587.493062</v>
      </c>
      <c r="O20" s="445">
        <f t="shared" si="11"/>
        <v>175464558.7493062</v>
      </c>
      <c r="P20" s="445">
        <f t="shared" si="12"/>
        <v>6422250349.9277973</v>
      </c>
      <c r="Q20" s="54"/>
      <c r="R20" s="208">
        <v>8352360496.170166</v>
      </c>
      <c r="S20" s="445">
        <v>1741484325.6590621</v>
      </c>
      <c r="T20" s="445">
        <f t="shared" si="13"/>
        <v>174148432.56590623</v>
      </c>
      <c r="U20" s="445">
        <f t="shared" si="14"/>
        <v>6436727737.9451981</v>
      </c>
    </row>
    <row r="21" spans="1:21" x14ac:dyDescent="0.45">
      <c r="A21" s="208">
        <f>'[1]Diesel - DemandSupply'!BO16</f>
        <v>2026</v>
      </c>
      <c r="B21" s="445">
        <f>SUM('Diesel - DemandSupply'!BP16:BT16)</f>
        <v>13464665590.505779</v>
      </c>
      <c r="C21" s="467">
        <v>2718753715.6593747</v>
      </c>
      <c r="D21" s="445">
        <f t="shared" ref="D21:D25" si="15">C21*0.1</f>
        <v>271875371.56593746</v>
      </c>
      <c r="E21" s="445">
        <f t="shared" si="9"/>
        <v>10474036503.280468</v>
      </c>
      <c r="F21" s="54"/>
      <c r="G21" s="445">
        <f>SUM('Diesel - DemandSupply'!BX16:CB16)</f>
        <v>11962287432.359652</v>
      </c>
      <c r="H21" s="445">
        <v>2908077422.5968747</v>
      </c>
      <c r="I21" s="445">
        <f t="shared" ref="I21:I25" si="16">H21*0.1</f>
        <v>290807742.25968748</v>
      </c>
      <c r="J21" s="445">
        <f t="shared" si="10"/>
        <v>8763402267.5030899</v>
      </c>
      <c r="L21" s="208">
        <f>'[1]Diesel - DemandSupply'!BO16</f>
        <v>2026</v>
      </c>
      <c r="M21" s="445">
        <f>SUM('Diesel - DemandSupply'!BP16:BR16)</f>
        <v>9695544110.7785378</v>
      </c>
      <c r="N21" s="208">
        <v>1761872530.3751247</v>
      </c>
      <c r="O21" s="445">
        <f t="shared" si="11"/>
        <v>176187253.03751248</v>
      </c>
      <c r="P21" s="445">
        <f t="shared" si="12"/>
        <v>7757484327.3659</v>
      </c>
      <c r="Q21" s="54"/>
      <c r="R21" s="208">
        <f>SUM('Diesel - DemandSupply'!BX16:BZ16)</f>
        <v>8613721944.0514965</v>
      </c>
      <c r="S21" s="445">
        <v>1745362197.4494371</v>
      </c>
      <c r="T21" s="445">
        <f t="shared" si="13"/>
        <v>174536219.74494374</v>
      </c>
      <c r="U21" s="445">
        <f t="shared" si="14"/>
        <v>6693823526.8571157</v>
      </c>
    </row>
    <row r="22" spans="1:21" x14ac:dyDescent="0.45">
      <c r="A22" s="208">
        <f>'[1]Diesel - DemandSupply'!BO17</f>
        <v>2027</v>
      </c>
      <c r="B22" s="445">
        <f>SUM('Diesel - DemandSupply'!BP17:BT17)</f>
        <v>13729212952.852814</v>
      </c>
      <c r="C22" s="467">
        <v>2577087355.640625</v>
      </c>
      <c r="D22" s="445">
        <f t="shared" si="15"/>
        <v>257708735.56406251</v>
      </c>
      <c r="E22" s="445">
        <f t="shared" si="9"/>
        <v>10894416861.648127</v>
      </c>
      <c r="F22" s="54"/>
      <c r="G22" s="445">
        <f>SUM('Diesel - DemandSupply'!BX17:CB17)</f>
        <v>12059695517.921192</v>
      </c>
      <c r="H22" s="445">
        <v>2766411062.578125</v>
      </c>
      <c r="I22" s="445">
        <f t="shared" si="16"/>
        <v>276641106.2578125</v>
      </c>
      <c r="J22" s="445">
        <f t="shared" si="10"/>
        <v>9016643349.0852547</v>
      </c>
      <c r="L22" s="208">
        <f>'[1]Diesel - DemandSupply'!BO17</f>
        <v>2027</v>
      </c>
      <c r="M22" s="445">
        <f>SUM('Diesel - DemandSupply'!BP17:BR17)</f>
        <v>9886037562.233757</v>
      </c>
      <c r="N22" s="208">
        <v>1769099473.2571874</v>
      </c>
      <c r="O22" s="445">
        <f t="shared" si="11"/>
        <v>176909947.32571876</v>
      </c>
      <c r="P22" s="445">
        <f t="shared" si="12"/>
        <v>7940028141.6508503</v>
      </c>
      <c r="Q22" s="54"/>
      <c r="R22" s="208">
        <f>SUM('Diesel - DemandSupply'!BX17:BZ17)</f>
        <v>8683862890.6617374</v>
      </c>
      <c r="S22" s="445">
        <v>1607573709.2210622</v>
      </c>
      <c r="T22" s="445">
        <f t="shared" si="13"/>
        <v>160757370.92210624</v>
      </c>
      <c r="U22" s="445">
        <f t="shared" si="14"/>
        <v>6915531810.518569</v>
      </c>
    </row>
    <row r="23" spans="1:21" x14ac:dyDescent="0.45">
      <c r="A23" s="208">
        <f>'[1]Diesel - DemandSupply'!BO18</f>
        <v>2028</v>
      </c>
      <c r="B23" s="445">
        <f>SUM('Diesel - DemandSupply'!BP18:BT18)</f>
        <v>13998451977.144957</v>
      </c>
      <c r="C23" s="467">
        <v>2506254175.6312499</v>
      </c>
      <c r="D23" s="445">
        <f t="shared" si="15"/>
        <v>250625417.56312501</v>
      </c>
      <c r="E23" s="445">
        <f t="shared" si="9"/>
        <v>11241572383.950581</v>
      </c>
      <c r="F23" s="54"/>
      <c r="G23" s="445">
        <f>SUM('Diesel - DemandSupply'!BX18:CB18)</f>
        <v>12159317887.578857</v>
      </c>
      <c r="H23" s="445">
        <v>2695577882.5687499</v>
      </c>
      <c r="I23" s="445">
        <f t="shared" si="16"/>
        <v>269557788.25687498</v>
      </c>
      <c r="J23" s="445">
        <f t="shared" si="10"/>
        <v>9194182216.753233</v>
      </c>
      <c r="L23" s="208">
        <f>'[1]Diesel - DemandSupply'!BO18</f>
        <v>2028</v>
      </c>
      <c r="M23" s="445">
        <f>SUM('Diesel - DemandSupply'!BP18:BR18)</f>
        <v>10079909353.465477</v>
      </c>
      <c r="N23" s="208">
        <v>1776267660.5060623</v>
      </c>
      <c r="O23" s="445">
        <f t="shared" si="11"/>
        <v>177626766.05060625</v>
      </c>
      <c r="P23" s="445">
        <f t="shared" si="12"/>
        <v>8126014926.9088087</v>
      </c>
      <c r="Q23" s="54"/>
      <c r="R23" s="208">
        <f>SUM('Diesel - DemandSupply'!BX18:BZ18)</f>
        <v>8755598283.787077</v>
      </c>
      <c r="S23" s="445">
        <v>1611392825.3782496</v>
      </c>
      <c r="T23" s="445">
        <f t="shared" si="13"/>
        <v>161139282.53782499</v>
      </c>
      <c r="U23" s="445">
        <f t="shared" si="14"/>
        <v>6983066175.8710022</v>
      </c>
    </row>
    <row r="24" spans="1:21" x14ac:dyDescent="0.45">
      <c r="A24" s="208">
        <f>'[1]Diesel - DemandSupply'!BO19</f>
        <v>2029</v>
      </c>
      <c r="B24" s="445">
        <f>SUM('Diesel - DemandSupply'!BP19:BT19)</f>
        <v>14272455435.452595</v>
      </c>
      <c r="C24" s="467">
        <v>1514589655.5</v>
      </c>
      <c r="D24" s="445">
        <f t="shared" si="15"/>
        <v>151458965.55000001</v>
      </c>
      <c r="E24" s="445">
        <f>B24-(C24+D24)</f>
        <v>12606406814.402596</v>
      </c>
      <c r="F24" s="54"/>
      <c r="G24" s="445">
        <f>SUM('Diesel - DemandSupply'!BX19:CB19)</f>
        <v>12195086829.401348</v>
      </c>
      <c r="H24" s="445">
        <v>2695577882.5687499</v>
      </c>
      <c r="I24" s="445">
        <f t="shared" si="16"/>
        <v>269557788.25687498</v>
      </c>
      <c r="J24" s="445">
        <f t="shared" si="10"/>
        <v>9229951158.5757236</v>
      </c>
      <c r="L24" s="208">
        <f>'[1]Diesel - DemandSupply'!BO19</f>
        <v>2029</v>
      </c>
      <c r="M24" s="445">
        <f>SUM('Diesel - DemandSupply'!BP19:BR19)</f>
        <v>10277211885.687355</v>
      </c>
      <c r="N24" s="208">
        <v>1758640970.5498123</v>
      </c>
      <c r="O24" s="445">
        <f t="shared" si="11"/>
        <v>175864097.05498123</v>
      </c>
      <c r="P24" s="445">
        <f t="shared" si="12"/>
        <v>8342706818.0825615</v>
      </c>
      <c r="Q24" s="54"/>
      <c r="R24" s="208">
        <f>SUM('Diesel - DemandSupply'!BX19:BZ19)</f>
        <v>8781354538.2521248</v>
      </c>
      <c r="S24" s="445">
        <v>1578430915.1600623</v>
      </c>
      <c r="T24" s="445">
        <f t="shared" si="13"/>
        <v>157843091.51600623</v>
      </c>
      <c r="U24" s="445">
        <f t="shared" si="14"/>
        <v>7045080531.5760565</v>
      </c>
    </row>
    <row r="25" spans="1:21" x14ac:dyDescent="0.45">
      <c r="A25" s="208">
        <f>'[1]Diesel - DemandSupply'!BO20</f>
        <v>2030</v>
      </c>
      <c r="B25" s="445">
        <f>SUM('Diesel - DemandSupply'!BP20:BT20)</f>
        <v>14551297275.671841</v>
      </c>
      <c r="C25" s="467">
        <v>1514589655.5</v>
      </c>
      <c r="D25" s="445">
        <f t="shared" si="15"/>
        <v>151458965.55000001</v>
      </c>
      <c r="E25" s="445">
        <f t="shared" si="9"/>
        <v>12885248654.621841</v>
      </c>
      <c r="F25" s="54"/>
      <c r="G25" s="445">
        <f>SUM('Diesel - DemandSupply'!BX20:CB20)</f>
        <v>12233097168.217089</v>
      </c>
      <c r="H25" s="445">
        <v>2695577882.5687499</v>
      </c>
      <c r="I25" s="445">
        <f t="shared" si="16"/>
        <v>269557788.25687498</v>
      </c>
      <c r="J25" s="445">
        <f t="shared" si="10"/>
        <v>9267961497.3914642</v>
      </c>
      <c r="L25" s="208">
        <f>'[1]Diesel - DemandSupply'!BO20</f>
        <v>2030</v>
      </c>
      <c r="M25" s="445">
        <f>SUM('Diesel - DemandSupply'!BP20:BR20)</f>
        <v>10477998406.793581</v>
      </c>
      <c r="N25" s="208">
        <v>1758640970.5498123</v>
      </c>
      <c r="O25" s="445">
        <f t="shared" si="11"/>
        <v>175864097.05498123</v>
      </c>
      <c r="P25" s="445">
        <f t="shared" si="12"/>
        <v>8543493339.1887875</v>
      </c>
      <c r="Q25" s="54"/>
      <c r="R25" s="208">
        <f>SUM('Diesel - DemandSupply'!BX20:BZ20)</f>
        <v>8808724762.5014</v>
      </c>
      <c r="S25" s="445">
        <v>1578430915.1600623</v>
      </c>
      <c r="T25" s="445">
        <f t="shared" si="13"/>
        <v>157843091.51600623</v>
      </c>
      <c r="U25" s="445">
        <f t="shared" si="14"/>
        <v>7072450755.8253317</v>
      </c>
    </row>
    <row r="29" spans="1:21" x14ac:dyDescent="0.45">
      <c r="A29" s="447"/>
      <c r="B29" s="447" t="s">
        <v>286</v>
      </c>
      <c r="C29" s="447" t="s">
        <v>287</v>
      </c>
      <c r="D29" s="447" t="s">
        <v>288</v>
      </c>
      <c r="E29" s="447" t="s">
        <v>289</v>
      </c>
      <c r="L29" s="447"/>
      <c r="M29" s="447" t="s">
        <v>290</v>
      </c>
      <c r="N29" s="447" t="s">
        <v>291</v>
      </c>
      <c r="O29" s="447" t="s">
        <v>289</v>
      </c>
      <c r="P29" s="447" t="s">
        <v>289</v>
      </c>
    </row>
    <row r="30" spans="1:21" x14ac:dyDescent="0.45">
      <c r="A30" s="447">
        <v>2022</v>
      </c>
      <c r="B30" s="445">
        <f>$I$53</f>
        <v>4589093798</v>
      </c>
      <c r="C30" s="445">
        <f>$I$53</f>
        <v>4589093798</v>
      </c>
      <c r="D30" s="445">
        <f>$D$53</f>
        <v>11016030480</v>
      </c>
      <c r="E30" s="445">
        <f>$D$53</f>
        <v>11016030480</v>
      </c>
      <c r="L30" s="447">
        <v>2022</v>
      </c>
      <c r="M30" s="445">
        <f>P4</f>
        <v>1214823456.1816759</v>
      </c>
      <c r="N30" s="445">
        <f>U4</f>
        <v>1234234358.8657179</v>
      </c>
      <c r="O30" s="445">
        <f>P17</f>
        <v>6940221695.1187067</v>
      </c>
      <c r="P30" s="445">
        <f>U17</f>
        <v>6943647148.5335388</v>
      </c>
    </row>
    <row r="31" spans="1:21" x14ac:dyDescent="0.45">
      <c r="A31" s="447">
        <v>2023</v>
      </c>
      <c r="B31" s="445">
        <f>$I$54</f>
        <v>3488666842.3600001</v>
      </c>
      <c r="C31" s="445">
        <f>$I$54</f>
        <v>3488666842.3600001</v>
      </c>
      <c r="D31" s="445">
        <f>$D$54</f>
        <v>11953374947.75</v>
      </c>
      <c r="E31" s="445">
        <f>$D$54</f>
        <v>11953374947.75</v>
      </c>
      <c r="L31" s="447">
        <v>2023</v>
      </c>
      <c r="M31" s="445">
        <f t="shared" ref="M31:M38" si="17">P5</f>
        <v>1740481817.2209101</v>
      </c>
      <c r="N31" s="445">
        <f t="shared" ref="N31:N38" si="18">U5</f>
        <v>1780768596.3764725</v>
      </c>
      <c r="O31" s="445">
        <f t="shared" ref="O31:O38" si="19">P18</f>
        <v>7297113652.5999022</v>
      </c>
      <c r="P31" s="445">
        <f t="shared" ref="P31:P38" si="20">U18</f>
        <v>7304223084.2155895</v>
      </c>
    </row>
    <row r="32" spans="1:21" x14ac:dyDescent="0.45">
      <c r="A32" s="447">
        <v>2024</v>
      </c>
      <c r="B32" s="445">
        <f t="shared" ref="B32:B38" si="21">E6</f>
        <v>1450360332.8430004</v>
      </c>
      <c r="C32" s="445">
        <v>1450360332.8430004</v>
      </c>
      <c r="D32" s="445">
        <f t="shared" ref="D32:D38" si="22">E19</f>
        <v>8921523840.2350025</v>
      </c>
      <c r="E32" s="445">
        <v>8921523840.2350025</v>
      </c>
      <c r="L32" s="447">
        <v>2024</v>
      </c>
      <c r="M32" s="445">
        <f t="shared" si="17"/>
        <v>976325523.62504101</v>
      </c>
      <c r="N32" s="445">
        <v>1432664858.4235029</v>
      </c>
      <c r="O32" s="445">
        <f t="shared" si="19"/>
        <v>5898080736.160244</v>
      </c>
      <c r="P32" s="445">
        <v>5978611207.0070314</v>
      </c>
    </row>
    <row r="33" spans="1:16" x14ac:dyDescent="0.45">
      <c r="A33" s="447">
        <v>2025</v>
      </c>
      <c r="B33" s="445">
        <f t="shared" si="21"/>
        <v>1884041465.0231266</v>
      </c>
      <c r="C33" s="445">
        <v>1884041465.0231266</v>
      </c>
      <c r="D33" s="445">
        <f t="shared" si="22"/>
        <v>9208901011.2613888</v>
      </c>
      <c r="E33" s="445">
        <v>9208901011.2613888</v>
      </c>
      <c r="L33" s="447">
        <v>2025</v>
      </c>
      <c r="M33" s="445">
        <f t="shared" si="17"/>
        <v>1181753979.2166796</v>
      </c>
      <c r="N33" s="445">
        <v>1683141257.9799976</v>
      </c>
      <c r="O33" s="445">
        <f t="shared" si="19"/>
        <v>6422250349.9277973</v>
      </c>
      <c r="P33" s="445">
        <v>6510730457.9448538</v>
      </c>
    </row>
    <row r="34" spans="1:16" x14ac:dyDescent="0.45">
      <c r="A34" s="447">
        <v>2026</v>
      </c>
      <c r="B34" s="445">
        <f t="shared" si="21"/>
        <v>2143534381.7182274</v>
      </c>
      <c r="C34" s="445">
        <f t="shared" ref="C34:C38" si="23">J8</f>
        <v>1359577864.7011671</v>
      </c>
      <c r="D34" s="445">
        <f t="shared" si="22"/>
        <v>10474036503.280468</v>
      </c>
      <c r="E34" s="445">
        <f t="shared" ref="E34:E38" si="24">J21</f>
        <v>8763402267.5030899</v>
      </c>
      <c r="L34" s="447">
        <v>2026</v>
      </c>
      <c r="M34" s="445">
        <f t="shared" si="17"/>
        <v>1313890748.0061569</v>
      </c>
      <c r="N34" s="445">
        <f t="shared" si="18"/>
        <v>1717660454.8333664</v>
      </c>
      <c r="O34" s="445">
        <f t="shared" si="19"/>
        <v>7757484327.3659</v>
      </c>
      <c r="P34" s="445">
        <f t="shared" si="20"/>
        <v>6693823526.8571157</v>
      </c>
    </row>
    <row r="35" spans="1:16" x14ac:dyDescent="0.45">
      <c r="A35" s="447">
        <v>2027</v>
      </c>
      <c r="B35" s="445">
        <f t="shared" si="21"/>
        <v>2535786125.5365582</v>
      </c>
      <c r="C35" s="445">
        <f t="shared" si="23"/>
        <v>1592505403.3085489</v>
      </c>
      <c r="D35" s="445">
        <f t="shared" si="22"/>
        <v>10894416861.648127</v>
      </c>
      <c r="E35" s="445">
        <f t="shared" si="24"/>
        <v>9016643349.0852547</v>
      </c>
      <c r="L35" s="447">
        <v>2027</v>
      </c>
      <c r="M35" s="445">
        <f t="shared" si="17"/>
        <v>1353009883.8357153</v>
      </c>
      <c r="N35" s="445">
        <f t="shared" si="18"/>
        <v>1657659306.1997452</v>
      </c>
      <c r="O35" s="445">
        <f t="shared" si="19"/>
        <v>7940028141.6508503</v>
      </c>
      <c r="P35" s="445">
        <f t="shared" si="20"/>
        <v>6915531810.518569</v>
      </c>
    </row>
    <row r="36" spans="1:16" x14ac:dyDescent="0.45">
      <c r="A36" s="447">
        <v>2028</v>
      </c>
      <c r="B36" s="445">
        <f t="shared" si="21"/>
        <v>2791026175.3936701</v>
      </c>
      <c r="C36" s="445">
        <f t="shared" si="23"/>
        <v>1687538999.5900059</v>
      </c>
      <c r="D36" s="445">
        <f t="shared" si="22"/>
        <v>11241572383.950581</v>
      </c>
      <c r="E36" s="445">
        <f t="shared" si="24"/>
        <v>9194182216.753233</v>
      </c>
      <c r="L36" s="447">
        <v>2028</v>
      </c>
      <c r="M36" s="445">
        <f t="shared" si="17"/>
        <v>1394933987.7457523</v>
      </c>
      <c r="N36" s="445">
        <f t="shared" si="18"/>
        <v>1599798654.0014124</v>
      </c>
      <c r="O36" s="445">
        <f t="shared" si="19"/>
        <v>8126014926.9088087</v>
      </c>
      <c r="P36" s="445">
        <f t="shared" si="20"/>
        <v>6983066175.8710022</v>
      </c>
    </row>
    <row r="37" spans="1:16" x14ac:dyDescent="0.45">
      <c r="A37" s="447">
        <v>2029</v>
      </c>
      <c r="B37" s="445">
        <f t="shared" si="21"/>
        <v>4871980137.6194057</v>
      </c>
      <c r="C37" s="445">
        <f t="shared" si="23"/>
        <v>1642741250.6273918</v>
      </c>
      <c r="D37" s="445">
        <f>E24</f>
        <v>12606406814.402596</v>
      </c>
      <c r="E37" s="445">
        <f t="shared" si="24"/>
        <v>9229951158.5757236</v>
      </c>
      <c r="L37" s="447">
        <v>2029</v>
      </c>
      <c r="M37" s="445">
        <f t="shared" si="17"/>
        <v>1593271511.7782183</v>
      </c>
      <c r="N37" s="445">
        <f t="shared" si="18"/>
        <v>1771521483.7122993</v>
      </c>
      <c r="O37" s="445">
        <f t="shared" si="19"/>
        <v>8342706818.0825615</v>
      </c>
      <c r="P37" s="445">
        <f t="shared" si="20"/>
        <v>7045080531.5760565</v>
      </c>
    </row>
    <row r="38" spans="1:16" x14ac:dyDescent="0.45">
      <c r="A38" s="447">
        <v>2030</v>
      </c>
      <c r="B38" s="445">
        <f t="shared" si="21"/>
        <v>4990840537.4256516</v>
      </c>
      <c r="C38" s="445">
        <f t="shared" si="23"/>
        <v>1595477538.3987045</v>
      </c>
      <c r="D38" s="445">
        <f t="shared" si="22"/>
        <v>12885248654.621841</v>
      </c>
      <c r="E38" s="445">
        <f t="shared" si="24"/>
        <v>9267961497.3914642</v>
      </c>
      <c r="L38" s="447">
        <v>2030</v>
      </c>
      <c r="M38" s="445">
        <f t="shared" si="17"/>
        <v>1682792069.216608</v>
      </c>
      <c r="N38" s="445">
        <f t="shared" si="18"/>
        <v>1735924481.9167747</v>
      </c>
      <c r="O38" s="445">
        <f t="shared" si="19"/>
        <v>8543493339.1887875</v>
      </c>
      <c r="P38" s="445">
        <f t="shared" si="20"/>
        <v>7072450755.8253317</v>
      </c>
    </row>
    <row r="41" spans="1:16" x14ac:dyDescent="0.45">
      <c r="A41" s="579" t="s">
        <v>292</v>
      </c>
      <c r="B41" s="579"/>
      <c r="C41" s="579"/>
      <c r="D41" s="579"/>
      <c r="E41" s="448"/>
      <c r="F41" s="579" t="s">
        <v>293</v>
      </c>
      <c r="G41" s="579"/>
      <c r="H41" s="579"/>
      <c r="I41" s="579"/>
    </row>
    <row r="42" spans="1:16" x14ac:dyDescent="0.45">
      <c r="B42" t="s">
        <v>294</v>
      </c>
      <c r="C42" t="s">
        <v>295</v>
      </c>
      <c r="D42" t="s">
        <v>296</v>
      </c>
      <c r="G42" t="s">
        <v>294</v>
      </c>
      <c r="H42" t="s">
        <v>295</v>
      </c>
      <c r="I42" t="s">
        <v>296</v>
      </c>
    </row>
    <row r="43" spans="1:16" x14ac:dyDescent="0.45">
      <c r="A43">
        <v>2012</v>
      </c>
      <c r="B43">
        <v>3246942102.96</v>
      </c>
      <c r="C43">
        <v>929373796.42857146</v>
      </c>
      <c r="D43">
        <f>B43-C43</f>
        <v>2317568306.5314283</v>
      </c>
      <c r="F43">
        <v>2012</v>
      </c>
      <c r="G43" s="246">
        <v>1827120704</v>
      </c>
      <c r="H43" s="246">
        <v>443611296</v>
      </c>
      <c r="I43" s="246">
        <f>G43-H43</f>
        <v>1383509408</v>
      </c>
      <c r="J43" s="246"/>
    </row>
    <row r="44" spans="1:16" x14ac:dyDescent="0.45">
      <c r="A44">
        <v>2013</v>
      </c>
      <c r="B44">
        <v>4253991750.7599998</v>
      </c>
      <c r="C44">
        <v>1619950782.9876189</v>
      </c>
      <c r="D44">
        <f t="shared" ref="D44:D56" si="25">B44-C44</f>
        <v>2634040967.7723808</v>
      </c>
      <c r="F44">
        <v>2013</v>
      </c>
      <c r="G44" s="246">
        <v>1508536793.3733332</v>
      </c>
      <c r="H44" s="246">
        <v>956496631.85000014</v>
      </c>
      <c r="I44" s="246">
        <f t="shared" ref="I44:I56" si="26">G44-H44</f>
        <v>552040161.52333307</v>
      </c>
      <c r="J44" s="246"/>
    </row>
    <row r="45" spans="1:16" x14ac:dyDescent="0.45">
      <c r="A45">
        <v>2014</v>
      </c>
      <c r="B45">
        <v>4997072943.6000004</v>
      </c>
      <c r="C45">
        <v>1493407466.0900002</v>
      </c>
      <c r="D45">
        <f t="shared" si="25"/>
        <v>3503665477.5100002</v>
      </c>
      <c r="F45">
        <v>2014</v>
      </c>
      <c r="G45" s="246">
        <v>1150194821.8699999</v>
      </c>
      <c r="H45" s="246">
        <v>989307545</v>
      </c>
      <c r="I45" s="246">
        <f t="shared" si="26"/>
        <v>160887276.86999989</v>
      </c>
      <c r="J45" s="246"/>
    </row>
    <row r="46" spans="1:16" x14ac:dyDescent="0.45">
      <c r="A46">
        <v>2015</v>
      </c>
      <c r="B46">
        <v>6450779034.5599995</v>
      </c>
      <c r="C46">
        <v>1625415077.72</v>
      </c>
      <c r="D46">
        <f t="shared" si="25"/>
        <v>4825363956.8399992</v>
      </c>
      <c r="F46">
        <v>2015</v>
      </c>
      <c r="G46" s="246">
        <v>1869645208.21</v>
      </c>
      <c r="H46" s="246">
        <v>1086494822.3099999</v>
      </c>
      <c r="I46" s="246">
        <f t="shared" si="26"/>
        <v>783150385.9000001</v>
      </c>
      <c r="J46" s="246"/>
    </row>
    <row r="47" spans="1:16" x14ac:dyDescent="0.45">
      <c r="A47">
        <v>2016</v>
      </c>
      <c r="B47">
        <v>4424294964.8899994</v>
      </c>
      <c r="C47">
        <v>1887044612.96</v>
      </c>
      <c r="D47">
        <f t="shared" si="25"/>
        <v>2537250351.9299994</v>
      </c>
      <c r="F47">
        <v>2016</v>
      </c>
      <c r="G47" s="246">
        <v>1395638476.0999999</v>
      </c>
      <c r="H47" s="246">
        <v>1158906980.25</v>
      </c>
      <c r="I47" s="246">
        <f t="shared" si="26"/>
        <v>236731495.8499999</v>
      </c>
      <c r="J47" s="246"/>
    </row>
    <row r="48" spans="1:16" x14ac:dyDescent="0.45">
      <c r="A48">
        <v>2017</v>
      </c>
      <c r="B48">
        <v>6036040239.8100004</v>
      </c>
      <c r="C48">
        <v>1784004865.2800002</v>
      </c>
      <c r="D48">
        <f t="shared" si="25"/>
        <v>4252035374.5300002</v>
      </c>
      <c r="F48">
        <v>2017</v>
      </c>
      <c r="G48" s="246">
        <v>2114180559.6399996</v>
      </c>
      <c r="H48" s="246">
        <v>1082043018.1700001</v>
      </c>
      <c r="I48" s="246">
        <f t="shared" si="26"/>
        <v>1032137541.4699996</v>
      </c>
      <c r="J48" s="246"/>
    </row>
    <row r="49" spans="1:10" x14ac:dyDescent="0.45">
      <c r="A49">
        <v>2018</v>
      </c>
      <c r="B49">
        <v>6105304179.7600002</v>
      </c>
      <c r="C49">
        <v>1837890785.3699999</v>
      </c>
      <c r="D49">
        <f t="shared" si="25"/>
        <v>4267413394.3900003</v>
      </c>
      <c r="F49">
        <v>2018</v>
      </c>
      <c r="G49" s="246">
        <v>2195270855.29</v>
      </c>
      <c r="H49" s="246">
        <v>1320567063.7</v>
      </c>
      <c r="I49" s="246">
        <f t="shared" si="26"/>
        <v>874703791.58999991</v>
      </c>
      <c r="J49" s="246"/>
    </row>
    <row r="50" spans="1:10" x14ac:dyDescent="0.45">
      <c r="A50">
        <v>2019</v>
      </c>
      <c r="B50">
        <v>5858025642.5600004</v>
      </c>
      <c r="C50">
        <v>1785976432.2</v>
      </c>
      <c r="D50">
        <f t="shared" si="25"/>
        <v>4072049210.3600006</v>
      </c>
      <c r="F50">
        <v>2019</v>
      </c>
      <c r="G50" s="246">
        <v>1477345841.0900002</v>
      </c>
      <c r="H50" s="246">
        <v>1179148166.8900001</v>
      </c>
      <c r="I50" s="246">
        <f t="shared" si="26"/>
        <v>298197674.20000005</v>
      </c>
      <c r="J50" s="246"/>
    </row>
    <row r="51" spans="1:10" x14ac:dyDescent="0.45">
      <c r="A51">
        <v>2020</v>
      </c>
      <c r="B51">
        <v>6814985448</v>
      </c>
      <c r="C51">
        <v>913814520</v>
      </c>
      <c r="D51">
        <f t="shared" si="25"/>
        <v>5901170928</v>
      </c>
      <c r="F51">
        <v>2020</v>
      </c>
      <c r="G51" s="246">
        <v>1719673064</v>
      </c>
      <c r="H51" s="246">
        <v>1154779071</v>
      </c>
      <c r="I51" s="246">
        <f t="shared" si="26"/>
        <v>564893993</v>
      </c>
      <c r="J51" s="246"/>
    </row>
    <row r="52" spans="1:10" x14ac:dyDescent="0.45">
      <c r="A52">
        <v>2021</v>
      </c>
      <c r="B52">
        <v>9761395306</v>
      </c>
      <c r="C52">
        <v>893488106</v>
      </c>
      <c r="D52">
        <f t="shared" si="25"/>
        <v>8867907200</v>
      </c>
      <c r="F52">
        <v>2021</v>
      </c>
      <c r="G52" s="246">
        <v>4008612764</v>
      </c>
      <c r="H52" s="246">
        <v>1053632565</v>
      </c>
      <c r="I52" s="246">
        <f t="shared" si="26"/>
        <v>2954980199</v>
      </c>
      <c r="J52" s="246"/>
    </row>
    <row r="53" spans="1:10" x14ac:dyDescent="0.45">
      <c r="A53">
        <v>2022</v>
      </c>
      <c r="B53">
        <v>11913795570</v>
      </c>
      <c r="C53">
        <v>897765090</v>
      </c>
      <c r="D53">
        <f t="shared" si="25"/>
        <v>11016030480</v>
      </c>
      <c r="F53">
        <v>2022</v>
      </c>
      <c r="G53" s="246">
        <v>5455133853</v>
      </c>
      <c r="H53" s="246">
        <v>866040055</v>
      </c>
      <c r="I53" s="246">
        <f t="shared" si="26"/>
        <v>4589093798</v>
      </c>
      <c r="J53" s="246"/>
    </row>
    <row r="54" spans="1:10" x14ac:dyDescent="0.45">
      <c r="A54">
        <v>2023</v>
      </c>
      <c r="B54">
        <v>12843098055.67</v>
      </c>
      <c r="C54">
        <v>889723107.91999996</v>
      </c>
      <c r="D54">
        <f t="shared" si="25"/>
        <v>11953374947.75</v>
      </c>
      <c r="F54">
        <v>2023</v>
      </c>
      <c r="G54" s="246">
        <v>4482774760.3800001</v>
      </c>
      <c r="H54" s="246">
        <v>994107918.01999998</v>
      </c>
      <c r="I54" s="246">
        <f t="shared" si="26"/>
        <v>3488666842.3600001</v>
      </c>
      <c r="J54" s="246"/>
    </row>
    <row r="55" spans="1:10" x14ac:dyDescent="0.45">
      <c r="A55">
        <v>2024</v>
      </c>
      <c r="B55">
        <v>10792547134.049999</v>
      </c>
      <c r="C55">
        <v>809358270.51999998</v>
      </c>
      <c r="D55">
        <f t="shared" si="25"/>
        <v>9983188863.5299988</v>
      </c>
      <c r="F55">
        <v>2024</v>
      </c>
      <c r="G55" s="246">
        <v>4000854433.4499998</v>
      </c>
      <c r="H55" s="246">
        <v>928506310.88999999</v>
      </c>
      <c r="I55" s="246">
        <f t="shared" si="26"/>
        <v>3072348122.5599999</v>
      </c>
    </row>
    <row r="56" spans="1:10" x14ac:dyDescent="0.45">
      <c r="A56">
        <v>2025</v>
      </c>
      <c r="B56">
        <v>11417540722.02</v>
      </c>
      <c r="C56">
        <v>672471997</v>
      </c>
      <c r="D56">
        <f t="shared" si="25"/>
        <v>10745068725.02</v>
      </c>
      <c r="F56">
        <v>2025</v>
      </c>
      <c r="G56" s="246">
        <v>4057336766.77</v>
      </c>
      <c r="H56" s="246">
        <v>753961119.96000004</v>
      </c>
      <c r="I56" s="246">
        <f t="shared" si="26"/>
        <v>3303375646.8099999</v>
      </c>
    </row>
  </sheetData>
  <mergeCells count="12">
    <mergeCell ref="A15:E15"/>
    <mergeCell ref="G15:J15"/>
    <mergeCell ref="L15:P15"/>
    <mergeCell ref="R15:U15"/>
    <mergeCell ref="A41:D41"/>
    <mergeCell ref="F41:I41"/>
    <mergeCell ref="A1:K1"/>
    <mergeCell ref="L1:U1"/>
    <mergeCell ref="B2:E2"/>
    <mergeCell ref="G2:J2"/>
    <mergeCell ref="L2:P2"/>
    <mergeCell ref="R2:U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EEE0-3829-4AC8-8EB1-5AA65A17C51E}">
  <sheetPr codeName="Sheet9">
    <tabColor rgb="FF7030A0"/>
  </sheetPr>
  <dimension ref="B1:BB78"/>
  <sheetViews>
    <sheetView showGridLines="0" zoomScale="72" zoomScaleNormal="72" workbookViewId="0">
      <selection activeCell="E26" sqref="E26"/>
    </sheetView>
  </sheetViews>
  <sheetFormatPr defaultColWidth="8.86328125" defaultRowHeight="15.75" x14ac:dyDescent="0.6"/>
  <cols>
    <col min="1" max="1" width="3.86328125" style="75" customWidth="1"/>
    <col min="2" max="2" width="5.1328125" style="75" bestFit="1" customWidth="1"/>
    <col min="3" max="3" width="17.3984375" style="75" bestFit="1" customWidth="1"/>
    <col min="4" max="4" width="19.1328125" style="75" bestFit="1" customWidth="1"/>
    <col min="5" max="5" width="18.1328125" style="75" bestFit="1" customWidth="1"/>
    <col min="6" max="6" width="14.3984375" style="75" customWidth="1"/>
    <col min="7" max="7" width="17.3984375" style="75" customWidth="1"/>
    <col min="8" max="8" width="15.59765625" style="75" bestFit="1" customWidth="1"/>
    <col min="9" max="9" width="7.86328125" style="77" bestFit="1" customWidth="1"/>
    <col min="10" max="10" width="14.59765625" style="75" customWidth="1"/>
    <col min="11" max="11" width="16.86328125" style="75" bestFit="1" customWidth="1"/>
    <col min="12" max="12" width="15.59765625" style="75" bestFit="1" customWidth="1"/>
    <col min="13" max="13" width="7.86328125" style="77" bestFit="1" customWidth="1"/>
    <col min="14" max="14" width="17.1328125" style="75" customWidth="1"/>
    <col min="15" max="16" width="15.59765625" style="75" bestFit="1" customWidth="1"/>
    <col min="17" max="17" width="17.1328125" style="75" bestFit="1" customWidth="1"/>
    <col min="18" max="19" width="8.86328125" style="75"/>
    <col min="20" max="20" width="14.3984375" style="75" bestFit="1" customWidth="1"/>
    <col min="21" max="21" width="13.86328125" style="75" customWidth="1"/>
    <col min="22" max="22" width="15.86328125" style="75" customWidth="1"/>
    <col min="23" max="23" width="14.3984375" style="75" bestFit="1" customWidth="1"/>
    <col min="24" max="24" width="13.59765625" style="75" bestFit="1" customWidth="1"/>
    <col min="25" max="25" width="14.86328125" style="75" customWidth="1"/>
    <col min="26" max="26" width="14.3984375" style="75" customWidth="1"/>
    <col min="27" max="33" width="8.86328125" style="75"/>
    <col min="34" max="35" width="2.3984375" style="120" customWidth="1"/>
    <col min="36" max="52" width="8.86328125" style="75"/>
    <col min="53" max="54" width="2.3984375" style="120" customWidth="1"/>
    <col min="55" max="16384" width="8.86328125" style="75"/>
  </cols>
  <sheetData>
    <row r="1" spans="2:54" x14ac:dyDescent="0.6">
      <c r="AJ1" s="539" t="s">
        <v>297</v>
      </c>
      <c r="AK1" s="548"/>
      <c r="AL1" s="548"/>
      <c r="AM1" s="548"/>
      <c r="AN1" s="548"/>
      <c r="AO1" s="548"/>
      <c r="AP1" s="548"/>
      <c r="AQ1" s="548"/>
      <c r="AR1" s="548"/>
      <c r="AS1" s="548"/>
      <c r="AT1" s="548"/>
      <c r="AU1" s="548"/>
      <c r="AV1" s="548"/>
      <c r="AW1" s="548"/>
      <c r="AX1" s="548"/>
      <c r="AY1" s="548"/>
      <c r="AZ1" s="549"/>
    </row>
    <row r="2" spans="2:54" x14ac:dyDescent="0.6">
      <c r="D2" s="106" t="s">
        <v>298</v>
      </c>
      <c r="E2" s="113">
        <f>RegJetFuel!$B$19</f>
        <v>196334.93383967169</v>
      </c>
      <c r="AJ2" s="550"/>
      <c r="AK2" s="551"/>
      <c r="AL2" s="551"/>
      <c r="AM2" s="551"/>
      <c r="AN2" s="551"/>
      <c r="AO2" s="551"/>
      <c r="AP2" s="551"/>
      <c r="AQ2" s="551"/>
      <c r="AR2" s="551"/>
      <c r="AS2" s="551"/>
      <c r="AT2" s="551"/>
      <c r="AU2" s="551"/>
      <c r="AV2" s="551"/>
      <c r="AW2" s="551"/>
      <c r="AX2" s="551"/>
      <c r="AY2" s="551"/>
      <c r="AZ2" s="552"/>
    </row>
    <row r="3" spans="2:54" ht="16.149999999999999" thickBot="1" x14ac:dyDescent="0.65">
      <c r="D3" s="106" t="s">
        <v>299</v>
      </c>
      <c r="E3" s="113">
        <f>RegJetFuel!$B$18</f>
        <v>79.787865490992743</v>
      </c>
      <c r="AJ3" s="553"/>
      <c r="AK3" s="554"/>
      <c r="AL3" s="554"/>
      <c r="AM3" s="554"/>
      <c r="AN3" s="554"/>
      <c r="AO3" s="554"/>
      <c r="AP3" s="554"/>
      <c r="AQ3" s="554"/>
      <c r="AR3" s="554"/>
      <c r="AS3" s="554"/>
      <c r="AT3" s="554"/>
      <c r="AU3" s="554"/>
      <c r="AV3" s="554"/>
      <c r="AW3" s="554"/>
      <c r="AX3" s="554"/>
      <c r="AY3" s="554"/>
      <c r="AZ3" s="555"/>
    </row>
    <row r="4" spans="2:54" x14ac:dyDescent="0.6">
      <c r="D4" s="106" t="s">
        <v>300</v>
      </c>
      <c r="E4" s="113">
        <f>RegJetFuel!$B$17</f>
        <v>-14746408795.767437</v>
      </c>
    </row>
    <row r="5" spans="2:54" x14ac:dyDescent="0.6">
      <c r="E5" s="116"/>
      <c r="S5" s="80" t="s">
        <v>301</v>
      </c>
      <c r="T5" s="80"/>
      <c r="U5" s="80"/>
      <c r="V5" s="80"/>
      <c r="W5" s="80"/>
      <c r="X5" s="80"/>
      <c r="Y5" s="80"/>
    </row>
    <row r="6" spans="2:54" x14ac:dyDescent="0.6">
      <c r="E6" s="116"/>
    </row>
    <row r="7" spans="2:54" x14ac:dyDescent="0.6">
      <c r="E7" s="116"/>
      <c r="F7" s="139" t="s">
        <v>302</v>
      </c>
      <c r="AH7" s="186"/>
      <c r="AI7" s="186"/>
      <c r="BA7" s="186"/>
      <c r="BB7" s="186"/>
    </row>
    <row r="8" spans="2:54" x14ac:dyDescent="0.6">
      <c r="C8" s="223" t="s">
        <v>190</v>
      </c>
      <c r="D8" s="223" t="s">
        <v>303</v>
      </c>
      <c r="F8" s="556" t="s">
        <v>196</v>
      </c>
      <c r="G8" s="580"/>
      <c r="H8" s="580"/>
      <c r="I8" s="580"/>
      <c r="J8" s="557" t="s">
        <v>197</v>
      </c>
      <c r="K8" s="557"/>
      <c r="L8" s="557"/>
      <c r="M8" s="557"/>
      <c r="AH8" s="186"/>
      <c r="AI8" s="186"/>
      <c r="BA8" s="186"/>
      <c r="BB8" s="186"/>
    </row>
    <row r="9" spans="2:54" ht="29.45" customHeight="1" x14ac:dyDescent="0.6">
      <c r="B9" s="112" t="s">
        <v>30</v>
      </c>
      <c r="C9" s="262" t="s">
        <v>55</v>
      </c>
      <c r="D9" s="262" t="s">
        <v>41</v>
      </c>
      <c r="E9" s="263" t="str">
        <f>'Jet - DemandSupply'!$K$8</f>
        <v>Departures_Pass</v>
      </c>
      <c r="F9" s="125" t="s">
        <v>304</v>
      </c>
      <c r="G9" s="125" t="s">
        <v>305</v>
      </c>
      <c r="H9" s="125" t="s">
        <v>306</v>
      </c>
      <c r="I9" s="260" t="s">
        <v>307</v>
      </c>
      <c r="J9" s="125" t="s">
        <v>304</v>
      </c>
      <c r="K9" s="125" t="s">
        <v>305</v>
      </c>
      <c r="L9" s="125" t="s">
        <v>308</v>
      </c>
      <c r="M9" s="260" t="s">
        <v>307</v>
      </c>
      <c r="N9" s="261" t="s">
        <v>309</v>
      </c>
      <c r="O9" s="261" t="s">
        <v>310</v>
      </c>
      <c r="P9" s="261" t="s">
        <v>311</v>
      </c>
      <c r="Q9" s="261" t="s">
        <v>310</v>
      </c>
    </row>
    <row r="10" spans="2:54" x14ac:dyDescent="0.6">
      <c r="B10" s="76">
        <v>2010</v>
      </c>
      <c r="C10" s="82">
        <f>IFERROR((INDEX(JetDemandSupply,MATCH($B10,'Jet - DemandSupply'!D:D,0),MATCH($C$9,'Jet - DemandSupply'!$D$8:$L$8,0))),)</f>
        <v>2460460646</v>
      </c>
      <c r="D10" s="82">
        <f t="shared" ref="D10:D45" si="0">IFERROR((INDEX(GDP,MATCH($B10,Macros_year,0),MATCH($D$9,Macros_header,0))),)</f>
        <v>77587.601064139468</v>
      </c>
      <c r="E10" s="79" t="str">
        <f ca="1">IFERROR((INDEX(JetDemandSupply,MATCH($B10,'Jet - DemandSupply'!D:D,0),MATCH($E$9,'Jet - DemandSupply'!$D$8:$L$8,0))),)</f>
        <v/>
      </c>
      <c r="F10" s="106"/>
      <c r="G10" s="106"/>
      <c r="H10" s="106"/>
      <c r="I10" s="127"/>
      <c r="J10" s="106"/>
      <c r="K10" s="106"/>
      <c r="L10" s="106"/>
      <c r="M10" s="127"/>
      <c r="N10" s="83">
        <f>$C10</f>
        <v>2460460646</v>
      </c>
    </row>
    <row r="11" spans="2:54" x14ac:dyDescent="0.6">
      <c r="B11" s="76">
        <v>2011</v>
      </c>
      <c r="C11" s="82">
        <f>IFERROR((INDEX(JetDemandSupply,MATCH($B11,'Jet - DemandSupply'!D:D,0),MATCH($C$9,'Jet - DemandSupply'!$D$8:$L$8,0))),)</f>
        <v>2562518279</v>
      </c>
      <c r="D11" s="82">
        <f t="shared" si="0"/>
        <v>78834.950056658563</v>
      </c>
      <c r="E11" s="79" t="str">
        <f ca="1">IFERROR((INDEX(JetDemandSupply,MATCH($B11,'Jet - DemandSupply'!D:D,0),MATCH($E$9,'Jet - DemandSupply'!$D$8:$L$8,0))),)</f>
        <v/>
      </c>
      <c r="F11" s="106"/>
      <c r="G11" s="106"/>
      <c r="H11" s="106"/>
      <c r="I11" s="127"/>
      <c r="J11" s="106"/>
      <c r="K11" s="106"/>
      <c r="L11" s="106"/>
      <c r="M11" s="127"/>
      <c r="N11" s="83">
        <f t="shared" ref="N11:N23" si="1">$C11</f>
        <v>2562518279</v>
      </c>
    </row>
    <row r="12" spans="2:54" x14ac:dyDescent="0.6">
      <c r="B12" s="76">
        <v>2012</v>
      </c>
      <c r="C12" s="82">
        <f>IFERROR((INDEX(JetDemandSupply,MATCH($B12,'Jet - DemandSupply'!D:D,0),MATCH($C$9,'Jet - DemandSupply'!$D$8:$L$8,0))),)</f>
        <v>2461375625</v>
      </c>
      <c r="D12" s="82">
        <f t="shared" si="0"/>
        <v>79457.526677078029</v>
      </c>
      <c r="E12" s="79" t="str">
        <f ca="1">IFERROR((INDEX(JetDemandSupply,MATCH($B12,'Jet - DemandSupply'!D:D,0),MATCH($E$9,'Jet - DemandSupply'!$D$8:$L$8,0))),)</f>
        <v/>
      </c>
      <c r="F12" s="106"/>
      <c r="G12" s="106"/>
      <c r="H12" s="106"/>
      <c r="I12" s="127"/>
      <c r="J12" s="106"/>
      <c r="K12" s="106"/>
      <c r="L12" s="106"/>
      <c r="M12" s="127"/>
      <c r="N12" s="83">
        <f t="shared" si="1"/>
        <v>2461375625</v>
      </c>
    </row>
    <row r="13" spans="2:54" x14ac:dyDescent="0.6">
      <c r="B13" s="76">
        <v>2013</v>
      </c>
      <c r="C13" s="82">
        <f>IFERROR((INDEX(JetDemandSupply,MATCH($B13,'Jet - DemandSupply'!D:D,0),MATCH($C$9,'Jet - DemandSupply'!$D$8:$L$8,0))),)</f>
        <v>2335193738</v>
      </c>
      <c r="D13" s="82">
        <f t="shared" si="0"/>
        <v>80136.367446443459</v>
      </c>
      <c r="E13" s="79" t="str">
        <f ca="1">IFERROR((INDEX(JetDemandSupply,MATCH($B13,'Jet - DemandSupply'!D:D,0),MATCH($E$9,'Jet - DemandSupply'!$D$8:$L$8,0))),)</f>
        <v/>
      </c>
      <c r="F13" s="106"/>
      <c r="G13" s="106"/>
      <c r="H13" s="106"/>
      <c r="I13" s="127"/>
      <c r="J13" s="106"/>
      <c r="K13" s="106"/>
      <c r="L13" s="106"/>
      <c r="M13" s="127"/>
      <c r="N13" s="83">
        <f t="shared" si="1"/>
        <v>2335193738</v>
      </c>
    </row>
    <row r="14" spans="2:54" x14ac:dyDescent="0.6">
      <c r="B14" s="76">
        <v>2014</v>
      </c>
      <c r="C14" s="82">
        <f>IFERROR((INDEX(JetDemandSupply,MATCH($B14,'Jet - DemandSupply'!D:D,0),MATCH($C$9,'Jet - DemandSupply'!$D$8:$L$8,0))),)</f>
        <v>2315233957</v>
      </c>
      <c r="D14" s="82">
        <f t="shared" si="0"/>
        <v>79992.361913427827</v>
      </c>
      <c r="E14" s="79" t="str">
        <f ca="1">IFERROR((INDEX(JetDemandSupply,MATCH($B14,'Jet - DemandSupply'!D:D,0),MATCH($E$9,'Jet - DemandSupply'!$D$8:$L$8,0))),)</f>
        <v/>
      </c>
      <c r="F14" s="106"/>
      <c r="G14" s="106"/>
      <c r="H14" s="106"/>
      <c r="I14" s="127"/>
      <c r="J14" s="106"/>
      <c r="K14" s="106"/>
      <c r="L14" s="106"/>
      <c r="M14" s="127"/>
      <c r="N14" s="83">
        <f t="shared" si="1"/>
        <v>2315233957</v>
      </c>
    </row>
    <row r="15" spans="2:54" x14ac:dyDescent="0.6">
      <c r="B15" s="76">
        <v>2015</v>
      </c>
      <c r="C15" s="82">
        <f>IFERROR((INDEX(JetDemandSupply,MATCH($B15,'Jet - DemandSupply'!D:D,0),MATCH($C$9,'Jet - DemandSupply'!$D$8:$L$8,0))),)</f>
        <v>2477655021</v>
      </c>
      <c r="D15" s="82">
        <f t="shared" si="0"/>
        <v>79117.199555191779</v>
      </c>
      <c r="E15" s="79" t="str">
        <f ca="1">IFERROR((INDEX(JetDemandSupply,MATCH($B15,'Jet - DemandSupply'!D:D,0),MATCH($E$9,'Jet - DemandSupply'!$D$8:$L$8,0))),)</f>
        <v/>
      </c>
      <c r="F15" s="106"/>
      <c r="G15" s="106"/>
      <c r="H15" s="106"/>
      <c r="I15" s="127"/>
      <c r="J15" s="106"/>
      <c r="K15" s="106"/>
      <c r="L15" s="106"/>
      <c r="M15" s="127"/>
      <c r="N15" s="83">
        <f t="shared" si="1"/>
        <v>2477655021</v>
      </c>
    </row>
    <row r="16" spans="2:54" x14ac:dyDescent="0.6">
      <c r="B16" s="76">
        <v>2016</v>
      </c>
      <c r="C16" s="82">
        <f>IFERROR((INDEX(JetDemandSupply,MATCH($B16,'Jet - DemandSupply'!D:D,0),MATCH($C$9,'Jet - DemandSupply'!$D$8:$L$8,0))),)</f>
        <v>2616374955</v>
      </c>
      <c r="D16" s="82">
        <f t="shared" si="0"/>
        <v>78872.591985826642</v>
      </c>
      <c r="E16" s="79" t="str">
        <f ca="1">IFERROR((INDEX(JetDemandSupply,MATCH($B16,'Jet - DemandSupply'!D:D,0),MATCH($E$9,'Jet - DemandSupply'!$D$8:$L$8,0))),)</f>
        <v/>
      </c>
      <c r="F16" s="106"/>
      <c r="G16" s="106"/>
      <c r="H16" s="106"/>
      <c r="I16" s="127"/>
      <c r="J16" s="106"/>
      <c r="K16" s="106"/>
      <c r="L16" s="106"/>
      <c r="M16" s="127"/>
      <c r="N16" s="83">
        <f t="shared" si="1"/>
        <v>2616374955</v>
      </c>
    </row>
    <row r="17" spans="2:17" x14ac:dyDescent="0.6">
      <c r="B17" s="76">
        <v>2017</v>
      </c>
      <c r="C17" s="82">
        <f>IFERROR((INDEX(JetDemandSupply,MATCH($B17,'Jet - DemandSupply'!D:D,0),MATCH($C$9,'Jet - DemandSupply'!$D$8:$L$8,0))),)</f>
        <v>2726423717</v>
      </c>
      <c r="D17" s="82">
        <f t="shared" si="0"/>
        <v>79477.49731131857</v>
      </c>
      <c r="E17" s="79">
        <f ca="1">IFERROR((INDEX(JetDemandSupply,MATCH($B17,'Jet - DemandSupply'!D:D,0),MATCH($E$9,'Jet - DemandSupply'!$D$8:$L$8,0))),)</f>
        <v>20836846</v>
      </c>
      <c r="F17" s="106"/>
      <c r="G17" s="106"/>
      <c r="H17" s="106"/>
      <c r="I17" s="127"/>
      <c r="J17" s="106"/>
      <c r="L17" s="106"/>
      <c r="M17" s="127"/>
      <c r="N17" s="83">
        <f t="shared" si="1"/>
        <v>2726423717</v>
      </c>
    </row>
    <row r="18" spans="2:17" x14ac:dyDescent="0.6">
      <c r="B18" s="76">
        <v>2018</v>
      </c>
      <c r="C18" s="82">
        <f>IFERROR((INDEX(JetDemandSupply,MATCH($B18,'Jet - DemandSupply'!D:D,0),MATCH($C$9,'Jet - DemandSupply'!$D$8:$L$8,0))),)</f>
        <v>2356724442</v>
      </c>
      <c r="D18" s="82">
        <f t="shared" si="0"/>
        <v>79677.342047662736</v>
      </c>
      <c r="E18" s="79">
        <f ca="1">IFERROR((INDEX(JetDemandSupply,MATCH($B18,'Jet - DemandSupply'!D:D,0),MATCH($E$9,'Jet - DemandSupply'!$D$8:$L$8,0))),)</f>
        <v>21118264</v>
      </c>
      <c r="F18" s="106"/>
      <c r="G18" s="122">
        <f t="shared" ref="G18:G19" ca="1" si="2">$E18</f>
        <v>21118264</v>
      </c>
      <c r="H18" s="106"/>
      <c r="I18" s="127"/>
      <c r="J18" s="106"/>
      <c r="K18" s="106"/>
      <c r="L18" s="106"/>
      <c r="M18" s="127"/>
      <c r="N18" s="83">
        <f t="shared" si="1"/>
        <v>2356724442</v>
      </c>
    </row>
    <row r="19" spans="2:17" x14ac:dyDescent="0.6">
      <c r="B19" s="76">
        <v>2019</v>
      </c>
      <c r="C19" s="82">
        <f>IFERROR((INDEX(JetDemandSupply,MATCH($B19,'Jet - DemandSupply'!D:D,0),MATCH($C$9,'Jet - DemandSupply'!$D$8:$L$8,0))),)</f>
        <v>2449505137</v>
      </c>
      <c r="D19" s="82">
        <f>IFERROR((INDEX(GDP,MATCH($B19,Macros_year,0),MATCH($D$9,Macros_header,0))),)</f>
        <v>78741.033795211013</v>
      </c>
      <c r="E19" s="79">
        <f ca="1">IFERROR((INDEX(JetDemandSupply,MATCH($B19,'Jet - DemandSupply'!D:D,0),MATCH($E$9,'Jet - DemandSupply'!$D$8:$L$8,0))),)</f>
        <v>20924465</v>
      </c>
      <c r="F19" s="106"/>
      <c r="G19" s="122">
        <f t="shared" ca="1" si="2"/>
        <v>20924465</v>
      </c>
      <c r="H19" s="106"/>
      <c r="I19" s="127"/>
      <c r="J19" s="106"/>
      <c r="K19" s="106"/>
      <c r="L19" s="106"/>
      <c r="M19" s="127"/>
      <c r="N19" s="83">
        <f t="shared" si="1"/>
        <v>2449505137</v>
      </c>
    </row>
    <row r="20" spans="2:17" x14ac:dyDescent="0.6">
      <c r="B20" s="76">
        <v>2020</v>
      </c>
      <c r="C20" s="82">
        <f>IFERROR((INDEX(JetDemandSupply,MATCH($B20,'Jet - DemandSupply'!D:D,0),MATCH($C$9,'Jet - DemandSupply'!$D$8:$L$8,0))),)</f>
        <v>1098369094</v>
      </c>
      <c r="D20" s="82">
        <f t="shared" si="0"/>
        <v>72780.724692688324</v>
      </c>
      <c r="E20" s="79">
        <f ca="1">IFERROR((INDEX(JetDemandSupply,MATCH($B20,'Jet - DemandSupply'!D:D,0),MATCH($E$9,'Jet - DemandSupply'!$D$8:$L$8,0))),)</f>
        <v>4569737</v>
      </c>
      <c r="F20" s="106"/>
      <c r="G20" s="122">
        <f ca="1">$E20</f>
        <v>4569737</v>
      </c>
      <c r="H20" s="106"/>
      <c r="I20" s="127"/>
      <c r="J20" s="106"/>
      <c r="K20" s="122">
        <f ca="1">$E20</f>
        <v>4569737</v>
      </c>
      <c r="L20" s="106"/>
      <c r="M20" s="127"/>
      <c r="N20" s="83">
        <f t="shared" si="1"/>
        <v>1098369094</v>
      </c>
    </row>
    <row r="21" spans="2:17" x14ac:dyDescent="0.6">
      <c r="B21" s="76">
        <v>2021</v>
      </c>
      <c r="C21" s="82">
        <f>IFERROR((INDEX(JetDemandSupply,MATCH($B21,'Jet - DemandSupply'!D:D,0),MATCH($C$9,'Jet - DemandSupply'!$D$8:$L$8,0))),)</f>
        <v>1054945939</v>
      </c>
      <c r="D21" s="82">
        <f t="shared" si="0"/>
        <v>75987.078108010232</v>
      </c>
      <c r="E21" s="79">
        <f ca="1">IFERROR((INDEX(JetDemandSupply,MATCH($B21,'Jet - DemandSupply'!D:D,0),MATCH($E$9,'Jet - DemandSupply'!$D$8:$L$8,0))),)</f>
        <v>10538202</v>
      </c>
      <c r="F21" s="106"/>
      <c r="G21" s="189">
        <f>Assumptions!O56</f>
        <v>5000000</v>
      </c>
      <c r="H21" s="106"/>
      <c r="I21" s="127"/>
      <c r="J21" s="106"/>
      <c r="K21" s="189">
        <f>Assumptions!O56</f>
        <v>5000000</v>
      </c>
      <c r="L21" s="106"/>
      <c r="M21" s="127"/>
      <c r="N21" s="83">
        <f t="shared" si="1"/>
        <v>1054945939</v>
      </c>
    </row>
    <row r="22" spans="2:17" x14ac:dyDescent="0.6">
      <c r="B22" s="76">
        <v>2022</v>
      </c>
      <c r="C22" s="82">
        <f>IFERROR((INDEX(JetDemandSupply,MATCH($B22,'Jet - DemandSupply'!D:D,0),MATCH($C$9,'Jet - DemandSupply'!$D$8:$L$8,0))),)</f>
        <v>1482846283.9199998</v>
      </c>
      <c r="D22" s="82">
        <f t="shared" si="0"/>
        <v>76790.165012245096</v>
      </c>
      <c r="E22" s="79">
        <f ca="1">IFERROR((INDEX(JetDemandSupply,MATCH($B22,'Jet - DemandSupply'!D:D,0),MATCH($E$9,'Jet - DemandSupply'!$D$8:$L$8,0))),)</f>
        <v>15813215</v>
      </c>
      <c r="F22" s="122">
        <f>$D22</f>
        <v>76790.165012245096</v>
      </c>
      <c r="G22" s="130">
        <f t="shared" ref="G22:G45" si="3">G21*(VLOOKUP($B22,PaxHighScenario,3,0)+1)</f>
        <v>11000000</v>
      </c>
      <c r="H22" s="122">
        <f>$C22</f>
        <v>1482846283.9199998</v>
      </c>
      <c r="I22" s="127"/>
      <c r="J22" s="122">
        <f>$D22</f>
        <v>76790.165012245096</v>
      </c>
      <c r="K22" s="130">
        <f t="shared" ref="K22:K45" si="4">K21*(VLOOKUP($B22,PaxLowScenario,3,0)+1)</f>
        <v>11000000</v>
      </c>
      <c r="L22" s="122">
        <f>$C22</f>
        <v>1482846283.9199998</v>
      </c>
      <c r="M22" s="127"/>
      <c r="N22" s="83">
        <f t="shared" si="1"/>
        <v>1482846283.9199998</v>
      </c>
      <c r="O22" s="83"/>
      <c r="Q22" s="79">
        <f>O22-P22</f>
        <v>0</v>
      </c>
    </row>
    <row r="23" spans="2:17" x14ac:dyDescent="0.6">
      <c r="B23" s="76">
        <v>2023</v>
      </c>
      <c r="C23" s="82">
        <f>IFERROR((INDEX(JetDemandSupply,MATCH($B23,'Jet - DemandSupply'!D:D,0),MATCH($C$9,'Jet - DemandSupply'!$D$8:$L$8,0))),)</f>
        <v>1850517638.0579998</v>
      </c>
      <c r="D23" s="82">
        <f t="shared" si="0"/>
        <v>76777.92621036293</v>
      </c>
      <c r="E23" s="79">
        <f ca="1">IFERROR((INDEX(JetDemandSupply,MATCH($B23,'Jet - DemandSupply'!D:D,0),MATCH($E$9,'Jet - DemandSupply'!$D$8:$L$8,0))),)</f>
        <v>17730490.285714291</v>
      </c>
      <c r="F23" s="122">
        <f t="shared" ref="F23" si="5">$D23</f>
        <v>76777.92621036293</v>
      </c>
      <c r="G23" s="130">
        <f t="shared" si="3"/>
        <v>16000000</v>
      </c>
      <c r="H23" s="122">
        <f t="shared" ref="H23" si="6">$C23</f>
        <v>1850517638.0579998</v>
      </c>
      <c r="I23" s="128">
        <f>H23/H22-1</f>
        <v>0.24794974241432288</v>
      </c>
      <c r="J23" s="122">
        <f t="shared" ref="J23" si="7">$D23</f>
        <v>76777.92621036293</v>
      </c>
      <c r="K23" s="130">
        <f t="shared" si="4"/>
        <v>16000000</v>
      </c>
      <c r="L23" s="122">
        <f t="shared" ref="L23" si="8">$C23</f>
        <v>1850517638.0579998</v>
      </c>
      <c r="M23" s="128">
        <f>L23/L22-1</f>
        <v>0.24794974241432288</v>
      </c>
      <c r="N23" s="83">
        <f t="shared" si="1"/>
        <v>1850517638.0579998</v>
      </c>
      <c r="O23" s="83">
        <f>H23</f>
        <v>1850517638.0579998</v>
      </c>
      <c r="P23" s="83">
        <f>L23</f>
        <v>1850517638.0579998</v>
      </c>
      <c r="Q23" s="79">
        <f t="shared" ref="Q23:Q37" si="9">O23-P23</f>
        <v>0</v>
      </c>
    </row>
    <row r="24" spans="2:17" x14ac:dyDescent="0.6">
      <c r="B24" s="76">
        <v>2024</v>
      </c>
      <c r="C24" s="82">
        <f>IFERROR((INDEX(JetDemandSupply,MATCH($B24,'Jet - DemandSupply'!D:D,0),MATCH($C$9,'Jet - DemandSupply'!$D$8:$L$8,0))),)</f>
        <v>1866043613.6600001</v>
      </c>
      <c r="D24" s="82">
        <f t="shared" si="0"/>
        <v>76356.557279594257</v>
      </c>
      <c r="E24" s="79" t="str">
        <f ca="1">IFERROR((INDEX(JetDemandSupply,MATCH($B24,'Jet - DemandSupply'!D:D,0),MATCH($E$9,'Jet - DemandSupply'!$D$8:$L$8,0))),)</f>
        <v/>
      </c>
      <c r="F24" s="129">
        <f t="shared" ref="F24:F35" si="10">F23*(VLOOKUP($B24,PaxHighScenario,2,0)+1)</f>
        <v>76356.557279594257</v>
      </c>
      <c r="G24" s="130">
        <f t="shared" si="3"/>
        <v>17000000</v>
      </c>
      <c r="H24" s="131">
        <f>(($F24*$E$2)+($G24*$E$3))+$E$4</f>
        <v>1601444539.2936802</v>
      </c>
      <c r="I24" s="128">
        <f t="shared" ref="I24:I37" si="11">H24/H23-1</f>
        <v>-0.13459644676810867</v>
      </c>
      <c r="J24" s="129">
        <f t="shared" ref="J24:J45" si="12">J23*(VLOOKUP($B24,PaxLowScenario,2,0)+1)</f>
        <v>76356.557279594257</v>
      </c>
      <c r="K24" s="130">
        <f t="shared" si="4"/>
        <v>17000000</v>
      </c>
      <c r="L24" s="131">
        <f>(($J24*$E$2)+($K24*$E$3))+$E$4</f>
        <v>1601444539.2936802</v>
      </c>
      <c r="M24" s="128">
        <f t="shared" ref="M24:M37" si="13">L24/L23-1</f>
        <v>-0.13459644676810867</v>
      </c>
      <c r="N24" s="83"/>
      <c r="O24" s="83">
        <f t="shared" ref="O24:O37" si="14">H24</f>
        <v>1601444539.2936802</v>
      </c>
      <c r="P24" s="83">
        <f t="shared" ref="P24:P37" si="15">L24</f>
        <v>1601444539.2936802</v>
      </c>
      <c r="Q24" s="79">
        <f t="shared" si="9"/>
        <v>0</v>
      </c>
    </row>
    <row r="25" spans="2:17" x14ac:dyDescent="0.6">
      <c r="B25" s="76">
        <v>2025</v>
      </c>
      <c r="C25" s="82">
        <f>IFERROR((INDEX(JetDemandSupply,MATCH($B25,'Jet - DemandSupply'!D:D,0),MATCH($C$9,'Jet - DemandSupply'!$D$8:$L$8,0))),)</f>
        <v>0</v>
      </c>
      <c r="D25" s="82">
        <f t="shared" si="0"/>
        <v>75873.540353853896</v>
      </c>
      <c r="E25" s="79">
        <f>IFERROR((INDEX(JetDemandSupply,MATCH($B25,'Jet - DemandSupply'!D:D,0),MATCH($E$9,'Jet - DemandSupply'!$D$8:$L$8,0))),)</f>
        <v>0</v>
      </c>
      <c r="F25" s="129">
        <f t="shared" si="10"/>
        <v>75873.540353853896</v>
      </c>
      <c r="G25" s="130">
        <f>G24*(VLOOKUP($B25,PaxHighScenario,3,0)+1)</f>
        <v>19000000</v>
      </c>
      <c r="H25" s="131">
        <f t="shared" ref="H25:H45" si="16">(($F25*$E$2)+($G25*$E$3))+$E$4</f>
        <v>1666187174.1169891</v>
      </c>
      <c r="I25" s="128">
        <f t="shared" si="11"/>
        <v>4.0427647186498161E-2</v>
      </c>
      <c r="J25" s="129">
        <f t="shared" si="12"/>
        <v>75873.540353853896</v>
      </c>
      <c r="K25" s="130">
        <f t="shared" si="4"/>
        <v>19000000</v>
      </c>
      <c r="L25" s="131">
        <f t="shared" ref="L25:L45" si="17">(($J25*$E$2)+($K25*$E$3))+$E$4</f>
        <v>1666187174.1169891</v>
      </c>
      <c r="M25" s="128">
        <f t="shared" si="13"/>
        <v>4.0427647186498161E-2</v>
      </c>
      <c r="N25" s="83"/>
      <c r="O25" s="83">
        <f t="shared" si="14"/>
        <v>1666187174.1169891</v>
      </c>
      <c r="P25" s="83">
        <f t="shared" si="15"/>
        <v>1666187174.1169891</v>
      </c>
      <c r="Q25" s="79">
        <f t="shared" si="9"/>
        <v>0</v>
      </c>
    </row>
    <row r="26" spans="2:17" x14ac:dyDescent="0.6">
      <c r="B26" s="76">
        <v>2026</v>
      </c>
      <c r="C26" s="82">
        <f>IFERROR((INDEX(JetDemandSupply,MATCH($B26,'Jet - DemandSupply'!D:D,0),MATCH($C$9,'Jet - DemandSupply'!$D$8:$L$8,0))),)</f>
        <v>0</v>
      </c>
      <c r="D26" s="82">
        <f t="shared" si="0"/>
        <v>76305.620802195466</v>
      </c>
      <c r="E26" s="79">
        <f>IFERROR((INDEX(JetDemandSupply,MATCH($B26,'Jet - DemandSupply'!D:D,0),MATCH($E$9,'Jet - DemandSupply'!$D$8:$L$8,0))),)</f>
        <v>0</v>
      </c>
      <c r="F26" s="129">
        <f t="shared" si="10"/>
        <v>76305.620802195466</v>
      </c>
      <c r="G26" s="130">
        <f t="shared" si="3"/>
        <v>21000000.000000004</v>
      </c>
      <c r="H26" s="131">
        <f t="shared" si="16"/>
        <v>1910595391.337534</v>
      </c>
      <c r="I26" s="128">
        <f t="shared" si="11"/>
        <v>0.14668713156435809</v>
      </c>
      <c r="J26" s="129">
        <f t="shared" si="12"/>
        <v>75854.997057300614</v>
      </c>
      <c r="K26" s="130">
        <f t="shared" si="4"/>
        <v>21000000.000000004</v>
      </c>
      <c r="L26" s="131">
        <f t="shared" si="17"/>
        <v>1822122208.1970177</v>
      </c>
      <c r="M26" s="128">
        <f t="shared" si="13"/>
        <v>9.3587945281518481E-2</v>
      </c>
      <c r="N26" s="83"/>
      <c r="O26" s="83">
        <f t="shared" si="14"/>
        <v>1910595391.337534</v>
      </c>
      <c r="P26" s="83">
        <f t="shared" si="15"/>
        <v>1822122208.1970177</v>
      </c>
      <c r="Q26" s="79">
        <f t="shared" si="9"/>
        <v>88473183.140516281</v>
      </c>
    </row>
    <row r="27" spans="2:17" x14ac:dyDescent="0.6">
      <c r="B27" s="76">
        <v>2027</v>
      </c>
      <c r="C27" s="82">
        <f>IFERROR((INDEX(JetDemandSupply,MATCH($B27,'Jet - DemandSupply'!D:D,0),MATCH($C$9,'Jet - DemandSupply'!$D$8:$L$8,0))),)</f>
        <v>0</v>
      </c>
      <c r="D27" s="82">
        <f t="shared" si="0"/>
        <v>76770.112741293895</v>
      </c>
      <c r="E27" s="79">
        <f>IFERROR((INDEX(JetDemandSupply,MATCH($B27,'Jet - DemandSupply'!D:D,0),MATCH($E$9,'Jet - DemandSupply'!$D$8:$L$8,0))),)</f>
        <v>0</v>
      </c>
      <c r="F27" s="129">
        <f t="shared" si="10"/>
        <v>76770.112741293895</v>
      </c>
      <c r="G27" s="130">
        <f t="shared" si="3"/>
        <v>22511934.413440529</v>
      </c>
      <c r="H27" s="131">
        <f t="shared" si="16"/>
        <v>2122425405.0802803</v>
      </c>
      <c r="I27" s="128">
        <f t="shared" si="11"/>
        <v>0.11087120522909477</v>
      </c>
      <c r="J27" s="129">
        <f t="shared" si="12"/>
        <v>75866.056489275812</v>
      </c>
      <c r="K27" s="130">
        <f t="shared" si="4"/>
        <v>22025705.952060975</v>
      </c>
      <c r="L27" s="131">
        <f t="shared" si="17"/>
        <v>1906132449.5785255</v>
      </c>
      <c r="M27" s="128">
        <f t="shared" si="13"/>
        <v>4.6105711792314708E-2</v>
      </c>
      <c r="N27" s="83"/>
      <c r="O27" s="83">
        <f t="shared" si="14"/>
        <v>2122425405.0802803</v>
      </c>
      <c r="P27" s="83">
        <f t="shared" si="15"/>
        <v>1906132449.5785255</v>
      </c>
      <c r="Q27" s="79">
        <f t="shared" si="9"/>
        <v>216292955.50175476</v>
      </c>
    </row>
    <row r="28" spans="2:17" x14ac:dyDescent="0.6">
      <c r="B28" s="76">
        <v>2028</v>
      </c>
      <c r="C28" s="82">
        <f>IFERROR((INDEX(JetDemandSupply,MATCH($B28,'Jet - DemandSupply'!D:D,0),MATCH($C$9,'Jet - DemandSupply'!$D$8:$L$8,0))),)</f>
        <v>0</v>
      </c>
      <c r="D28" s="82">
        <f t="shared" si="0"/>
        <v>77267.030311881841</v>
      </c>
      <c r="E28" s="79">
        <f>IFERROR((INDEX(JetDemandSupply,MATCH($B28,'Jet - DemandSupply'!D:D,0),MATCH($E$9,'Jet - DemandSupply'!$D$8:$L$8,0))),)</f>
        <v>0</v>
      </c>
      <c r="F28" s="129">
        <f t="shared" si="10"/>
        <v>77267.030311881841</v>
      </c>
      <c r="G28" s="130">
        <f t="shared" si="3"/>
        <v>24110281.756794807</v>
      </c>
      <c r="H28" s="131">
        <f t="shared" si="16"/>
        <v>2347516406.2648716</v>
      </c>
      <c r="I28" s="128">
        <f t="shared" si="11"/>
        <v>0.1060536689043623</v>
      </c>
      <c r="J28" s="129">
        <f t="shared" si="12"/>
        <v>75906.194397226005</v>
      </c>
      <c r="K28" s="130">
        <f t="shared" si="4"/>
        <v>22147487.463391062</v>
      </c>
      <c r="L28" s="131">
        <f t="shared" si="17"/>
        <v>1923729609.9256821</v>
      </c>
      <c r="M28" s="128">
        <f t="shared" si="13"/>
        <v>9.231866521682397E-3</v>
      </c>
      <c r="N28" s="83"/>
      <c r="O28" s="83">
        <f t="shared" si="14"/>
        <v>2347516406.2648716</v>
      </c>
      <c r="P28" s="83">
        <f t="shared" si="15"/>
        <v>1923729609.9256821</v>
      </c>
      <c r="Q28" s="79">
        <f t="shared" si="9"/>
        <v>423786796.33918953</v>
      </c>
    </row>
    <row r="29" spans="2:17" x14ac:dyDescent="0.6">
      <c r="B29" s="76">
        <v>2029</v>
      </c>
      <c r="C29" s="82">
        <f>IFERROR((INDEX(JetDemandSupply,MATCH($B29,'Jet - DemandSupply'!D:D,0),MATCH($C$9,'Jet - DemandSupply'!$D$8:$L$8,0))),)</f>
        <v>0</v>
      </c>
      <c r="D29" s="82">
        <f t="shared" si="0"/>
        <v>77793.850145885241</v>
      </c>
      <c r="E29" s="79">
        <f>IFERROR((INDEX(JetDemandSupply,MATCH($B29,'Jet - DemandSupply'!D:D,0),MATCH($E$9,'Jet - DemandSupply'!$D$8:$L$8,0))),)</f>
        <v>0</v>
      </c>
      <c r="F29" s="129">
        <f t="shared" si="10"/>
        <v>77793.850145885255</v>
      </c>
      <c r="G29" s="130">
        <f t="shared" si="3"/>
        <v>25822111.761527237</v>
      </c>
      <c r="H29" s="131">
        <f t="shared" si="16"/>
        <v>2587532805.6803932</v>
      </c>
      <c r="I29" s="128">
        <f t="shared" si="11"/>
        <v>0.10224269307553469</v>
      </c>
      <c r="J29" s="129">
        <f t="shared" si="12"/>
        <v>75972.414544585263</v>
      </c>
      <c r="K29" s="130">
        <f t="shared" si="4"/>
        <v>22269942.312344655</v>
      </c>
      <c r="L29" s="131">
        <f t="shared" si="17"/>
        <v>1946501349.1933441</v>
      </c>
      <c r="M29" s="128">
        <f t="shared" si="13"/>
        <v>1.1837286877619757E-2</v>
      </c>
      <c r="N29" s="83"/>
      <c r="O29" s="83">
        <f t="shared" si="14"/>
        <v>2587532805.6803932</v>
      </c>
      <c r="P29" s="83">
        <f t="shared" si="15"/>
        <v>1946501349.1933441</v>
      </c>
      <c r="Q29" s="79">
        <f t="shared" si="9"/>
        <v>641031456.4870491</v>
      </c>
    </row>
    <row r="30" spans="2:17" x14ac:dyDescent="0.6">
      <c r="B30" s="76">
        <v>2030</v>
      </c>
      <c r="C30" s="82">
        <f>IFERROR((INDEX(JetDemandSupply,MATCH($B30,'Jet - DemandSupply'!D:D,0),MATCH($C$9,'Jet - DemandSupply'!$D$8:$L$8,0))),)</f>
        <v>0</v>
      </c>
      <c r="D30" s="82">
        <f t="shared" si="0"/>
        <v>78347.236624239842</v>
      </c>
      <c r="E30" s="79">
        <f>IFERROR((INDEX(JetDemandSupply,MATCH($B30,'Jet - DemandSupply'!D:D,0),MATCH($E$9,'Jet - DemandSupply'!$D$8:$L$8,0))),)</f>
        <v>0</v>
      </c>
      <c r="F30" s="129">
        <f t="shared" si="10"/>
        <v>78347.236624239842</v>
      </c>
      <c r="G30" s="130">
        <f t="shared" si="3"/>
        <v>27655481.696595669</v>
      </c>
      <c r="H30" s="131">
        <f t="shared" si="16"/>
        <v>2842462577.0703812</v>
      </c>
      <c r="I30" s="128">
        <f t="shared" si="11"/>
        <v>9.8522334028130043E-2</v>
      </c>
      <c r="J30" s="129">
        <f t="shared" si="12"/>
        <v>76060.996737168723</v>
      </c>
      <c r="K30" s="130">
        <f t="shared" si="4"/>
        <v>22400720.19934471</v>
      </c>
      <c r="L30" s="131">
        <f t="shared" si="17"/>
        <v>1974327616.5707474</v>
      </c>
      <c r="M30" s="128">
        <f t="shared" si="13"/>
        <v>1.4295529457986067E-2</v>
      </c>
      <c r="N30" s="83"/>
      <c r="O30" s="137">
        <f t="shared" si="14"/>
        <v>2842462577.0703812</v>
      </c>
      <c r="P30" s="137">
        <f t="shared" si="15"/>
        <v>1974327616.5707474</v>
      </c>
      <c r="Q30" s="138">
        <f t="shared" si="9"/>
        <v>868134960.49963379</v>
      </c>
    </row>
    <row r="31" spans="2:17" x14ac:dyDescent="0.6">
      <c r="B31" s="76">
        <v>2031</v>
      </c>
      <c r="C31" s="82">
        <f>IFERROR((INDEX(JetDemandSupply,MATCH($B31,'Jet - DemandSupply'!D:D,0),MATCH($C$9,'Jet - DemandSupply'!$D$8:$L$8,0))),)</f>
        <v>0</v>
      </c>
      <c r="D31" s="82">
        <f t="shared" si="0"/>
        <v>78904.559616777144</v>
      </c>
      <c r="E31" s="79">
        <f>IFERROR((INDEX(JetDemandSupply,MATCH($B31,'Jet - DemandSupply'!D:D,0),MATCH($E$9,'Jet - DemandSupply'!$D$8:$L$8,0))),)</f>
        <v>0</v>
      </c>
      <c r="F31" s="129">
        <f t="shared" si="10"/>
        <v>78904.559616777129</v>
      </c>
      <c r="G31" s="130">
        <f t="shared" si="3"/>
        <v>28208591.330527581</v>
      </c>
      <c r="H31" s="131">
        <f t="shared" si="16"/>
        <v>2996015987.0114479</v>
      </c>
      <c r="I31" s="128">
        <f t="shared" si="11"/>
        <v>5.4021260008752181E-2</v>
      </c>
      <c r="J31" s="129">
        <f t="shared" si="12"/>
        <v>76149.682214673288</v>
      </c>
      <c r="K31" s="130">
        <f t="shared" si="4"/>
        <v>22538842.555716015</v>
      </c>
      <c r="L31" s="131">
        <f t="shared" si="17"/>
        <v>2002760161.920599</v>
      </c>
      <c r="M31" s="128">
        <f t="shared" si="13"/>
        <v>1.4401128318934475E-2</v>
      </c>
      <c r="N31" s="83"/>
      <c r="O31" s="83">
        <f t="shared" si="14"/>
        <v>2996015987.0114479</v>
      </c>
      <c r="P31" s="83">
        <f t="shared" si="15"/>
        <v>2002760161.920599</v>
      </c>
      <c r="Q31" s="79">
        <f t="shared" si="9"/>
        <v>993255825.09084892</v>
      </c>
    </row>
    <row r="32" spans="2:17" x14ac:dyDescent="0.6">
      <c r="B32" s="76">
        <v>2032</v>
      </c>
      <c r="C32" s="82">
        <f>IFERROR((INDEX(JetDemandSupply,MATCH($B32,'Jet - DemandSupply'!D:D,0),MATCH($C$9,'Jet - DemandSupply'!$D$8:$L$8,0))),)</f>
        <v>0</v>
      </c>
      <c r="D32" s="82">
        <f t="shared" si="0"/>
        <v>79465.847125886998</v>
      </c>
      <c r="E32" s="79">
        <f>IFERROR((INDEX(JetDemandSupply,MATCH($B32,'Jet - DemandSupply'!D:D,0),MATCH($E$9,'Jet - DemandSupply'!$D$8:$L$8,0))),)</f>
        <v>0</v>
      </c>
      <c r="F32" s="129">
        <f t="shared" si="10"/>
        <v>79465.847125886969</v>
      </c>
      <c r="G32" s="130">
        <f t="shared" si="3"/>
        <v>28772763.157138132</v>
      </c>
      <c r="H32" s="131">
        <f t="shared" si="16"/>
        <v>3151230398.7929764</v>
      </c>
      <c r="I32" s="128">
        <f t="shared" si="11"/>
        <v>5.1806937097273797E-2</v>
      </c>
      <c r="J32" s="129">
        <f t="shared" si="12"/>
        <v>76238.471097526955</v>
      </c>
      <c r="K32" s="130">
        <f t="shared" si="4"/>
        <v>22677816.571550041</v>
      </c>
      <c r="L32" s="131">
        <f t="shared" si="17"/>
        <v>2031280961.4434795</v>
      </c>
      <c r="M32" s="128">
        <f t="shared" si="13"/>
        <v>1.4240746378502811E-2</v>
      </c>
      <c r="N32" s="83"/>
      <c r="O32" s="83">
        <f t="shared" si="14"/>
        <v>3151230398.7929764</v>
      </c>
      <c r="P32" s="83">
        <f t="shared" si="15"/>
        <v>2031280961.4434795</v>
      </c>
      <c r="Q32" s="79">
        <f t="shared" si="9"/>
        <v>1119949437.3494968</v>
      </c>
    </row>
    <row r="33" spans="2:54" x14ac:dyDescent="0.6">
      <c r="B33" s="76">
        <v>2033</v>
      </c>
      <c r="C33" s="82">
        <f>IFERROR((INDEX(JetDemandSupply,MATCH($B33,'Jet - DemandSupply'!D:D,0),MATCH($C$9,'Jet - DemandSupply'!$D$8:$L$8,0))),)</f>
        <v>0</v>
      </c>
      <c r="D33" s="82">
        <f t="shared" si="0"/>
        <v>80031.127353154239</v>
      </c>
      <c r="E33" s="79">
        <f>IFERROR((INDEX(JetDemandSupply,MATCH($B33,'Jet - DemandSupply'!D:D,0),MATCH($E$9,'Jet - DemandSupply'!$D$8:$L$8,0))),)</f>
        <v>0</v>
      </c>
      <c r="F33" s="129">
        <f t="shared" si="10"/>
        <v>80031.127353154196</v>
      </c>
      <c r="G33" s="130">
        <f t="shared" si="3"/>
        <v>29348218.420280896</v>
      </c>
      <c r="H33" s="131">
        <f t="shared" si="16"/>
        <v>3308129001.9460793</v>
      </c>
      <c r="I33" s="128">
        <f t="shared" si="11"/>
        <v>4.978963239666645E-2</v>
      </c>
      <c r="J33" s="129">
        <f t="shared" si="12"/>
        <v>76327.363506298119</v>
      </c>
      <c r="K33" s="130">
        <f t="shared" si="4"/>
        <v>22817647.498160623</v>
      </c>
      <c r="L33" s="131">
        <f t="shared" si="17"/>
        <v>2059890457.8023033</v>
      </c>
      <c r="M33" s="128">
        <f t="shared" si="13"/>
        <v>1.4084460447309599E-2</v>
      </c>
      <c r="N33" s="83"/>
      <c r="O33" s="83">
        <f t="shared" si="14"/>
        <v>3308129001.9460793</v>
      </c>
      <c r="P33" s="83">
        <f t="shared" si="15"/>
        <v>2059890457.8023033</v>
      </c>
      <c r="Q33" s="79">
        <f t="shared" si="9"/>
        <v>1248238544.1437759</v>
      </c>
      <c r="AA33" s="77"/>
      <c r="AB33" s="77"/>
    </row>
    <row r="34" spans="2:54" x14ac:dyDescent="0.6">
      <c r="B34" s="76">
        <v>2034</v>
      </c>
      <c r="C34" s="82">
        <f>IFERROR((INDEX(JetDemandSupply,MATCH($B34,'Jet - DemandSupply'!D:D,0),MATCH($C$9,'Jet - DemandSupply'!$D$8:$L$8,0))),)</f>
        <v>0</v>
      </c>
      <c r="D34" s="82">
        <f t="shared" si="0"/>
        <v>80600.42870077565</v>
      </c>
      <c r="E34" s="79">
        <f>IFERROR((INDEX(JetDemandSupply,MATCH($B34,'Jet - DemandSupply'!D:D,0),MATCH($E$9,'Jet - DemandSupply'!$D$8:$L$8,0))),)</f>
        <v>0</v>
      </c>
      <c r="F34" s="129">
        <f t="shared" si="10"/>
        <v>80600.428700775592</v>
      </c>
      <c r="G34" s="130">
        <f t="shared" si="3"/>
        <v>29935182.788686514</v>
      </c>
      <c r="H34" s="131">
        <f t="shared" si="16"/>
        <v>3466735378.4405136</v>
      </c>
      <c r="I34" s="128">
        <f t="shared" si="11"/>
        <v>4.7944435178050915E-2</v>
      </c>
      <c r="J34" s="129">
        <f t="shared" si="12"/>
        <v>76416.359561695761</v>
      </c>
      <c r="K34" s="130">
        <f t="shared" si="4"/>
        <v>22958340.619241077</v>
      </c>
      <c r="L34" s="131">
        <f t="shared" si="17"/>
        <v>2088589096.2710648</v>
      </c>
      <c r="M34" s="128">
        <f t="shared" si="13"/>
        <v>1.3932118749353295E-2</v>
      </c>
      <c r="N34" s="83"/>
      <c r="O34" s="83">
        <f t="shared" si="14"/>
        <v>3466735378.4405136</v>
      </c>
      <c r="P34" s="83">
        <f t="shared" si="15"/>
        <v>2088589096.2710648</v>
      </c>
      <c r="Q34" s="79">
        <f t="shared" si="9"/>
        <v>1378146282.1694489</v>
      </c>
    </row>
    <row r="35" spans="2:54" x14ac:dyDescent="0.6">
      <c r="B35" s="76">
        <v>2035</v>
      </c>
      <c r="C35" s="82">
        <f>IFERROR((INDEX(JetDemandSupply,MATCH($B35,'Jet - DemandSupply'!D:D,0),MATCH($C$9,'Jet - DemandSupply'!$D$8:$L$8,0))),)</f>
        <v>0</v>
      </c>
      <c r="D35" s="82">
        <f t="shared" si="0"/>
        <v>81173.779772987022</v>
      </c>
      <c r="E35" s="79">
        <f>IFERROR((INDEX(JetDemandSupply,MATCH($B35,'Jet - DemandSupply'!D:D,0),MATCH($E$9,'Jet - DemandSupply'!$D$8:$L$8,0))),)</f>
        <v>0</v>
      </c>
      <c r="F35" s="129">
        <f t="shared" si="10"/>
        <v>81173.779772986949</v>
      </c>
      <c r="G35" s="130">
        <f t="shared" si="3"/>
        <v>30533886.444460243</v>
      </c>
      <c r="H35" s="131">
        <f t="shared" si="16"/>
        <v>3627073510.0258751</v>
      </c>
      <c r="I35" s="128">
        <f t="shared" si="11"/>
        <v>4.6250467394338246E-2</v>
      </c>
      <c r="J35" s="129">
        <f t="shared" si="12"/>
        <v>76505.459384569607</v>
      </c>
      <c r="K35" s="130">
        <f t="shared" si="4"/>
        <v>23099901.251063861</v>
      </c>
      <c r="L35" s="131">
        <f t="shared" si="17"/>
        <v>2117377324.750824</v>
      </c>
      <c r="M35" s="128">
        <f t="shared" si="13"/>
        <v>1.3783576928155572E-2</v>
      </c>
      <c r="N35" s="83"/>
      <c r="O35" s="83">
        <f t="shared" si="14"/>
        <v>3627073510.0258751</v>
      </c>
      <c r="P35" s="83">
        <f t="shared" si="15"/>
        <v>2117377324.750824</v>
      </c>
      <c r="Q35" s="79">
        <f t="shared" si="9"/>
        <v>1509696185.2750511</v>
      </c>
    </row>
    <row r="36" spans="2:54" x14ac:dyDescent="0.6">
      <c r="B36" s="76">
        <v>2036</v>
      </c>
      <c r="C36" s="82">
        <f>IFERROR((INDEX(JetDemandSupply,MATCH($B36,'Jet - DemandSupply'!D:D,0),MATCH($C$9,'Jet - DemandSupply'!$D$8:$L$8,0))),)</f>
        <v>0</v>
      </c>
      <c r="D36" s="82">
        <f t="shared" si="0"/>
        <v>81751.209377500316</v>
      </c>
      <c r="E36" s="79">
        <f>IFERROR((INDEX(JetDemandSupply,MATCH($B36,'Jet - DemandSupply'!D:D,0),MATCH($E$9,'Jet - DemandSupply'!$D$8:$L$8,0))),)</f>
        <v>0</v>
      </c>
      <c r="F36" s="129">
        <f t="shared" ref="F36:F45" si="18">F35*(VLOOKUP($B36,PaxHighScenario,2,0)+1)</f>
        <v>81751.209377500243</v>
      </c>
      <c r="G36" s="130">
        <f t="shared" si="3"/>
        <v>31144564.173349448</v>
      </c>
      <c r="H36" s="131">
        <f t="shared" si="16"/>
        <v>3789167785.7160187</v>
      </c>
      <c r="I36" s="128">
        <f t="shared" si="11"/>
        <v>4.4690099398891681E-2</v>
      </c>
      <c r="J36" s="129">
        <f t="shared" si="12"/>
        <v>76594.663095910291</v>
      </c>
      <c r="K36" s="130">
        <f t="shared" si="4"/>
        <v>23242334.742681455</v>
      </c>
      <c r="L36" s="131">
        <f t="shared" si="17"/>
        <v>2146255593.7857475</v>
      </c>
      <c r="M36" s="128">
        <f t="shared" si="13"/>
        <v>1.3638697598842953E-2</v>
      </c>
      <c r="N36" s="83"/>
      <c r="O36" s="83">
        <f t="shared" si="14"/>
        <v>3789167785.7160187</v>
      </c>
      <c r="P36" s="83">
        <f t="shared" si="15"/>
        <v>2146255593.7857475</v>
      </c>
      <c r="Q36" s="79">
        <f t="shared" si="9"/>
        <v>1642912191.9302711</v>
      </c>
    </row>
    <row r="37" spans="2:54" x14ac:dyDescent="0.6">
      <c r="B37" s="76">
        <v>2037</v>
      </c>
      <c r="C37" s="82">
        <f>IFERROR((INDEX(JetDemandSupply,MATCH($B37,'Jet - DemandSupply'!D:D,0),MATCH($C$9,'Jet - DemandSupply'!$D$8:$L$8,0))),)</f>
        <v>0</v>
      </c>
      <c r="D37" s="82">
        <f t="shared" si="0"/>
        <v>82332.746526951159</v>
      </c>
      <c r="E37" s="79">
        <f>IFERROR((INDEX(JetDemandSupply,MATCH($B37,'Jet - DemandSupply'!D:D,0),MATCH($E$9,'Jet - DemandSupply'!$D$8:$L$8,0))),)</f>
        <v>0</v>
      </c>
      <c r="F37" s="129">
        <f t="shared" si="18"/>
        <v>82332.746526951087</v>
      </c>
      <c r="G37" s="132">
        <f t="shared" si="3"/>
        <v>31767455.456816439</v>
      </c>
      <c r="H37" s="131">
        <f t="shared" si="16"/>
        <v>3953043009.4195366</v>
      </c>
      <c r="I37" s="128">
        <f t="shared" si="11"/>
        <v>4.3248341844685845E-2</v>
      </c>
      <c r="J37" s="129">
        <f t="shared" si="12"/>
        <v>76683.970816849513</v>
      </c>
      <c r="K37" s="132">
        <f t="shared" si="4"/>
        <v>23385646.476128478</v>
      </c>
      <c r="L37" s="131">
        <f t="shared" si="17"/>
        <v>2175224356.5792732</v>
      </c>
      <c r="M37" s="128">
        <f t="shared" si="13"/>
        <v>1.3497349932320102E-2</v>
      </c>
      <c r="N37" s="83"/>
      <c r="O37" s="83">
        <f t="shared" si="14"/>
        <v>3953043009.4195366</v>
      </c>
      <c r="P37" s="83">
        <f t="shared" si="15"/>
        <v>2175224356.5792732</v>
      </c>
      <c r="Q37" s="79">
        <f t="shared" si="9"/>
        <v>1777818652.8402634</v>
      </c>
    </row>
    <row r="38" spans="2:54" x14ac:dyDescent="0.6">
      <c r="B38" s="76">
        <v>2038</v>
      </c>
      <c r="C38" s="82">
        <f>IFERROR((INDEX(JetDemandSupply,MATCH($B38,'Jet - DemandSupply'!D:D,0),MATCH($C$9,'Jet - DemandSupply'!$D$8:$L$8,0))),)</f>
        <v>0</v>
      </c>
      <c r="D38" s="82">
        <f t="shared" si="0"/>
        <v>82918.420440356524</v>
      </c>
      <c r="E38" s="79">
        <f>IFERROR((INDEX(JetDemandSupply,MATCH($B38,'Jet - DemandSupply'!D:D,0),MATCH($E$9,'Jet - DemandSupply'!$D$8:$L$8,0))),)</f>
        <v>0</v>
      </c>
      <c r="F38" s="129">
        <f t="shared" si="18"/>
        <v>82918.420440356451</v>
      </c>
      <c r="G38" s="132">
        <f t="shared" si="3"/>
        <v>32402804.565952767</v>
      </c>
      <c r="H38" s="131">
        <f t="shared" si="16"/>
        <v>4118724407.7191925</v>
      </c>
      <c r="I38" s="128">
        <f t="shared" ref="I38:I45" si="19">H38/H37-1</f>
        <v>4.191236925701558E-2</v>
      </c>
      <c r="J38" s="129">
        <f t="shared" si="12"/>
        <v>76773.382668660226</v>
      </c>
      <c r="K38" s="132">
        <f t="shared" si="4"/>
        <v>23529841.866625059</v>
      </c>
      <c r="L38" s="131">
        <f t="shared" si="17"/>
        <v>2204284069.010376</v>
      </c>
      <c r="M38" s="128">
        <f t="shared" ref="M38:M45" si="20">L38/L37-1</f>
        <v>1.3359409268845157E-2</v>
      </c>
      <c r="N38" s="83"/>
      <c r="O38" s="83">
        <f t="shared" ref="O38:O45" si="21">H38</f>
        <v>4118724407.7191925</v>
      </c>
      <c r="P38" s="83">
        <f t="shared" ref="P38:P45" si="22">L38</f>
        <v>2204284069.010376</v>
      </c>
      <c r="Q38" s="79">
        <f t="shared" ref="Q38:Q45" si="23">O38-P38</f>
        <v>1914440338.7088165</v>
      </c>
    </row>
    <row r="39" spans="2:54" x14ac:dyDescent="0.6">
      <c r="B39" s="76">
        <v>2039</v>
      </c>
      <c r="C39" s="82">
        <f>IFERROR((INDEX(JetDemandSupply,MATCH($B39,'Jet - DemandSupply'!D:D,0),MATCH($C$9,'Jet - DemandSupply'!$D$8:$L$8,0))),)</f>
        <v>0</v>
      </c>
      <c r="D39" s="82">
        <f t="shared" si="0"/>
        <v>83508.260544582838</v>
      </c>
      <c r="E39" s="79">
        <f>IFERROR((INDEX(JetDemandSupply,MATCH($B39,'Jet - DemandSupply'!D:D,0),MATCH($E$9,'Jet - DemandSupply'!$D$8:$L$8,0))),)</f>
        <v>0</v>
      </c>
      <c r="F39" s="129">
        <f t="shared" si="18"/>
        <v>83508.26054458275</v>
      </c>
      <c r="G39" s="132">
        <f t="shared" si="3"/>
        <v>33050860.657271821</v>
      </c>
      <c r="H39" s="131">
        <f t="shared" si="16"/>
        <v>4286237637.8032303</v>
      </c>
      <c r="I39" s="128">
        <f t="shared" si="19"/>
        <v>4.0671143174835667E-2</v>
      </c>
      <c r="J39" s="129">
        <f t="shared" si="12"/>
        <v>76862.898772756773</v>
      </c>
      <c r="K39" s="132">
        <f t="shared" si="4"/>
        <v>23674926.362781461</v>
      </c>
      <c r="L39" s="131">
        <f t="shared" si="17"/>
        <v>2233435189.6499119</v>
      </c>
      <c r="M39" s="128">
        <f t="shared" si="20"/>
        <v>1.3224756758607459E-2</v>
      </c>
      <c r="N39" s="83"/>
      <c r="O39" s="83">
        <f t="shared" si="21"/>
        <v>4286237637.8032303</v>
      </c>
      <c r="P39" s="83">
        <f t="shared" si="22"/>
        <v>2233435189.6499119</v>
      </c>
      <c r="Q39" s="79">
        <f t="shared" si="23"/>
        <v>2052802448.1533184</v>
      </c>
    </row>
    <row r="40" spans="2:54" x14ac:dyDescent="0.6">
      <c r="B40" s="76">
        <v>2040</v>
      </c>
      <c r="C40" s="82">
        <f>IFERROR((INDEX(JetDemandSupply,MATCH($B40,'Jet - DemandSupply'!D:D,0),MATCH($C$9,'Jet - DemandSupply'!$D$8:$L$8,0))),)</f>
        <v>0</v>
      </c>
      <c r="D40" s="82">
        <f t="shared" si="0"/>
        <v>84102.296475824507</v>
      </c>
      <c r="E40" s="79">
        <f>IFERROR((INDEX(JetDemandSupply,MATCH($B40,'Jet - DemandSupply'!D:D,0),MATCH($E$9,'Jet - DemandSupply'!$D$8:$L$8,0))),)</f>
        <v>0</v>
      </c>
      <c r="F40" s="129">
        <f t="shared" si="18"/>
        <v>84102.296475824405</v>
      </c>
      <c r="G40" s="132">
        <f t="shared" si="3"/>
        <v>33711877.87041726</v>
      </c>
      <c r="H40" s="131">
        <f t="shared" si="16"/>
        <v>4455608795.5516281</v>
      </c>
      <c r="I40" s="128">
        <f t="shared" si="19"/>
        <v>3.9515111400870273E-2</v>
      </c>
      <c r="J40" s="129">
        <f t="shared" si="12"/>
        <v>76952.519250695055</v>
      </c>
      <c r="K40" s="132">
        <f t="shared" si="4"/>
        <v>23820905.446803953</v>
      </c>
      <c r="L40" s="131">
        <f t="shared" si="17"/>
        <v>2262678179.7770882</v>
      </c>
      <c r="M40" s="128">
        <f t="shared" si="20"/>
        <v>1.3093279027165394E-2</v>
      </c>
      <c r="N40" s="83"/>
      <c r="O40" s="83">
        <f t="shared" si="21"/>
        <v>4455608795.5516281</v>
      </c>
      <c r="P40" s="83">
        <f t="shared" si="22"/>
        <v>2262678179.7770882</v>
      </c>
      <c r="Q40" s="79">
        <f t="shared" si="23"/>
        <v>2192930615.7745399</v>
      </c>
    </row>
    <row r="41" spans="2:54" x14ac:dyDescent="0.6">
      <c r="B41" s="76">
        <v>2041</v>
      </c>
      <c r="C41" s="82">
        <f>IFERROR((INDEX(JetDemandSupply,MATCH($B41,'Jet - DemandSupply'!D:D,0),MATCH($C$9,'Jet - DemandSupply'!$D$8:$L$8,0))),)</f>
        <v>0</v>
      </c>
      <c r="D41" s="82">
        <f t="shared" si="0"/>
        <v>84700.558081092968</v>
      </c>
      <c r="E41" s="79">
        <f>IFERROR((INDEX(JetDemandSupply,MATCH($B41,'Jet - DemandSupply'!D:D,0),MATCH($E$9,'Jet - DemandSupply'!$D$8:$L$8,0))),)</f>
        <v>0</v>
      </c>
      <c r="F41" s="129">
        <f t="shared" si="18"/>
        <v>84700.558081092851</v>
      </c>
      <c r="G41" s="132">
        <f t="shared" si="3"/>
        <v>34386115.427825607</v>
      </c>
      <c r="H41" s="131">
        <f t="shared" si="16"/>
        <v>4626864423.7802963</v>
      </c>
      <c r="I41" s="128">
        <f t="shared" si="19"/>
        <v>3.8435966012017486E-2</v>
      </c>
      <c r="J41" s="129">
        <f t="shared" si="12"/>
        <v>77042.244224172726</v>
      </c>
      <c r="K41" s="132">
        <f t="shared" si="4"/>
        <v>23967784.634701978</v>
      </c>
      <c r="L41" s="131">
        <f t="shared" si="17"/>
        <v>2292013503.3960285</v>
      </c>
      <c r="M41" s="128">
        <f t="shared" si="20"/>
        <v>1.2964867863723528E-2</v>
      </c>
      <c r="N41" s="83"/>
      <c r="O41" s="83">
        <f t="shared" si="21"/>
        <v>4626864423.7802963</v>
      </c>
      <c r="P41" s="83">
        <f t="shared" si="22"/>
        <v>2292013503.3960285</v>
      </c>
      <c r="Q41" s="79">
        <f t="shared" si="23"/>
        <v>2334850920.3842678</v>
      </c>
    </row>
    <row r="42" spans="2:54" x14ac:dyDescent="0.6">
      <c r="B42" s="76">
        <v>2042</v>
      </c>
      <c r="C42" s="82">
        <f>IFERROR((INDEX(JetDemandSupply,MATCH($B42,'Jet - DemandSupply'!D:D,0),MATCH($C$9,'Jet - DemandSupply'!$D$8:$L$8,0))),)</f>
        <v>0</v>
      </c>
      <c r="D42" s="82">
        <f t="shared" si="0"/>
        <v>85303.075419716348</v>
      </c>
      <c r="E42" s="79">
        <f>IFERROR((INDEX(JetDemandSupply,MATCH($B42,'Jet - DemandSupply'!D:D,0),MATCH($E$9,'Jet - DemandSupply'!$D$8:$L$8,0))),)</f>
        <v>0</v>
      </c>
      <c r="F42" s="129">
        <f t="shared" si="18"/>
        <v>85303.075419716231</v>
      </c>
      <c r="G42" s="132">
        <f t="shared" si="3"/>
        <v>35073837.736382119</v>
      </c>
      <c r="H42" s="131">
        <f t="shared" si="16"/>
        <v>4800031520.6464348</v>
      </c>
      <c r="I42" s="128">
        <f t="shared" si="19"/>
        <v>3.7426447158495968E-2</v>
      </c>
      <c r="J42" s="129">
        <f t="shared" si="12"/>
        <v>77132.073815029318</v>
      </c>
      <c r="K42" s="132">
        <f t="shared" si="4"/>
        <v>24115569.476496566</v>
      </c>
      <c r="L42" s="131">
        <f t="shared" si="17"/>
        <v>2321441627.2524166</v>
      </c>
      <c r="M42" s="128">
        <f t="shared" si="20"/>
        <v>1.2839419930460672E-2</v>
      </c>
      <c r="N42" s="83"/>
      <c r="O42" s="83">
        <f t="shared" si="21"/>
        <v>4800031520.6464348</v>
      </c>
      <c r="P42" s="83">
        <f t="shared" si="22"/>
        <v>2321441627.2524166</v>
      </c>
      <c r="Q42" s="79">
        <f t="shared" si="23"/>
        <v>2478589893.3940182</v>
      </c>
    </row>
    <row r="43" spans="2:54" x14ac:dyDescent="0.6">
      <c r="B43" s="76">
        <v>2043</v>
      </c>
      <c r="C43" s="82">
        <f>IFERROR((INDEX(JetDemandSupply,MATCH($B43,'Jet - DemandSupply'!D:D,0),MATCH($C$9,'Jet - DemandSupply'!$D$8:$L$8,0))),)</f>
        <v>0</v>
      </c>
      <c r="D43" s="82">
        <f t="shared" si="0"/>
        <v>85909.878764849811</v>
      </c>
      <c r="E43" s="79">
        <f>IFERROR((INDEX(JetDemandSupply,MATCH($B43,'Jet - DemandSupply'!D:D,0),MATCH($E$9,'Jet - DemandSupply'!$D$8:$L$8,0))),)</f>
        <v>0</v>
      </c>
      <c r="F43" s="129">
        <f t="shared" si="18"/>
        <v>85909.87876484968</v>
      </c>
      <c r="G43" s="132">
        <f t="shared" si="3"/>
        <v>35775314.491109766</v>
      </c>
      <c r="H43" s="131">
        <f t="shared" si="16"/>
        <v>4975137548.2181702</v>
      </c>
      <c r="I43" s="128">
        <f t="shared" si="19"/>
        <v>3.6480182852664633E-2</v>
      </c>
      <c r="J43" s="129">
        <f t="shared" si="12"/>
        <v>77222.008145246436</v>
      </c>
      <c r="K43" s="132">
        <f t="shared" si="4"/>
        <v>24264265.55643006</v>
      </c>
      <c r="L43" s="131">
        <f t="shared" si="17"/>
        <v>2350963020.8502808</v>
      </c>
      <c r="M43" s="128">
        <f t="shared" si="20"/>
        <v>1.2716836491299066E-2</v>
      </c>
      <c r="N43" s="83"/>
      <c r="O43" s="83">
        <f t="shared" si="21"/>
        <v>4975137548.2181702</v>
      </c>
      <c r="P43" s="83">
        <f t="shared" si="22"/>
        <v>2350963020.8502808</v>
      </c>
      <c r="Q43" s="79">
        <f t="shared" si="23"/>
        <v>2624174527.3678894</v>
      </c>
    </row>
    <row r="44" spans="2:54" x14ac:dyDescent="0.6">
      <c r="B44" s="76">
        <v>2044</v>
      </c>
      <c r="C44" s="82">
        <f>IFERROR((INDEX(JetDemandSupply,MATCH($B44,'Jet - DemandSupply'!D:D,0),MATCH($C$9,'Jet - DemandSupply'!$D$8:$L$8,0))),)</f>
        <v>0</v>
      </c>
      <c r="D44" s="82">
        <f t="shared" si="0"/>
        <v>86520.998604996537</v>
      </c>
      <c r="E44" s="79">
        <f>IFERROR((INDEX(JetDemandSupply,MATCH($B44,'Jet - DemandSupply'!D:D,0),MATCH($E$9,'Jet - DemandSupply'!$D$8:$L$8,0))),)</f>
        <v>0</v>
      </c>
      <c r="F44" s="129">
        <f t="shared" si="18"/>
        <v>86520.998604996392</v>
      </c>
      <c r="G44" s="132">
        <f t="shared" si="3"/>
        <v>36490820.780931965</v>
      </c>
      <c r="H44" s="131">
        <f t="shared" si="16"/>
        <v>5152210441.2117805</v>
      </c>
      <c r="I44" s="128">
        <f t="shared" si="19"/>
        <v>3.559155727403529E-2</v>
      </c>
      <c r="J44" s="129">
        <f t="shared" si="12"/>
        <v>77312.0473369479</v>
      </c>
      <c r="K44" s="132">
        <f t="shared" si="4"/>
        <v>24413878.493177123</v>
      </c>
      <c r="L44" s="131">
        <f t="shared" si="17"/>
        <v>2380578156.4688511</v>
      </c>
      <c r="M44" s="128">
        <f t="shared" si="20"/>
        <v>1.2597023158560594E-2</v>
      </c>
      <c r="N44" s="83"/>
      <c r="O44" s="83">
        <f t="shared" si="21"/>
        <v>5152210441.2117805</v>
      </c>
      <c r="P44" s="83">
        <f t="shared" si="22"/>
        <v>2380578156.4688511</v>
      </c>
      <c r="Q44" s="79">
        <f t="shared" si="23"/>
        <v>2771632284.7429295</v>
      </c>
      <c r="AH44" s="121"/>
      <c r="AI44" s="121"/>
      <c r="BA44" s="121"/>
      <c r="BB44" s="121"/>
    </row>
    <row r="45" spans="2:54" x14ac:dyDescent="0.6">
      <c r="B45" s="76">
        <v>2045</v>
      </c>
      <c r="C45" s="82">
        <f>IFERROR((INDEX(JetDemandSupply,MATCH($B45,'Jet - DemandSupply'!D:D,0),MATCH($C$9,'Jet - DemandSupply'!$D$8:$L$8,0))),)</f>
        <v>0</v>
      </c>
      <c r="D45" s="82">
        <f t="shared" si="0"/>
        <v>87136.465645539647</v>
      </c>
      <c r="E45" s="79">
        <f>IFERROR((INDEX(JetDemandSupply,MATCH($B45,'Jet - DemandSupply'!D:D,0),MATCH($E$9,'Jet - DemandSupply'!$D$8:$L$8,0))),)</f>
        <v>0</v>
      </c>
      <c r="F45" s="129">
        <f t="shared" si="18"/>
        <v>87136.465645539502</v>
      </c>
      <c r="G45" s="132">
        <f t="shared" si="3"/>
        <v>37220637.196550608</v>
      </c>
      <c r="H45" s="131">
        <f t="shared" si="16"/>
        <v>5331278615.899807</v>
      </c>
      <c r="I45" s="128">
        <f t="shared" si="19"/>
        <v>3.4755601839491224E-2</v>
      </c>
      <c r="J45" s="129">
        <f t="shared" si="12"/>
        <v>77402.19151239995</v>
      </c>
      <c r="K45" s="132">
        <f t="shared" si="4"/>
        <v>24564413.940057039</v>
      </c>
      <c r="L45" s="131">
        <f t="shared" si="17"/>
        <v>2410287509.1795444</v>
      </c>
      <c r="M45" s="128">
        <f t="shared" si="20"/>
        <v>1.2479889656200838E-2</v>
      </c>
      <c r="N45" s="83"/>
      <c r="O45" s="83">
        <f t="shared" si="21"/>
        <v>5331278615.899807</v>
      </c>
      <c r="P45" s="83">
        <f t="shared" si="22"/>
        <v>2410287509.1795444</v>
      </c>
      <c r="Q45" s="79">
        <f t="shared" si="23"/>
        <v>2920991106.7202625</v>
      </c>
      <c r="AH45" s="121"/>
      <c r="AI45" s="121"/>
      <c r="BA45" s="121"/>
      <c r="BB45" s="121"/>
    </row>
    <row r="46" spans="2:54" x14ac:dyDescent="0.6">
      <c r="G46" s="79"/>
      <c r="AH46" s="121"/>
      <c r="AI46" s="121"/>
      <c r="BA46" s="121"/>
      <c r="BB46" s="121"/>
    </row>
    <row r="47" spans="2:54" x14ac:dyDescent="0.6">
      <c r="G47" s="79"/>
      <c r="AH47" s="121"/>
      <c r="AI47" s="121"/>
      <c r="BA47" s="121"/>
      <c r="BB47" s="121"/>
    </row>
    <row r="48" spans="2:54" x14ac:dyDescent="0.6">
      <c r="G48" s="79"/>
      <c r="AH48" s="121"/>
      <c r="AI48" s="121"/>
      <c r="BA48" s="121"/>
      <c r="BB48" s="121"/>
    </row>
    <row r="49" spans="7:54" x14ac:dyDescent="0.6">
      <c r="G49" s="79"/>
      <c r="AH49" s="121"/>
      <c r="AI49" s="121"/>
      <c r="BA49" s="121"/>
      <c r="BB49" s="121"/>
    </row>
    <row r="50" spans="7:54" x14ac:dyDescent="0.6">
      <c r="G50" s="79"/>
      <c r="AH50" s="121"/>
      <c r="AI50" s="121"/>
      <c r="BA50" s="121"/>
      <c r="BB50" s="121"/>
    </row>
    <row r="51" spans="7:54" x14ac:dyDescent="0.6">
      <c r="G51" s="79"/>
      <c r="AH51" s="121"/>
      <c r="AI51" s="121"/>
      <c r="BA51" s="121"/>
      <c r="BB51" s="121"/>
    </row>
    <row r="52" spans="7:54" x14ac:dyDescent="0.6">
      <c r="G52" s="79"/>
      <c r="AH52" s="121"/>
      <c r="AI52" s="121"/>
      <c r="BA52" s="121"/>
      <c r="BB52" s="121"/>
    </row>
    <row r="53" spans="7:54" x14ac:dyDescent="0.6">
      <c r="G53" s="79"/>
      <c r="AH53" s="121"/>
      <c r="AI53" s="121"/>
      <c r="BA53" s="121"/>
      <c r="BB53" s="121"/>
    </row>
    <row r="54" spans="7:54" x14ac:dyDescent="0.6">
      <c r="G54" s="79"/>
      <c r="AH54" s="121"/>
      <c r="AI54" s="121"/>
      <c r="BA54" s="121"/>
      <c r="BB54" s="121"/>
    </row>
    <row r="55" spans="7:54" x14ac:dyDescent="0.6">
      <c r="G55" s="79"/>
    </row>
    <row r="57" spans="7:54" x14ac:dyDescent="0.6">
      <c r="S57" s="77" t="s">
        <v>312</v>
      </c>
    </row>
    <row r="58" spans="7:54" ht="31.5" x14ac:dyDescent="0.6">
      <c r="S58" s="88" t="s">
        <v>30</v>
      </c>
      <c r="T58" s="88" t="s">
        <v>313</v>
      </c>
      <c r="U58" s="88" t="s">
        <v>66</v>
      </c>
      <c r="V58" s="88" t="s">
        <v>314</v>
      </c>
      <c r="W58" s="88" t="s">
        <v>315</v>
      </c>
      <c r="X58" s="88" t="s">
        <v>316</v>
      </c>
      <c r="Y58" s="88" t="s">
        <v>317</v>
      </c>
      <c r="Z58" s="88" t="s">
        <v>318</v>
      </c>
    </row>
    <row r="59" spans="7:54" x14ac:dyDescent="0.6">
      <c r="S59" s="90">
        <v>2018</v>
      </c>
      <c r="T59" s="107">
        <v>57339635</v>
      </c>
      <c r="U59" s="107">
        <v>21118264</v>
      </c>
      <c r="V59" s="143">
        <f>U59/T59</f>
        <v>0.36830133292616879</v>
      </c>
      <c r="W59" s="97">
        <f t="shared" ref="W59:W78" si="24">VLOOKUP($S59,GDP,6,0)</f>
        <v>57339635</v>
      </c>
      <c r="X59" s="97">
        <f t="shared" ref="X59:X78" si="25">VLOOKUP($S59,GDP,7,0)</f>
        <v>57339635</v>
      </c>
      <c r="Y59" s="142"/>
      <c r="Z59" s="142"/>
    </row>
    <row r="60" spans="7:54" x14ac:dyDescent="0.6">
      <c r="S60" s="90">
        <v>2019</v>
      </c>
      <c r="T60" s="107">
        <v>58087055</v>
      </c>
      <c r="U60" s="107">
        <v>20924465</v>
      </c>
      <c r="V60" s="143">
        <f t="shared" ref="V60:V64" si="26">U60/T60</f>
        <v>0.36022595740135216</v>
      </c>
      <c r="W60" s="97">
        <f t="shared" si="24"/>
        <v>58087055</v>
      </c>
      <c r="X60" s="97">
        <f t="shared" si="25"/>
        <v>58087055</v>
      </c>
      <c r="Y60" s="142"/>
      <c r="Z60" s="142"/>
    </row>
    <row r="61" spans="7:54" x14ac:dyDescent="0.6">
      <c r="S61" s="90">
        <v>2020</v>
      </c>
      <c r="T61" s="107">
        <v>58801927</v>
      </c>
      <c r="U61" s="107">
        <v>4569737</v>
      </c>
      <c r="V61" s="144">
        <f t="shared" si="26"/>
        <v>7.7714068792337374E-2</v>
      </c>
      <c r="W61" s="97">
        <f t="shared" si="24"/>
        <v>58801927</v>
      </c>
      <c r="X61" s="97">
        <f t="shared" si="25"/>
        <v>58801927</v>
      </c>
      <c r="Y61" s="142"/>
      <c r="Z61" s="142"/>
    </row>
    <row r="62" spans="7:54" x14ac:dyDescent="0.6">
      <c r="S62" s="90">
        <v>2021</v>
      </c>
      <c r="T62" s="107">
        <v>59392255</v>
      </c>
      <c r="U62" s="107">
        <v>10538202</v>
      </c>
      <c r="V62" s="143">
        <f t="shared" si="26"/>
        <v>0.17743394319680234</v>
      </c>
      <c r="W62" s="97">
        <f t="shared" si="24"/>
        <v>59392255</v>
      </c>
      <c r="X62" s="97">
        <f t="shared" si="25"/>
        <v>59392255</v>
      </c>
      <c r="Y62" s="142"/>
      <c r="Z62" s="142"/>
    </row>
    <row r="63" spans="7:54" x14ac:dyDescent="0.6">
      <c r="S63" s="90">
        <v>2022</v>
      </c>
      <c r="T63" s="107">
        <v>59893886</v>
      </c>
      <c r="U63" s="107">
        <v>15813215</v>
      </c>
      <c r="V63" s="143">
        <f t="shared" si="26"/>
        <v>0.26402052122649045</v>
      </c>
      <c r="W63" s="97">
        <f t="shared" si="24"/>
        <v>59893886</v>
      </c>
      <c r="X63" s="97">
        <f t="shared" si="25"/>
        <v>59893886</v>
      </c>
      <c r="Y63" s="142"/>
      <c r="Z63" s="142"/>
    </row>
    <row r="64" spans="7:54" x14ac:dyDescent="0.6">
      <c r="S64" s="90">
        <v>2023</v>
      </c>
      <c r="T64" s="107">
        <v>60414495</v>
      </c>
      <c r="U64" s="107">
        <v>17730490.285714291</v>
      </c>
      <c r="V64" s="145">
        <f t="shared" si="26"/>
        <v>0.29348073315376205</v>
      </c>
      <c r="W64" s="97">
        <f t="shared" si="24"/>
        <v>60414495</v>
      </c>
      <c r="X64" s="97">
        <f t="shared" si="25"/>
        <v>60414495</v>
      </c>
      <c r="Y64" s="142"/>
      <c r="Z64" s="142"/>
    </row>
    <row r="65" spans="19:26" x14ac:dyDescent="0.6">
      <c r="S65" s="90">
        <v>2024</v>
      </c>
      <c r="T65" s="107"/>
      <c r="U65" s="107"/>
      <c r="V65" s="106"/>
      <c r="W65" s="97">
        <f t="shared" si="24"/>
        <v>61020221</v>
      </c>
      <c r="X65" s="97">
        <f t="shared" si="25"/>
        <v>61020221</v>
      </c>
      <c r="Y65" s="143">
        <f t="shared" ref="Y65:Y78" si="27">VLOOKUP($S65,$B$24:$K$37,6,0)/W65</f>
        <v>0.27859617224264066</v>
      </c>
      <c r="Z65" s="143">
        <f t="shared" ref="Z65:Z78" si="28">VLOOKUP($S65,$B$24:$K$37,10,0)/X65</f>
        <v>0.27859617224264066</v>
      </c>
    </row>
    <row r="66" spans="19:26" x14ac:dyDescent="0.6">
      <c r="S66" s="90">
        <v>2025</v>
      </c>
      <c r="T66" s="107"/>
      <c r="U66" s="107"/>
      <c r="V66" s="106"/>
      <c r="W66" s="97">
        <f t="shared" si="24"/>
        <v>61673081</v>
      </c>
      <c r="X66" s="97">
        <f t="shared" si="25"/>
        <v>61673081</v>
      </c>
      <c r="Y66" s="143">
        <f t="shared" si="27"/>
        <v>0.30807606320170705</v>
      </c>
      <c r="Z66" s="143">
        <f t="shared" si="28"/>
        <v>0.30807606320170705</v>
      </c>
    </row>
    <row r="67" spans="19:26" x14ac:dyDescent="0.6">
      <c r="S67" s="90">
        <v>2026</v>
      </c>
      <c r="T67" s="107"/>
      <c r="U67" s="107"/>
      <c r="V67" s="106"/>
      <c r="W67" s="97">
        <f t="shared" si="24"/>
        <v>62305039</v>
      </c>
      <c r="X67" s="97">
        <f t="shared" si="25"/>
        <v>62305039</v>
      </c>
      <c r="Y67" s="143">
        <f t="shared" si="27"/>
        <v>0.33705139001678508</v>
      </c>
      <c r="Z67" s="143">
        <f t="shared" si="28"/>
        <v>0.33705139001678508</v>
      </c>
    </row>
    <row r="68" spans="19:26" x14ac:dyDescent="0.6">
      <c r="S68" s="90">
        <v>2027</v>
      </c>
      <c r="T68" s="107"/>
      <c r="U68" s="107"/>
      <c r="V68" s="106"/>
      <c r="W68" s="97">
        <f t="shared" si="24"/>
        <v>62918916</v>
      </c>
      <c r="X68" s="97">
        <f t="shared" si="25"/>
        <v>62918916</v>
      </c>
      <c r="Y68" s="143">
        <f t="shared" si="27"/>
        <v>0.35779278863355701</v>
      </c>
      <c r="Z68" s="143">
        <f t="shared" si="28"/>
        <v>0.35006493042666176</v>
      </c>
    </row>
    <row r="69" spans="19:26" x14ac:dyDescent="0.6">
      <c r="S69" s="90">
        <v>2028</v>
      </c>
      <c r="T69" s="107"/>
      <c r="U69" s="107"/>
      <c r="V69" s="106"/>
      <c r="W69" s="97">
        <f t="shared" si="24"/>
        <v>63514502</v>
      </c>
      <c r="X69" s="97">
        <f t="shared" si="25"/>
        <v>63514502</v>
      </c>
      <c r="Y69" s="143">
        <f t="shared" si="27"/>
        <v>0.37960278357838351</v>
      </c>
      <c r="Z69" s="143">
        <f t="shared" si="28"/>
        <v>0.34869969480971547</v>
      </c>
    </row>
    <row r="70" spans="19:26" x14ac:dyDescent="0.6">
      <c r="S70" s="90">
        <v>2029</v>
      </c>
      <c r="T70" s="107"/>
      <c r="U70" s="107"/>
      <c r="V70" s="106"/>
      <c r="W70" s="97">
        <f t="shared" si="24"/>
        <v>64093732</v>
      </c>
      <c r="X70" s="97">
        <f t="shared" si="25"/>
        <v>64093732</v>
      </c>
      <c r="Y70" s="143">
        <f t="shared" si="27"/>
        <v>0.40288045267089823</v>
      </c>
      <c r="Z70" s="143">
        <f t="shared" si="28"/>
        <v>0.34745897324787789</v>
      </c>
    </row>
    <row r="71" spans="19:26" x14ac:dyDescent="0.6">
      <c r="S71" s="90">
        <v>2030</v>
      </c>
      <c r="T71" s="107"/>
      <c r="U71" s="107"/>
      <c r="V71" s="106"/>
      <c r="W71" s="97">
        <f t="shared" si="24"/>
        <v>64659278</v>
      </c>
      <c r="X71" s="97">
        <f t="shared" si="25"/>
        <v>64659278</v>
      </c>
      <c r="Y71" s="143">
        <f t="shared" si="27"/>
        <v>0.42771095737560927</v>
      </c>
      <c r="Z71" s="143">
        <f t="shared" si="28"/>
        <v>0.34644247341185452</v>
      </c>
    </row>
    <row r="72" spans="19:26" x14ac:dyDescent="0.6">
      <c r="S72" s="90">
        <v>2031</v>
      </c>
      <c r="T72" s="107"/>
      <c r="U72" s="107"/>
      <c r="V72" s="106"/>
      <c r="W72" s="97">
        <f t="shared" si="24"/>
        <v>65229814.227096096</v>
      </c>
      <c r="X72" s="97">
        <f t="shared" si="25"/>
        <v>65229814.227096096</v>
      </c>
      <c r="Y72" s="143">
        <f t="shared" si="27"/>
        <v>0.43244935869846296</v>
      </c>
      <c r="Z72" s="143">
        <f t="shared" si="28"/>
        <v>0.34552976768027505</v>
      </c>
    </row>
    <row r="73" spans="19:26" x14ac:dyDescent="0.6">
      <c r="S73" s="90">
        <v>2032</v>
      </c>
      <c r="T73" s="107"/>
      <c r="U73" s="107"/>
      <c r="V73" s="106"/>
      <c r="W73" s="97">
        <f t="shared" si="24"/>
        <v>65805384.713721491</v>
      </c>
      <c r="X73" s="97">
        <f t="shared" si="25"/>
        <v>65805384.713721491</v>
      </c>
      <c r="Y73" s="143">
        <f t="shared" si="27"/>
        <v>0.43724025446109949</v>
      </c>
      <c r="Z73" s="143">
        <f t="shared" si="28"/>
        <v>0.34461946647994218</v>
      </c>
    </row>
    <row r="74" spans="19:26" x14ac:dyDescent="0.6">
      <c r="S74" s="90">
        <v>2033</v>
      </c>
      <c r="T74" s="107"/>
      <c r="U74" s="107"/>
      <c r="V74" s="106"/>
      <c r="W74" s="97">
        <f t="shared" si="24"/>
        <v>66386033.88083984</v>
      </c>
      <c r="X74" s="97">
        <f t="shared" si="25"/>
        <v>66386033.88083984</v>
      </c>
      <c r="Y74" s="143">
        <f t="shared" si="27"/>
        <v>0.44208422622384286</v>
      </c>
      <c r="Z74" s="143">
        <f t="shared" si="28"/>
        <v>0.34371156347609721</v>
      </c>
    </row>
    <row r="75" spans="19:26" x14ac:dyDescent="0.6">
      <c r="S75" s="90">
        <v>2034</v>
      </c>
      <c r="T75" s="107"/>
      <c r="U75" s="107"/>
      <c r="V75" s="106"/>
      <c r="W75" s="97">
        <f t="shared" si="24"/>
        <v>66971806.541373536</v>
      </c>
      <c r="X75" s="97">
        <f t="shared" si="25"/>
        <v>66971806.541373536</v>
      </c>
      <c r="Y75" s="143">
        <f t="shared" si="27"/>
        <v>0.44698186198984036</v>
      </c>
      <c r="Z75" s="143">
        <f t="shared" si="28"/>
        <v>0.34280605235067058</v>
      </c>
    </row>
    <row r="76" spans="19:26" x14ac:dyDescent="0.6">
      <c r="S76" s="90">
        <v>2035</v>
      </c>
      <c r="T76" s="107"/>
      <c r="U76" s="107"/>
      <c r="V76" s="106"/>
      <c r="W76" s="97">
        <f t="shared" si="24"/>
        <v>67562747.903662249</v>
      </c>
      <c r="X76" s="97">
        <f t="shared" si="25"/>
        <v>67562747.903662249</v>
      </c>
      <c r="Y76" s="143">
        <f t="shared" si="27"/>
        <v>0.45193375627643984</v>
      </c>
      <c r="Z76" s="143">
        <f t="shared" si="28"/>
        <v>0.34190292680223755</v>
      </c>
    </row>
    <row r="77" spans="19:26" x14ac:dyDescent="0.6">
      <c r="S77" s="90">
        <v>2036</v>
      </c>
      <c r="T77" s="107"/>
      <c r="U77" s="107"/>
      <c r="V77" s="106"/>
      <c r="W77" s="97">
        <f t="shared" si="24"/>
        <v>68158903.574951991</v>
      </c>
      <c r="X77" s="97">
        <f t="shared" si="25"/>
        <v>68158903.574951991</v>
      </c>
      <c r="Y77" s="143">
        <f t="shared" si="27"/>
        <v>0.45694051018735721</v>
      </c>
      <c r="Z77" s="143">
        <f t="shared" si="28"/>
        <v>0.34100218054597464</v>
      </c>
    </row>
    <row r="78" spans="19:26" x14ac:dyDescent="0.6">
      <c r="S78" s="90">
        <v>2037</v>
      </c>
      <c r="T78" s="107"/>
      <c r="U78" s="107"/>
      <c r="V78" s="106"/>
      <c r="W78" s="97">
        <f t="shared" si="24"/>
        <v>68760319.564914942</v>
      </c>
      <c r="X78" s="97">
        <f t="shared" si="25"/>
        <v>68760319.564914942</v>
      </c>
      <c r="Y78" s="143">
        <f t="shared" si="27"/>
        <v>0.46200273148564353</v>
      </c>
      <c r="Z78" s="143">
        <f t="shared" si="28"/>
        <v>0.34010380731361578</v>
      </c>
    </row>
  </sheetData>
  <mergeCells count="3">
    <mergeCell ref="F8:I8"/>
    <mergeCell ref="J8:M8"/>
    <mergeCell ref="AJ1:AZ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D26374-91CF-4AA1-9C75-5D8EFE10515E}">
          <x14:formula1>
            <xm:f>Assumptions!$AA$8:$AD$8</xm:f>
          </x14:formula1>
          <xm:sqref>D9</xm:sqref>
        </x14:dataValidation>
        <x14:dataValidation type="list" allowBlank="1" showInputMessage="1" showErrorMessage="1" xr:uid="{1A40E3B2-563C-4202-8D2E-B8038359424D}">
          <x14:formula1>
            <xm:f>Assumptions!$H$44:$H$45</xm:f>
          </x14:formula1>
          <xm:sqref>C9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B65C-76BE-44E7-9DC4-4426ADAAC49E}">
  <sheetPr codeName="Sheet10">
    <tabColor rgb="FF7030A0"/>
  </sheetPr>
  <dimension ref="A1:CT54"/>
  <sheetViews>
    <sheetView showGridLines="0" topLeftCell="G1" zoomScale="58" zoomScaleNormal="58" workbookViewId="0">
      <selection activeCell="C23" sqref="C23:C25"/>
    </sheetView>
  </sheetViews>
  <sheetFormatPr defaultColWidth="8.86328125" defaultRowHeight="15.75" x14ac:dyDescent="0.6"/>
  <cols>
    <col min="1" max="1" width="3.86328125" style="75" customWidth="1"/>
    <col min="2" max="2" width="20.265625" style="75" customWidth="1"/>
    <col min="3" max="3" width="17.1328125" style="75" bestFit="1" customWidth="1"/>
    <col min="4" max="4" width="14.59765625" style="75" bestFit="1" customWidth="1"/>
    <col min="5" max="5" width="18.3984375" style="75" customWidth="1"/>
    <col min="6" max="6" width="19.1328125" style="75" bestFit="1" customWidth="1"/>
    <col min="7" max="7" width="25.86328125" style="75" customWidth="1"/>
    <col min="8" max="8" width="16.1328125" style="75" bestFit="1" customWidth="1"/>
    <col min="9" max="9" width="18.3984375" style="75" bestFit="1" customWidth="1"/>
    <col min="10" max="10" width="24.1328125" style="75" customWidth="1"/>
    <col min="11" max="11" width="14.86328125" style="77" bestFit="1" customWidth="1"/>
    <col min="12" max="12" width="14.86328125" style="77" customWidth="1"/>
    <col min="13" max="13" width="18.3984375" style="75" bestFit="1" customWidth="1"/>
    <col min="14" max="14" width="29.86328125" style="75" customWidth="1"/>
    <col min="15" max="15" width="24.1328125" style="75" customWidth="1"/>
    <col min="16" max="16" width="24.3984375" style="75" bestFit="1" customWidth="1"/>
    <col min="17" max="17" width="18.59765625" style="77" bestFit="1" customWidth="1"/>
    <col min="18" max="18" width="17.1328125" style="75" customWidth="1"/>
    <col min="19" max="20" width="24.3984375" style="75" bestFit="1" customWidth="1"/>
    <col min="21" max="21" width="23.3984375" style="75" bestFit="1" customWidth="1"/>
    <col min="22" max="22" width="8.86328125" style="75"/>
    <col min="23" max="23" width="12.86328125" style="75" bestFit="1" customWidth="1"/>
    <col min="24" max="24" width="14.3984375" style="75" bestFit="1" customWidth="1"/>
    <col min="25" max="25" width="13.86328125" style="75" customWidth="1"/>
    <col min="26" max="26" width="15.86328125" style="75" customWidth="1"/>
    <col min="27" max="27" width="14.3984375" style="75" bestFit="1" customWidth="1"/>
    <col min="28" max="28" width="13.59765625" style="75" bestFit="1" customWidth="1"/>
    <col min="29" max="29" width="14.86328125" style="75" customWidth="1"/>
    <col min="30" max="30" width="14.3984375" style="75" customWidth="1"/>
    <col min="31" max="33" width="8.86328125" style="75"/>
    <col min="34" max="35" width="2.3984375" style="120" customWidth="1"/>
    <col min="36" max="52" width="8.86328125" style="75"/>
    <col min="53" max="54" width="2.3984375" style="120" customWidth="1"/>
    <col min="55" max="58" width="8.86328125" style="75"/>
    <col min="59" max="60" width="8.86328125" style="75" customWidth="1"/>
    <col min="61" max="16384" width="8.86328125" style="75"/>
  </cols>
  <sheetData>
    <row r="1" spans="2:54" x14ac:dyDescent="0.6">
      <c r="B1" s="583" t="s">
        <v>319</v>
      </c>
      <c r="C1" s="583"/>
      <c r="H1" s="187" t="s">
        <v>30</v>
      </c>
      <c r="N1" s="408" t="s">
        <v>320</v>
      </c>
      <c r="AJ1" s="539" t="s">
        <v>321</v>
      </c>
      <c r="AK1" s="548"/>
      <c r="AL1" s="548"/>
      <c r="AM1" s="548"/>
      <c r="AN1" s="548"/>
      <c r="AO1" s="548"/>
      <c r="AP1" s="548"/>
      <c r="AQ1" s="548"/>
      <c r="AR1" s="548"/>
      <c r="AS1" s="548"/>
      <c r="AT1" s="548"/>
      <c r="AU1" s="548"/>
      <c r="AV1" s="548"/>
      <c r="AW1" s="548"/>
      <c r="AX1" s="548"/>
      <c r="AY1" s="548"/>
      <c r="AZ1" s="549"/>
    </row>
    <row r="2" spans="2:54" x14ac:dyDescent="0.6">
      <c r="B2" s="399"/>
      <c r="C2" s="399">
        <v>3739.702520839438</v>
      </c>
      <c r="D2" s="106" t="s">
        <v>322</v>
      </c>
      <c r="E2" s="113">
        <v>3739.702520839438</v>
      </c>
      <c r="F2" s="116"/>
      <c r="G2" s="208" t="str">
        <f>"litres / payload ton ("&amp;H2&amp;") -&gt;"</f>
        <v>litres / payload ton (2022) -&gt;</v>
      </c>
      <c r="H2" s="107">
        <v>2022</v>
      </c>
      <c r="I2" s="259">
        <f>VLOOKUP($H$2,'Diesel - DemandSupply'!AF:AP,9,0)</f>
        <v>15.365328353951691</v>
      </c>
      <c r="J2" t="s">
        <v>323</v>
      </c>
      <c r="K2"/>
      <c r="L2"/>
      <c r="M2"/>
      <c r="N2" s="409" t="s">
        <v>324</v>
      </c>
      <c r="O2" s="410">
        <f>($P$30-$P$36)/($B$30-$B$36)</f>
        <v>301766437.60853547</v>
      </c>
      <c r="P2" s="108"/>
      <c r="Q2" s="108"/>
      <c r="AJ2" s="550"/>
      <c r="AK2" s="551"/>
      <c r="AL2" s="551"/>
      <c r="AM2" s="551"/>
      <c r="AN2" s="551"/>
      <c r="AO2" s="551"/>
      <c r="AP2" s="551"/>
      <c r="AQ2" s="551"/>
      <c r="AR2" s="551"/>
      <c r="AS2" s="551"/>
      <c r="AT2" s="551"/>
      <c r="AU2" s="551"/>
      <c r="AV2" s="551"/>
      <c r="AW2" s="551"/>
      <c r="AX2" s="551"/>
      <c r="AY2" s="551"/>
      <c r="AZ2" s="552"/>
    </row>
    <row r="3" spans="2:54" ht="16.149999999999999" thickBot="1" x14ac:dyDescent="0.65">
      <c r="B3" s="399"/>
      <c r="C3" s="399">
        <v>997123.66268760513</v>
      </c>
      <c r="D3" s="106" t="s">
        <v>325</v>
      </c>
      <c r="E3" s="107">
        <v>997123.66268760513</v>
      </c>
      <c r="F3" s="116"/>
      <c r="G3" s="208" t="s">
        <v>326</v>
      </c>
      <c r="H3" s="240"/>
      <c r="I3" s="107">
        <v>60000000</v>
      </c>
      <c r="J3" t="s">
        <v>327</v>
      </c>
      <c r="K3"/>
      <c r="L3"/>
      <c r="M3"/>
      <c r="N3" s="408" t="s">
        <v>328</v>
      </c>
      <c r="O3" s="411">
        <f>$P$36-$O$2*$B$36</f>
        <v>-600435197857.33801</v>
      </c>
      <c r="AJ3" s="553"/>
      <c r="AK3" s="554"/>
      <c r="AL3" s="554"/>
      <c r="AM3" s="554"/>
      <c r="AN3" s="554"/>
      <c r="AO3" s="554"/>
      <c r="AP3" s="554"/>
      <c r="AQ3" s="554"/>
      <c r="AR3" s="554"/>
      <c r="AS3" s="554"/>
      <c r="AT3" s="554"/>
      <c r="AU3" s="554"/>
      <c r="AV3" s="554"/>
      <c r="AW3" s="554"/>
      <c r="AX3" s="554"/>
      <c r="AY3" s="554"/>
      <c r="AZ3" s="555"/>
    </row>
    <row r="4" spans="2:54" x14ac:dyDescent="0.6">
      <c r="B4" s="399"/>
      <c r="C4" s="399">
        <v>-9731051092.7297993</v>
      </c>
      <c r="D4" s="106" t="s">
        <v>300</v>
      </c>
      <c r="E4" s="107">
        <v>-9731051092.7297993</v>
      </c>
      <c r="F4" s="116"/>
      <c r="G4"/>
      <c r="H4"/>
      <c r="I4" t="s">
        <v>329</v>
      </c>
      <c r="J4" s="233" t="s">
        <v>330</v>
      </c>
      <c r="K4" t="s">
        <v>331</v>
      </c>
      <c r="L4"/>
      <c r="M4"/>
      <c r="N4" s="111"/>
      <c r="P4" s="111"/>
      <c r="Q4" s="400"/>
    </row>
    <row r="5" spans="2:54" x14ac:dyDescent="0.6">
      <c r="E5" s="116"/>
      <c r="F5" s="116"/>
      <c r="G5"/>
      <c r="H5"/>
      <c r="I5"/>
      <c r="J5"/>
      <c r="K5" t="s">
        <v>332</v>
      </c>
      <c r="L5"/>
      <c r="M5"/>
      <c r="W5" s="80" t="s">
        <v>301</v>
      </c>
      <c r="X5" s="80"/>
      <c r="Y5" s="80"/>
      <c r="Z5" s="80"/>
      <c r="AA5" s="80"/>
      <c r="AB5" s="80"/>
      <c r="AC5" s="80"/>
    </row>
    <row r="6" spans="2:54" x14ac:dyDescent="0.6">
      <c r="E6" s="116"/>
      <c r="F6" s="116"/>
      <c r="G6" s="139" t="s">
        <v>333</v>
      </c>
    </row>
    <row r="7" spans="2:54" x14ac:dyDescent="0.6">
      <c r="E7" s="116"/>
      <c r="F7" s="116"/>
      <c r="G7" s="139" t="s">
        <v>302</v>
      </c>
      <c r="AH7" s="186"/>
      <c r="AI7" s="186"/>
      <c r="BA7" s="186"/>
      <c r="BB7" s="186"/>
    </row>
    <row r="8" spans="2:54" x14ac:dyDescent="0.6">
      <c r="C8" s="223" t="s">
        <v>190</v>
      </c>
      <c r="D8" s="223" t="s">
        <v>303</v>
      </c>
      <c r="E8" s="223" t="s">
        <v>334</v>
      </c>
      <c r="F8" s="223" t="s">
        <v>190</v>
      </c>
      <c r="G8" s="556" t="s">
        <v>196</v>
      </c>
      <c r="H8" s="580"/>
      <c r="I8" s="580"/>
      <c r="J8" s="580"/>
      <c r="K8" s="580"/>
      <c r="L8" s="581" t="s">
        <v>197</v>
      </c>
      <c r="M8" s="582"/>
      <c r="N8" s="582"/>
      <c r="O8" s="582"/>
      <c r="P8" s="582"/>
      <c r="Q8" s="582"/>
      <c r="X8"/>
      <c r="AH8" s="186"/>
      <c r="AI8" s="186"/>
      <c r="BA8" s="186"/>
      <c r="BB8" s="186"/>
    </row>
    <row r="9" spans="2:54" ht="40.5" customHeight="1" x14ac:dyDescent="0.6">
      <c r="B9" s="112" t="s">
        <v>30</v>
      </c>
      <c r="C9" s="262" t="s">
        <v>55</v>
      </c>
      <c r="D9" s="262" t="s">
        <v>38</v>
      </c>
      <c r="E9" s="262" t="s">
        <v>50</v>
      </c>
      <c r="F9" s="264" t="s">
        <v>61</v>
      </c>
      <c r="G9" s="125" t="s">
        <v>335</v>
      </c>
      <c r="H9" s="125" t="s">
        <v>336</v>
      </c>
      <c r="I9" s="125" t="s">
        <v>337</v>
      </c>
      <c r="J9" s="125" t="s">
        <v>338</v>
      </c>
      <c r="K9" s="126" t="s">
        <v>307</v>
      </c>
      <c r="L9" s="125" t="s">
        <v>335</v>
      </c>
      <c r="M9" s="125" t="s">
        <v>336</v>
      </c>
      <c r="N9" s="125" t="s">
        <v>339</v>
      </c>
      <c r="O9" s="125" t="s">
        <v>337</v>
      </c>
      <c r="P9" s="125" t="s">
        <v>338</v>
      </c>
      <c r="Q9" s="126" t="s">
        <v>307</v>
      </c>
      <c r="R9" s="117" t="s">
        <v>340</v>
      </c>
      <c r="S9" s="117" t="s">
        <v>310</v>
      </c>
      <c r="T9" s="117" t="s">
        <v>311</v>
      </c>
      <c r="U9" s="117" t="s">
        <v>310</v>
      </c>
    </row>
    <row r="10" spans="2:54" x14ac:dyDescent="0.6">
      <c r="B10" s="76">
        <v>2010</v>
      </c>
      <c r="C10" s="82">
        <f>IFERROR((INDEX(DieselDemandSupply,MATCH($B10,'Diesel - DemandSupply'!C:C,0),MATCH($C$9,'Diesel - DemandSupply'!$C$10:$N$10,0))),)</f>
        <v>10451548684</v>
      </c>
      <c r="D10" s="82">
        <f t="shared" ref="D10:D22" si="0">(INDEX(GDP,MATCH($B10,Macros_year,0),MATCH($D$9,Macros_header,0)))/10^6</f>
        <v>3973801.603311196</v>
      </c>
      <c r="E10" s="79">
        <f>(INDEX(Volume_NumberTrucks,MATCH($B10,Assumptions!$C$238:$C$252,0),MATCH($E$9,Assumptions!$C$238:$F$238,0)))</f>
        <v>1923070.9</v>
      </c>
      <c r="F10" s="79">
        <f>IFERROR((INDEX(DieselDemandSupply,MATCH($B10,'Diesel - DemandSupply'!C:C,0),MATCH($F$9,'Diesel - DemandSupply'!$C$10:$N$10,0))),)/E10</f>
        <v>5434.8223375435618</v>
      </c>
      <c r="G10" s="106"/>
      <c r="H10" s="106"/>
      <c r="I10" s="106"/>
      <c r="J10" s="106"/>
      <c r="K10" s="127"/>
      <c r="L10" s="127"/>
      <c r="M10" s="106"/>
      <c r="N10" s="106"/>
      <c r="O10" s="106"/>
      <c r="P10" s="106"/>
      <c r="Q10" s="127"/>
      <c r="R10" s="83">
        <f>$C10</f>
        <v>10451548684</v>
      </c>
    </row>
    <row r="11" spans="2:54" x14ac:dyDescent="0.6">
      <c r="B11" s="76">
        <v>2011</v>
      </c>
      <c r="C11" s="82">
        <f>IFERROR((INDEX(DieselDemandSupply,MATCH($B11,'Diesel - DemandSupply'!C:C,0),MATCH($C$9,'Diesel - DemandSupply'!$C$10:$N$10,0))),)</f>
        <v>11470381512</v>
      </c>
      <c r="D11" s="82">
        <f t="shared" si="0"/>
        <v>4099713.7435235083</v>
      </c>
      <c r="E11" s="79">
        <f>(INDEX(Volume_NumberTrucks,MATCH($B11,Assumptions!$C$238:$C$252,0),MATCH($E$9,Assumptions!$C$238:$F$238,0)))</f>
        <v>1990199.9999999998</v>
      </c>
      <c r="F11" s="79">
        <f>IFERROR((INDEX(DieselDemandSupply,MATCH($B11,'Diesel - DemandSupply'!C:C,0),MATCH($F$9,'Diesel - DemandSupply'!$C$10:$N$10,0))),)/E11</f>
        <v>5763.4315706964135</v>
      </c>
      <c r="G11" s="106"/>
      <c r="H11" s="106"/>
      <c r="I11" s="106"/>
      <c r="J11" s="106"/>
      <c r="K11" s="127"/>
      <c r="L11" s="127"/>
      <c r="M11" s="106"/>
      <c r="N11" s="106"/>
      <c r="O11" s="106"/>
      <c r="P11" s="106"/>
      <c r="Q11" s="127"/>
      <c r="R11" s="83">
        <f t="shared" ref="R11:R25" si="1">$C11</f>
        <v>11470381512</v>
      </c>
    </row>
    <row r="12" spans="2:54" x14ac:dyDescent="0.6">
      <c r="B12" s="76">
        <v>2012</v>
      </c>
      <c r="C12" s="82">
        <f>IFERROR((INDEX(DieselDemandSupply,MATCH($B12,'Diesel - DemandSupply'!C:C,0),MATCH($C$9,'Diesel - DemandSupply'!$C$10:$N$10,0))),)</f>
        <v>11663340680</v>
      </c>
      <c r="D12" s="82">
        <f t="shared" si="0"/>
        <v>4197952.4119134666</v>
      </c>
      <c r="E12" s="79">
        <f>(INDEX(Volume_NumberTrucks,MATCH($B12,Assumptions!$C$238:$C$252,0),MATCH($E$9,Assumptions!$C$238:$F$238,0)))</f>
        <v>2062221.7250000001</v>
      </c>
      <c r="F12" s="79">
        <f>IFERROR((INDEX(DieselDemandSupply,MATCH($B12,'Diesel - DemandSupply'!C:C,0),MATCH($F$9,'Diesel - DemandSupply'!$C$10:$N$10,0))),)/E12</f>
        <v>5430.4085724140723</v>
      </c>
      <c r="G12" s="106"/>
      <c r="H12" s="106"/>
      <c r="I12" s="106"/>
      <c r="J12" s="106"/>
      <c r="K12" s="127"/>
      <c r="L12" s="127"/>
      <c r="M12" s="106"/>
      <c r="N12" s="106"/>
      <c r="O12" s="106"/>
      <c r="P12" s="106"/>
      <c r="Q12" s="127"/>
      <c r="R12" s="83">
        <f t="shared" si="1"/>
        <v>11663340680</v>
      </c>
    </row>
    <row r="13" spans="2:54" x14ac:dyDescent="0.6">
      <c r="B13" s="76">
        <v>2013</v>
      </c>
      <c r="C13" s="82">
        <f>IFERROR((INDEX(DieselDemandSupply,MATCH($B13,'Diesel - DemandSupply'!C:C,0),MATCH($C$9,'Diesel - DemandSupply'!$C$10:$N$10,0))),)</f>
        <v>12141281548</v>
      </c>
      <c r="D13" s="82">
        <f t="shared" si="0"/>
        <v>4302291.1761431405</v>
      </c>
      <c r="E13" s="79">
        <f>(INDEX(Volume_NumberTrucks,MATCH($B13,Assumptions!$C$238:$C$252,0),MATCH($E$9,Assumptions!$C$238:$F$238,0)))</f>
        <v>2132132.5499999998</v>
      </c>
      <c r="F13" s="79">
        <f>IFERROR((INDEX(DieselDemandSupply,MATCH($B13,'Diesel - DemandSupply'!C:C,0),MATCH($F$9,'Diesel - DemandSupply'!$C$10:$N$10,0))),)/E13</f>
        <v>5329.28638167179</v>
      </c>
      <c r="G13" s="106"/>
      <c r="H13" s="106"/>
      <c r="I13" s="106"/>
      <c r="J13" s="106"/>
      <c r="K13" s="127"/>
      <c r="L13" s="127"/>
      <c r="M13" s="106"/>
      <c r="N13" s="106"/>
      <c r="O13" s="106"/>
      <c r="P13" s="106"/>
      <c r="Q13" s="127"/>
      <c r="R13" s="83">
        <f t="shared" si="1"/>
        <v>12141281548</v>
      </c>
    </row>
    <row r="14" spans="2:54" x14ac:dyDescent="0.6">
      <c r="B14" s="76">
        <v>2014</v>
      </c>
      <c r="C14" s="82">
        <f>IFERROR((INDEX(DieselDemandSupply,MATCH($B14,'Diesel - DemandSupply'!C:C,0),MATCH($C$9,'Diesel - DemandSupply'!$C$10:$N$10,0))),)</f>
        <v>12615023359</v>
      </c>
      <c r="D14" s="82">
        <f t="shared" si="0"/>
        <v>4363118.106800599</v>
      </c>
      <c r="E14" s="79">
        <f>(INDEX(Volume_NumberTrucks,MATCH($B14,Assumptions!$C$238:$C$252,0),MATCH($E$9,Assumptions!$C$238:$F$238,0)))</f>
        <v>2201490.1250000005</v>
      </c>
      <c r="F14" s="79">
        <f>IFERROR((INDEX(DieselDemandSupply,MATCH($B14,'Diesel - DemandSupply'!C:C,0),MATCH($F$9,'Diesel - DemandSupply'!$C$10:$N$10,0))),)/E14</f>
        <v>5321.738641147469</v>
      </c>
      <c r="G14" s="106"/>
      <c r="H14" s="106"/>
      <c r="I14" s="106"/>
      <c r="J14" s="106"/>
      <c r="K14" s="127"/>
      <c r="L14" s="127"/>
      <c r="M14" s="106"/>
      <c r="N14" s="106"/>
      <c r="O14" s="106"/>
      <c r="P14" s="106"/>
      <c r="Q14" s="127"/>
      <c r="R14" s="83">
        <f t="shared" si="1"/>
        <v>12615023359</v>
      </c>
    </row>
    <row r="15" spans="2:54" x14ac:dyDescent="0.6">
      <c r="B15" s="76">
        <v>2015</v>
      </c>
      <c r="C15" s="82">
        <f>IFERROR((INDEX(DieselDemandSupply,MATCH($B15,'Diesel - DemandSupply'!C:C,0),MATCH($C$9,'Diesel - DemandSupply'!$C$10:$N$10,0))),)</f>
        <v>13520139252</v>
      </c>
      <c r="D15" s="82">
        <f t="shared" si="0"/>
        <v>4420792.5174144721</v>
      </c>
      <c r="E15" s="79">
        <f>(INDEX(Volume_NumberTrucks,MATCH($B15,Assumptions!$C$238:$C$252,0),MATCH($E$9,Assumptions!$C$238:$F$238,0)))</f>
        <v>2222399</v>
      </c>
      <c r="F15" s="79">
        <f>IFERROR((INDEX(DieselDemandSupply,MATCH($B15,'Diesel - DemandSupply'!C:C,0),MATCH($F$9,'Diesel - DemandSupply'!$C$10:$N$10,0))),)/E15</f>
        <v>5657.8412406658908</v>
      </c>
      <c r="G15" s="106"/>
      <c r="H15" s="106"/>
      <c r="I15" s="106"/>
      <c r="J15" s="106"/>
      <c r="K15" s="127"/>
      <c r="L15" s="127"/>
      <c r="M15" s="106"/>
      <c r="N15" s="106"/>
      <c r="O15" s="106"/>
      <c r="P15" s="106"/>
      <c r="Q15" s="127"/>
      <c r="R15" s="83">
        <f t="shared" si="1"/>
        <v>13520139252</v>
      </c>
    </row>
    <row r="16" spans="2:54" x14ac:dyDescent="0.6">
      <c r="B16" s="76">
        <v>2016</v>
      </c>
      <c r="C16" s="82">
        <f>IFERROR((INDEX(DieselDemandSupply,MATCH($B16,'Diesel - DemandSupply'!C:C,0),MATCH($C$9,'Diesel - DemandSupply'!$C$10:$N$10,0))),)</f>
        <v>12082374038</v>
      </c>
      <c r="D16" s="82">
        <f t="shared" si="0"/>
        <v>4450170.9961145148</v>
      </c>
      <c r="E16" s="79">
        <f>(INDEX(Volume_NumberTrucks,MATCH($B16,Assumptions!$C$238:$C$252,0),MATCH($E$9,Assumptions!$C$238:$F$238,0)))</f>
        <v>2357700</v>
      </c>
      <c r="F16" s="79">
        <f>IFERROR((INDEX(DieselDemandSupply,MATCH($B16,'Diesel - DemandSupply'!C:C,0),MATCH($F$9,'Diesel - DemandSupply'!$C$10:$N$10,0))),)/E16</f>
        <v>5020.6002290160832</v>
      </c>
      <c r="G16" s="106"/>
      <c r="H16" s="106"/>
      <c r="I16" s="106"/>
      <c r="J16" s="106"/>
      <c r="K16" s="127"/>
      <c r="L16" s="127"/>
      <c r="M16" s="106"/>
      <c r="N16" s="106"/>
      <c r="O16" s="106"/>
      <c r="P16" s="106"/>
      <c r="Q16" s="127"/>
      <c r="R16" s="83">
        <f t="shared" si="1"/>
        <v>12082374038</v>
      </c>
    </row>
    <row r="17" spans="1:98" x14ac:dyDescent="0.6">
      <c r="B17" s="76">
        <v>2017</v>
      </c>
      <c r="C17" s="82">
        <f>IFERROR((INDEX(DieselDemandSupply,MATCH($B17,'Diesel - DemandSupply'!C:C,0),MATCH($C$9,'Diesel - DemandSupply'!$C$10:$N$10,0))),)</f>
        <v>12147245168</v>
      </c>
      <c r="D17" s="82">
        <f t="shared" si="0"/>
        <v>4501701.61548483</v>
      </c>
      <c r="E17" s="79">
        <f>(INDEX(Volume_NumberTrucks,MATCH($B17,Assumptions!$C$238:$C$252,0),MATCH($E$9,Assumptions!$C$238:$F$238,0)))</f>
        <v>2400630</v>
      </c>
      <c r="F17" s="79">
        <f>IFERROR((INDEX(DieselDemandSupply,MATCH($B17,'Diesel - DemandSupply'!C:C,0),MATCH($F$9,'Diesel - DemandSupply'!$C$10:$N$10,0))),)/E17</f>
        <v>5047.0892146705801</v>
      </c>
      <c r="G17" s="106"/>
      <c r="H17" s="106"/>
      <c r="I17" s="106"/>
      <c r="J17" s="106"/>
      <c r="K17" s="127"/>
      <c r="L17" s="127"/>
      <c r="M17" s="106"/>
      <c r="N17" s="106"/>
      <c r="O17" s="106"/>
      <c r="P17" s="106"/>
      <c r="Q17" s="127"/>
      <c r="R17" s="83">
        <f t="shared" si="1"/>
        <v>12147245168</v>
      </c>
    </row>
    <row r="18" spans="1:98" x14ac:dyDescent="0.6">
      <c r="B18" s="76">
        <v>2018</v>
      </c>
      <c r="C18" s="82">
        <f>IFERROR((INDEX(DieselDemandSupply,MATCH($B18,'Diesel - DemandSupply'!C:C,0),MATCH($C$9,'Diesel - DemandSupply'!$C$10:$N$10,0))),)</f>
        <v>12538744326</v>
      </c>
      <c r="D18" s="82">
        <f t="shared" si="0"/>
        <v>4568669.7107831342</v>
      </c>
      <c r="E18" s="79">
        <f>(INDEX(Volume_NumberTrucks,MATCH($B18,Assumptions!$C$238:$C$252,0),MATCH($E$9,Assumptions!$C$238:$F$238,0)))</f>
        <v>2424097.6749999998</v>
      </c>
      <c r="F18" s="79">
        <f>IFERROR((INDEX(DieselDemandSupply,MATCH($B18,'Diesel - DemandSupply'!C:C,0),MATCH($F$9,'Diesel - DemandSupply'!$C$10:$N$10,0))),)/E18</f>
        <v>5082.1002669052732</v>
      </c>
      <c r="G18" s="106"/>
      <c r="H18" s="106"/>
      <c r="I18" s="106"/>
      <c r="J18" s="106"/>
      <c r="K18" s="127"/>
      <c r="L18" s="127"/>
      <c r="M18" s="106"/>
      <c r="N18" s="106"/>
      <c r="O18" s="106"/>
      <c r="P18" s="106"/>
      <c r="Q18" s="127"/>
      <c r="R18" s="83">
        <f t="shared" si="1"/>
        <v>12538744326</v>
      </c>
      <c r="S18" s="111"/>
    </row>
    <row r="19" spans="1:98" x14ac:dyDescent="0.6">
      <c r="B19" s="76">
        <v>2019</v>
      </c>
      <c r="C19" s="82">
        <f>IFERROR((INDEX(DieselDemandSupply,MATCH($B19,'Diesel - DemandSupply'!C:C,0),MATCH($C$9,'Diesel - DemandSupply'!$C$10:$N$10,0))),)</f>
        <v>12908631233</v>
      </c>
      <c r="D19" s="82">
        <f t="shared" si="0"/>
        <v>4573834.7608192815</v>
      </c>
      <c r="E19" s="226">
        <f>(INDEX(Volume_NumberTrucks,MATCH($B19,Assumptions!$C$238:$C$252,0),MATCH($E$9,Assumptions!$C$238:$F$238,0)))</f>
        <v>2468511.75</v>
      </c>
      <c r="F19" s="79">
        <f>IFERROR((INDEX(DieselDemandSupply,MATCH($B19,'Diesel - DemandSupply'!C:C,0),MATCH($F$9,'Diesel - DemandSupply'!$C$10:$N$10,0))),)/E19</f>
        <v>5017.009014647062</v>
      </c>
      <c r="G19" s="106"/>
      <c r="H19" s="106"/>
      <c r="I19" s="106"/>
      <c r="J19" s="106"/>
      <c r="K19" s="127"/>
      <c r="L19" s="127"/>
      <c r="M19" s="106"/>
      <c r="N19" s="106"/>
      <c r="O19" s="106"/>
      <c r="P19" s="106"/>
      <c r="Q19" s="127"/>
      <c r="R19" s="83">
        <f t="shared" si="1"/>
        <v>12908631233</v>
      </c>
    </row>
    <row r="20" spans="1:98" x14ac:dyDescent="0.6">
      <c r="B20" s="76">
        <v>2020</v>
      </c>
      <c r="C20" s="82">
        <f>IFERROR((INDEX(DieselDemandSupply,MATCH($B20,'Diesel - DemandSupply'!C:C,0),MATCH($C$9,'Diesel - DemandSupply'!$C$10:$N$10,0))),)</f>
        <v>11689957758</v>
      </c>
      <c r="D20" s="82">
        <f t="shared" si="0"/>
        <v>4279646.860386556</v>
      </c>
      <c r="E20" s="79">
        <f>(INDEX(Volume_NumberTrucks,MATCH($B20,Assumptions!$C$238:$C$252,0),MATCH($E$9,Assumptions!$C$238:$F$238,0)))</f>
        <v>2470356.7750000004</v>
      </c>
      <c r="F20" s="79">
        <f>IFERROR((INDEX(DieselDemandSupply,MATCH($B20,'Diesel - DemandSupply'!C:C,0),MATCH($F$9,'Diesel - DemandSupply'!$C$10:$N$10,0))),)/E20</f>
        <v>4543.2797203958517</v>
      </c>
      <c r="G20" s="106"/>
      <c r="H20" s="122">
        <f>$F20</f>
        <v>4543.2797203958517</v>
      </c>
      <c r="I20" s="106"/>
      <c r="J20" s="106"/>
      <c r="K20" s="127"/>
      <c r="L20" s="106"/>
      <c r="M20" s="122">
        <f>$F20</f>
        <v>4543.2797203958517</v>
      </c>
      <c r="N20" s="106"/>
      <c r="O20" s="106"/>
      <c r="P20" s="106"/>
      <c r="Q20" s="127"/>
      <c r="R20" s="83">
        <f t="shared" si="1"/>
        <v>11689957758</v>
      </c>
    </row>
    <row r="21" spans="1:98" x14ac:dyDescent="0.6">
      <c r="B21" s="76">
        <v>2021</v>
      </c>
      <c r="C21" s="82">
        <f>IFERROR((INDEX(DieselDemandSupply,MATCH($B21,'Diesel - DemandSupply'!C:C,0),MATCH($C$9,'Diesel - DemandSupply'!$C$10:$N$10,0))),)</f>
        <v>12945782751</v>
      </c>
      <c r="D21" s="82">
        <f t="shared" si="0"/>
        <v>4513043.9196958616</v>
      </c>
      <c r="E21" s="79">
        <f>(INDEX(Volume_NumberTrucks,MATCH($B21,Assumptions!$C$238:$C$252,0),MATCH($E$9,Assumptions!$C$238:$F$238,0)))</f>
        <v>2523720.3500000006</v>
      </c>
      <c r="F21" s="79">
        <f>IFERROR((INDEX(DieselDemandSupply,MATCH($B21,'Diesel - DemandSupply'!C:C,0),MATCH($F$9,'Diesel - DemandSupply'!$C$10:$N$10,0))),)/E21</f>
        <v>4819.2669233775259</v>
      </c>
      <c r="G21" s="106"/>
      <c r="H21" s="122">
        <f t="shared" ref="H21:H22" si="2">$F21</f>
        <v>4819.2669233775259</v>
      </c>
      <c r="I21" s="106"/>
      <c r="J21" s="106"/>
      <c r="K21" s="127"/>
      <c r="L21" s="106"/>
      <c r="M21" s="122">
        <f t="shared" ref="M21:M22" si="3">$F21</f>
        <v>4819.2669233775259</v>
      </c>
      <c r="N21" s="129">
        <f>IF(N22=$N$30/COUNTA($M$22:$M$30),0,N22-$N$30/COUNTA($M$22:$M$30))</f>
        <v>0</v>
      </c>
      <c r="O21" s="106"/>
      <c r="P21" s="106"/>
      <c r="Q21" s="127"/>
      <c r="R21" s="83">
        <f t="shared" si="1"/>
        <v>12945782751</v>
      </c>
    </row>
    <row r="22" spans="1:98" x14ac:dyDescent="0.6">
      <c r="B22" s="76">
        <v>2022</v>
      </c>
      <c r="C22" s="82">
        <f>IFERROR((INDEX(DieselDemandSupply,MATCH($B22,'Diesel - DemandSupply'!C:C,0),MATCH($C$9,'Diesel - DemandSupply'!$C$10:$N$10,0))),)</f>
        <v>13777720342.985655</v>
      </c>
      <c r="D22" s="82">
        <f t="shared" si="0"/>
        <v>4599261.3891645968</v>
      </c>
      <c r="E22" s="79">
        <f>(INDEX(Volume_NumberTrucks,MATCH($B22,Assumptions!$C$238:$C$252,0),MATCH($E$9,Assumptions!$C$238:$F$238,0)))</f>
        <v>2743752.5750000002</v>
      </c>
      <c r="F22" s="79">
        <f>IFERROR((INDEX(DieselDemandSupply,MATCH($B22,'Diesel - DemandSupply'!C:C,0),MATCH($F$9,'Diesel - DemandSupply'!$C$10:$N$10,0))),)/E22</f>
        <v>4699.716821421709</v>
      </c>
      <c r="G22" s="122">
        <f>$D22</f>
        <v>4599261.3891645968</v>
      </c>
      <c r="H22" s="122">
        <f t="shared" si="2"/>
        <v>4699.716821421709</v>
      </c>
      <c r="I22" s="106"/>
      <c r="J22" s="122">
        <f>$C22</f>
        <v>13777720342.985655</v>
      </c>
      <c r="K22" s="127"/>
      <c r="L22" s="122">
        <f>$D22</f>
        <v>4599261.3891645968</v>
      </c>
      <c r="M22" s="122">
        <f t="shared" si="3"/>
        <v>4699.716821421709</v>
      </c>
      <c r="N22" s="129">
        <f t="shared" ref="N22:N29" si="4">IF(N23=$N$30/COUNTA($M$22:$M$30),0,N23-$N$30/COUNTA($M$22:$M$30))</f>
        <v>6666666.6666666688</v>
      </c>
      <c r="O22" s="106"/>
      <c r="P22" s="122">
        <f>$C22</f>
        <v>13777720342.985655</v>
      </c>
      <c r="Q22" s="127"/>
      <c r="R22" s="83">
        <f t="shared" si="1"/>
        <v>13777720342.985655</v>
      </c>
      <c r="U22" s="79">
        <f>S22-T22</f>
        <v>0</v>
      </c>
    </row>
    <row r="23" spans="1:98" x14ac:dyDescent="0.6">
      <c r="B23" s="76">
        <v>2023</v>
      </c>
      <c r="C23" s="82">
        <f>IFERROR((INDEX(DieselDemandSupply,MATCH($B23,'Diesel - DemandSupply'!C:C,0),MATCH($C$9,'Diesel - DemandSupply'!$C$10:$N$10,0))),)</f>
        <v>13967062497.75</v>
      </c>
      <c r="D23" s="82">
        <f>(INDEX(GDP,MATCH($B23,Macros_year,0),MATCH($D$9,Macros_header,0)))/10^6</f>
        <v>4638499.6391463401</v>
      </c>
      <c r="E23" s="79">
        <f>(INDEX(Volume_NumberTrucks,MATCH($B23,Assumptions!$C$238:$C$252,0),MATCH($E$9,Assumptions!$C$238:$F$238,0)))</f>
        <v>2535765</v>
      </c>
      <c r="F23" s="79">
        <f>IFERROR((INDEX(DieselDemandSupply,MATCH($B23,'Diesel - DemandSupply'!C:C,0),MATCH($F$9,'Diesel - DemandSupply'!$C$10:$N$10,0))),)/E23</f>
        <v>5101.3279854545017</v>
      </c>
      <c r="G23" s="122">
        <f>$D23</f>
        <v>4638499.6391463401</v>
      </c>
      <c r="H23" s="122">
        <f>$F23</f>
        <v>5101.3279854545017</v>
      </c>
      <c r="I23" s="122">
        <f>'Diesel - DemandSupply'!$AB29</f>
        <v>0</v>
      </c>
      <c r="J23" s="122">
        <f>$C23</f>
        <v>13967062497.75</v>
      </c>
      <c r="K23" s="128">
        <f>J23/J22-1</f>
        <v>1.3742633037310936E-2</v>
      </c>
      <c r="L23" s="122">
        <f>$D23</f>
        <v>4638499.6391463401</v>
      </c>
      <c r="M23" s="122">
        <f>$F23</f>
        <v>5101.3279854545017</v>
      </c>
      <c r="N23" s="129">
        <f t="shared" si="4"/>
        <v>13333333.333333336</v>
      </c>
      <c r="O23" s="122">
        <f>'Diesel - DemandSupply'!$AA29</f>
        <v>0</v>
      </c>
      <c r="P23" s="122">
        <f>$C23</f>
        <v>13967062497.75</v>
      </c>
      <c r="Q23" s="128">
        <f>P23/P22-1</f>
        <v>1.3742633037310936E-2</v>
      </c>
      <c r="R23" s="83">
        <f t="shared" si="1"/>
        <v>13967062497.75</v>
      </c>
      <c r="U23" s="79">
        <f t="shared" ref="U23:U45" si="5">S23-T23</f>
        <v>0</v>
      </c>
    </row>
    <row r="24" spans="1:98" s="392" customFormat="1" x14ac:dyDescent="0.6">
      <c r="A24" s="75"/>
      <c r="B24" s="76">
        <v>2024</v>
      </c>
      <c r="C24" s="82">
        <f>IFERROR((INDEX(DieselDemandSupply,MATCH($B24,'Diesel - DemandSupply'!C:C,0),MATCH($C$9,'Diesel - DemandSupply'!$C$10:$N$10,0))),)</f>
        <v>11878421413.530001</v>
      </c>
      <c r="D24" s="82">
        <f>(INDEX(GDP,MATCH($B24,Macros_year,0),MATCH($D$9,Macros_header,0)))/10^6</f>
        <v>4659294</v>
      </c>
      <c r="E24" s="79">
        <f>(INDEX(Volume_NumberTrucks,MATCH($B24,Assumptions!$C$238:$C$254,0),MATCH($E$9,Assumptions!$C$238:$F$238,0)))</f>
        <v>2650145.4253970026</v>
      </c>
      <c r="F24" s="79">
        <f>IFERROR((INDEX(DieselDemandSupply,MATCH($B24,'Diesel - DemandSupply'!C:C,0),MATCH($F$9,'Diesel - DemandSupply'!$C$10:$N$10,0))),)/E24</f>
        <v>4295.3489847091023</v>
      </c>
      <c r="G24" s="122">
        <f t="shared" ref="G24:G25" si="6">$D24</f>
        <v>4659294</v>
      </c>
      <c r="H24" s="122">
        <f t="shared" ref="H24:H25" si="7">$F24</f>
        <v>4295.3489847091023</v>
      </c>
      <c r="I24" s="122">
        <f>'Diesel - DemandSupply'!$AB30</f>
        <v>495121951.21951222</v>
      </c>
      <c r="J24" s="122">
        <f>$C24</f>
        <v>11878421413.530001</v>
      </c>
      <c r="K24" s="394">
        <f t="shared" ref="K24:K37" si="8">J24/J23-1</f>
        <v>-0.14954046955517419</v>
      </c>
      <c r="L24" s="122">
        <f t="shared" ref="L24:L25" si="9">$D24</f>
        <v>4659294</v>
      </c>
      <c r="M24" s="122">
        <f t="shared" ref="M24:M25" si="10">$F24</f>
        <v>4295.3489847091023</v>
      </c>
      <c r="N24" s="395">
        <f t="shared" si="4"/>
        <v>20000000.000000004</v>
      </c>
      <c r="O24" s="122">
        <f>'Diesel - DemandSupply'!$AA30</f>
        <v>495121951.21951222</v>
      </c>
      <c r="P24" s="122">
        <f t="shared" ref="P24:P25" si="11">$C24</f>
        <v>11878421413.530001</v>
      </c>
      <c r="Q24" s="394">
        <f t="shared" ref="Q24:Q37" si="12">P24/P23-1</f>
        <v>-0.14954046955517419</v>
      </c>
      <c r="R24" s="83">
        <f t="shared" si="1"/>
        <v>11878421413.530001</v>
      </c>
      <c r="S24" s="75"/>
      <c r="T24" s="75"/>
      <c r="U24" s="396">
        <f t="shared" si="5"/>
        <v>0</v>
      </c>
      <c r="V24" s="75" t="e">
        <f>(U44-U24)/U24</f>
        <v>#DIV/0!</v>
      </c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</row>
    <row r="25" spans="1:98" x14ac:dyDescent="0.6">
      <c r="B25" s="76">
        <v>2025</v>
      </c>
      <c r="C25" s="82">
        <f>IFERROR((INDEX(DieselDemandSupply,MATCH($B25,'Diesel - DemandSupply'!C:C,0),MATCH($C$9,'Diesel - DemandSupply'!$C$10:$N$10,0))),)</f>
        <v>12611283774.790003</v>
      </c>
      <c r="D25" s="82">
        <f>(INDEX(GDP,MATCH($B25,Macros_year,0),MATCH($D$9,Macros_header,0)))/10^6</f>
        <v>4679355</v>
      </c>
      <c r="E25" s="79">
        <f>(INDEX(Volume_NumberTrucks,MATCH($B25,Assumptions!$C$238:$C$254,0),MATCH($E$9,Assumptions!$C$238:$F$238,0)))</f>
        <v>2709244.7483642837</v>
      </c>
      <c r="F25" s="79">
        <f>IFERROR((INDEX(DieselDemandSupply,MATCH($B25,'Diesel - DemandSupply'!C:C,0),MATCH($F$9,'Diesel - DemandSupply'!$C$10:$N$10,0))),)/E25</f>
        <v>4375.4668570328759</v>
      </c>
      <c r="G25" s="122">
        <f t="shared" si="6"/>
        <v>4679355</v>
      </c>
      <c r="H25" s="122">
        <f t="shared" si="7"/>
        <v>4375.4668570328759</v>
      </c>
      <c r="I25" s="122">
        <f>'Diesel - DemandSupply'!$AB31</f>
        <v>757073170.73170733</v>
      </c>
      <c r="J25" s="122">
        <f>$C25</f>
        <v>12611283774.790003</v>
      </c>
      <c r="K25" s="394">
        <f t="shared" si="8"/>
        <v>6.169694909335699E-2</v>
      </c>
      <c r="L25" s="122">
        <f t="shared" si="9"/>
        <v>4679355</v>
      </c>
      <c r="M25" s="122">
        <f t="shared" si="10"/>
        <v>4375.4668570328759</v>
      </c>
      <c r="N25" s="395">
        <f t="shared" si="4"/>
        <v>26666666.666666672</v>
      </c>
      <c r="O25" s="122">
        <f>'Diesel - DemandSupply'!$AA31</f>
        <v>757073170.73170733</v>
      </c>
      <c r="P25" s="122">
        <f t="shared" si="11"/>
        <v>12611283774.790003</v>
      </c>
      <c r="Q25" s="394">
        <f t="shared" si="12"/>
        <v>6.169694909335699E-2</v>
      </c>
      <c r="R25" s="83">
        <f t="shared" si="1"/>
        <v>12611283774.790003</v>
      </c>
      <c r="S25" s="83">
        <f t="shared" ref="S25:S37" si="13">J25</f>
        <v>12611283774.790003</v>
      </c>
      <c r="T25" s="83">
        <f t="shared" ref="T25:T37" si="14">P25</f>
        <v>12611283774.790003</v>
      </c>
      <c r="U25" s="79">
        <f t="shared" si="5"/>
        <v>0</v>
      </c>
    </row>
    <row r="26" spans="1:98" x14ac:dyDescent="0.6">
      <c r="B26" s="76">
        <v>2026</v>
      </c>
      <c r="C26" s="82">
        <f>IFERROR((INDEX(DieselDemandSupply,MATCH($B26,'Diesel - DemandSupply'!C:C,0),MATCH($C$9,'Diesel - DemandSupply'!$C$10:$N$10,0))),)</f>
        <v>0</v>
      </c>
      <c r="D26" s="83"/>
      <c r="E26" s="167"/>
      <c r="G26" s="129">
        <f t="shared" ref="G26:G45" si="15">G25*(VLOOKUP($B26,GDP_high_growth,2,0)+1)</f>
        <v>4754224.68</v>
      </c>
      <c r="H26" s="130" cm="1">
        <f t="array" ref="H26">H25*(1-INDEX(HighEfficiency_Improvement_Diesel,$B25-2020+2))</f>
        <v>4353.5895227477113</v>
      </c>
      <c r="I26" s="131">
        <f>'Diesel - DemandSupply'!$AB32</f>
        <v>984538536.58536577</v>
      </c>
      <c r="J26" s="131">
        <f>($G26*$E$2)+($H26*$E$3)+$E$4+I26</f>
        <v>13373940595.049215</v>
      </c>
      <c r="K26" s="128">
        <f t="shared" si="8"/>
        <v>6.0474162177189816E-2</v>
      </c>
      <c r="L26" s="129">
        <f t="shared" ref="L26:L45" si="16">L25*(VLOOKUP($B26,GDP_low_growth,2,0)+1)</f>
        <v>4726148.55</v>
      </c>
      <c r="M26" s="130" cm="1">
        <f t="array" ref="M26">M25*(1-INDEX(LowEfficiency_Improvement_Diesel,$B25-2020+2))</f>
        <v>4331.7121884625467</v>
      </c>
      <c r="N26" s="395">
        <f t="shared" si="4"/>
        <v>33333333.33333334</v>
      </c>
      <c r="O26" s="131">
        <f>'Diesel - DemandSupply'!$AA32</f>
        <v>131271804.87804879</v>
      </c>
      <c r="P26" s="131">
        <f t="shared" ref="P26:P37" si="17">($L26*$E$2)+($M26*$E$3)+$E$4-($N26*$I$2)+O26</f>
        <v>11881685469.71483</v>
      </c>
      <c r="Q26" s="128">
        <f t="shared" si="12"/>
        <v>-5.78528180083967E-2</v>
      </c>
      <c r="R26" s="83"/>
      <c r="S26" s="83">
        <f t="shared" si="13"/>
        <v>13373940595.049215</v>
      </c>
      <c r="T26" s="83">
        <f t="shared" si="14"/>
        <v>11881685469.71483</v>
      </c>
      <c r="U26" s="79">
        <f t="shared" si="5"/>
        <v>1492255125.3343849</v>
      </c>
    </row>
    <row r="27" spans="1:98" x14ac:dyDescent="0.6">
      <c r="B27" s="76">
        <v>2027</v>
      </c>
      <c r="C27" s="82">
        <f>IFERROR((INDEX(DieselDemandSupply,MATCH($B27,'Diesel - DemandSupply'!C:C,0),MATCH($C$9,'Diesel - DemandSupply'!$C$10:$N$10,0))),)</f>
        <v>0</v>
      </c>
      <c r="D27" s="83"/>
      <c r="E27" s="167"/>
      <c r="F27" s="111"/>
      <c r="G27" s="129">
        <f t="shared" si="15"/>
        <v>4830292.2748799995</v>
      </c>
      <c r="H27" s="130" cm="1">
        <f t="array" ref="H27">H26*(1-INDEX(HighEfficiency_Improvement_Diesel,$B26-2020+2))</f>
        <v>4331.8215751339731</v>
      </c>
      <c r="I27" s="131">
        <f>'Diesel - DemandSupply'!$AB33</f>
        <v>984538536.58536577</v>
      </c>
      <c r="J27" s="131">
        <f>($G27*$E$2)+($H27*$E$3)+$E$4+I27</f>
        <v>13636705435.722342</v>
      </c>
      <c r="K27" s="128">
        <f>J27/J26-1</f>
        <v>1.9647525634321816E-2</v>
      </c>
      <c r="L27" s="129">
        <f t="shared" si="16"/>
        <v>4773410.0355000002</v>
      </c>
      <c r="M27" s="130" cm="1">
        <f t="array" ref="M27">M26*(1-INDEX(LowEfficiency_Improvement_Diesel,$B26-2020+2))</f>
        <v>4288.3950665779212</v>
      </c>
      <c r="N27" s="129">
        <f t="shared" si="4"/>
        <v>40000000.000000007</v>
      </c>
      <c r="O27" s="131">
        <f>'Diesel - DemandSupply'!$AA33</f>
        <v>196907707.3170732</v>
      </c>
      <c r="P27" s="131">
        <f t="shared" si="17"/>
        <v>11978437219.026459</v>
      </c>
      <c r="Q27" s="128">
        <f t="shared" si="12"/>
        <v>8.1429313676277815E-3</v>
      </c>
      <c r="R27" s="83"/>
      <c r="S27" s="83">
        <f t="shared" si="13"/>
        <v>13636705435.722342</v>
      </c>
      <c r="T27" s="83">
        <f t="shared" si="14"/>
        <v>11978437219.026459</v>
      </c>
      <c r="U27" s="79">
        <f t="shared" si="5"/>
        <v>1658268216.6958828</v>
      </c>
    </row>
    <row r="28" spans="1:98" x14ac:dyDescent="0.6">
      <c r="B28" s="76">
        <v>2028</v>
      </c>
      <c r="C28" s="82">
        <f>IFERROR((INDEX(DieselDemandSupply,MATCH($B28,'Diesel - DemandSupply'!C:C,0),MATCH($C$9,'Diesel - DemandSupply'!$C$10:$N$10,0))),)</f>
        <v>0</v>
      </c>
      <c r="D28" s="83"/>
      <c r="E28" s="167"/>
      <c r="G28" s="129">
        <f t="shared" si="15"/>
        <v>4907576.9512780793</v>
      </c>
      <c r="H28" s="130" cm="1">
        <f t="array" ref="H28">H27*(1-INDEX(HighEfficiency_Improvement_Diesel,$B27-2020+2))</f>
        <v>4310.162467258303</v>
      </c>
      <c r="I28" s="131">
        <f>'Diesel - DemandSupply'!$AB34</f>
        <v>984538536.58536577</v>
      </c>
      <c r="J28" s="131">
        <f>($G28*$E$2)+($H28*$E$3)+$E$4+I28</f>
        <v>13904130325.894968</v>
      </c>
      <c r="K28" s="128">
        <f t="shared" si="8"/>
        <v>1.9610667065674603E-2</v>
      </c>
      <c r="L28" s="129">
        <f t="shared" si="16"/>
        <v>4821144.1358550005</v>
      </c>
      <c r="M28" s="130" cm="1">
        <f t="array" ref="M28">M27*(1-INDEX(LowEfficiency_Improvement_Diesel,$B27-2020+2))</f>
        <v>4245.5111159121416</v>
      </c>
      <c r="N28" s="129">
        <f t="shared" si="4"/>
        <v>46666666.666666672</v>
      </c>
      <c r="O28" s="131">
        <f>'Diesel - DemandSupply'!$AA34</f>
        <v>262543609.75609758</v>
      </c>
      <c r="P28" s="131">
        <f t="shared" si="17"/>
        <v>12077388332.575027</v>
      </c>
      <c r="Q28" s="128">
        <f t="shared" si="12"/>
        <v>8.2607698933709894E-3</v>
      </c>
      <c r="R28" s="83"/>
      <c r="S28" s="83">
        <f t="shared" si="13"/>
        <v>13904130325.894968</v>
      </c>
      <c r="T28" s="83">
        <f t="shared" si="14"/>
        <v>12077388332.575027</v>
      </c>
      <c r="U28" s="79">
        <f t="shared" si="5"/>
        <v>1826741993.3199406</v>
      </c>
    </row>
    <row r="29" spans="1:98" x14ac:dyDescent="0.6">
      <c r="B29" s="76">
        <v>2029</v>
      </c>
      <c r="C29" s="82">
        <f>IFERROR((INDEX(DieselDemandSupply,MATCH($B29,'Diesel - DemandSupply'!C:C,0),MATCH($C$9,'Diesel - DemandSupply'!$C$10:$N$10,0))),)</f>
        <v>0</v>
      </c>
      <c r="D29" s="83"/>
      <c r="E29" s="167"/>
      <c r="G29" s="129">
        <f t="shared" si="15"/>
        <v>4986098.1824985286</v>
      </c>
      <c r="H29" s="130" cm="1">
        <f t="array" ref="H29">H28*(1-INDEX(HighEfficiency_Improvement_Diesel,$B28-2020+2))</f>
        <v>4288.6116549220114</v>
      </c>
      <c r="I29" s="131">
        <f>'Diesel - DemandSupply'!$AB35</f>
        <v>984538536.58536577</v>
      </c>
      <c r="J29" s="131">
        <f t="shared" ref="J29:J37" si="18">($G29*$E$2)+($H29*$E$3)+$E$4+I29</f>
        <v>14176287547.298841</v>
      </c>
      <c r="K29" s="128">
        <f t="shared" si="8"/>
        <v>1.9573839932801151E-2</v>
      </c>
      <c r="L29" s="129">
        <f t="shared" si="16"/>
        <v>4869355.5772135509</v>
      </c>
      <c r="M29" s="130" cm="1">
        <f t="array" ref="M29">M28*(1-INDEX(LowEfficiency_Improvement_Diesel,$B28-2020+2))</f>
        <v>4203.0560047530198</v>
      </c>
      <c r="N29" s="129">
        <f t="shared" si="4"/>
        <v>53333333.333333336</v>
      </c>
      <c r="O29" s="131">
        <f>'Diesel - DemandSupply'!$AA35</f>
        <v>262543609.75609758</v>
      </c>
      <c r="P29" s="131">
        <f t="shared" si="17"/>
        <v>12112916263.058432</v>
      </c>
      <c r="Q29" s="128">
        <f t="shared" si="12"/>
        <v>2.9416898343475051E-3</v>
      </c>
      <c r="R29" s="83"/>
      <c r="S29" s="83">
        <f t="shared" si="13"/>
        <v>14176287547.298841</v>
      </c>
      <c r="T29" s="83">
        <f t="shared" si="14"/>
        <v>12112916263.058432</v>
      </c>
      <c r="U29" s="79">
        <f t="shared" si="5"/>
        <v>2063371284.2404099</v>
      </c>
    </row>
    <row r="30" spans="1:98" s="77" customFormat="1" x14ac:dyDescent="0.6">
      <c r="B30" s="81">
        <v>2030</v>
      </c>
      <c r="C30" s="227">
        <f>IFERROR((INDEX(DieselDemandSupply,MATCH($B30,'Diesel - DemandSupply'!C:C,0),MATCH($C$9,'Diesel - DemandSupply'!$C$10:$N$10,0))),)</f>
        <v>0</v>
      </c>
      <c r="D30" s="230"/>
      <c r="E30" s="232"/>
      <c r="G30" s="228">
        <f t="shared" si="15"/>
        <v>5065875.7534185052</v>
      </c>
      <c r="H30" s="229" cm="1">
        <f t="array" ref="H30">H29*(1-INDEX(HighEfficiency_Improvement_Diesel,$B29-2020+2))</f>
        <v>4267.1685966474015</v>
      </c>
      <c r="I30" s="179">
        <f>'Diesel - DemandSupply'!$AB36</f>
        <v>984538536.58536577</v>
      </c>
      <c r="J30" s="179">
        <f t="shared" si="18"/>
        <v>14453250549.56872</v>
      </c>
      <c r="K30" s="128">
        <f t="shared" si="8"/>
        <v>1.9537061543496437E-2</v>
      </c>
      <c r="L30" s="228">
        <f t="shared" si="16"/>
        <v>4918049.1329856869</v>
      </c>
      <c r="M30" s="229" cm="1">
        <f t="array" ref="M30">M29*(1-INDEX(LowEfficiency_Improvement_Diesel,$B29-2020+2))</f>
        <v>4161.0254447054895</v>
      </c>
      <c r="N30" s="241">
        <f>$I$3</f>
        <v>60000000</v>
      </c>
      <c r="O30" s="179">
        <f>'Diesel - DemandSupply'!$AA36</f>
        <v>262543609.75609758</v>
      </c>
      <c r="P30" s="179">
        <f t="shared" si="17"/>
        <v>12150670487.989042</v>
      </c>
      <c r="Q30" s="128">
        <f t="shared" si="12"/>
        <v>3.1168567594042074E-3</v>
      </c>
      <c r="R30" s="230"/>
      <c r="S30" s="83">
        <f t="shared" si="13"/>
        <v>14453250549.56872</v>
      </c>
      <c r="T30" s="83">
        <f t="shared" si="14"/>
        <v>12150670487.989042</v>
      </c>
      <c r="U30" s="231">
        <f t="shared" si="5"/>
        <v>2302580061.5796776</v>
      </c>
      <c r="AH30" s="120"/>
      <c r="AI30" s="120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120"/>
      <c r="BB30" s="120"/>
    </row>
    <row r="31" spans="1:98" x14ac:dyDescent="0.6">
      <c r="B31" s="76">
        <v>2031</v>
      </c>
      <c r="C31" s="82">
        <f>IFERROR((INDEX(DieselDemandSupply,MATCH($B31,'Diesel - DemandSupply'!C:C,0),MATCH($C$9,'Diesel - DemandSupply'!$C$10:$N$10,0))),)</f>
        <v>0</v>
      </c>
      <c r="E31" s="167"/>
      <c r="G31" s="129">
        <f t="shared" si="15"/>
        <v>5146929.7654732009</v>
      </c>
      <c r="H31" s="130" cm="1">
        <f t="array" ref="H31">H30*(1-INDEX(HighEfficiency_Improvement_Diesel,$B30-2020+2))</f>
        <v>4245.8327536641646</v>
      </c>
      <c r="I31" s="131">
        <f>'Diesel - DemandSupply'!$AB37</f>
        <v>1181446243.9024389</v>
      </c>
      <c r="J31" s="131">
        <f t="shared" si="18"/>
        <v>14932001676.188917</v>
      </c>
      <c r="K31" s="128">
        <f t="shared" si="8"/>
        <v>3.312411453591535E-2</v>
      </c>
      <c r="L31" s="129">
        <f t="shared" si="16"/>
        <v>4967229.624315544</v>
      </c>
      <c r="M31" s="130" cm="1">
        <f t="array" ref="M31">M30*(1-INDEX(LowEfficiency_Improvement_Diesel,$B30-2020+2))</f>
        <v>4119.4151902584344</v>
      </c>
      <c r="N31" s="241"/>
      <c r="O31" s="131">
        <f>'Diesel - DemandSupply'!$AA37</f>
        <v>262543609.75609758</v>
      </c>
      <c r="P31" s="131">
        <f>$O$2*B31+O3</f>
        <v>12452436925.597534</v>
      </c>
      <c r="Q31" s="128">
        <f t="shared" si="12"/>
        <v>2.4835373315965414E-2</v>
      </c>
      <c r="R31" s="83"/>
      <c r="S31" s="83">
        <f t="shared" si="13"/>
        <v>14932001676.188917</v>
      </c>
      <c r="T31" s="83">
        <f t="shared" si="14"/>
        <v>12452436925.597534</v>
      </c>
      <c r="U31" s="79">
        <f t="shared" si="5"/>
        <v>2479564750.591383</v>
      </c>
    </row>
    <row r="32" spans="1:98" x14ac:dyDescent="0.6">
      <c r="B32" s="76">
        <v>2032</v>
      </c>
      <c r="C32" s="82">
        <f>IFERROR((INDEX(DieselDemandSupply,MATCH($B32,'Diesel - DemandSupply'!C:C,0),MATCH($C$9,'Diesel - DemandSupply'!$C$10:$N$10,0))),)</f>
        <v>0</v>
      </c>
      <c r="E32" s="167"/>
      <c r="G32" s="129">
        <f t="shared" si="15"/>
        <v>5229280.6417207718</v>
      </c>
      <c r="H32" s="130" cm="1">
        <f t="array" ref="H32">H31*(1-INDEX(HighEfficiency_Improvement_Diesel,$B31-2020+2))</f>
        <v>4224.6035898958435</v>
      </c>
      <c r="I32" s="131">
        <f>'Diesel - DemandSupply'!$AB38</f>
        <v>1181446243.9024389</v>
      </c>
      <c r="J32" s="131">
        <f t="shared" si="18"/>
        <v>15218801354.15283</v>
      </c>
      <c r="K32" s="128">
        <f t="shared" si="8"/>
        <v>1.9207048337079424E-2</v>
      </c>
      <c r="L32" s="129">
        <f t="shared" si="16"/>
        <v>5016901.9205586994</v>
      </c>
      <c r="M32" s="130" cm="1">
        <f t="array" ref="M32">M31*(1-INDEX(LowEfficiency_Improvement_Diesel,$B31-2020+2))</f>
        <v>4078.2210383558499</v>
      </c>
      <c r="N32" s="241"/>
      <c r="O32" s="131">
        <f>'Diesel - DemandSupply'!$AA38</f>
        <v>262543609.75609758</v>
      </c>
      <c r="P32" s="131">
        <f t="shared" ref="P32:P35" si="19">$O$2*B32+$O$3</f>
        <v>12754203363.206055</v>
      </c>
      <c r="Q32" s="128">
        <f t="shared" si="12"/>
        <v>2.4233524683686669E-2</v>
      </c>
      <c r="R32" s="83"/>
      <c r="S32" s="83">
        <f t="shared" si="13"/>
        <v>15218801354.15283</v>
      </c>
      <c r="T32" s="83">
        <f t="shared" si="14"/>
        <v>12754203363.206055</v>
      </c>
      <c r="U32" s="79">
        <f t="shared" si="5"/>
        <v>2464597990.9467754</v>
      </c>
    </row>
    <row r="33" spans="2:54" x14ac:dyDescent="0.6">
      <c r="B33" s="76">
        <v>2033</v>
      </c>
      <c r="C33" s="82">
        <f>IFERROR((INDEX(DieselDemandSupply,MATCH($B33,'Diesel - DemandSupply'!C:C,0),MATCH($C$9,'Diesel - DemandSupply'!$C$10:$N$10,0))),)</f>
        <v>0</v>
      </c>
      <c r="E33" s="167"/>
      <c r="G33" s="129">
        <f t="shared" si="15"/>
        <v>5312949.1319883047</v>
      </c>
      <c r="H33" s="130" cm="1">
        <f t="array" ref="H33">H32*(1-INDEX(HighEfficiency_Improvement_Diesel,$B32-2020+2))</f>
        <v>4203.4805719463639</v>
      </c>
      <c r="I33" s="131">
        <f>'Diesel - DemandSupply'!$AB39</f>
        <v>1181446243.9024389</v>
      </c>
      <c r="J33" s="131">
        <f t="shared" si="18"/>
        <v>15510634357.096354</v>
      </c>
      <c r="K33" s="128">
        <f t="shared" si="8"/>
        <v>1.9175820496788898E-2</v>
      </c>
      <c r="L33" s="129">
        <f t="shared" si="16"/>
        <v>5067070.9397642864</v>
      </c>
      <c r="M33" s="130" cm="1">
        <f t="array" ref="M33">M32*(1-INDEX(LowEfficiency_Improvement_Diesel,$B32-2020+2))</f>
        <v>4037.4388279722916</v>
      </c>
      <c r="N33" s="241"/>
      <c r="O33" s="131">
        <f>'Diesel - DemandSupply'!$AA39</f>
        <v>262543609.75609758</v>
      </c>
      <c r="P33" s="131">
        <f t="shared" si="19"/>
        <v>13055969800.814575</v>
      </c>
      <c r="Q33" s="128">
        <f t="shared" si="12"/>
        <v>2.3660155716120235E-2</v>
      </c>
      <c r="R33" s="83"/>
      <c r="S33" s="83">
        <f t="shared" si="13"/>
        <v>15510634357.096354</v>
      </c>
      <c r="T33" s="83">
        <f t="shared" si="14"/>
        <v>13055969800.814575</v>
      </c>
      <c r="U33" s="79">
        <f t="shared" si="5"/>
        <v>2454664556.2817783</v>
      </c>
      <c r="AE33" s="77"/>
      <c r="AF33" s="77"/>
    </row>
    <row r="34" spans="2:54" x14ac:dyDescent="0.6">
      <c r="B34" s="76">
        <v>2034</v>
      </c>
      <c r="C34" s="82">
        <f>IFERROR((INDEX(DieselDemandSupply,MATCH($B34,'Diesel - DemandSupply'!C:C,0),MATCH($C$9,'Diesel - DemandSupply'!$C$10:$N$10,0))),)</f>
        <v>0</v>
      </c>
      <c r="G34" s="129">
        <f t="shared" si="15"/>
        <v>5397956.3181001181</v>
      </c>
      <c r="H34" s="130" cm="1">
        <f t="array" ref="H34">H33*(1-INDEX(HighEfficiency_Improvement_Diesel,$B33-2020+2))</f>
        <v>4182.4631690866318</v>
      </c>
      <c r="I34" s="131">
        <f>'Diesel - DemandSupply'!$AB40</f>
        <v>1181446243.9024389</v>
      </c>
      <c r="J34" s="131">
        <f t="shared" si="18"/>
        <v>15807578995.568495</v>
      </c>
      <c r="K34" s="128">
        <f t="shared" si="8"/>
        <v>1.914458375045669E-2</v>
      </c>
      <c r="L34" s="129">
        <f t="shared" si="16"/>
        <v>5117741.6491619293</v>
      </c>
      <c r="M34" s="130" cm="1">
        <f t="array" ref="M34">M33*(1-INDEX(LowEfficiency_Improvement_Diesel,$B33-2020+2))</f>
        <v>3997.0644396925686</v>
      </c>
      <c r="N34" s="241"/>
      <c r="O34" s="131">
        <f>'Diesel - DemandSupply'!$AA40</f>
        <v>262543609.75609758</v>
      </c>
      <c r="P34" s="131">
        <f>$O$2*B34+$O$3</f>
        <v>13357736238.423096</v>
      </c>
      <c r="Q34" s="128">
        <f t="shared" si="12"/>
        <v>2.3113291636879696E-2</v>
      </c>
      <c r="R34" s="83"/>
      <c r="S34" s="83">
        <f t="shared" si="13"/>
        <v>15807578995.568495</v>
      </c>
      <c r="T34" s="83">
        <f t="shared" si="14"/>
        <v>13357736238.423096</v>
      </c>
      <c r="U34" s="79">
        <f t="shared" si="5"/>
        <v>2449842757.1453991</v>
      </c>
    </row>
    <row r="35" spans="2:54" x14ac:dyDescent="0.6">
      <c r="B35" s="76">
        <v>2035</v>
      </c>
      <c r="C35" s="82">
        <f>IFERROR((INDEX(DieselDemandSupply,MATCH($B35,'Diesel - DemandSupply'!C:C,0),MATCH($C$9,'Diesel - DemandSupply'!$C$10:$N$10,0))),)</f>
        <v>0</v>
      </c>
      <c r="G35" s="129">
        <f t="shared" si="15"/>
        <v>5484323.6191897197</v>
      </c>
      <c r="H35" s="130" cm="1">
        <f t="array" ref="H35">H34*(1-INDEX(HighEfficiency_Improvement_Diesel,$B34-2020+2))</f>
        <v>4161.5508532411986</v>
      </c>
      <c r="I35" s="131">
        <f>'Diesel - DemandSupply'!$AB41</f>
        <v>1181446243.9024389</v>
      </c>
      <c r="J35" s="131">
        <f t="shared" si="18"/>
        <v>16109714844.200296</v>
      </c>
      <c r="K35" s="128">
        <f t="shared" si="8"/>
        <v>1.9113353709413916E-2</v>
      </c>
      <c r="L35" s="129">
        <f t="shared" si="16"/>
        <v>5168919.0656535486</v>
      </c>
      <c r="M35" s="130" cm="1">
        <f t="array" ref="M35">M34*(1-INDEX(LowEfficiency_Improvement_Diesel,$B34-2020+2))</f>
        <v>3957.0937952956428</v>
      </c>
      <c r="N35" s="241"/>
      <c r="O35" s="131">
        <f>'Diesel - DemandSupply'!$AA41</f>
        <v>262543609.75609758</v>
      </c>
      <c r="P35" s="131">
        <f t="shared" si="19"/>
        <v>13659502676.031616</v>
      </c>
      <c r="Q35" s="128">
        <f t="shared" si="12"/>
        <v>2.2591136119344712E-2</v>
      </c>
      <c r="R35" s="83"/>
      <c r="S35" s="83">
        <f t="shared" si="13"/>
        <v>16109714844.200296</v>
      </c>
      <c r="T35" s="83">
        <f t="shared" si="14"/>
        <v>13659502676.031616</v>
      </c>
      <c r="U35" s="79">
        <f t="shared" si="5"/>
        <v>2450212168.1686802</v>
      </c>
    </row>
    <row r="36" spans="2:54" x14ac:dyDescent="0.6">
      <c r="B36" s="76">
        <v>2036</v>
      </c>
      <c r="C36" s="82">
        <f>IFERROR((INDEX(DieselDemandSupply,MATCH($B36,'Diesel - DemandSupply'!C:C,0),MATCH($C$9,'Diesel - DemandSupply'!$C$10:$N$10,0))),)</f>
        <v>0</v>
      </c>
      <c r="G36" s="129">
        <f t="shared" si="15"/>
        <v>5572072.7970967554</v>
      </c>
      <c r="H36" s="130" cm="1">
        <f t="array" ref="H36">H35*(1-INDEX(HighEfficiency_Improvement_Diesel,$B35-2020+2))</f>
        <v>4140.7430989749928</v>
      </c>
      <c r="I36" s="131">
        <f>'Diesel - DemandSupply'!$AB42</f>
        <v>1312718048.7804878</v>
      </c>
      <c r="J36" s="131">
        <f t="shared" si="18"/>
        <v>16548394566.752653</v>
      </c>
      <c r="K36" s="128">
        <f t="shared" si="8"/>
        <v>2.7230756521446908E-2</v>
      </c>
      <c r="L36" s="129">
        <f t="shared" si="16"/>
        <v>5220608.2563100839</v>
      </c>
      <c r="M36" s="130" cm="1">
        <f t="array" ref="M36">M35*(1-INDEX(LowEfficiency_Improvement_Diesel,$B35-2020+2))</f>
        <v>3917.5228573426862</v>
      </c>
      <c r="N36" s="241"/>
      <c r="O36" s="131">
        <f>'Diesel - DemandSupply'!$AA42</f>
        <v>262543609.75609758</v>
      </c>
      <c r="P36" s="131">
        <f t="shared" si="17"/>
        <v>13961269113.640255</v>
      </c>
      <c r="Q36" s="128">
        <f t="shared" si="12"/>
        <v>2.2092051575065774E-2</v>
      </c>
      <c r="R36" s="83"/>
      <c r="S36" s="83">
        <f t="shared" si="13"/>
        <v>16548394566.752653</v>
      </c>
      <c r="T36" s="83">
        <f t="shared" si="14"/>
        <v>13961269113.640255</v>
      </c>
      <c r="U36" s="79">
        <f t="shared" si="5"/>
        <v>2587125453.1123981</v>
      </c>
    </row>
    <row r="37" spans="2:54" x14ac:dyDescent="0.6">
      <c r="B37" s="76">
        <v>2037</v>
      </c>
      <c r="C37" s="82">
        <f>IFERROR((INDEX(DieselDemandSupply,MATCH($B37,'Diesel - DemandSupply'!C:C,0),MATCH($C$9,'Diesel - DemandSupply'!$C$10:$N$10,0))),)</f>
        <v>0</v>
      </c>
      <c r="G37" s="129">
        <f t="shared" si="15"/>
        <v>5661225.9618503032</v>
      </c>
      <c r="H37" s="130" cm="1">
        <f t="array" ref="H37">H36*(1-INDEX(HighEfficiency_Improvement_Diesel,$B36-2020+2))</f>
        <v>4120.039383480118</v>
      </c>
      <c r="I37" s="131">
        <f>'Diesel - DemandSupply'!$AB43</f>
        <v>1312718048.7804878</v>
      </c>
      <c r="J37" s="131">
        <f t="shared" si="18"/>
        <v>16861156717.096815</v>
      </c>
      <c r="K37" s="128">
        <f t="shared" si="8"/>
        <v>1.8899848506907846E-2</v>
      </c>
      <c r="L37" s="129">
        <f t="shared" si="16"/>
        <v>5272814.3388731852</v>
      </c>
      <c r="M37" s="130" cm="1">
        <f t="array" ref="M37">M36*(1-INDEX(LowEfficiency_Improvement_Diesel,$B36-2020+2))</f>
        <v>3878.3476287692592</v>
      </c>
      <c r="N37" s="241"/>
      <c r="O37" s="131">
        <f>'Diesel - DemandSupply'!$AA43</f>
        <v>262543609.75609758</v>
      </c>
      <c r="P37" s="131">
        <f t="shared" si="17"/>
        <v>14117441784.802876</v>
      </c>
      <c r="Q37" s="128">
        <f t="shared" si="12"/>
        <v>1.1186137154969522E-2</v>
      </c>
      <c r="R37" s="83"/>
      <c r="S37" s="83">
        <f t="shared" si="13"/>
        <v>16861156717.096815</v>
      </c>
      <c r="T37" s="83">
        <f t="shared" si="14"/>
        <v>14117441784.802876</v>
      </c>
      <c r="U37" s="79">
        <f t="shared" si="5"/>
        <v>2743714932.2939396</v>
      </c>
    </row>
    <row r="38" spans="2:54" x14ac:dyDescent="0.6">
      <c r="B38" s="76">
        <v>2038</v>
      </c>
      <c r="C38" s="82">
        <f>IFERROR((INDEX(DieselDemandSupply,MATCH($B38,'Diesel - DemandSupply'!C:C,0),MATCH($C$9,'Diesel - DemandSupply'!$C$10:$N$10,0))),)</f>
        <v>0</v>
      </c>
      <c r="G38" s="129">
        <f t="shared" si="15"/>
        <v>5751805.5772399083</v>
      </c>
      <c r="H38" s="130" cm="1">
        <f t="array" ref="H38">H37*(1-INDEX(HighEfficiency_Improvement_Diesel,$B37-2020+2))</f>
        <v>4099.4391865627176</v>
      </c>
      <c r="I38" s="131">
        <f>'Diesel - DemandSupply'!$AB44</f>
        <v>1312718048.7804878</v>
      </c>
      <c r="J38" s="131">
        <f t="shared" ref="J38:J45" si="20">($G38*$E$2)+($H38*$E$3)+$E$4+I38</f>
        <v>17179356589.303625</v>
      </c>
      <c r="K38" s="128">
        <f t="shared" ref="K38:K45" si="21">J38/J37-1</f>
        <v>1.8871770041978264E-2</v>
      </c>
      <c r="L38" s="129">
        <f t="shared" si="16"/>
        <v>5325542.4822619176</v>
      </c>
      <c r="M38" s="130" cm="1">
        <f t="array" ref="M38">M37*(1-INDEX(LowEfficiency_Improvement_Diesel,$B37-2020+2))</f>
        <v>3839.5641524815665</v>
      </c>
      <c r="N38" s="241"/>
      <c r="O38" s="131">
        <f>'Diesel - DemandSupply'!$AA44</f>
        <v>262543609.75609758</v>
      </c>
      <c r="P38" s="131">
        <f t="shared" ref="P38:P45" si="22">($L38*$E$2)+($M38*$E$3)+$E$4-($N38*$I$2)+O38</f>
        <v>14275957433.62516</v>
      </c>
      <c r="Q38" s="128">
        <f t="shared" ref="Q38:Q45" si="23">P38/P37-1</f>
        <v>1.1228355054590855E-2</v>
      </c>
      <c r="R38" s="83"/>
      <c r="S38" s="83">
        <f t="shared" ref="S38:S45" si="24">J38</f>
        <v>17179356589.303625</v>
      </c>
      <c r="T38" s="83">
        <f t="shared" ref="T38:T45" si="25">P38</f>
        <v>14275957433.62516</v>
      </c>
      <c r="U38" s="79">
        <f t="shared" si="5"/>
        <v>2903399155.6784649</v>
      </c>
    </row>
    <row r="39" spans="2:54" x14ac:dyDescent="0.6">
      <c r="B39" s="76">
        <v>2039</v>
      </c>
      <c r="C39" s="82">
        <f>IFERROR((INDEX(DieselDemandSupply,MATCH($B39,'Diesel - DemandSupply'!C:C,0),MATCH($C$9,'Diesel - DemandSupply'!$C$10:$N$10,0))),)</f>
        <v>0</v>
      </c>
      <c r="G39" s="129">
        <f t="shared" si="15"/>
        <v>5843834.4664757466</v>
      </c>
      <c r="H39" s="130" cm="1">
        <f t="array" ref="H39">H38*(1-INDEX(HighEfficiency_Improvement_Diesel,$B38-2020+2))</f>
        <v>4078.941990629904</v>
      </c>
      <c r="I39" s="131">
        <f>'Diesel - DemandSupply'!$AB45</f>
        <v>1312718048.7804878</v>
      </c>
      <c r="J39" s="131">
        <f t="shared" si="20"/>
        <v>17503079019.285595</v>
      </c>
      <c r="K39" s="128">
        <f t="shared" si="21"/>
        <v>1.8843687672420062E-2</v>
      </c>
      <c r="L39" s="129">
        <f t="shared" si="16"/>
        <v>5378797.9070845367</v>
      </c>
      <c r="M39" s="130" cm="1">
        <f t="array" ref="M39">M38*(1-INDEX(LowEfficiency_Improvement_Diesel,$B38-2020+2))</f>
        <v>3801.1685109567507</v>
      </c>
      <c r="N39" s="241"/>
      <c r="O39" s="131">
        <f>'Diesel - DemandSupply'!$AA45</f>
        <v>262543609.75609758</v>
      </c>
      <c r="P39" s="131">
        <f t="shared" si="22"/>
        <v>14436831677.374218</v>
      </c>
      <c r="Q39" s="128">
        <f t="shared" si="23"/>
        <v>1.1268893487321519E-2</v>
      </c>
      <c r="R39" s="83"/>
      <c r="S39" s="83">
        <f t="shared" si="24"/>
        <v>17503079019.285595</v>
      </c>
      <c r="T39" s="83">
        <f t="shared" si="25"/>
        <v>14436831677.374218</v>
      </c>
      <c r="U39" s="79">
        <f t="shared" si="5"/>
        <v>3066247341.911377</v>
      </c>
    </row>
    <row r="40" spans="2:54" x14ac:dyDescent="0.6">
      <c r="B40" s="76">
        <v>2040</v>
      </c>
      <c r="C40" s="82">
        <f>IFERROR((INDEX(DieselDemandSupply,MATCH($B40,'Diesel - DemandSupply'!C:C,0),MATCH($C$9,'Diesel - DemandSupply'!$C$10:$N$10,0))),)</f>
        <v>0</v>
      </c>
      <c r="G40" s="129">
        <f t="shared" si="15"/>
        <v>5937335.8179393588</v>
      </c>
      <c r="H40" s="130" cm="1">
        <f t="array" ref="H40">H39*(1-INDEX(HighEfficiency_Improvement_Diesel,$B39-2020+2))</f>
        <v>4058.5472806767543</v>
      </c>
      <c r="I40" s="131">
        <f>'Diesel - DemandSupply'!$AB46</f>
        <v>1312718048.7804878</v>
      </c>
      <c r="J40" s="131">
        <f t="shared" si="20"/>
        <v>17832410211.168022</v>
      </c>
      <c r="K40" s="128">
        <f t="shared" si="21"/>
        <v>1.8815614756669818E-2</v>
      </c>
      <c r="L40" s="129">
        <f t="shared" si="16"/>
        <v>5432585.8861553818</v>
      </c>
      <c r="M40" s="130" cm="1">
        <f t="array" ref="M40">M39*(1-INDEX(LowEfficiency_Improvement_Diesel,$B39-2020+2))</f>
        <v>3763.156825847183</v>
      </c>
      <c r="N40" s="241"/>
      <c r="O40" s="131">
        <f>'Diesel - DemandSupply'!$AA46</f>
        <v>262543609.75609758</v>
      </c>
      <c r="P40" s="131">
        <f t="shared" si="22"/>
        <v>14600080367.614937</v>
      </c>
      <c r="Q40" s="128">
        <f t="shared" si="23"/>
        <v>1.130779203421528E-2</v>
      </c>
      <c r="R40" s="83"/>
      <c r="S40" s="83">
        <f t="shared" si="24"/>
        <v>17832410211.168022</v>
      </c>
      <c r="T40" s="83">
        <f t="shared" si="25"/>
        <v>14600080367.614937</v>
      </c>
      <c r="U40" s="79">
        <f t="shared" si="5"/>
        <v>3232329843.5530853</v>
      </c>
    </row>
    <row r="41" spans="2:54" x14ac:dyDescent="0.6">
      <c r="B41" s="76">
        <v>2041</v>
      </c>
      <c r="C41" s="82">
        <f>IFERROR((INDEX(DieselDemandSupply,MATCH($B41,'Diesel - DemandSupply'!C:C,0),MATCH($C$9,'Diesel - DemandSupply'!$C$10:$N$10,0))),)</f>
        <v>0</v>
      </c>
      <c r="G41" s="129">
        <f t="shared" si="15"/>
        <v>6032333.1910263887</v>
      </c>
      <c r="H41" s="130" cm="1">
        <f t="array" ref="H41">H40*(1-INDEX(HighEfficiency_Improvement_Diesel,$B40-2020+2))</f>
        <v>4038.2545442733704</v>
      </c>
      <c r="I41" s="131">
        <f>'Diesel - DemandSupply'!$AB47</f>
        <v>4594513170.7317066</v>
      </c>
      <c r="J41" s="131">
        <f t="shared" si="20"/>
        <v>21449232881.077431</v>
      </c>
      <c r="K41" s="128">
        <f t="shared" si="21"/>
        <v>0.20282298506369467</v>
      </c>
      <c r="L41" s="129">
        <f t="shared" si="16"/>
        <v>5486911.7450169353</v>
      </c>
      <c r="M41" s="130" cm="1">
        <f t="array" ref="M41">M40*(1-INDEX(LowEfficiency_Improvement_Diesel,$B40-2020+2))</f>
        <v>3725.5252575887112</v>
      </c>
      <c r="N41" s="241"/>
      <c r="O41" s="131">
        <f>'Diesel - DemandSupply'!$AA47</f>
        <v>262543609.75609758</v>
      </c>
      <c r="P41" s="131">
        <f t="shared" si="22"/>
        <v>14765719591.77169</v>
      </c>
      <c r="Q41" s="128">
        <f t="shared" si="23"/>
        <v>1.1345089888968429E-2</v>
      </c>
      <c r="R41" s="83"/>
      <c r="S41" s="83">
        <f t="shared" si="24"/>
        <v>21449232881.077431</v>
      </c>
      <c r="T41" s="83">
        <f t="shared" si="25"/>
        <v>14765719591.77169</v>
      </c>
      <c r="U41" s="79">
        <f t="shared" si="5"/>
        <v>6683513289.3057404</v>
      </c>
    </row>
    <row r="42" spans="2:54" x14ac:dyDescent="0.6">
      <c r="B42" s="76">
        <v>2042</v>
      </c>
      <c r="C42" s="82">
        <f>IFERROR((INDEX(DieselDemandSupply,MATCH($B42,'Diesel - DemandSupply'!C:C,0),MATCH($C$9,'Diesel - DemandSupply'!$C$10:$N$10,0))),)</f>
        <v>0</v>
      </c>
      <c r="G42" s="129">
        <f t="shared" si="15"/>
        <v>6128850.5220828112</v>
      </c>
      <c r="H42" s="130" cm="1">
        <f t="array" ref="H42">H41*(1-INDEX(HighEfficiency_Improvement_Diesel,$B41-2020+2))</f>
        <v>4018.0632715520037</v>
      </c>
      <c r="I42" s="131">
        <f>'Diesel - DemandSupply'!$AB48</f>
        <v>4594513170.7317066</v>
      </c>
      <c r="J42" s="131">
        <f t="shared" si="20"/>
        <v>21790045791.523575</v>
      </c>
      <c r="K42" s="128">
        <f t="shared" si="21"/>
        <v>1.5889282024011742E-2</v>
      </c>
      <c r="L42" s="129">
        <f t="shared" si="16"/>
        <v>5541780.8624671046</v>
      </c>
      <c r="M42" s="130" cm="1">
        <f t="array" ref="M42">M41*(1-INDEX(LowEfficiency_Improvement_Diesel,$B41-2020+2))</f>
        <v>3688.2700050128242</v>
      </c>
      <c r="N42" s="241"/>
      <c r="O42" s="131">
        <f>'Diesel - DemandSupply'!$AA48</f>
        <v>262543609.75609758</v>
      </c>
      <c r="P42" s="131">
        <f t="shared" si="22"/>
        <v>14933765674.713505</v>
      </c>
      <c r="Q42" s="128">
        <f t="shared" si="23"/>
        <v>1.1380825830896724E-2</v>
      </c>
      <c r="R42" s="83"/>
      <c r="S42" s="83">
        <f t="shared" si="24"/>
        <v>21790045791.523575</v>
      </c>
      <c r="T42" s="83">
        <f t="shared" si="25"/>
        <v>14933765674.713505</v>
      </c>
      <c r="U42" s="79">
        <f t="shared" si="5"/>
        <v>6856280116.81007</v>
      </c>
    </row>
    <row r="43" spans="2:54" x14ac:dyDescent="0.6">
      <c r="B43" s="76">
        <v>2043</v>
      </c>
      <c r="C43" s="82">
        <f>IFERROR((INDEX(DieselDemandSupply,MATCH($B43,'Diesel - DemandSupply'!C:C,0),MATCH($C$9,'Diesel - DemandSupply'!$C$10:$N$10,0))),)</f>
        <v>0</v>
      </c>
      <c r="G43" s="129">
        <f t="shared" si="15"/>
        <v>6226912.1304361364</v>
      </c>
      <c r="H43" s="130" cm="1">
        <f t="array" ref="H43">H42*(1-INDEX(HighEfficiency_Improvement_Diesel,$B42-2020+2))</f>
        <v>3997.9729551942437</v>
      </c>
      <c r="I43" s="131">
        <f>'Diesel - DemandSupply'!$AB49</f>
        <v>4594513170.7317066</v>
      </c>
      <c r="J43" s="131">
        <f t="shared" si="20"/>
        <v>22136734505.648872</v>
      </c>
      <c r="K43" s="128">
        <f t="shared" si="21"/>
        <v>1.5910416960214002E-2</v>
      </c>
      <c r="L43" s="129">
        <f t="shared" si="16"/>
        <v>5597198.6710917754</v>
      </c>
      <c r="M43" s="130" cm="1">
        <f t="array" ref="M43">M42*(1-INDEX(LowEfficiency_Improvement_Diesel,$B42-2020+2))</f>
        <v>3651.3873049626959</v>
      </c>
      <c r="N43" s="241"/>
      <c r="O43" s="131">
        <f>'Diesel - DemandSupply'!$AA49</f>
        <v>262543609.75609758</v>
      </c>
      <c r="P43" s="131">
        <f t="shared" si="22"/>
        <v>15104235180.362793</v>
      </c>
      <c r="Q43" s="128">
        <f t="shared" si="23"/>
        <v>1.1415038200172978E-2</v>
      </c>
      <c r="R43" s="83"/>
      <c r="S43" s="83">
        <f t="shared" si="24"/>
        <v>22136734505.648872</v>
      </c>
      <c r="T43" s="83">
        <f t="shared" si="25"/>
        <v>15104235180.362793</v>
      </c>
      <c r="U43" s="79">
        <f t="shared" si="5"/>
        <v>7032499325.2860794</v>
      </c>
    </row>
    <row r="44" spans="2:54" x14ac:dyDescent="0.6">
      <c r="B44" s="76">
        <v>2044</v>
      </c>
      <c r="C44" s="82">
        <f>IFERROR((INDEX(DieselDemandSupply,MATCH($B44,'Diesel - DemandSupply'!C:C,0),MATCH($C$9,'Diesel - DemandSupply'!$C$10:$N$10,0))),)</f>
        <v>0</v>
      </c>
      <c r="G44" s="129">
        <f t="shared" si="15"/>
        <v>6326542.724523115</v>
      </c>
      <c r="H44" s="130" cm="1">
        <f t="array" ref="H44">H43*(1-INDEX(HighEfficiency_Improvement_Diesel,$B43-2020+2))</f>
        <v>3977.9830904182722</v>
      </c>
      <c r="I44" s="131">
        <f>'Diesel - DemandSupply'!$AB50</f>
        <v>4594513170.7317066</v>
      </c>
      <c r="J44" s="131">
        <f t="shared" si="20"/>
        <v>22489390922.32663</v>
      </c>
      <c r="K44" s="128">
        <f t="shared" si="21"/>
        <v>1.593082378919819E-2</v>
      </c>
      <c r="L44" s="129">
        <f t="shared" si="16"/>
        <v>5653170.6578026935</v>
      </c>
      <c r="M44" s="130" cm="1">
        <f t="array" ref="M44">M43*(1-INDEX(LowEfficiency_Improvement_Diesel,$B43-2020+2))</f>
        <v>3614.873431913069</v>
      </c>
      <c r="N44" s="241"/>
      <c r="O44" s="131">
        <f>'Diesel - DemandSupply'!$AA50</f>
        <v>262543609.75609758</v>
      </c>
      <c r="P44" s="131">
        <f t="shared" si="22"/>
        <v>15277144913.327847</v>
      </c>
      <c r="Q44" s="128">
        <f t="shared" si="23"/>
        <v>1.1447764875235578E-2</v>
      </c>
      <c r="R44" s="83"/>
      <c r="S44" s="83">
        <f t="shared" si="24"/>
        <v>22489390922.32663</v>
      </c>
      <c r="T44" s="83">
        <f t="shared" si="25"/>
        <v>15277144913.327847</v>
      </c>
      <c r="U44" s="79">
        <f t="shared" si="5"/>
        <v>7212246008.9987831</v>
      </c>
      <c r="AH44" s="121"/>
      <c r="AI44" s="121"/>
      <c r="BA44" s="121"/>
      <c r="BB44" s="121"/>
    </row>
    <row r="45" spans="2:54" x14ac:dyDescent="0.6">
      <c r="B45" s="76">
        <v>2045</v>
      </c>
      <c r="C45" s="82">
        <f>IFERROR((INDEX(DieselDemandSupply,MATCH($B45,'Diesel - DemandSupply'!C:C,0),MATCH($C$9,'Diesel - DemandSupply'!$C$10:$N$10,0))),)</f>
        <v>0</v>
      </c>
      <c r="G45" s="129">
        <f t="shared" si="15"/>
        <v>6427767.4081154848</v>
      </c>
      <c r="H45" s="130" cm="1">
        <f t="array" ref="H45">H44*(1-INDEX(HighEfficiency_Improvement_Diesel,$B44-2020+2))</f>
        <v>3958.0931749661809</v>
      </c>
      <c r="I45" s="131">
        <f>'Diesel - DemandSupply'!$AB51</f>
        <v>4594513170.7317066</v>
      </c>
      <c r="J45" s="131">
        <f t="shared" si="20"/>
        <v>22848108421.382057</v>
      </c>
      <c r="K45" s="128">
        <f t="shared" si="21"/>
        <v>1.5950520860896544E-2</v>
      </c>
      <c r="L45" s="129">
        <f t="shared" si="16"/>
        <v>5709702.3643807201</v>
      </c>
      <c r="M45" s="130" cm="1">
        <f t="array" ref="M45">M44*(1-INDEX(LowEfficiency_Improvement_Diesel,$B44-2020+2))</f>
        <v>3578.7246975939383</v>
      </c>
      <c r="N45" s="241"/>
      <c r="O45" s="131">
        <f>'Diesel - DemandSupply'!$AA51</f>
        <v>262543609.75609758</v>
      </c>
      <c r="P45" s="131">
        <f t="shared" si="22"/>
        <v>15452511920.559235</v>
      </c>
      <c r="Q45" s="128">
        <f t="shared" si="23"/>
        <v>1.1479043252276666E-2</v>
      </c>
      <c r="R45" s="83"/>
      <c r="S45" s="83">
        <f t="shared" si="24"/>
        <v>22848108421.382057</v>
      </c>
      <c r="T45" s="83">
        <f t="shared" si="25"/>
        <v>15452511920.559235</v>
      </c>
      <c r="U45" s="79">
        <f t="shared" si="5"/>
        <v>7395596500.8228226</v>
      </c>
      <c r="AH45" s="121"/>
      <c r="AI45" s="121"/>
      <c r="BA45" s="121"/>
      <c r="BB45" s="121"/>
    </row>
    <row r="46" spans="2:54" x14ac:dyDescent="0.6">
      <c r="AH46" s="121"/>
      <c r="AI46" s="121"/>
      <c r="BA46" s="121"/>
      <c r="BB46" s="121"/>
    </row>
    <row r="47" spans="2:54" x14ac:dyDescent="0.6">
      <c r="AH47" s="121"/>
      <c r="AI47" s="121"/>
      <c r="BA47" s="121"/>
      <c r="BB47" s="121"/>
    </row>
    <row r="48" spans="2:54" x14ac:dyDescent="0.6">
      <c r="AH48" s="121"/>
      <c r="AI48" s="121"/>
      <c r="BA48" s="121"/>
      <c r="BB48" s="121"/>
    </row>
    <row r="49" spans="34:54" x14ac:dyDescent="0.6">
      <c r="AH49" s="121"/>
      <c r="AI49" s="121"/>
      <c r="BA49" s="121"/>
      <c r="BB49" s="121"/>
    </row>
    <row r="50" spans="34:54" x14ac:dyDescent="0.6">
      <c r="AH50" s="121"/>
      <c r="AI50" s="121"/>
      <c r="BA50" s="121"/>
      <c r="BB50" s="121"/>
    </row>
    <row r="51" spans="34:54" x14ac:dyDescent="0.6">
      <c r="AH51" s="121"/>
      <c r="AI51" s="121"/>
      <c r="BA51" s="121"/>
      <c r="BB51" s="121"/>
    </row>
    <row r="52" spans="34:54" x14ac:dyDescent="0.6">
      <c r="AH52" s="121"/>
      <c r="AI52" s="121"/>
      <c r="BA52" s="121"/>
      <c r="BB52" s="121"/>
    </row>
    <row r="53" spans="34:54" x14ac:dyDescent="0.6">
      <c r="AH53" s="121"/>
      <c r="AI53" s="121"/>
      <c r="BA53" s="121"/>
      <c r="BB53" s="121"/>
    </row>
    <row r="54" spans="34:54" x14ac:dyDescent="0.6">
      <c r="AH54" s="121"/>
      <c r="AI54" s="121"/>
      <c r="BA54" s="121"/>
      <c r="BB54" s="121"/>
    </row>
  </sheetData>
  <mergeCells count="4">
    <mergeCell ref="G8:K8"/>
    <mergeCell ref="L8:Q8"/>
    <mergeCell ref="AJ1:AZ3"/>
    <mergeCell ref="B1:C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7DFD55-796E-4AD9-A061-FE24C4CE875B}">
          <x14:formula1>
            <xm:f>Assumptions!$AA$8:$AD$8</xm:f>
          </x14:formula1>
          <xm:sqref>D9</xm:sqref>
        </x14:dataValidation>
        <x14:dataValidation type="list" allowBlank="1" showInputMessage="1" showErrorMessage="1" xr:uid="{CCE6AE9D-E0AB-45D7-8E78-3326402F8495}">
          <x14:formula1>
            <xm:f>Assumptions!$H$44:$H$46</xm:f>
          </x14:formula1>
          <xm:sqref>C9</xm:sqref>
        </x14:dataValidation>
        <x14:dataValidation type="list" allowBlank="1" showInputMessage="1" showErrorMessage="1" xr:uid="{5C821C9D-1E35-46BA-9F4F-4A91AE58199E}">
          <x14:formula1>
            <xm:f>Assumptions!$J$44:$J$46</xm:f>
          </x14:formula1>
          <xm:sqref>E9</xm:sqref>
        </x14:dataValidation>
        <x14:dataValidation type="list" allowBlank="1" showInputMessage="1" showErrorMessage="1" xr:uid="{8F534D48-03B8-4D9B-A339-FEF1A1351822}">
          <x14:formula1>
            <xm:f>Assumptions!$H$44:$H$47</xm:f>
          </x14:formula1>
          <xm:sqref>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03E4-82F0-40E5-BA0C-C679743C2428}">
  <sheetPr codeName="Sheet11">
    <tabColor rgb="FF7030A0"/>
  </sheetPr>
  <dimension ref="B1:BB54"/>
  <sheetViews>
    <sheetView showGridLines="0" topLeftCell="A7" zoomScale="63" zoomScaleNormal="63" workbookViewId="0">
      <selection activeCell="A30" sqref="A30:XFD30"/>
    </sheetView>
  </sheetViews>
  <sheetFormatPr defaultColWidth="8.86328125" defaultRowHeight="15.75" x14ac:dyDescent="0.6"/>
  <cols>
    <col min="1" max="1" width="3.86328125" style="75" customWidth="1"/>
    <col min="2" max="2" width="26.73046875" style="75" customWidth="1"/>
    <col min="3" max="3" width="17.1328125" style="75" bestFit="1" customWidth="1"/>
    <col min="4" max="4" width="23.59765625" style="75" bestFit="1" customWidth="1"/>
    <col min="5" max="5" width="18.1328125" style="75" bestFit="1" customWidth="1"/>
    <col min="6" max="6" width="19.1328125" style="75" bestFit="1" customWidth="1"/>
    <col min="7" max="7" width="12" style="75" bestFit="1" customWidth="1"/>
    <col min="8" max="8" width="18.265625" style="75" bestFit="1" customWidth="1"/>
    <col min="9" max="9" width="11.1328125" style="75" bestFit="1" customWidth="1"/>
    <col min="10" max="10" width="15.59765625" style="75" bestFit="1" customWidth="1"/>
    <col min="11" max="11" width="15.59765625" style="75" customWidth="1"/>
    <col min="12" max="12" width="24.1328125" style="75" customWidth="1"/>
    <col min="13" max="13" width="18.265625" style="77" bestFit="1" customWidth="1"/>
    <col min="14" max="14" width="21.265625" style="77" customWidth="1"/>
    <col min="15" max="15" width="18.1328125" style="75" bestFit="1" customWidth="1"/>
    <col min="16" max="17" width="18.1328125" style="75" customWidth="1"/>
    <col min="18" max="18" width="17.1328125" style="75" bestFit="1" customWidth="1"/>
    <col min="19" max="19" width="24.1328125" style="75" bestFit="1" customWidth="1"/>
    <col min="20" max="20" width="14.86328125" style="77" bestFit="1" customWidth="1"/>
    <col min="21" max="21" width="17.1328125" style="75" customWidth="1"/>
    <col min="22" max="23" width="24.1328125" style="75" bestFit="1" customWidth="1"/>
    <col min="24" max="24" width="23.1328125" style="75" bestFit="1" customWidth="1"/>
    <col min="25" max="26" width="8.86328125" style="75"/>
    <col min="27" max="27" width="14.3984375" style="75" bestFit="1" customWidth="1"/>
    <col min="28" max="28" width="13.86328125" style="75" customWidth="1"/>
    <col min="29" max="29" width="15.86328125" style="75" customWidth="1"/>
    <col min="30" max="30" width="14.3984375" style="75" bestFit="1" customWidth="1"/>
    <col min="31" max="31" width="13.59765625" style="75" bestFit="1" customWidth="1"/>
    <col min="32" max="32" width="14.86328125" style="75" customWidth="1"/>
    <col min="33" max="33" width="14.3984375" style="75" customWidth="1"/>
    <col min="34" max="35" width="2.3984375" style="120" customWidth="1"/>
    <col min="36" max="52" width="8.86328125" style="75"/>
    <col min="53" max="54" width="2.3984375" style="120" customWidth="1"/>
    <col min="55" max="16384" width="8.86328125" style="75"/>
  </cols>
  <sheetData>
    <row r="1" spans="2:54" x14ac:dyDescent="0.6">
      <c r="Q1" s="77"/>
      <c r="R1" s="77"/>
      <c r="T1" s="75"/>
      <c r="AJ1" s="539" t="s">
        <v>341</v>
      </c>
      <c r="AK1" s="548"/>
      <c r="AL1" s="548"/>
      <c r="AM1" s="548"/>
      <c r="AN1" s="548"/>
      <c r="AO1" s="548"/>
      <c r="AP1" s="548"/>
      <c r="AQ1" s="548"/>
      <c r="AR1" s="548"/>
      <c r="AS1" s="548"/>
      <c r="AT1" s="548"/>
      <c r="AU1" s="548"/>
      <c r="AV1" s="548"/>
      <c r="AW1" s="548"/>
      <c r="AX1" s="548"/>
      <c r="AY1" s="548"/>
      <c r="AZ1" s="549"/>
    </row>
    <row r="2" spans="2:54" x14ac:dyDescent="0.6">
      <c r="B2" s="399"/>
      <c r="C2" s="399"/>
      <c r="D2" s="106" t="s">
        <v>41</v>
      </c>
      <c r="E2" s="113">
        <v>142419.33601582283</v>
      </c>
      <c r="F2" s="116">
        <v>-4447820985.3917046</v>
      </c>
      <c r="G2" s="584" t="s">
        <v>342</v>
      </c>
      <c r="H2" s="532"/>
      <c r="I2" s="113">
        <v>24.674074286432891</v>
      </c>
      <c r="J2" s="265"/>
      <c r="K2" s="265"/>
      <c r="L2" s="116"/>
      <c r="M2" s="116"/>
      <c r="N2" s="116"/>
      <c r="O2" s="401"/>
      <c r="P2" s="401"/>
      <c r="Q2" s="402"/>
      <c r="R2" s="402"/>
      <c r="S2" s="402"/>
      <c r="T2" s="402"/>
      <c r="AJ2" s="550"/>
      <c r="AK2" s="551"/>
      <c r="AL2" s="551"/>
      <c r="AM2" s="551"/>
      <c r="AN2" s="551"/>
      <c r="AO2" s="551"/>
      <c r="AP2" s="551"/>
      <c r="AQ2" s="551"/>
      <c r="AR2" s="551"/>
      <c r="AS2" s="551"/>
      <c r="AT2" s="551"/>
      <c r="AU2" s="551"/>
      <c r="AV2" s="551"/>
      <c r="AW2" s="551"/>
      <c r="AX2" s="551"/>
      <c r="AY2" s="551"/>
      <c r="AZ2" s="552"/>
    </row>
    <row r="3" spans="2:54" ht="16.149999999999999" thickBot="1" x14ac:dyDescent="0.65">
      <c r="B3" s="399"/>
      <c r="C3" s="399"/>
      <c r="D3" s="106" t="s">
        <v>325</v>
      </c>
      <c r="E3" s="107">
        <v>3176710.7231311314</v>
      </c>
      <c r="F3" s="116">
        <v>142419.33601582283</v>
      </c>
      <c r="G3" s="584" t="s">
        <v>343</v>
      </c>
      <c r="H3" s="532"/>
      <c r="I3" s="266">
        <f>I2</f>
        <v>24.674074286432891</v>
      </c>
      <c r="J3" s="233"/>
      <c r="K3" s="233"/>
      <c r="L3" s="116"/>
      <c r="M3" s="116"/>
      <c r="N3" s="116"/>
      <c r="O3"/>
      <c r="P3"/>
      <c r="AJ3" s="553"/>
      <c r="AK3" s="554"/>
      <c r="AL3" s="554"/>
      <c r="AM3" s="554"/>
      <c r="AN3" s="554"/>
      <c r="AO3" s="554"/>
      <c r="AP3" s="554"/>
      <c r="AQ3" s="554"/>
      <c r="AR3" s="554"/>
      <c r="AS3" s="554"/>
      <c r="AT3" s="554"/>
      <c r="AU3" s="554"/>
      <c r="AV3" s="554"/>
      <c r="AW3" s="554"/>
      <c r="AX3" s="554"/>
      <c r="AY3" s="554"/>
      <c r="AZ3" s="555"/>
    </row>
    <row r="4" spans="2:54" x14ac:dyDescent="0.6">
      <c r="B4" s="399"/>
      <c r="C4" s="399"/>
      <c r="D4" s="106" t="s">
        <v>300</v>
      </c>
      <c r="E4" s="107">
        <v>-4447820985.3917046</v>
      </c>
      <c r="F4" s="116">
        <v>3176710.7231311314</v>
      </c>
      <c r="G4" s="584" t="s">
        <v>344</v>
      </c>
      <c r="H4" s="532"/>
      <c r="I4" s="267">
        <f>Assumptions!$AG$17</f>
        <v>80136.367446443459</v>
      </c>
      <c r="J4" t="s">
        <v>345</v>
      </c>
      <c r="K4"/>
      <c r="L4" s="116"/>
      <c r="M4" s="116"/>
      <c r="N4" s="116"/>
      <c r="O4" s="313"/>
      <c r="P4" s="313"/>
      <c r="Q4" s="111"/>
      <c r="S4" s="111"/>
    </row>
    <row r="5" spans="2:54" x14ac:dyDescent="0.6">
      <c r="E5" s="116"/>
      <c r="F5" s="116"/>
      <c r="G5" s="116"/>
      <c r="H5" s="116"/>
      <c r="I5" s="116"/>
      <c r="J5" s="116"/>
      <c r="K5" s="116"/>
      <c r="L5" s="116"/>
      <c r="M5" s="116"/>
      <c r="N5" s="116"/>
      <c r="O5"/>
      <c r="P5"/>
      <c r="Y5" s="80" t="s">
        <v>301</v>
      </c>
      <c r="Z5" s="80"/>
      <c r="AA5" s="80"/>
      <c r="AB5" s="80"/>
      <c r="AC5" s="80"/>
      <c r="AD5" s="80"/>
      <c r="AE5" s="80"/>
    </row>
    <row r="6" spans="2:54" x14ac:dyDescent="0.6">
      <c r="E6" s="116"/>
      <c r="F6" s="116"/>
      <c r="G6" s="116"/>
      <c r="H6" s="116"/>
      <c r="I6" s="116"/>
      <c r="J6" s="116"/>
      <c r="K6" s="116"/>
      <c r="L6" s="116"/>
      <c r="M6" s="116"/>
      <c r="N6" s="116"/>
    </row>
    <row r="7" spans="2:54" x14ac:dyDescent="0.6">
      <c r="E7" s="116"/>
      <c r="F7" s="116"/>
      <c r="G7" s="139" t="s">
        <v>302</v>
      </c>
      <c r="AH7" s="186"/>
      <c r="AI7" s="186"/>
      <c r="BA7" s="186"/>
      <c r="BB7" s="186"/>
    </row>
    <row r="8" spans="2:54" ht="31.5" x14ac:dyDescent="0.6">
      <c r="C8" s="223" t="s">
        <v>190</v>
      </c>
      <c r="D8" s="223" t="s">
        <v>303</v>
      </c>
      <c r="E8" s="223" t="s">
        <v>303</v>
      </c>
      <c r="F8" s="223" t="s">
        <v>346</v>
      </c>
      <c r="G8" s="556" t="s">
        <v>196</v>
      </c>
      <c r="H8" s="580"/>
      <c r="I8" s="580"/>
      <c r="J8" s="580"/>
      <c r="K8" s="580"/>
      <c r="L8" s="580"/>
      <c r="M8" s="580"/>
      <c r="N8" s="581" t="s">
        <v>197</v>
      </c>
      <c r="O8" s="582"/>
      <c r="P8" s="582"/>
      <c r="Q8" s="582"/>
      <c r="R8" s="582"/>
      <c r="S8" s="582"/>
      <c r="T8" s="582"/>
      <c r="AH8" s="186"/>
      <c r="AI8" s="186"/>
      <c r="BA8" s="186"/>
      <c r="BB8" s="186"/>
    </row>
    <row r="9" spans="2:54" ht="31.5" x14ac:dyDescent="0.6">
      <c r="B9" s="112" t="s">
        <v>30</v>
      </c>
      <c r="C9" s="262" t="s">
        <v>55</v>
      </c>
      <c r="D9" s="262" t="s">
        <v>38</v>
      </c>
      <c r="E9" s="262" t="s">
        <v>41</v>
      </c>
      <c r="F9" s="262" t="s">
        <v>51</v>
      </c>
      <c r="G9" s="125" t="s">
        <v>335</v>
      </c>
      <c r="H9" s="125" t="s">
        <v>347</v>
      </c>
      <c r="I9" s="125" t="s">
        <v>348</v>
      </c>
      <c r="J9" s="125" t="s">
        <v>349</v>
      </c>
      <c r="K9" s="125" t="s">
        <v>350</v>
      </c>
      <c r="L9" s="125" t="s">
        <v>338</v>
      </c>
      <c r="M9" s="126" t="s">
        <v>307</v>
      </c>
      <c r="N9" s="125" t="s">
        <v>335</v>
      </c>
      <c r="O9" s="125" t="s">
        <v>347</v>
      </c>
      <c r="P9" s="125" t="s">
        <v>348</v>
      </c>
      <c r="Q9" s="125" t="s">
        <v>349</v>
      </c>
      <c r="R9" s="125" t="s">
        <v>350</v>
      </c>
      <c r="S9" s="125" t="s">
        <v>338</v>
      </c>
      <c r="T9" s="126" t="s">
        <v>307</v>
      </c>
      <c r="U9" s="117" t="s">
        <v>351</v>
      </c>
      <c r="V9" s="117" t="s">
        <v>310</v>
      </c>
      <c r="W9" s="117" t="s">
        <v>311</v>
      </c>
      <c r="X9" s="117" t="s">
        <v>310</v>
      </c>
    </row>
    <row r="10" spans="2:54" x14ac:dyDescent="0.6">
      <c r="B10" s="76">
        <v>2010</v>
      </c>
      <c r="C10" s="82">
        <f>IFERROR((INDEX(GasolineDemandSupply,MATCH($B10,'Gasoline - DemandSupply'!C:C,0),MATCH($C$9,'Gasoline - DemandSupply'!$C$9:$AB$9,0))),)</f>
        <v>11788234670</v>
      </c>
      <c r="D10" s="82">
        <f t="shared" ref="D10:D25" si="0">(INDEX(GDP,MATCH($B10,Macros_year,0),MATCH($D$9,Macros_header,0)))/1000000</f>
        <v>3973801.603311196</v>
      </c>
      <c r="E10" s="82">
        <f t="shared" ref="E10:E25" si="1">IFERROR((INDEX(GDP,MATCH($B10,Macros_year,0),MATCH($E$9,Macros_header,0))),)</f>
        <v>77587.601064139468</v>
      </c>
      <c r="F10" s="79">
        <f>IFERROR((INDEX(GasolineDemandSupply,MATCH($B10,'Gasoline - DemandSupply'!C:C,0),MATCH($F$9,'Gasoline - DemandSupply'!$C$9:$AB$9,0))),)</f>
        <v>1714.2904819027945</v>
      </c>
      <c r="G10" s="106"/>
      <c r="H10" s="106"/>
      <c r="I10" s="106"/>
      <c r="J10" s="106"/>
      <c r="K10" s="106"/>
      <c r="L10" s="106"/>
      <c r="M10" s="127"/>
      <c r="N10" s="106"/>
      <c r="O10" s="106"/>
      <c r="P10" s="106"/>
      <c r="Q10" s="106"/>
      <c r="R10" s="106"/>
      <c r="S10" s="106"/>
      <c r="T10" s="127"/>
      <c r="U10" s="83">
        <f>$C10</f>
        <v>11788234670</v>
      </c>
    </row>
    <row r="11" spans="2:54" x14ac:dyDescent="0.6">
      <c r="B11" s="76">
        <v>2011</v>
      </c>
      <c r="C11" s="82">
        <f>IFERROR((INDEX(GasolineDemandSupply,MATCH($B11,'Gasoline - DemandSupply'!C:C,0),MATCH($C$9,'Gasoline - DemandSupply'!$C$9:$AB$9,0))),)</f>
        <v>12278314707</v>
      </c>
      <c r="D11" s="82">
        <f t="shared" si="0"/>
        <v>4099713.7435235083</v>
      </c>
      <c r="E11" s="82">
        <f t="shared" si="1"/>
        <v>78834.950056658563</v>
      </c>
      <c r="F11" s="79">
        <f>IFERROR((INDEX(GasolineDemandSupply,MATCH($B11,'Gasoline - DemandSupply'!C:C,0),MATCH($F$9,'Gasoline - DemandSupply'!$C$9:$AB$9,0))),)</f>
        <v>1718.7393509972505</v>
      </c>
      <c r="G11" s="106"/>
      <c r="H11" s="106"/>
      <c r="I11" s="106"/>
      <c r="J11" s="106"/>
      <c r="K11" s="106"/>
      <c r="L11" s="106"/>
      <c r="M11" s="127"/>
      <c r="N11" s="106"/>
      <c r="O11" s="106"/>
      <c r="P11" s="106"/>
      <c r="Q11" s="106"/>
      <c r="R11" s="106"/>
      <c r="S11" s="106"/>
      <c r="T11" s="127"/>
      <c r="U11" s="83">
        <f t="shared" ref="U11:U21" si="2">$C11</f>
        <v>12278314707</v>
      </c>
    </row>
    <row r="12" spans="2:54" x14ac:dyDescent="0.6">
      <c r="B12" s="76">
        <v>2012</v>
      </c>
      <c r="C12" s="82">
        <f>IFERROR((INDEX(GasolineDemandSupply,MATCH($B12,'Gasoline - DemandSupply'!C:C,0),MATCH($C$9,'Gasoline - DemandSupply'!$C$9:$AB$9,0))),)</f>
        <v>12060330013</v>
      </c>
      <c r="D12" s="82">
        <f t="shared" si="0"/>
        <v>4197952.4119134666</v>
      </c>
      <c r="E12" s="82">
        <f t="shared" si="1"/>
        <v>79457.526677078029</v>
      </c>
      <c r="F12" s="79">
        <f>IFERROR((INDEX(GasolineDemandSupply,MATCH($B12,'Gasoline - DemandSupply'!C:C,0),MATCH($F$9,'Gasoline - DemandSupply'!$C$9:$AB$9,0))),)</f>
        <v>1616.5411292519584</v>
      </c>
      <c r="G12" s="106"/>
      <c r="H12" s="106"/>
      <c r="I12" s="106"/>
      <c r="J12" s="106"/>
      <c r="K12" s="106"/>
      <c r="L12" s="106"/>
      <c r="M12" s="127"/>
      <c r="N12" s="106"/>
      <c r="O12" s="106"/>
      <c r="P12" s="106"/>
      <c r="Q12" s="106"/>
      <c r="R12" s="106"/>
      <c r="S12" s="106"/>
      <c r="T12" s="127"/>
      <c r="U12" s="83">
        <f t="shared" si="2"/>
        <v>12060330013</v>
      </c>
    </row>
    <row r="13" spans="2:54" x14ac:dyDescent="0.6">
      <c r="B13" s="76">
        <v>2013</v>
      </c>
      <c r="C13" s="82">
        <f>IFERROR((INDEX(GasolineDemandSupply,MATCH($B13,'Gasoline - DemandSupply'!C:C,0),MATCH($C$9,'Gasoline - DemandSupply'!$C$9:$AB$9,0))),)</f>
        <v>11439925235</v>
      </c>
      <c r="D13" s="82">
        <f t="shared" si="0"/>
        <v>4302291.1761431405</v>
      </c>
      <c r="E13" s="82">
        <f t="shared" si="1"/>
        <v>80136.367446443459</v>
      </c>
      <c r="F13" s="79">
        <f>IFERROR((INDEX(GasolineDemandSupply,MATCH($B13,'Gasoline - DemandSupply'!C:C,0),MATCH($F$9,'Gasoline - DemandSupply'!$C$9:$AB$9,0))),)</f>
        <v>1474.0077596836775</v>
      </c>
      <c r="G13" s="106"/>
      <c r="H13" s="106"/>
      <c r="I13" s="106"/>
      <c r="J13" s="106"/>
      <c r="K13" s="106"/>
      <c r="L13" s="106"/>
      <c r="M13" s="127"/>
      <c r="N13" s="106"/>
      <c r="O13" s="106"/>
      <c r="P13" s="106"/>
      <c r="Q13" s="106"/>
      <c r="R13" s="106"/>
      <c r="S13" s="106"/>
      <c r="T13" s="127"/>
      <c r="U13" s="83">
        <f t="shared" si="2"/>
        <v>11439925235</v>
      </c>
    </row>
    <row r="14" spans="2:54" x14ac:dyDescent="0.6">
      <c r="B14" s="76">
        <v>2014</v>
      </c>
      <c r="C14" s="82">
        <f>IFERROR((INDEX(GasolineDemandSupply,MATCH($B14,'Gasoline - DemandSupply'!C:C,0),MATCH($C$9,'Gasoline - DemandSupply'!$C$9:$AB$9,0))),)</f>
        <v>10890207679</v>
      </c>
      <c r="D14" s="82">
        <f t="shared" si="0"/>
        <v>4363118.106800599</v>
      </c>
      <c r="E14" s="82">
        <f t="shared" si="1"/>
        <v>79992.361913427827</v>
      </c>
      <c r="F14" s="79">
        <f>IFERROR((INDEX(GasolineDemandSupply,MATCH($B14,'Gasoline - DemandSupply'!C:C,0),MATCH($F$9,'Gasoline - DemandSupply'!$C$9:$AB$9,0))),)</f>
        <v>1355.9535244897704</v>
      </c>
      <c r="G14" s="106"/>
      <c r="H14" s="106"/>
      <c r="I14" s="106"/>
      <c r="J14" s="106"/>
      <c r="K14" s="106"/>
      <c r="L14" s="106"/>
      <c r="M14" s="127"/>
      <c r="N14" s="106"/>
      <c r="O14" s="106"/>
      <c r="P14" s="106"/>
      <c r="Q14" s="106"/>
      <c r="R14" s="106"/>
      <c r="S14" s="106"/>
      <c r="T14" s="127"/>
      <c r="U14" s="83">
        <f t="shared" si="2"/>
        <v>10890207679</v>
      </c>
    </row>
    <row r="15" spans="2:54" x14ac:dyDescent="0.6">
      <c r="B15" s="76">
        <v>2015</v>
      </c>
      <c r="C15" s="82">
        <f>IFERROR((INDEX(GasolineDemandSupply,MATCH($B15,'Gasoline - DemandSupply'!C:C,0),MATCH($C$9,'Gasoline - DemandSupply'!$C$9:$AB$9,0))),)</f>
        <v>11475709420</v>
      </c>
      <c r="D15" s="82">
        <f t="shared" si="0"/>
        <v>4420792.5174144721</v>
      </c>
      <c r="E15" s="82">
        <f t="shared" si="1"/>
        <v>79117.199555191779</v>
      </c>
      <c r="F15" s="79">
        <f>IFERROR((INDEX(GasolineDemandSupply,MATCH($B15,'Gasoline - DemandSupply'!C:C,0),MATCH($F$9,'Gasoline - DemandSupply'!$C$9:$AB$9,0))),)</f>
        <v>1433.8514229424036</v>
      </c>
      <c r="G15" s="106"/>
      <c r="H15" s="106"/>
      <c r="I15" s="106"/>
      <c r="J15" s="106"/>
      <c r="K15" s="106"/>
      <c r="L15" s="106"/>
      <c r="M15" s="127"/>
      <c r="N15" s="106"/>
      <c r="O15" s="106"/>
      <c r="P15" s="106"/>
      <c r="Q15" s="106"/>
      <c r="R15" s="106"/>
      <c r="S15" s="106"/>
      <c r="T15" s="127"/>
      <c r="U15" s="83">
        <f t="shared" si="2"/>
        <v>11475709420</v>
      </c>
    </row>
    <row r="16" spans="2:54" x14ac:dyDescent="0.6">
      <c r="B16" s="76">
        <v>2016</v>
      </c>
      <c r="C16" s="82">
        <f>IFERROR((INDEX(GasolineDemandSupply,MATCH($B16,'Gasoline - DemandSupply'!C:C,0),MATCH($C$9,'Gasoline - DemandSupply'!$C$9:$AB$9,0))),)</f>
        <v>11462252467</v>
      </c>
      <c r="D16" s="82">
        <f t="shared" si="0"/>
        <v>4450170.9961145148</v>
      </c>
      <c r="E16" s="82">
        <f t="shared" si="1"/>
        <v>78872.591985826642</v>
      </c>
      <c r="F16" s="79">
        <f>IFERROR((INDEX(GasolineDemandSupply,MATCH($B16,'Gasoline - DemandSupply'!C:C,0),MATCH($F$9,'Gasoline - DemandSupply'!$C$9:$AB$9,0))),)</f>
        <v>1412.5839039966913</v>
      </c>
      <c r="G16" s="106"/>
      <c r="H16" s="106"/>
      <c r="I16" s="106"/>
      <c r="J16" s="106"/>
      <c r="K16" s="106"/>
      <c r="L16" s="106"/>
      <c r="M16" s="127"/>
      <c r="N16" s="106"/>
      <c r="O16" s="106"/>
      <c r="P16" s="106"/>
      <c r="Q16" s="106"/>
      <c r="R16" s="106"/>
      <c r="S16" s="106"/>
      <c r="T16" s="127"/>
      <c r="U16" s="83">
        <f t="shared" si="2"/>
        <v>11462252467</v>
      </c>
    </row>
    <row r="17" spans="2:54" x14ac:dyDescent="0.6">
      <c r="B17" s="76">
        <v>2017</v>
      </c>
      <c r="C17" s="82">
        <f>IFERROR((INDEX(GasolineDemandSupply,MATCH($B17,'Gasoline - DemandSupply'!C:C,0),MATCH($C$9,'Gasoline - DemandSupply'!$C$9:$AB$9,0))),)</f>
        <v>11174082981</v>
      </c>
      <c r="D17" s="82">
        <f t="shared" si="0"/>
        <v>4501701.61548483</v>
      </c>
      <c r="E17" s="82">
        <f t="shared" si="1"/>
        <v>79477.49731131857</v>
      </c>
      <c r="F17" s="79">
        <f>IFERROR((INDEX(GasolineDemandSupply,MATCH($B17,'Gasoline - DemandSupply'!C:C,0),MATCH($F$9,'Gasoline - DemandSupply'!$C$9:$AB$9,0))),)</f>
        <v>1370.1180839530127</v>
      </c>
      <c r="G17" s="106"/>
      <c r="H17" s="106"/>
      <c r="I17" s="106"/>
      <c r="J17" s="106"/>
      <c r="K17" s="106"/>
      <c r="L17" s="106"/>
      <c r="M17" s="127"/>
      <c r="N17" s="106"/>
      <c r="O17" s="106"/>
      <c r="P17" s="106"/>
      <c r="Q17" s="106"/>
      <c r="R17" s="106"/>
      <c r="S17" s="106"/>
      <c r="T17" s="127"/>
      <c r="U17" s="83">
        <f t="shared" si="2"/>
        <v>11174082981</v>
      </c>
    </row>
    <row r="18" spans="2:54" x14ac:dyDescent="0.6">
      <c r="B18" s="76">
        <v>2018</v>
      </c>
      <c r="C18" s="82">
        <f>IFERROR((INDEX(GasolineDemandSupply,MATCH($B18,'Gasoline - DemandSupply'!C:C,0),MATCH($C$9,'Gasoline - DemandSupply'!$C$9:$AB$9,0))),)</f>
        <v>11141630546</v>
      </c>
      <c r="D18" s="82">
        <f t="shared" si="0"/>
        <v>4568669.7107831342</v>
      </c>
      <c r="E18" s="82">
        <f t="shared" si="1"/>
        <v>79677.342047662736</v>
      </c>
      <c r="F18" s="79">
        <f>IFERROR((INDEX(GasolineDemandSupply,MATCH($B18,'Gasoline - DemandSupply'!C:C,0),MATCH($F$9,'Gasoline - DemandSupply'!$C$9:$AB$9,0))),)</f>
        <v>1262.0494650819039</v>
      </c>
      <c r="G18" s="106"/>
      <c r="H18" s="106"/>
      <c r="I18" s="106"/>
      <c r="J18" s="106"/>
      <c r="K18" s="106"/>
      <c r="L18" s="106"/>
      <c r="M18" s="127"/>
      <c r="N18" s="106"/>
      <c r="O18" s="106"/>
      <c r="P18" s="106"/>
      <c r="Q18" s="106"/>
      <c r="R18" s="106"/>
      <c r="S18" s="106"/>
      <c r="T18" s="127"/>
      <c r="U18" s="83">
        <f t="shared" si="2"/>
        <v>11141630546</v>
      </c>
    </row>
    <row r="19" spans="2:54" x14ac:dyDescent="0.6">
      <c r="B19" s="76">
        <v>2019</v>
      </c>
      <c r="C19" s="82">
        <f>IFERROR((INDEX(GasolineDemandSupply,MATCH($B19,'Gasoline - DemandSupply'!C:C,0),MATCH($C$9,'Gasoline - DemandSupply'!$C$9:$AB$9,0))),)</f>
        <v>10773208065</v>
      </c>
      <c r="D19" s="82">
        <f t="shared" si="0"/>
        <v>4573834.7608192815</v>
      </c>
      <c r="E19" s="82">
        <f t="shared" si="1"/>
        <v>78741.033795211013</v>
      </c>
      <c r="F19" s="79">
        <f>IFERROR((INDEX(GasolineDemandSupply,MATCH($B19,'Gasoline - DemandSupply'!C:C,0),MATCH($F$9,'Gasoline - DemandSupply'!$C$9:$AB$9,0))),)</f>
        <v>1196.0650370146559</v>
      </c>
      <c r="G19" s="106"/>
      <c r="H19" s="106"/>
      <c r="I19" s="106"/>
      <c r="J19" s="106"/>
      <c r="K19" s="106"/>
      <c r="L19" s="106"/>
      <c r="M19" s="127"/>
      <c r="N19" s="106"/>
      <c r="O19" s="106"/>
      <c r="P19" s="106"/>
      <c r="Q19" s="106"/>
      <c r="R19" s="106"/>
      <c r="S19" s="106"/>
      <c r="T19" s="127"/>
      <c r="U19" s="83">
        <f t="shared" si="2"/>
        <v>10773208065</v>
      </c>
    </row>
    <row r="20" spans="2:54" x14ac:dyDescent="0.6">
      <c r="B20" s="76">
        <v>2020</v>
      </c>
      <c r="C20" s="82">
        <f>IFERROR((INDEX(GasolineDemandSupply,MATCH($B20,'Gasoline - DemandSupply'!C:C,0),MATCH($C$9,'Gasoline - DemandSupply'!$C$9:$AB$9,0))),)</f>
        <v>8761470961</v>
      </c>
      <c r="D20" s="82">
        <f t="shared" si="0"/>
        <v>4279646.860386556</v>
      </c>
      <c r="E20" s="82">
        <f t="shared" si="1"/>
        <v>72780.724692688324</v>
      </c>
      <c r="F20" s="79">
        <f>IFERROR((INDEX(GasolineDemandSupply,MATCH($B20,'Gasoline - DemandSupply'!C:C,0),MATCH($F$9,'Gasoline - DemandSupply'!$C$9:$AB$9,0))),)</f>
        <v>973.2637065253449</v>
      </c>
      <c r="G20" s="106"/>
      <c r="H20" s="106"/>
      <c r="I20" s="106"/>
      <c r="J20" s="106"/>
      <c r="K20" s="106"/>
      <c r="L20" s="106"/>
      <c r="M20" s="127"/>
      <c r="N20" s="106"/>
      <c r="O20" s="106"/>
      <c r="P20" s="106"/>
      <c r="Q20" s="106"/>
      <c r="R20" s="106"/>
      <c r="S20" s="106"/>
      <c r="T20" s="127"/>
      <c r="U20" s="83">
        <f t="shared" si="2"/>
        <v>8761470961</v>
      </c>
    </row>
    <row r="21" spans="2:54" x14ac:dyDescent="0.6">
      <c r="B21" s="76">
        <v>2021</v>
      </c>
      <c r="C21" s="82">
        <f>IFERROR((INDEX(GasolineDemandSupply,MATCH($B21,'Gasoline - DemandSupply'!C:C,0),MATCH($C$9,'Gasoline - DemandSupply'!$C$9:$AB$9,0))),)</f>
        <v>9301584229</v>
      </c>
      <c r="D21" s="82">
        <f t="shared" si="0"/>
        <v>4513043.9196958616</v>
      </c>
      <c r="E21" s="82">
        <f t="shared" si="1"/>
        <v>75987.078108010232</v>
      </c>
      <c r="F21" s="79">
        <f>IFERROR((INDEX(GasolineDemandSupply,MATCH($B21,'Gasoline - DemandSupply'!C:C,0),MATCH($F$9,'Gasoline - DemandSupply'!$C$9:$AB$9,0))),)</f>
        <v>1012.3295517455892</v>
      </c>
      <c r="G21" s="106"/>
      <c r="H21" s="106"/>
      <c r="I21" s="129">
        <f>VLOOKUP(fGasoline!$B21,'fEV Penetration'!$B:$U,10,0)</f>
        <v>218</v>
      </c>
      <c r="J21" s="106"/>
      <c r="K21" s="106"/>
      <c r="L21" s="106"/>
      <c r="M21" s="127"/>
      <c r="N21" s="106"/>
      <c r="O21" s="106"/>
      <c r="P21" s="129">
        <f>VLOOKUP(fGasoline!$B21,'fEV Penetration'!$B:$U,17,0)</f>
        <v>218</v>
      </c>
      <c r="Q21" s="106"/>
      <c r="R21" s="106"/>
      <c r="S21" s="106"/>
      <c r="T21" s="127"/>
      <c r="U21" s="83">
        <f t="shared" si="2"/>
        <v>9301584229</v>
      </c>
    </row>
    <row r="22" spans="2:54" x14ac:dyDescent="0.6">
      <c r="B22" s="76">
        <v>2022</v>
      </c>
      <c r="C22" s="82">
        <f>IFERROR((INDEX(GasolineDemandSupply,MATCH($B22,'Gasoline - DemandSupply'!C:C,0),MATCH($C$9,'Gasoline - DemandSupply'!$C$9:$AB$9,0))),)</f>
        <v>9184869915.5409889</v>
      </c>
      <c r="D22" s="82">
        <f>(INDEX(GDP,MATCH($B22,Macros_year,0),MATCH($D$9,Macros_header,0)))/1000000</f>
        <v>4599261.3891645968</v>
      </c>
      <c r="E22" s="82">
        <f t="shared" si="1"/>
        <v>76790.165012245096</v>
      </c>
      <c r="F22" s="79">
        <f>IFERROR((INDEX(GasolineDemandSupply,MATCH($B22,'Gasoline - DemandSupply'!C:C,0),MATCH($F$9,'Gasoline - DemandSupply'!$C$9:$AB$9,0))),)</f>
        <v>1022.5272558281436</v>
      </c>
      <c r="G22" s="122">
        <f>$D22</f>
        <v>4599261.3891645968</v>
      </c>
      <c r="H22" s="122">
        <f>$E22</f>
        <v>76790.165012245096</v>
      </c>
      <c r="I22" s="129">
        <f>VLOOKUP(fGasoline!$B22,'fEV Penetration'!$B:$U,10,0)</f>
        <v>502</v>
      </c>
      <c r="J22" s="122">
        <f>$F22</f>
        <v>1022.5272558281436</v>
      </c>
      <c r="K22" s="129">
        <f>J22*I22</f>
        <v>513308.68242572807</v>
      </c>
      <c r="L22" s="122">
        <f>$C22</f>
        <v>9184869915.5409889</v>
      </c>
      <c r="M22" s="127"/>
      <c r="N22" s="122">
        <f>$D22</f>
        <v>4599261.3891645968</v>
      </c>
      <c r="O22" s="122">
        <f>$E22</f>
        <v>76790.165012245096</v>
      </c>
      <c r="P22" s="129">
        <f>VLOOKUP(fGasoline!$B22,'fEV Penetration'!$B:$U,17,0)</f>
        <v>502</v>
      </c>
      <c r="Q22" s="122">
        <f>$F22</f>
        <v>1022.5272558281436</v>
      </c>
      <c r="R22" s="129">
        <f>Q22*P22</f>
        <v>513308.68242572807</v>
      </c>
      <c r="S22" s="122">
        <f>$C22</f>
        <v>9184869915.5409889</v>
      </c>
      <c r="T22" s="127"/>
      <c r="U22" s="83">
        <f>$C22</f>
        <v>9184869915.5409889</v>
      </c>
      <c r="X22" s="79">
        <f>V22-W22</f>
        <v>0</v>
      </c>
    </row>
    <row r="23" spans="2:54" x14ac:dyDescent="0.6">
      <c r="B23" s="76">
        <v>2023</v>
      </c>
      <c r="C23" s="82">
        <f>IFERROR((INDEX(GasolineDemandSupply,MATCH($B23,'Gasoline - DemandSupply'!C:C,0),MATCH($C$9,'Gasoline - DemandSupply'!$C$9:$AB$9,0))),)</f>
        <v>9981346432.3599987</v>
      </c>
      <c r="D23" s="82">
        <f t="shared" si="0"/>
        <v>4638499.6391463401</v>
      </c>
      <c r="E23" s="82">
        <f t="shared" si="1"/>
        <v>76777.92621036293</v>
      </c>
      <c r="F23" s="79">
        <f>IFERROR((INDEX(GasolineDemandSupply,MATCH($B23,'Gasoline - DemandSupply'!C:C,0),MATCH($F$9,'Gasoline - DemandSupply'!$C$9:$AB$9,0))),)</f>
        <v>1071.5538712080106</v>
      </c>
      <c r="G23" s="122">
        <f t="shared" ref="G23:G25" si="3">$D23</f>
        <v>4638499.6391463401</v>
      </c>
      <c r="H23" s="122">
        <f>$E23</f>
        <v>76777.92621036293</v>
      </c>
      <c r="I23" s="129">
        <f>VLOOKUP(fGasoline!$B23,'fEV Penetration'!$B:$U,10,0)</f>
        <v>929</v>
      </c>
      <c r="J23" s="122">
        <f>$F23</f>
        <v>1071.5538712080106</v>
      </c>
      <c r="K23" s="129">
        <f t="shared" ref="K23:K37" si="4">J23*I23</f>
        <v>995473.54635224189</v>
      </c>
      <c r="L23" s="122">
        <f>$C23</f>
        <v>9981346432.3599987</v>
      </c>
      <c r="M23" s="128">
        <f>L23/L22-1</f>
        <v>8.6716145589754712E-2</v>
      </c>
      <c r="N23" s="122">
        <f t="shared" ref="N23:N25" si="5">$D23</f>
        <v>4638499.6391463401</v>
      </c>
      <c r="O23" s="122">
        <f>$E23</f>
        <v>76777.92621036293</v>
      </c>
      <c r="P23" s="129">
        <f>VLOOKUP(fGasoline!$B23,'fEV Penetration'!$B:$U,17,0)</f>
        <v>929</v>
      </c>
      <c r="Q23" s="122">
        <f>$F23</f>
        <v>1071.5538712080106</v>
      </c>
      <c r="R23" s="129">
        <f t="shared" ref="R23:R37" si="6">Q23*P23</f>
        <v>995473.54635224189</v>
      </c>
      <c r="S23" s="122">
        <f>$C23</f>
        <v>9981346432.3599987</v>
      </c>
      <c r="T23" s="128">
        <f>S23/S22-1</f>
        <v>8.6716145589754712E-2</v>
      </c>
      <c r="U23" s="83">
        <f>$C23</f>
        <v>9981346432.3599987</v>
      </c>
      <c r="X23" s="79">
        <f t="shared" ref="X23:X37" si="7">V23-W23</f>
        <v>0</v>
      </c>
    </row>
    <row r="24" spans="2:54" x14ac:dyDescent="0.6">
      <c r="B24" s="76">
        <v>2024</v>
      </c>
      <c r="C24" s="82">
        <f>IFERROR((INDEX(GasolineDemandSupply,MATCH($B24,'Gasoline - DemandSupply'!C:C,0),MATCH($C$9,'Gasoline - DemandSupply'!$C$9:$AB$9,0))),)</f>
        <v>9047482712.5600014</v>
      </c>
      <c r="D24" s="82">
        <f t="shared" si="0"/>
        <v>4659294</v>
      </c>
      <c r="E24" s="82">
        <f t="shared" si="1"/>
        <v>76356.557279594257</v>
      </c>
      <c r="F24" s="79">
        <f>IFERROR((INDEX(GasolineDemandSupply,MATCH($B24,'Gasoline - DemandSupply'!C:C,0),MATCH($F$9,'Gasoline - DemandSupply'!$C$9:$AB$9,0))),)</f>
        <v>958.10803096029406</v>
      </c>
      <c r="G24" s="122">
        <f t="shared" si="3"/>
        <v>4659294</v>
      </c>
      <c r="H24" s="122">
        <f t="shared" ref="H24:H25" si="8">$E24</f>
        <v>76356.557279594257</v>
      </c>
      <c r="I24" s="129">
        <f>VLOOKUP(fGasoline!$B24,'fEV Penetration'!$B:$U,10,0)</f>
        <v>1100</v>
      </c>
      <c r="J24" s="122">
        <f t="shared" ref="J24:J25" si="9">$F24</f>
        <v>958.10803096029406</v>
      </c>
      <c r="K24" s="129">
        <f t="shared" si="4"/>
        <v>1053918.8340563234</v>
      </c>
      <c r="L24" s="122">
        <f t="shared" ref="L24:L25" si="10">$C24</f>
        <v>9047482712.5600014</v>
      </c>
      <c r="M24" s="128">
        <f t="shared" ref="M24:M37" si="11">L24/L23-1</f>
        <v>-9.3560896431003182E-2</v>
      </c>
      <c r="N24" s="122">
        <f t="shared" si="5"/>
        <v>4659294</v>
      </c>
      <c r="O24" s="122">
        <f t="shared" ref="O24:O25" si="12">$E24</f>
        <v>76356.557279594257</v>
      </c>
      <c r="P24" s="129">
        <f>VLOOKUP(fGasoline!$B24,'fEV Penetration'!$B:$U,17,0)</f>
        <v>1100</v>
      </c>
      <c r="Q24" s="122">
        <f t="shared" ref="Q24:Q25" si="13">$F24</f>
        <v>958.10803096029406</v>
      </c>
      <c r="R24" s="129">
        <f t="shared" si="6"/>
        <v>1053918.8340563234</v>
      </c>
      <c r="S24" s="122">
        <f t="shared" ref="S24:S25" si="14">$C24</f>
        <v>9047482712.5600014</v>
      </c>
      <c r="T24" s="128">
        <f t="shared" ref="T24:T37" si="15">S24/S23-1</f>
        <v>-9.3560896431003182E-2</v>
      </c>
      <c r="U24" s="83">
        <f>$C24</f>
        <v>9047482712.5600014</v>
      </c>
      <c r="V24" s="83"/>
      <c r="W24" s="83"/>
      <c r="X24" s="79">
        <f t="shared" si="7"/>
        <v>0</v>
      </c>
    </row>
    <row r="25" spans="2:54" x14ac:dyDescent="0.6">
      <c r="B25" s="76">
        <v>2025</v>
      </c>
      <c r="C25" s="82">
        <f>IFERROR((INDEX(GasolineDemandSupply,MATCH($B25,'Gasoline - DemandSupply'!C:C,0),MATCH($C$9,'Gasoline - DemandSupply'!$C$9:$AB$9,0))),)</f>
        <v>9267777736.8100014</v>
      </c>
      <c r="D25" s="82">
        <f t="shared" si="0"/>
        <v>4679355</v>
      </c>
      <c r="E25" s="82">
        <f t="shared" si="1"/>
        <v>75873.540353853896</v>
      </c>
      <c r="F25" s="79">
        <f>IFERROR((INDEX(GasolineDemandSupply,MATCH($B25,'Gasoline - DemandSupply'!C:C,0),MATCH($F$9,'Gasoline - DemandSupply'!$C$9:$AB$9,0))),)</f>
        <v>960.02776716251765</v>
      </c>
      <c r="G25" s="122">
        <f t="shared" si="3"/>
        <v>4679355</v>
      </c>
      <c r="H25" s="122">
        <f t="shared" si="8"/>
        <v>75873.540353853896</v>
      </c>
      <c r="I25" s="129">
        <f>VLOOKUP(fGasoline!$B25,'fEV Penetration'!$B:$U,10,0)</f>
        <v>1150</v>
      </c>
      <c r="J25" s="122">
        <f t="shared" si="9"/>
        <v>960.02776716251765</v>
      </c>
      <c r="K25" s="129">
        <f t="shared" si="4"/>
        <v>1104031.9322368952</v>
      </c>
      <c r="L25" s="122">
        <f t="shared" si="10"/>
        <v>9267777736.8100014</v>
      </c>
      <c r="M25" s="128">
        <f t="shared" si="11"/>
        <v>2.4348764319182425E-2</v>
      </c>
      <c r="N25" s="122">
        <f t="shared" si="5"/>
        <v>4679355</v>
      </c>
      <c r="O25" s="122">
        <f t="shared" si="12"/>
        <v>75873.540353853896</v>
      </c>
      <c r="P25" s="129">
        <f>VLOOKUP(fGasoline!$B25,'fEV Penetration'!$B:$U,17,0)</f>
        <v>1150</v>
      </c>
      <c r="Q25" s="122">
        <f t="shared" si="13"/>
        <v>960.02776716251765</v>
      </c>
      <c r="R25" s="129">
        <f t="shared" si="6"/>
        <v>1104031.9322368952</v>
      </c>
      <c r="S25" s="122">
        <f t="shared" si="14"/>
        <v>9267777736.8100014</v>
      </c>
      <c r="T25" s="128">
        <f t="shared" si="15"/>
        <v>2.4348764319182425E-2</v>
      </c>
      <c r="U25" s="83">
        <f>$C25</f>
        <v>9267777736.8100014</v>
      </c>
      <c r="V25" s="83">
        <f t="shared" ref="V25:V37" si="16">L25</f>
        <v>9267777736.8100014</v>
      </c>
      <c r="W25" s="83">
        <f t="shared" ref="W25:W37" si="17">S25</f>
        <v>9267777736.8100014</v>
      </c>
      <c r="X25" s="79">
        <f t="shared" si="7"/>
        <v>0</v>
      </c>
    </row>
    <row r="26" spans="2:54" x14ac:dyDescent="0.6">
      <c r="B26" s="76">
        <v>2026</v>
      </c>
      <c r="C26" s="82">
        <f>IFERROR((INDEX(GasolineDemandSupply,MATCH($B26,'Gasoline - DemandSupply'!C:C,0),MATCH($C$9,'Gasoline - DemandSupply'!$C$9:$AB$9,0))),)</f>
        <v>0</v>
      </c>
      <c r="D26" s="103"/>
      <c r="E26" s="167"/>
      <c r="G26" s="129">
        <f t="shared" ref="G26:G45" si="18">G25*(VLOOKUP($B26,GDP_high_growth,2,0)+1)</f>
        <v>4754224.68</v>
      </c>
      <c r="H26" s="129">
        <f t="shared" ref="H26:H45" si="19">H25*(VLOOKUP($B26,PaxHighScenario,2,0)+1)</f>
        <v>76305.620802195466</v>
      </c>
      <c r="I26" s="129">
        <f>VLOOKUP(fGasoline!$B26,'fEV Penetration'!$B:$U,10,0)</f>
        <v>2480.2817474606277</v>
      </c>
      <c r="J26" s="130" cm="1">
        <f t="array" ref="J26">J25*(1-INDEX(HighEfficiency_Improvement_Gasoline,$B26-2020+2))+IF(H26&lt;$I$4,$I$3,0)</f>
        <v>975.10156377732528</v>
      </c>
      <c r="K26" s="129">
        <f t="shared" si="4"/>
        <v>2418526.6105572148</v>
      </c>
      <c r="L26" s="131">
        <f t="shared" ref="L26:L37" si="20">($H26*$E$2)+($J26*$E$3)+$E$4-K26</f>
        <v>9514771930.7149372</v>
      </c>
      <c r="M26" s="128">
        <f t="shared" si="11"/>
        <v>2.6650854273718494E-2</v>
      </c>
      <c r="N26" s="129">
        <f t="shared" ref="N26:N45" si="21">N25*(VLOOKUP($B26,GDP_low_growth,2,0)+1)</f>
        <v>4726148.55</v>
      </c>
      <c r="O26" s="129">
        <f t="shared" ref="O26:O45" si="22">O25*(VLOOKUP($B26,PaxLowScenario,2,0)+1)</f>
        <v>75854.997057300614</v>
      </c>
      <c r="P26" s="129">
        <f>VLOOKUP(fGasoline!$B26,'fEV Penetration'!$B:$U,17,0)</f>
        <v>3819.5239603734221</v>
      </c>
      <c r="Q26" s="130" cm="1">
        <f t="array" ref="Q26">Q25*(1-INDEX(LowEfficiency_Improvement_Gasoline,$B26-2020+2))</f>
        <v>945.62735065507991</v>
      </c>
      <c r="R26" s="129">
        <f t="shared" si="6"/>
        <v>3611846.3234115178</v>
      </c>
      <c r="S26" s="131">
        <f t="shared" ref="S26:S37" si="23">($O26*$E$2)+($Q26*$E$3)+$E$4-R26</f>
        <v>9355770027.5799065</v>
      </c>
      <c r="T26" s="128">
        <f t="shared" si="15"/>
        <v>9.494432567196176E-3</v>
      </c>
      <c r="U26" s="83"/>
      <c r="V26" s="83">
        <f t="shared" si="16"/>
        <v>9514771930.7149372</v>
      </c>
      <c r="W26" s="83">
        <f t="shared" si="17"/>
        <v>9355770027.5799065</v>
      </c>
      <c r="X26" s="79">
        <f t="shared" si="7"/>
        <v>159001903.13503075</v>
      </c>
    </row>
    <row r="27" spans="2:54" x14ac:dyDescent="0.6">
      <c r="B27" s="76">
        <v>2027</v>
      </c>
      <c r="C27" s="82">
        <f>IFERROR((INDEX(GasolineDemandSupply,MATCH($B27,'Gasoline - DemandSupply'!C:C,0),MATCH($C$9,'Gasoline - DemandSupply'!$C$9:$AB$9,0))),)</f>
        <v>0</v>
      </c>
      <c r="D27" s="83"/>
      <c r="E27" s="167"/>
      <c r="G27" s="129">
        <f t="shared" si="18"/>
        <v>4830292.2748799995</v>
      </c>
      <c r="H27" s="129">
        <f t="shared" si="19"/>
        <v>76770.112741293895</v>
      </c>
      <c r="I27" s="129">
        <f>VLOOKUP(fGasoline!$B27,'fEV Penetration'!$B:$U,10,0)</f>
        <v>4399.7810901056073</v>
      </c>
      <c r="J27" s="130" cm="1">
        <f t="array" ref="J27">J26*(1-INDEX(HighEfficiency_Improvement_Gasoline,$B27-2020+2))+IF(H27&lt;$I$4,$I$3,0)</f>
        <v>990.02462242598494</v>
      </c>
      <c r="K27" s="129">
        <f t="shared" si="4"/>
        <v>4355891.6124887923</v>
      </c>
      <c r="L27" s="131">
        <f t="shared" si="20"/>
        <v>9626393439.695219</v>
      </c>
      <c r="M27" s="128">
        <f t="shared" si="11"/>
        <v>1.1731390914369033E-2</v>
      </c>
      <c r="N27" s="129">
        <f t="shared" si="21"/>
        <v>4773410.0355000002</v>
      </c>
      <c r="O27" s="129">
        <f t="shared" si="22"/>
        <v>75866.056489275812</v>
      </c>
      <c r="P27" s="129">
        <f>VLOOKUP(fGasoline!$B27,'fEV Penetration'!$B:$U,17,0)</f>
        <v>8205.8823788290665</v>
      </c>
      <c r="Q27" s="130" cm="1">
        <f t="array" ref="Q27">Q26*(1-INDEX(LowEfficiency_Improvement_Gasoline,$B27-2020+2))</f>
        <v>931.44294039525369</v>
      </c>
      <c r="R27" s="129">
        <f t="shared" si="6"/>
        <v>7643311.2114741448</v>
      </c>
      <c r="S27" s="131">
        <f t="shared" si="23"/>
        <v>9308253871.4767838</v>
      </c>
      <c r="T27" s="128">
        <f t="shared" si="15"/>
        <v>-5.0788076195812382E-3</v>
      </c>
      <c r="U27" s="83"/>
      <c r="V27" s="83">
        <f t="shared" si="16"/>
        <v>9626393439.695219</v>
      </c>
      <c r="W27" s="83">
        <f t="shared" si="17"/>
        <v>9308253871.4767838</v>
      </c>
      <c r="X27" s="79">
        <f t="shared" si="7"/>
        <v>318139568.21843529</v>
      </c>
    </row>
    <row r="28" spans="2:54" x14ac:dyDescent="0.6">
      <c r="B28" s="76">
        <v>2028</v>
      </c>
      <c r="C28" s="82">
        <f>IFERROR((INDEX(GasolineDemandSupply,MATCH($B28,'Gasoline - DemandSupply'!C:C,0),MATCH($C$9,'Gasoline - DemandSupply'!$C$9:$AB$9,0))),)</f>
        <v>0</v>
      </c>
      <c r="D28" s="83"/>
      <c r="E28" s="167"/>
      <c r="G28" s="129">
        <f t="shared" si="18"/>
        <v>4907576.9512780793</v>
      </c>
      <c r="H28" s="129">
        <f t="shared" si="19"/>
        <v>77267.030311881841</v>
      </c>
      <c r="I28" s="129">
        <f>VLOOKUP(fGasoline!$B28,'fEV Penetration'!$B:$U,10,0)</f>
        <v>7168.6215053558499</v>
      </c>
      <c r="J28" s="130" cm="1">
        <f t="array" ref="J28">J27*(1-INDEX(HighEfficiency_Improvement_Gasoline,$B28-2020+2))+IF(H28&lt;$I$4,$I$3,0)</f>
        <v>1004.798450488158</v>
      </c>
      <c r="K28" s="129">
        <f t="shared" si="4"/>
        <v>7203019.7807176448</v>
      </c>
      <c r="L28" s="131">
        <f t="shared" si="20"/>
        <v>9741249160.0115223</v>
      </c>
      <c r="M28" s="128">
        <f t="shared" si="11"/>
        <v>1.1931334516485315E-2</v>
      </c>
      <c r="N28" s="129">
        <f t="shared" si="21"/>
        <v>4821144.1358550005</v>
      </c>
      <c r="O28" s="129">
        <f t="shared" si="22"/>
        <v>75906.194397226005</v>
      </c>
      <c r="P28" s="129">
        <f>VLOOKUP(fGasoline!$B28,'fEV Penetration'!$B:$U,17,0)</f>
        <v>15410.851537033679</v>
      </c>
      <c r="Q28" s="130" cm="1">
        <f t="array" ref="Q28">Q27*(1-INDEX(LowEfficiency_Improvement_Gasoline,$B28-2020+2))</f>
        <v>917.47129628932487</v>
      </c>
      <c r="R28" s="129">
        <f t="shared" si="6"/>
        <v>14139013.936604625</v>
      </c>
      <c r="S28" s="131">
        <f t="shared" si="23"/>
        <v>9263090711.2999058</v>
      </c>
      <c r="T28" s="128">
        <f t="shared" si="15"/>
        <v>-4.8519476155749475E-3</v>
      </c>
      <c r="U28" s="83"/>
      <c r="V28" s="83">
        <f t="shared" si="16"/>
        <v>9741249160.0115223</v>
      </c>
      <c r="W28" s="83">
        <f t="shared" si="17"/>
        <v>9263090711.2999058</v>
      </c>
      <c r="X28" s="79">
        <f t="shared" si="7"/>
        <v>478158448.71161652</v>
      </c>
    </row>
    <row r="29" spans="2:54" x14ac:dyDescent="0.6">
      <c r="B29" s="76">
        <v>2029</v>
      </c>
      <c r="C29" s="82">
        <f>IFERROR((INDEX(GasolineDemandSupply,MATCH($B29,'Gasoline - DemandSupply'!C:C,0),MATCH($C$9,'Gasoline - DemandSupply'!$C$9:$AB$9,0))),)</f>
        <v>0</v>
      </c>
      <c r="D29" s="83"/>
      <c r="E29" s="167"/>
      <c r="G29" s="129">
        <f t="shared" si="18"/>
        <v>4986098.1824985286</v>
      </c>
      <c r="H29" s="129">
        <f t="shared" si="19"/>
        <v>77793.850145885255</v>
      </c>
      <c r="I29" s="129">
        <f>VLOOKUP(fGasoline!$B29,'fEV Penetration'!$B:$U,10,0)</f>
        <v>11157.7823704858</v>
      </c>
      <c r="J29" s="130" cm="1">
        <f t="array" ref="J29">J28*(1-INDEX(HighEfficiency_Improvement_Gasoline,$B29-2020+2))+IF(H29&lt;$I$4,$I$3,0)</f>
        <v>1019.4245402697093</v>
      </c>
      <c r="K29" s="129">
        <f t="shared" si="4"/>
        <v>11374517.163461953</v>
      </c>
      <c r="L29" s="131">
        <f t="shared" si="20"/>
        <v>9858569849.8340435</v>
      </c>
      <c r="M29" s="128">
        <f t="shared" si="11"/>
        <v>1.2043700750836939E-2</v>
      </c>
      <c r="N29" s="129">
        <f t="shared" si="21"/>
        <v>4869355.5772135509</v>
      </c>
      <c r="O29" s="129">
        <f t="shared" si="22"/>
        <v>75972.414544585263</v>
      </c>
      <c r="P29" s="129">
        <f>VLOOKUP(fGasoline!$B29,'fEV Penetration'!$B:$U,17,0)</f>
        <v>27218.078408563539</v>
      </c>
      <c r="Q29" s="130" cm="1">
        <f t="array" ref="Q29">Q28*(1-INDEX(LowEfficiency_Improvement_Gasoline,$B29-2020+2))</f>
        <v>903.70922684498498</v>
      </c>
      <c r="R29" s="129">
        <f t="shared" si="6"/>
        <v>24597228.594809134</v>
      </c>
      <c r="S29" s="131">
        <f t="shared" si="23"/>
        <v>9218345412.4831676</v>
      </c>
      <c r="T29" s="128">
        <f t="shared" si="15"/>
        <v>-4.8304934293856849E-3</v>
      </c>
      <c r="U29" s="83"/>
      <c r="V29" s="83">
        <f t="shared" si="16"/>
        <v>9858569849.8340435</v>
      </c>
      <c r="W29" s="83">
        <f t="shared" si="17"/>
        <v>9218345412.4831676</v>
      </c>
      <c r="X29" s="79">
        <f t="shared" si="7"/>
        <v>640224437.35087585</v>
      </c>
    </row>
    <row r="30" spans="2:54" s="77" customFormat="1" x14ac:dyDescent="0.6">
      <c r="B30" s="81">
        <v>2030</v>
      </c>
      <c r="C30" s="227">
        <f>IFERROR((INDEX(GasolineDemandSupply,MATCH($B30,'Gasoline - DemandSupply'!C:C,0),MATCH($C$9,'Gasoline - DemandSupply'!$C$9:$AB$9,0))),)</f>
        <v>0</v>
      </c>
      <c r="D30" s="230"/>
      <c r="E30" s="232"/>
      <c r="G30" s="228">
        <f t="shared" si="18"/>
        <v>5065875.7534185052</v>
      </c>
      <c r="H30" s="228">
        <f t="shared" si="19"/>
        <v>78347.236624239842</v>
      </c>
      <c r="I30" s="129">
        <f>VLOOKUP(fGasoline!$B30,'fEV Penetration'!$B:$U,10,0)</f>
        <v>16891.740303639246</v>
      </c>
      <c r="J30" s="229" cm="1">
        <f t="array" ref="J30">J29*(1-INDEX(HighEfficiency_Improvement_Gasoline,$B30-2020+2))+IF(H30&lt;$I$4,$I$3,0)</f>
        <v>1033.904369153445</v>
      </c>
      <c r="K30" s="228">
        <f t="shared" si="4"/>
        <v>17464444.102537956</v>
      </c>
      <c r="L30" s="131">
        <f t="shared" si="20"/>
        <v>9977291085.3864307</v>
      </c>
      <c r="M30" s="128">
        <f t="shared" si="11"/>
        <v>1.2042439964492946E-2</v>
      </c>
      <c r="N30" s="228">
        <f t="shared" si="21"/>
        <v>4918049.1329856869</v>
      </c>
      <c r="O30" s="228">
        <f t="shared" si="22"/>
        <v>76060.996737168723</v>
      </c>
      <c r="P30" s="129">
        <f>VLOOKUP(fGasoline!$B30,'fEV Penetration'!$B:$U,17,0)</f>
        <v>46462.856737202237</v>
      </c>
      <c r="Q30" s="229" cm="1">
        <f t="array" ref="Q30">Q29*(1-INDEX(LowEfficiency_Improvement_Gasoline,$B30-2020+2))</f>
        <v>890.15358844231025</v>
      </c>
      <c r="R30" s="228">
        <f t="shared" si="6"/>
        <v>41359078.65390154</v>
      </c>
      <c r="S30" s="131">
        <f t="shared" si="23"/>
        <v>9171137037.6019726</v>
      </c>
      <c r="T30" s="128">
        <f t="shared" si="15"/>
        <v>-5.1211332152153455E-3</v>
      </c>
      <c r="U30" s="230"/>
      <c r="V30" s="230">
        <f t="shared" si="16"/>
        <v>9977291085.3864307</v>
      </c>
      <c r="W30" s="230">
        <f t="shared" si="17"/>
        <v>9171137037.6019726</v>
      </c>
      <c r="X30" s="231">
        <f t="shared" si="7"/>
        <v>806154047.78445816</v>
      </c>
      <c r="AH30" s="120"/>
      <c r="AI30" s="120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120"/>
      <c r="BB30" s="120"/>
    </row>
    <row r="31" spans="2:54" x14ac:dyDescent="0.6">
      <c r="B31" s="76">
        <v>2031</v>
      </c>
      <c r="C31" s="82">
        <f>IFERROR((INDEX(GasolineDemandSupply,MATCH($B31,'Gasoline - DemandSupply'!C:C,0),MATCH($C$9,'Gasoline - DemandSupply'!$C$9:$AB$9,0))),)</f>
        <v>0</v>
      </c>
      <c r="E31" s="167"/>
      <c r="G31" s="228">
        <f t="shared" si="18"/>
        <v>5146929.7654732009</v>
      </c>
      <c r="H31" s="129">
        <f t="shared" si="19"/>
        <v>78904.559616777129</v>
      </c>
      <c r="I31" s="129">
        <f>VLOOKUP(fGasoline!$B31,'fEV Penetration'!$B:$U,10,0)</f>
        <v>25092.983440655444</v>
      </c>
      <c r="J31" s="130" cm="1">
        <f t="array" ref="J31">J30*(1-INDEX(HighEfficiency_Improvement_Gasoline,$B31-2020+2))+IF(H31&lt;$I$4,$I$3,0)</f>
        <v>1048.2393997483434</v>
      </c>
      <c r="K31" s="129">
        <f t="shared" si="4"/>
        <v>26303453.899727784</v>
      </c>
      <c r="L31" s="131">
        <f t="shared" si="20"/>
        <v>10093363891.53998</v>
      </c>
      <c r="M31" s="128">
        <f t="shared" si="11"/>
        <v>1.1633699484177473E-2</v>
      </c>
      <c r="N31" s="129">
        <f t="shared" si="21"/>
        <v>4967229.624315544</v>
      </c>
      <c r="O31" s="129">
        <f t="shared" si="22"/>
        <v>76149.682214673288</v>
      </c>
      <c r="P31" s="129">
        <f>VLOOKUP(fGasoline!$B31,'fEV Penetration'!$B:$U,17,0)</f>
        <v>77471.219797502941</v>
      </c>
      <c r="Q31" s="130" cm="1">
        <f t="array" ref="Q31">Q30*(1-INDEX(LowEfficiency_Improvement_Gasoline,$B31-2020+2))</f>
        <v>876.80128461567563</v>
      </c>
      <c r="R31" s="129">
        <f t="shared" si="6"/>
        <v>67926865.039193943</v>
      </c>
      <c r="S31" s="131">
        <f t="shared" si="23"/>
        <v>9114783371.2925529</v>
      </c>
      <c r="T31" s="128">
        <f t="shared" si="15"/>
        <v>-6.1446760721562965E-3</v>
      </c>
      <c r="U31" s="83"/>
      <c r="V31" s="83">
        <f t="shared" si="16"/>
        <v>10093363891.53998</v>
      </c>
      <c r="W31" s="83">
        <f t="shared" si="17"/>
        <v>9114783371.2925529</v>
      </c>
      <c r="X31" s="79">
        <f t="shared" si="7"/>
        <v>978580520.24742699</v>
      </c>
    </row>
    <row r="32" spans="2:54" x14ac:dyDescent="0.6">
      <c r="B32" s="76">
        <v>2032</v>
      </c>
      <c r="C32" s="82">
        <f>IFERROR((INDEX(GasolineDemandSupply,MATCH($B32,'Gasoline - DemandSupply'!C:C,0),MATCH($C$9,'Gasoline - DemandSupply'!$C$9:$AB$9,0))),)</f>
        <v>0</v>
      </c>
      <c r="E32" s="167"/>
      <c r="G32" s="129">
        <f t="shared" si="18"/>
        <v>5229280.6417207718</v>
      </c>
      <c r="H32" s="129">
        <f t="shared" si="19"/>
        <v>79465.847125886969</v>
      </c>
      <c r="I32" s="129">
        <f>VLOOKUP(fGasoline!$B32,'fEV Penetration'!$B:$U,10,0)</f>
        <v>36750.731367900938</v>
      </c>
      <c r="J32" s="130" cm="1">
        <f t="array" ref="J32">J31*(1-INDEX(HighEfficiency_Improvement_Gasoline,$B32-2020+2))+IF(H32&lt;$I$4,$I$3,0)</f>
        <v>1062.4310800372928</v>
      </c>
      <c r="K32" s="129">
        <f t="shared" si="4"/>
        <v>39045119.219359405</v>
      </c>
      <c r="L32" s="131">
        <f t="shared" si="20"/>
        <v>10205643283.534897</v>
      </c>
      <c r="M32" s="128">
        <f t="shared" si="11"/>
        <v>1.1124080455379826E-2</v>
      </c>
      <c r="N32" s="129">
        <f t="shared" si="21"/>
        <v>5016901.9205586994</v>
      </c>
      <c r="O32" s="129">
        <f t="shared" si="22"/>
        <v>76238.471097526955</v>
      </c>
      <c r="P32" s="129">
        <f>VLOOKUP(fGasoline!$B32,'fEV Penetration'!$B:$U,17,0)</f>
        <v>126553.27438544834</v>
      </c>
      <c r="Q32" s="130" cm="1">
        <f t="array" ref="Q32">Q31*(1-INDEX(LowEfficiency_Improvement_Gasoline,$B32-2020+2))</f>
        <v>863.64926534644053</v>
      </c>
      <c r="R32" s="129">
        <f t="shared" si="6"/>
        <v>109297642.45017897</v>
      </c>
      <c r="S32" s="131">
        <f t="shared" si="23"/>
        <v>9044277686.9797688</v>
      </c>
      <c r="T32" s="128">
        <f t="shared" si="15"/>
        <v>-7.7353110261342284E-3</v>
      </c>
      <c r="U32" s="83"/>
      <c r="V32" s="83">
        <f t="shared" si="16"/>
        <v>10205643283.534897</v>
      </c>
      <c r="W32" s="83">
        <f t="shared" si="17"/>
        <v>9044277686.9797688</v>
      </c>
      <c r="X32" s="79">
        <f t="shared" si="7"/>
        <v>1161365596.5551281</v>
      </c>
    </row>
    <row r="33" spans="2:54" x14ac:dyDescent="0.6">
      <c r="B33" s="76">
        <v>2033</v>
      </c>
      <c r="C33" s="82">
        <f>IFERROR((INDEX(GasolineDemandSupply,MATCH($B33,'Gasoline - DemandSupply'!C:C,0),MATCH($C$9,'Gasoline - DemandSupply'!$C$9:$AB$9,0))),)</f>
        <v>0</v>
      </c>
      <c r="E33" s="167"/>
      <c r="G33" s="129">
        <f t="shared" si="18"/>
        <v>5312949.1319883047</v>
      </c>
      <c r="H33" s="129">
        <f t="shared" si="19"/>
        <v>80031.127353154196</v>
      </c>
      <c r="I33" s="129">
        <f>VLOOKUP(fGasoline!$B33,'fEV Penetration'!$B:$U,10,0)</f>
        <v>53192.084059528483</v>
      </c>
      <c r="J33" s="130" cm="1">
        <f t="array" ref="J33">J32*(1-INDEX(HighEfficiency_Improvement_Gasoline,$B33-2020+2))+IF(H33&lt;$I$4,$I$3,0)</f>
        <v>1076.4808435233526</v>
      </c>
      <c r="K33" s="129">
        <f t="shared" si="4"/>
        <v>57260259.517166302</v>
      </c>
      <c r="L33" s="131">
        <f t="shared" si="20"/>
        <v>10312567012.190987</v>
      </c>
      <c r="M33" s="128">
        <f t="shared" si="11"/>
        <v>1.0476922001437572E-2</v>
      </c>
      <c r="N33" s="129">
        <f t="shared" si="21"/>
        <v>5067070.9397642864</v>
      </c>
      <c r="O33" s="129">
        <f t="shared" si="22"/>
        <v>76327.363506298119</v>
      </c>
      <c r="P33" s="129">
        <f>VLOOKUP(fGasoline!$B33,'fEV Penetration'!$B:$U,17,0)</f>
        <v>202212.46165494624</v>
      </c>
      <c r="Q33" s="130" cm="1">
        <f t="array" ref="Q33">Q32*(1-INDEX(LowEfficiency_Improvement_Gasoline,$B33-2020+2))</f>
        <v>850.69452636624396</v>
      </c>
      <c r="R33" s="129">
        <f t="shared" si="6"/>
        <v>172021034.29290676</v>
      </c>
      <c r="S33" s="131">
        <f t="shared" si="23"/>
        <v>8953060834.7373199</v>
      </c>
      <c r="T33" s="128">
        <f t="shared" si="15"/>
        <v>-1.0085587307183785E-2</v>
      </c>
      <c r="U33" s="83"/>
      <c r="V33" s="83">
        <f t="shared" si="16"/>
        <v>10312567012.190987</v>
      </c>
      <c r="W33" s="83">
        <f t="shared" si="17"/>
        <v>8953060834.7373199</v>
      </c>
      <c r="X33" s="79">
        <f t="shared" si="7"/>
        <v>1359506177.4536667</v>
      </c>
    </row>
    <row r="34" spans="2:54" x14ac:dyDescent="0.6">
      <c r="B34" s="76">
        <v>2034</v>
      </c>
      <c r="C34" s="82">
        <f>IFERROR((INDEX(GasolineDemandSupply,MATCH($B34,'Gasoline - DemandSupply'!C:C,0),MATCH($C$9,'Gasoline - DemandSupply'!$C$9:$AB$9,0))),)</f>
        <v>0</v>
      </c>
      <c r="G34" s="129">
        <f t="shared" si="18"/>
        <v>5397956.3181001181</v>
      </c>
      <c r="H34" s="129">
        <f t="shared" si="19"/>
        <v>80600.428700775592</v>
      </c>
      <c r="I34" s="129">
        <f>VLOOKUP(fGasoline!$B34,'fEV Penetration'!$B:$U,10,0)</f>
        <v>76149.280127116624</v>
      </c>
      <c r="J34" s="130" cm="1">
        <f t="array" ref="J34">J33*(1-INDEX(HighEfficiency_Improvement_Gasoline,$B34-2020+2))+IF(H34&lt;$I$4,$I$3,0)</f>
        <v>1065.716035088119</v>
      </c>
      <c r="K34" s="129">
        <f t="shared" si="4"/>
        <v>81153508.891885221</v>
      </c>
      <c r="L34" s="131">
        <f t="shared" si="20"/>
        <v>10335556600.348761</v>
      </c>
      <c r="M34" s="128">
        <f t="shared" si="11"/>
        <v>2.2292789109246147E-3</v>
      </c>
      <c r="N34" s="129">
        <f t="shared" si="21"/>
        <v>5117741.6491619293</v>
      </c>
      <c r="O34" s="129">
        <f t="shared" si="22"/>
        <v>76416.359561695761</v>
      </c>
      <c r="P34" s="129">
        <f>VLOOKUP(fGasoline!$B34,'fEV Penetration'!$B:$U,17,0)</f>
        <v>314557.80655173108</v>
      </c>
      <c r="Q34" s="130" cm="1">
        <f t="array" ref="Q34">Q33*(1-INDEX(LowEfficiency_Improvement_Gasoline,$B34-2020+2))</f>
        <v>837.93410847075029</v>
      </c>
      <c r="R34" s="129">
        <f t="shared" si="6"/>
        <v>263578715.19543952</v>
      </c>
      <c r="S34" s="131">
        <f t="shared" si="23"/>
        <v>8833641756.5922966</v>
      </c>
      <c r="T34" s="128">
        <f t="shared" si="15"/>
        <v>-1.3338352140050747E-2</v>
      </c>
      <c r="U34" s="83"/>
      <c r="V34" s="83">
        <f t="shared" si="16"/>
        <v>10335556600.348761</v>
      </c>
      <c r="W34" s="83">
        <f t="shared" si="17"/>
        <v>8833641756.5922966</v>
      </c>
      <c r="X34" s="79">
        <f t="shared" si="7"/>
        <v>1501914843.756464</v>
      </c>
    </row>
    <row r="35" spans="2:54" x14ac:dyDescent="0.6">
      <c r="B35" s="76">
        <v>2035</v>
      </c>
      <c r="C35" s="82">
        <f>IFERROR((INDEX(GasolineDemandSupply,MATCH($B35,'Gasoline - DemandSupply'!C:C,0),MATCH($C$9,'Gasoline - DemandSupply'!$C$9:$AB$9,0))),)</f>
        <v>0</v>
      </c>
      <c r="G35" s="129">
        <f t="shared" si="18"/>
        <v>5484323.6191897197</v>
      </c>
      <c r="H35" s="129">
        <f t="shared" si="19"/>
        <v>81173.779772986949</v>
      </c>
      <c r="I35" s="129">
        <f>VLOOKUP(fGasoline!$B35,'fEV Penetration'!$B:$U,10,0)</f>
        <v>107801.80952460863</v>
      </c>
      <c r="J35" s="130" cm="1">
        <f t="array" ref="J35">J34*(1-INDEX(HighEfficiency_Improvement_Gasoline,$B35-2020+2))+IF(H35&lt;$I$4,$I$3,0)</f>
        <v>1055.0588747372378</v>
      </c>
      <c r="K35" s="129">
        <f t="shared" si="4"/>
        <v>113737255.85167164</v>
      </c>
      <c r="L35" s="131">
        <f t="shared" si="20"/>
        <v>10350774416.832504</v>
      </c>
      <c r="M35" s="128">
        <f t="shared" si="11"/>
        <v>1.4723751290985909E-3</v>
      </c>
      <c r="N35" s="129">
        <f t="shared" si="21"/>
        <v>5168919.0656535486</v>
      </c>
      <c r="O35" s="129">
        <f t="shared" si="22"/>
        <v>76505.459384569607</v>
      </c>
      <c r="P35" s="129">
        <f>VLOOKUP(fGasoline!$B35,'fEV Penetration'!$B:$U,17,0)</f>
        <v>473399.23001623957</v>
      </c>
      <c r="Q35" s="130" cm="1">
        <f t="array" ref="Q35">Q34*(1-INDEX(LowEfficiency_Improvement_Gasoline,$B35-2020+2))</f>
        <v>825.365096843689</v>
      </c>
      <c r="R35" s="129">
        <f t="shared" si="6"/>
        <v>390727201.32808137</v>
      </c>
      <c r="S35" s="131">
        <f t="shared" si="23"/>
        <v>8679254694.0576305</v>
      </c>
      <c r="T35" s="128">
        <f t="shared" si="15"/>
        <v>-1.7477170434204159E-2</v>
      </c>
      <c r="U35" s="83"/>
      <c r="V35" s="83">
        <f t="shared" si="16"/>
        <v>10350774416.832504</v>
      </c>
      <c r="W35" s="83">
        <f t="shared" si="17"/>
        <v>8679254694.0576305</v>
      </c>
      <c r="X35" s="79">
        <f t="shared" si="7"/>
        <v>1671519722.7748737</v>
      </c>
    </row>
    <row r="36" spans="2:54" x14ac:dyDescent="0.6">
      <c r="B36" s="76">
        <v>2036</v>
      </c>
      <c r="C36" s="82">
        <f>IFERROR((INDEX(GasolineDemandSupply,MATCH($B36,'Gasoline - DemandSupply'!C:C,0),MATCH($C$9,'Gasoline - DemandSupply'!$C$9:$AB$9,0))),)</f>
        <v>0</v>
      </c>
      <c r="G36" s="129">
        <f t="shared" si="18"/>
        <v>5572072.7970967554</v>
      </c>
      <c r="H36" s="129">
        <f t="shared" si="19"/>
        <v>81751.209377500243</v>
      </c>
      <c r="I36" s="129">
        <f>VLOOKUP(fGasoline!$B36,'fEV Penetration'!$B:$U,10,0)</f>
        <v>150760.80195242105</v>
      </c>
      <c r="J36" s="130" cm="1">
        <f t="array" ref="J36">J35*(1-INDEX(HighEfficiency_Improvement_Gasoline,$B36-2020+2))+IF(H36&lt;$I$4,$I$3,0)</f>
        <v>1044.5082859898655</v>
      </c>
      <c r="K36" s="129">
        <f t="shared" si="4"/>
        <v>157470906.84178087</v>
      </c>
      <c r="L36" s="131">
        <f t="shared" si="20"/>
        <v>10355761738.303932</v>
      </c>
      <c r="M36" s="128">
        <f t="shared" si="11"/>
        <v>4.8183075686747401E-4</v>
      </c>
      <c r="N36" s="129">
        <f t="shared" si="21"/>
        <v>5220608.2563100839</v>
      </c>
      <c r="O36" s="129">
        <f t="shared" si="22"/>
        <v>76594.663095910291</v>
      </c>
      <c r="P36" s="129">
        <f>VLOOKUP(fGasoline!$B36,'fEV Penetration'!$B:$U,17,0)</f>
        <v>685261.80584823992</v>
      </c>
      <c r="Q36" s="130" cm="1">
        <f t="array" ref="Q36">Q35*(1-INDEX(LowEfficiency_Improvement_Gasoline,$B36-2020+2))</f>
        <v>812.98462039103367</v>
      </c>
      <c r="R36" s="129">
        <f t="shared" si="6"/>
        <v>557107309.09600556</v>
      </c>
      <c r="S36" s="131">
        <f t="shared" si="23"/>
        <v>8486249727.3243723</v>
      </c>
      <c r="T36" s="128">
        <f t="shared" si="15"/>
        <v>-2.2237504663321084E-2</v>
      </c>
      <c r="U36" s="83"/>
      <c r="V36" s="83">
        <f t="shared" si="16"/>
        <v>10355761738.303932</v>
      </c>
      <c r="W36" s="83">
        <f t="shared" si="17"/>
        <v>8486249727.3243723</v>
      </c>
      <c r="X36" s="79">
        <f t="shared" si="7"/>
        <v>1869512010.9795599</v>
      </c>
    </row>
    <row r="37" spans="2:54" x14ac:dyDescent="0.6">
      <c r="B37" s="76">
        <v>2037</v>
      </c>
      <c r="C37" s="82">
        <f>IFERROR((INDEX(GasolineDemandSupply,MATCH($B37,'Gasoline - DemandSupply'!C:C,0),MATCH($C$9,'Gasoline - DemandSupply'!$C$9:$AB$9,0))),)</f>
        <v>0</v>
      </c>
      <c r="G37" s="129">
        <f t="shared" si="18"/>
        <v>5661225.9618503032</v>
      </c>
      <c r="H37" s="129">
        <f t="shared" si="19"/>
        <v>82332.746526951087</v>
      </c>
      <c r="I37" s="129">
        <f>VLOOKUP(fGasoline!$B37,'fEV Penetration'!$B:$U,10,0)</f>
        <v>207957.48206895791</v>
      </c>
      <c r="J37" s="130" cm="1">
        <f t="array" ref="J37">J36*(1-INDEX(HighEfficiency_Improvement_Gasoline,$B37-2020+2))+IF(H37&lt;$I$4,$I$3,0)</f>
        <v>1034.0632031299667</v>
      </c>
      <c r="K37" s="129">
        <f t="shared" si="4"/>
        <v>215041180.02306923</v>
      </c>
      <c r="L37" s="131">
        <f t="shared" si="20"/>
        <v>10347832593.090933</v>
      </c>
      <c r="M37" s="128">
        <f t="shared" si="11"/>
        <v>-7.6567474352673415E-4</v>
      </c>
      <c r="N37" s="129">
        <f t="shared" si="21"/>
        <v>5272814.3388731852</v>
      </c>
      <c r="O37" s="129">
        <f t="shared" si="22"/>
        <v>76683.970816849513</v>
      </c>
      <c r="P37" s="129">
        <f>VLOOKUP(fGasoline!$B37,'fEV Penetration'!$B:$U,17,0)</f>
        <v>950882.0975802032</v>
      </c>
      <c r="Q37" s="130" cm="1">
        <f t="array" ref="Q37">Q36*(1-INDEX(LowEfficiency_Improvement_Gasoline,$B37-2020+2))</f>
        <v>800.78985108516815</v>
      </c>
      <c r="R37" s="129">
        <f t="shared" si="6"/>
        <v>761456733.32080328</v>
      </c>
      <c r="S37" s="131">
        <f t="shared" si="23"/>
        <v>8255880194.9967699</v>
      </c>
      <c r="T37" s="128">
        <f t="shared" si="15"/>
        <v>-2.7146211781377216E-2</v>
      </c>
      <c r="U37" s="83"/>
      <c r="V37" s="83">
        <f t="shared" si="16"/>
        <v>10347832593.090933</v>
      </c>
      <c r="W37" s="83">
        <f t="shared" si="17"/>
        <v>8255880194.9967699</v>
      </c>
      <c r="X37" s="79">
        <f t="shared" si="7"/>
        <v>2091952398.0941629</v>
      </c>
    </row>
    <row r="38" spans="2:54" x14ac:dyDescent="0.6">
      <c r="B38" s="76">
        <v>2038</v>
      </c>
      <c r="C38" s="82">
        <f>IFERROR((INDEX(GasolineDemandSupply,MATCH($B38,'Gasoline - DemandSupply'!C:C,0),MATCH($C$9,'Gasoline - DemandSupply'!$C$9:$AB$9,0))),)</f>
        <v>0</v>
      </c>
      <c r="G38" s="129">
        <f t="shared" si="18"/>
        <v>5751805.5772399083</v>
      </c>
      <c r="H38" s="129">
        <f t="shared" si="19"/>
        <v>82918.420440356451</v>
      </c>
      <c r="I38" s="129">
        <f>VLOOKUP(fGasoline!$B38,'fEV Penetration'!$B:$U,10,0)</f>
        <v>282409.10072826321</v>
      </c>
      <c r="J38" s="130" cm="1">
        <f t="array" ref="J38">J37*(1-INDEX(HighEfficiency_Improvement_Gasoline,$B38-2020+2))+IF(H38&lt;$I$4,$I$3,0)</f>
        <v>1023.722571098667</v>
      </c>
      <c r="K38" s="129">
        <f t="shared" ref="K38:K45" si="24">J38*I38</f>
        <v>289108570.69920003</v>
      </c>
      <c r="L38" s="131">
        <f t="shared" ref="L38:L45" si="25">($H38*$E$2)+($J38*$E$3)+$E$4-K38</f>
        <v>10324327295.626001</v>
      </c>
      <c r="M38" s="128">
        <f t="shared" ref="M38:M45" si="26">L38/L37-1</f>
        <v>-2.2715189150456228E-3</v>
      </c>
      <c r="N38" s="129">
        <f t="shared" si="21"/>
        <v>5325542.4822619176</v>
      </c>
      <c r="O38" s="129">
        <f t="shared" si="22"/>
        <v>76773.382668660226</v>
      </c>
      <c r="P38" s="129">
        <f>VLOOKUP(fGasoline!$B38,'fEV Penetration'!$B:$U,17,0)</f>
        <v>1265041.8258986713</v>
      </c>
      <c r="Q38" s="130" cm="1">
        <f t="array" ref="Q38">Q37*(1-INDEX(LowEfficiency_Improvement_Gasoline,$B38-2020+2))</f>
        <v>788.77800331889057</v>
      </c>
      <c r="R38" s="129">
        <f t="shared" ref="R38:R45" si="27">Q38*P38</f>
        <v>997837165.54723752</v>
      </c>
      <c r="S38" s="131">
        <f t="shared" ref="S38:S45" si="28">($O38*$E$2)+($Q38*$E$3)+$E$4-R38</f>
        <v>7994075573.7334099</v>
      </c>
      <c r="T38" s="128">
        <f t="shared" ref="T38:T45" si="29">S38/S37-1</f>
        <v>-3.171129123482419E-2</v>
      </c>
      <c r="U38" s="83"/>
      <c r="V38" s="83">
        <f t="shared" ref="V38:V45" si="30">L38</f>
        <v>10324327295.626001</v>
      </c>
      <c r="W38" s="83">
        <f t="shared" ref="W38:W45" si="31">S38</f>
        <v>7994075573.7334099</v>
      </c>
      <c r="X38" s="79">
        <f t="shared" ref="X38:X45" si="32">V38-W38</f>
        <v>2330251721.8925915</v>
      </c>
    </row>
    <row r="39" spans="2:54" x14ac:dyDescent="0.6">
      <c r="B39" s="76">
        <v>2039</v>
      </c>
      <c r="C39" s="82">
        <f>IFERROR((INDEX(GasolineDemandSupply,MATCH($B39,'Gasoline - DemandSupply'!C:C,0),MATCH($C$9,'Gasoline - DemandSupply'!$C$9:$AB$9,0))),)</f>
        <v>0</v>
      </c>
      <c r="G39" s="129">
        <f t="shared" si="18"/>
        <v>5843834.4664757466</v>
      </c>
      <c r="H39" s="129">
        <f t="shared" si="19"/>
        <v>83508.26054458275</v>
      </c>
      <c r="I39" s="129">
        <f>VLOOKUP(fGasoline!$B39,'fEV Penetration'!$B:$U,10,0)</f>
        <v>376874.32590970339</v>
      </c>
      <c r="J39" s="130" cm="1">
        <f t="array" ref="J39">J38*(1-INDEX(HighEfficiency_Improvement_Gasoline,$B39-2020+2))+IF(H39&lt;$I$4,$I$3,0)</f>
        <v>1013.4853453876804</v>
      </c>
      <c r="K39" s="129">
        <f t="shared" si="24"/>
        <v>381956606.36234492</v>
      </c>
      <c r="L39" s="131">
        <f t="shared" si="25"/>
        <v>10282963191.271063</v>
      </c>
      <c r="M39" s="128">
        <f t="shared" si="26"/>
        <v>-4.0064696876146444E-3</v>
      </c>
      <c r="N39" s="129">
        <f t="shared" si="21"/>
        <v>5378797.9070845367</v>
      </c>
      <c r="O39" s="129">
        <f t="shared" si="22"/>
        <v>76862.898772756773</v>
      </c>
      <c r="P39" s="129">
        <f>VLOOKUP(fGasoline!$B39,'fEV Penetration'!$B:$U,17,0)</f>
        <v>1618840.3365964903</v>
      </c>
      <c r="Q39" s="130" cm="1">
        <f t="array" ref="Q39">Q38*(1-INDEX(LowEfficiency_Improvement_Gasoline,$B39-2020+2))</f>
        <v>776.94633326910719</v>
      </c>
      <c r="R39" s="129">
        <f t="shared" si="27"/>
        <v>1257752063.6667705</v>
      </c>
      <c r="S39" s="131">
        <f t="shared" si="28"/>
        <v>7709323706.6023331</v>
      </c>
      <c r="T39" s="128">
        <f t="shared" si="29"/>
        <v>-3.5620362167540942E-2</v>
      </c>
      <c r="U39" s="83"/>
      <c r="V39" s="83">
        <f t="shared" si="30"/>
        <v>10282963191.271063</v>
      </c>
      <c r="W39" s="83">
        <f t="shared" si="31"/>
        <v>7709323706.6023331</v>
      </c>
      <c r="X39" s="79">
        <f t="shared" si="32"/>
        <v>2573639484.6687298</v>
      </c>
    </row>
    <row r="40" spans="2:54" x14ac:dyDescent="0.6">
      <c r="B40" s="76">
        <v>2040</v>
      </c>
      <c r="C40" s="82">
        <f>IFERROR((INDEX(GasolineDemandSupply,MATCH($B40,'Gasoline - DemandSupply'!C:C,0),MATCH($C$9,'Gasoline - DemandSupply'!$C$9:$AB$9,0))),)</f>
        <v>0</v>
      </c>
      <c r="G40" s="129">
        <f t="shared" si="18"/>
        <v>5937335.8179393588</v>
      </c>
      <c r="H40" s="129">
        <f t="shared" si="19"/>
        <v>84102.296475824405</v>
      </c>
      <c r="I40" s="129">
        <f>VLOOKUP(fGasoline!$B40,'fEV Penetration'!$B:$U,10,0)</f>
        <v>493468.93054505461</v>
      </c>
      <c r="J40" s="130" cm="1">
        <f t="array" ref="J40">J39*(1-INDEX(HighEfficiency_Improvement_Gasoline,$B40-2020+2))+IF(H40&lt;$I$4,$I$3,0)</f>
        <v>1003.3504919338036</v>
      </c>
      <c r="K40" s="129">
        <f t="shared" si="24"/>
        <v>495122294.21642852</v>
      </c>
      <c r="L40" s="131">
        <f t="shared" si="25"/>
        <v>10222204208.669664</v>
      </c>
      <c r="M40" s="128">
        <f t="shared" si="26"/>
        <v>-5.9087036947652605E-3</v>
      </c>
      <c r="N40" s="129">
        <f t="shared" si="21"/>
        <v>5432585.8861553818</v>
      </c>
      <c r="O40" s="129">
        <f t="shared" si="22"/>
        <v>76952.519250695055</v>
      </c>
      <c r="P40" s="129">
        <f>VLOOKUP(fGasoline!$B40,'fEV Penetration'!$B:$U,17,0)</f>
        <v>2002651.3035830276</v>
      </c>
      <c r="Q40" s="130" cm="1">
        <f t="array" ref="Q40">Q39*(1-INDEX(LowEfficiency_Improvement_Gasoline,$B40-2020+2))</f>
        <v>765.29213827007061</v>
      </c>
      <c r="R40" s="129">
        <f t="shared" si="27"/>
        <v>1532613298.3283994</v>
      </c>
      <c r="S40" s="131">
        <f t="shared" si="28"/>
        <v>7410204154.6791954</v>
      </c>
      <c r="T40" s="128">
        <f t="shared" si="29"/>
        <v>-3.8799713607429509E-2</v>
      </c>
      <c r="U40" s="83"/>
      <c r="V40" s="83">
        <f t="shared" si="30"/>
        <v>10222204208.669664</v>
      </c>
      <c r="W40" s="83">
        <f t="shared" si="31"/>
        <v>7410204154.6791954</v>
      </c>
      <c r="X40" s="79">
        <f t="shared" si="32"/>
        <v>2812000053.990469</v>
      </c>
    </row>
    <row r="41" spans="2:54" x14ac:dyDescent="0.6">
      <c r="B41" s="76">
        <v>2041</v>
      </c>
      <c r="C41" s="82">
        <f>IFERROR((INDEX(GasolineDemandSupply,MATCH($B41,'Gasoline - DemandSupply'!C:C,0),MATCH($C$9,'Gasoline - DemandSupply'!$C$9:$AB$9,0))),)</f>
        <v>0</v>
      </c>
      <c r="G41" s="129">
        <f t="shared" si="18"/>
        <v>6032333.1910263887</v>
      </c>
      <c r="H41" s="129">
        <f t="shared" si="19"/>
        <v>84700.558081092851</v>
      </c>
      <c r="I41" s="129">
        <f>VLOOKUP(fGasoline!$B41,'fEV Penetration'!$B:$U,10,0)</f>
        <v>633358.80121484958</v>
      </c>
      <c r="J41" s="130" cm="1">
        <f t="array" ref="J41">J40*(1-INDEX(HighEfficiency_Improvement_Gasoline,$B41-2020+2))+IF(H41&lt;$I$4,$I$3,0)</f>
        <v>993.31698701446555</v>
      </c>
      <c r="K41" s="129">
        <f t="shared" si="24"/>
        <v>629126056.1218282</v>
      </c>
      <c r="L41" s="131">
        <f t="shared" si="25"/>
        <v>10141530924.682507</v>
      </c>
      <c r="M41" s="128">
        <f t="shared" si="26"/>
        <v>-7.891965601581008E-3</v>
      </c>
      <c r="N41" s="129">
        <f t="shared" si="21"/>
        <v>5486911.7450169353</v>
      </c>
      <c r="O41" s="129">
        <f t="shared" si="22"/>
        <v>77042.244224172726</v>
      </c>
      <c r="P41" s="129">
        <f>VLOOKUP(fGasoline!$B41,'fEV Penetration'!$B:$U,17,0)</f>
        <v>2408137.1479004435</v>
      </c>
      <c r="Q41" s="130" cm="1">
        <f t="array" ref="Q41">Q40*(1-INDEX(LowEfficiency_Improvement_Gasoline,$B41-2020+2))</f>
        <v>753.81275619601956</v>
      </c>
      <c r="R41" s="129">
        <f t="shared" si="27"/>
        <v>1815284500.756855</v>
      </c>
      <c r="S41" s="131">
        <f t="shared" si="28"/>
        <v>7103844847.26791</v>
      </c>
      <c r="T41" s="128">
        <f t="shared" si="29"/>
        <v>-4.1342897039865489E-2</v>
      </c>
      <c r="U41" s="83"/>
      <c r="V41" s="83">
        <f t="shared" si="30"/>
        <v>10141530924.682507</v>
      </c>
      <c r="W41" s="83">
        <f t="shared" si="31"/>
        <v>7103844847.26791</v>
      </c>
      <c r="X41" s="79">
        <f t="shared" si="32"/>
        <v>3037686077.4145966</v>
      </c>
    </row>
    <row r="42" spans="2:54" x14ac:dyDescent="0.6">
      <c r="B42" s="76">
        <v>2042</v>
      </c>
      <c r="C42" s="82">
        <f>IFERROR((INDEX(GasolineDemandSupply,MATCH($B42,'Gasoline - DemandSupply'!C:C,0),MATCH($C$9,'Gasoline - DemandSupply'!$C$9:$AB$9,0))),)</f>
        <v>0</v>
      </c>
      <c r="G42" s="129">
        <f t="shared" si="18"/>
        <v>6128850.5220828112</v>
      </c>
      <c r="H42" s="129">
        <f t="shared" si="19"/>
        <v>85303.075419716231</v>
      </c>
      <c r="I42" s="129">
        <f>VLOOKUP(fGasoline!$B42,'fEV Penetration'!$B:$U,10,0)</f>
        <v>796638.84732783842</v>
      </c>
      <c r="J42" s="130" cm="1">
        <f t="array" ref="J42">J41*(1-INDEX(HighEfficiency_Improvement_Gasoline,$B42-2020+2))+IF(H42&lt;$I$4,$I$3,0)</f>
        <v>983.38381714432091</v>
      </c>
      <c r="K42" s="129">
        <f t="shared" si="24"/>
        <v>783401750.5707016</v>
      </c>
      <c r="L42" s="131">
        <f t="shared" si="25"/>
        <v>10041510542.297226</v>
      </c>
      <c r="M42" s="128">
        <f t="shared" si="26"/>
        <v>-9.8624540148913864E-3</v>
      </c>
      <c r="N42" s="129">
        <f t="shared" si="21"/>
        <v>5541780.8624671046</v>
      </c>
      <c r="O42" s="129">
        <f t="shared" si="22"/>
        <v>77132.073815029318</v>
      </c>
      <c r="P42" s="129">
        <f>VLOOKUP(fGasoline!$B42,'fEV Penetration'!$B:$U,17,0)</f>
        <v>2828974.5687349439</v>
      </c>
      <c r="Q42" s="130" cm="1">
        <f t="array" ref="Q42">Q41*(1-INDEX(LowEfficiency_Improvement_Gasoline,$B42-2020+2))</f>
        <v>742.50556485307925</v>
      </c>
      <c r="R42" s="129">
        <f t="shared" si="27"/>
        <v>2100529360.1135359</v>
      </c>
      <c r="S42" s="131">
        <f t="shared" si="28"/>
        <v>6795473782.6079836</v>
      </c>
      <c r="T42" s="128">
        <f t="shared" si="29"/>
        <v>-4.340903711861388E-2</v>
      </c>
      <c r="U42" s="83"/>
      <c r="V42" s="83">
        <f t="shared" si="30"/>
        <v>10041510542.297226</v>
      </c>
      <c r="W42" s="83">
        <f t="shared" si="31"/>
        <v>6795473782.6079836</v>
      </c>
      <c r="X42" s="79">
        <f t="shared" si="32"/>
        <v>3246036759.6892424</v>
      </c>
    </row>
    <row r="43" spans="2:54" x14ac:dyDescent="0.6">
      <c r="B43" s="76">
        <v>2043</v>
      </c>
      <c r="C43" s="82">
        <f>IFERROR((INDEX(GasolineDemandSupply,MATCH($B43,'Gasoline - DemandSupply'!C:C,0),MATCH($C$9,'Gasoline - DemandSupply'!$C$9:$AB$9,0))),)</f>
        <v>0</v>
      </c>
      <c r="G43" s="129">
        <f t="shared" si="18"/>
        <v>6226912.1304361364</v>
      </c>
      <c r="H43" s="129">
        <f t="shared" si="19"/>
        <v>85909.87876484968</v>
      </c>
      <c r="I43" s="129">
        <f>VLOOKUP(fGasoline!$B43,'fEV Penetration'!$B:$U,10,0)</f>
        <v>982434.44776131317</v>
      </c>
      <c r="J43" s="130" cm="1">
        <f t="array" ref="J43">J42*(1-INDEX(HighEfficiency_Improvement_Gasoline,$B43-2020+2))+IF(H43&lt;$I$4,$I$3,0)</f>
        <v>973.54997897287774</v>
      </c>
      <c r="K43" s="129">
        <f t="shared" si="24"/>
        <v>956449035.96025717</v>
      </c>
      <c r="L43" s="131">
        <f t="shared" si="25"/>
        <v>9923644527.2449951</v>
      </c>
      <c r="M43" s="128">
        <f t="shared" si="26"/>
        <v>-1.1737876941497083E-2</v>
      </c>
      <c r="N43" s="129">
        <f t="shared" si="21"/>
        <v>5597198.6710917754</v>
      </c>
      <c r="O43" s="129">
        <f t="shared" si="22"/>
        <v>77222.008145246436</v>
      </c>
      <c r="P43" s="129">
        <f>VLOOKUP(fGasoline!$B43,'fEV Penetration'!$B:$U,17,0)</f>
        <v>3260748.8511515497</v>
      </c>
      <c r="Q43" s="130" cm="1">
        <f t="array" ref="Q43">Q42*(1-INDEX(LowEfficiency_Improvement_Gasoline,$B43-2020+2))</f>
        <v>731.36798138028303</v>
      </c>
      <c r="R43" s="129">
        <f t="shared" si="27"/>
        <v>2384807305.0547857</v>
      </c>
      <c r="S43" s="131">
        <f t="shared" si="28"/>
        <v>6488623344.4134836</v>
      </c>
      <c r="T43" s="128">
        <f t="shared" si="29"/>
        <v>-4.5155120600985699E-2</v>
      </c>
      <c r="U43" s="83"/>
      <c r="V43" s="83">
        <f t="shared" si="30"/>
        <v>9923644527.2449951</v>
      </c>
      <c r="W43" s="83">
        <f t="shared" si="31"/>
        <v>6488623344.4134836</v>
      </c>
      <c r="X43" s="79">
        <f t="shared" si="32"/>
        <v>3435021182.8315115</v>
      </c>
    </row>
    <row r="44" spans="2:54" x14ac:dyDescent="0.6">
      <c r="B44" s="76">
        <v>2044</v>
      </c>
      <c r="C44" s="82">
        <f>IFERROR((INDEX(GasolineDemandSupply,MATCH($B44,'Gasoline - DemandSupply'!C:C,0),MATCH($C$9,'Gasoline - DemandSupply'!$C$9:$AB$9,0))),)</f>
        <v>0</v>
      </c>
      <c r="G44" s="129">
        <f t="shared" si="18"/>
        <v>6326542.724523115</v>
      </c>
      <c r="H44" s="129">
        <f t="shared" si="19"/>
        <v>86520.998604996392</v>
      </c>
      <c r="I44" s="129">
        <f>VLOOKUP(fGasoline!$B44,'fEV Penetration'!$B:$U,10,0)</f>
        <v>1189170.5853819475</v>
      </c>
      <c r="J44" s="130" cm="1">
        <f t="array" ref="J44">J43*(1-INDEX(HighEfficiency_Improvement_Gasoline,$B44-2020+2))+IF(H44&lt;$I$4,$I$3,0)</f>
        <v>963.81447918314893</v>
      </c>
      <c r="K44" s="129">
        <f t="shared" si="24"/>
        <v>1146139828.409822</v>
      </c>
      <c r="L44" s="131">
        <f t="shared" si="25"/>
        <v>9790062150.0781479</v>
      </c>
      <c r="M44" s="128">
        <f t="shared" si="26"/>
        <v>-1.3461019971050092E-2</v>
      </c>
      <c r="N44" s="129">
        <f t="shared" si="21"/>
        <v>5653170.6578026935</v>
      </c>
      <c r="O44" s="129">
        <f t="shared" si="22"/>
        <v>77312.0473369479</v>
      </c>
      <c r="P44" s="129">
        <f>VLOOKUP(fGasoline!$B44,'fEV Penetration'!$B:$U,17,0)</f>
        <v>3700533.2336990759</v>
      </c>
      <c r="Q44" s="130" cm="1">
        <f t="array" ref="Q44">Q43*(1-INDEX(LowEfficiency_Improvement_Gasoline,$B44-2020+2))</f>
        <v>720.39746165957877</v>
      </c>
      <c r="R44" s="129">
        <f t="shared" si="27"/>
        <v>2665854748.3437271</v>
      </c>
      <c r="S44" s="131">
        <f t="shared" si="28"/>
        <v>6185549055.3869839</v>
      </c>
      <c r="T44" s="128">
        <f t="shared" si="29"/>
        <v>-4.6708565583089001E-2</v>
      </c>
      <c r="U44" s="83"/>
      <c r="V44" s="83">
        <f t="shared" si="30"/>
        <v>9790062150.0781479</v>
      </c>
      <c r="W44" s="83">
        <f t="shared" si="31"/>
        <v>6185549055.3869839</v>
      </c>
      <c r="X44" s="79">
        <f t="shared" si="32"/>
        <v>3604513094.691164</v>
      </c>
      <c r="AH44" s="121"/>
      <c r="AI44" s="121"/>
      <c r="BA44" s="121"/>
      <c r="BB44" s="121"/>
    </row>
    <row r="45" spans="2:54" x14ac:dyDescent="0.6">
      <c r="B45" s="76">
        <v>2045</v>
      </c>
      <c r="C45" s="82">
        <f>IFERROR((INDEX(GasolineDemandSupply,MATCH($B45,'Gasoline - DemandSupply'!C:C,0),MATCH($C$9,'Gasoline - DemandSupply'!$C$9:$AB$9,0))),)</f>
        <v>0</v>
      </c>
      <c r="G45" s="129">
        <f t="shared" si="18"/>
        <v>6427767.4081154848</v>
      </c>
      <c r="H45" s="129">
        <f t="shared" si="19"/>
        <v>87136.465645539502</v>
      </c>
      <c r="I45" s="129">
        <f>VLOOKUP(fGasoline!$B45,'fEV Penetration'!$B:$U,10,0)</f>
        <v>1414902.1939575099</v>
      </c>
      <c r="J45" s="130" cm="1">
        <f t="array" ref="J45">J44*(1-INDEX(HighEfficiency_Improvement_Gasoline,$B45-2020+2))+IF(H45&lt;$I$4,$I$3,0)</f>
        <v>954.17633439131748</v>
      </c>
      <c r="K45" s="129">
        <f t="shared" si="24"/>
        <v>1350066188.9526098</v>
      </c>
      <c r="L45" s="131">
        <f t="shared" si="25"/>
        <v>9643172598.8778324</v>
      </c>
      <c r="M45" s="128">
        <f t="shared" si="26"/>
        <v>-1.5003944709293116E-2</v>
      </c>
      <c r="N45" s="129">
        <f t="shared" si="21"/>
        <v>5709702.3643807201</v>
      </c>
      <c r="O45" s="129">
        <f t="shared" si="22"/>
        <v>77402.19151239995</v>
      </c>
      <c r="P45" s="129">
        <f>VLOOKUP(fGasoline!$B45,'fEV Penetration'!$B:$U,17,0)</f>
        <v>4146448.9791513071</v>
      </c>
      <c r="Q45" s="130" cm="1">
        <f t="array" ref="Q45">Q44*(1-INDEX(LowEfficiency_Improvement_Gasoline,$B45-2020+2))</f>
        <v>709.59149973468504</v>
      </c>
      <c r="R45" s="129">
        <f t="shared" si="27"/>
        <v>2942284949.6893296</v>
      </c>
      <c r="S45" s="131">
        <f t="shared" si="28"/>
        <v>5887629712.5344009</v>
      </c>
      <c r="T45" s="128">
        <f t="shared" si="29"/>
        <v>-4.8163766900066185E-2</v>
      </c>
      <c r="U45" s="83"/>
      <c r="V45" s="83">
        <f t="shared" si="30"/>
        <v>9643172598.8778324</v>
      </c>
      <c r="W45" s="83">
        <f t="shared" si="31"/>
        <v>5887629712.5344009</v>
      </c>
      <c r="X45" s="79">
        <f t="shared" si="32"/>
        <v>3755542886.3434315</v>
      </c>
      <c r="AH45" s="121"/>
      <c r="AI45" s="121"/>
      <c r="BA45" s="121"/>
      <c r="BB45" s="121"/>
    </row>
    <row r="46" spans="2:54" x14ac:dyDescent="0.6">
      <c r="AH46" s="121"/>
      <c r="AI46" s="121"/>
      <c r="BA46" s="121"/>
      <c r="BB46" s="121"/>
    </row>
    <row r="47" spans="2:54" x14ac:dyDescent="0.6">
      <c r="H47" s="108"/>
      <c r="AH47" s="121"/>
      <c r="AI47" s="121"/>
      <c r="BA47" s="121"/>
      <c r="BB47" s="121"/>
    </row>
    <row r="48" spans="2:54" x14ac:dyDescent="0.6">
      <c r="AH48" s="121"/>
      <c r="AI48" s="121"/>
      <c r="BA48" s="121"/>
      <c r="BB48" s="121"/>
    </row>
    <row r="49" spans="34:54" x14ac:dyDescent="0.6">
      <c r="AH49" s="121"/>
      <c r="AI49" s="121"/>
      <c r="BA49" s="121"/>
      <c r="BB49" s="121"/>
    </row>
    <row r="50" spans="34:54" x14ac:dyDescent="0.6">
      <c r="AH50" s="121"/>
      <c r="AI50" s="121"/>
      <c r="BA50" s="121"/>
      <c r="BB50" s="121"/>
    </row>
    <row r="51" spans="34:54" x14ac:dyDescent="0.6">
      <c r="AH51" s="121"/>
      <c r="AI51" s="121"/>
      <c r="BA51" s="121"/>
      <c r="BB51" s="121"/>
    </row>
    <row r="52" spans="34:54" x14ac:dyDescent="0.6">
      <c r="AH52" s="121"/>
      <c r="AI52" s="121"/>
      <c r="BA52" s="121"/>
      <c r="BB52" s="121"/>
    </row>
    <row r="53" spans="34:54" x14ac:dyDescent="0.6">
      <c r="AH53" s="121"/>
      <c r="AI53" s="121"/>
      <c r="BA53" s="121"/>
      <c r="BB53" s="121"/>
    </row>
    <row r="54" spans="34:54" x14ac:dyDescent="0.6">
      <c r="AH54" s="121"/>
      <c r="AI54" s="121"/>
      <c r="BA54" s="121"/>
      <c r="BB54" s="121"/>
    </row>
  </sheetData>
  <mergeCells count="6">
    <mergeCell ref="AJ1:AZ3"/>
    <mergeCell ref="G8:M8"/>
    <mergeCell ref="N8:T8"/>
    <mergeCell ref="G2:H2"/>
    <mergeCell ref="G3:H3"/>
    <mergeCell ref="G4:H4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1731519-7634-4C77-A175-789CDFF5C02A}">
          <x14:formula1>
            <xm:f>Assumptions!$AA$8:$AD$8</xm:f>
          </x14:formula1>
          <xm:sqref>D9:E9</xm:sqref>
        </x14:dataValidation>
        <x14:dataValidation type="list" allowBlank="1" showInputMessage="1" showErrorMessage="1" xr:uid="{8423164E-91F7-44FD-A7E8-196E5E9D0DE2}">
          <x14:formula1>
            <xm:f>Assumptions!$L$44:$L$47</xm:f>
          </x14:formula1>
          <xm:sqref>F9</xm:sqref>
        </x14:dataValidation>
        <x14:dataValidation type="list" allowBlank="1" showInputMessage="1" showErrorMessage="1" xr:uid="{BD0D73E5-4590-426A-B600-157CC6BCF482}">
          <x14:formula1>
            <xm:f>Assumptions!$H$44:$H$45</xm:f>
          </x14:formula1>
          <xm:sqref>C9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8CE0-E1C6-410C-900A-226E88B90959}">
  <sheetPr>
    <tabColor theme="5"/>
  </sheetPr>
  <dimension ref="A1:Y118"/>
  <sheetViews>
    <sheetView tabSelected="1" zoomScale="54" zoomScaleNormal="54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5" sqref="A25:XFD25"/>
    </sheetView>
  </sheetViews>
  <sheetFormatPr defaultRowHeight="14.25" x14ac:dyDescent="0.45"/>
  <cols>
    <col min="1" max="2" width="8.59765625" bestFit="1" customWidth="1"/>
    <col min="3" max="3" width="9.59765625" customWidth="1"/>
    <col min="4" max="4" width="17.3984375" bestFit="1" customWidth="1"/>
    <col min="5" max="6" width="18.3984375" bestFit="1" customWidth="1"/>
    <col min="7" max="7" width="14.3984375" bestFit="1" customWidth="1"/>
    <col min="8" max="8" width="14.59765625" bestFit="1" customWidth="1"/>
    <col min="9" max="9" width="14.3984375" bestFit="1" customWidth="1"/>
    <col min="10" max="10" width="14.3984375" customWidth="1"/>
    <col min="11" max="12" width="16.3984375" customWidth="1"/>
    <col min="13" max="13" width="28.1328125" bestFit="1" customWidth="1"/>
    <col min="14" max="15" width="15" bestFit="1" customWidth="1"/>
    <col min="16" max="18" width="14.3984375" bestFit="1" customWidth="1"/>
    <col min="19" max="20" width="15" bestFit="1" customWidth="1"/>
    <col min="21" max="22" width="16.3984375" bestFit="1" customWidth="1"/>
    <col min="24" max="24" width="19.3984375" style="440" bestFit="1" customWidth="1"/>
    <col min="25" max="25" width="16.3984375" bestFit="1" customWidth="1"/>
  </cols>
  <sheetData>
    <row r="1" spans="1:22" ht="14.1" hidden="1" customHeight="1" x14ac:dyDescent="0.45">
      <c r="B1" s="494" t="s">
        <v>352</v>
      </c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6"/>
    </row>
    <row r="2" spans="1:22" hidden="1" x14ac:dyDescent="0.45">
      <c r="B2" s="497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  <c r="V2" s="499"/>
    </row>
    <row r="3" spans="1:22" ht="14.65" hidden="1" thickBot="1" x14ac:dyDescent="0.5">
      <c r="B3" s="500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2"/>
    </row>
    <row r="4" spans="1:22" hidden="1" x14ac:dyDescent="0.45"/>
    <row r="5" spans="1:22" hidden="1" x14ac:dyDescent="0.45"/>
    <row r="6" spans="1:22" ht="14.65" hidden="1" thickBot="1" x14ac:dyDescent="0.5"/>
    <row r="7" spans="1:22" ht="14.65" hidden="1" thickBot="1" x14ac:dyDescent="0.5">
      <c r="A7" s="491" t="s">
        <v>353</v>
      </c>
      <c r="B7" s="492"/>
      <c r="C7" s="492"/>
      <c r="D7" s="492"/>
      <c r="E7" s="492"/>
      <c r="F7" s="492"/>
      <c r="G7" s="492"/>
      <c r="H7" s="492"/>
      <c r="I7" s="492"/>
      <c r="J7" s="492"/>
      <c r="K7" s="492"/>
      <c r="L7" s="492"/>
      <c r="M7" s="492"/>
      <c r="N7" s="492"/>
      <c r="O7" s="492"/>
      <c r="P7" s="492"/>
      <c r="Q7" s="492"/>
      <c r="R7" s="492"/>
      <c r="S7" s="492"/>
      <c r="T7" s="492"/>
      <c r="U7" s="492"/>
      <c r="V7" s="493"/>
    </row>
    <row r="8" spans="1:22" ht="14.65" hidden="1" thickBot="1" x14ac:dyDescent="0.5">
      <c r="A8" s="503"/>
      <c r="B8" s="504"/>
      <c r="C8" s="504"/>
      <c r="D8" s="504"/>
      <c r="E8" s="505" t="s">
        <v>354</v>
      </c>
      <c r="F8" s="506"/>
      <c r="G8" s="506"/>
      <c r="H8" s="506"/>
      <c r="I8" s="506"/>
      <c r="J8" s="506"/>
      <c r="K8" s="506"/>
      <c r="L8" s="506"/>
      <c r="M8" s="507"/>
      <c r="N8" s="508" t="s">
        <v>355</v>
      </c>
      <c r="O8" s="508"/>
      <c r="P8" s="508"/>
      <c r="Q8" s="508"/>
      <c r="R8" s="508"/>
      <c r="S8" s="508"/>
      <c r="T8" s="508"/>
      <c r="U8" s="508"/>
      <c r="V8" s="509"/>
    </row>
    <row r="9" spans="1:22" ht="31.5" hidden="1" x14ac:dyDescent="0.45">
      <c r="A9" s="412" t="s">
        <v>30</v>
      </c>
      <c r="B9" s="413" t="s">
        <v>356</v>
      </c>
      <c r="C9" s="413" t="s">
        <v>357</v>
      </c>
      <c r="D9" s="414" t="s">
        <v>358</v>
      </c>
      <c r="E9" s="415" t="s">
        <v>198</v>
      </c>
      <c r="F9" s="416" t="s">
        <v>199</v>
      </c>
      <c r="G9" s="416" t="s">
        <v>97</v>
      </c>
      <c r="H9" s="416" t="s">
        <v>200</v>
      </c>
      <c r="I9" s="416" t="s">
        <v>201</v>
      </c>
      <c r="J9" s="417" t="s">
        <v>359</v>
      </c>
      <c r="K9" s="417" t="s">
        <v>360</v>
      </c>
      <c r="L9" s="417"/>
      <c r="M9" s="418" t="s">
        <v>361</v>
      </c>
      <c r="N9" s="419" t="s">
        <v>198</v>
      </c>
      <c r="O9" s="413" t="s">
        <v>199</v>
      </c>
      <c r="P9" s="413" t="s">
        <v>97</v>
      </c>
      <c r="Q9" s="413" t="s">
        <v>200</v>
      </c>
      <c r="R9" s="413" t="s">
        <v>201</v>
      </c>
      <c r="S9" s="414" t="s">
        <v>359</v>
      </c>
      <c r="T9" s="414" t="s">
        <v>360</v>
      </c>
      <c r="U9" s="263"/>
      <c r="V9" s="420" t="s">
        <v>361</v>
      </c>
    </row>
    <row r="10" spans="1:22" ht="15.75" x14ac:dyDescent="0.6">
      <c r="A10" s="421">
        <v>2010</v>
      </c>
      <c r="B10" s="422">
        <f>VLOOKUP($A10,'[1]Jet - DemandSupply'!$Y$9:$AC$47,4,0)</f>
        <v>8.5926030902629957E-2</v>
      </c>
      <c r="C10" s="422"/>
      <c r="D10" s="423">
        <f>VLOOKUP(A10,'[1]Jet - DemandSupply'!Y9:AC47,2,FALSE)</f>
        <v>268471772.32704401</v>
      </c>
      <c r="E10" s="424"/>
      <c r="F10" s="425"/>
      <c r="G10" s="425"/>
      <c r="H10" s="425"/>
      <c r="I10" s="425"/>
      <c r="J10" s="425"/>
      <c r="K10" s="425"/>
      <c r="L10" s="425"/>
      <c r="M10" s="426"/>
      <c r="N10" s="427"/>
      <c r="O10" s="427"/>
      <c r="P10" s="427"/>
      <c r="Q10" s="427"/>
      <c r="R10" s="427"/>
      <c r="S10" s="427"/>
      <c r="T10" s="427"/>
      <c r="U10" s="427"/>
      <c r="V10" s="404"/>
    </row>
    <row r="11" spans="1:22" ht="15.75" x14ac:dyDescent="0.6">
      <c r="A11" s="421">
        <v>2011</v>
      </c>
      <c r="B11" s="422">
        <f>VLOOKUP(A11,'[1]Jet - DemandSupply'!Y10:AC48,4,0)</f>
        <v>7.5487477239832484E-2</v>
      </c>
      <c r="C11" s="422"/>
      <c r="D11" s="423">
        <f>VLOOKUP(A11,'[1]Jet - DemandSupply'!Y10:AC48,2,FALSE)</f>
        <v>250648096.8553459</v>
      </c>
      <c r="E11" s="424"/>
      <c r="F11" s="425"/>
      <c r="G11" s="425"/>
      <c r="H11" s="425"/>
      <c r="I11" s="425"/>
      <c r="J11" s="425"/>
      <c r="K11" s="425"/>
      <c r="L11" s="425"/>
      <c r="M11" s="426"/>
      <c r="N11" s="427"/>
      <c r="O11" s="427"/>
      <c r="P11" s="427"/>
      <c r="Q11" s="427"/>
      <c r="R11" s="427"/>
      <c r="S11" s="427"/>
      <c r="T11" s="427"/>
      <c r="U11" s="427"/>
      <c r="V11" s="404"/>
    </row>
    <row r="12" spans="1:22" ht="15.75" x14ac:dyDescent="0.6">
      <c r="A12" s="421">
        <v>2012</v>
      </c>
      <c r="B12" s="422">
        <f>VLOOKUP(A12,'[1]Jet - DemandSupply'!Y11:AC49,4,0)</f>
        <v>7.2990095800421928E-2</v>
      </c>
      <c r="C12" s="422"/>
      <c r="D12" s="423">
        <f>VLOOKUP(A12,'[1]Jet - DemandSupply'!Y11:AC49,2,FALSE)</f>
        <v>230988941.75999999</v>
      </c>
      <c r="E12" s="424"/>
      <c r="F12" s="425"/>
      <c r="G12" s="425"/>
      <c r="H12" s="425"/>
      <c r="I12" s="425"/>
      <c r="J12" s="425"/>
      <c r="K12" s="425"/>
      <c r="L12" s="425"/>
      <c r="M12" s="426"/>
      <c r="N12" s="427"/>
      <c r="O12" s="427"/>
      <c r="P12" s="427"/>
      <c r="Q12" s="427"/>
      <c r="R12" s="427"/>
      <c r="S12" s="427"/>
      <c r="T12" s="427"/>
      <c r="U12" s="427"/>
      <c r="V12" s="404"/>
    </row>
    <row r="13" spans="1:22" ht="15.75" x14ac:dyDescent="0.6">
      <c r="A13" s="421">
        <v>2013</v>
      </c>
      <c r="B13" s="422">
        <f>VLOOKUP(A13,'[1]Jet - DemandSupply'!Y12:AC50,4,0)</f>
        <v>6.1805261546046361E-2</v>
      </c>
      <c r="C13" s="422"/>
      <c r="D13" s="423">
        <f>VLOOKUP(A13,'[1]Jet - DemandSupply'!Y12:AC50,2,FALSE)</f>
        <v>182636168.09</v>
      </c>
      <c r="E13" s="424"/>
      <c r="F13" s="425"/>
      <c r="G13" s="425"/>
      <c r="H13" s="425"/>
      <c r="I13" s="425"/>
      <c r="J13" s="425"/>
      <c r="K13" s="425"/>
      <c r="L13" s="425"/>
      <c r="M13" s="426"/>
      <c r="N13" s="427"/>
      <c r="O13" s="427"/>
      <c r="P13" s="427"/>
      <c r="Q13" s="427"/>
      <c r="R13" s="427"/>
      <c r="S13" s="427"/>
      <c r="T13" s="427"/>
      <c r="U13" s="427"/>
      <c r="V13" s="404"/>
    </row>
    <row r="14" spans="1:22" ht="15.75" x14ac:dyDescent="0.6">
      <c r="A14" s="421">
        <v>2014</v>
      </c>
      <c r="B14" s="422">
        <f>VLOOKUP(A14,'[1]Jet - DemandSupply'!Y13:AC51,4,0)</f>
        <v>9.629293786301292E-2</v>
      </c>
      <c r="C14" s="422"/>
      <c r="D14" s="423">
        <f>VLOOKUP(A14,'[1]Jet - DemandSupply'!Y13:AC51,2,FALSE)</f>
        <v>287722211.38</v>
      </c>
      <c r="E14" s="424"/>
      <c r="F14" s="425"/>
      <c r="G14" s="425"/>
      <c r="H14" s="425"/>
      <c r="I14" s="425"/>
      <c r="J14" s="425"/>
      <c r="K14" s="425"/>
      <c r="L14" s="425"/>
      <c r="M14" s="426"/>
      <c r="N14" s="427"/>
      <c r="O14" s="427"/>
      <c r="P14" s="427"/>
      <c r="Q14" s="427"/>
      <c r="R14" s="427"/>
      <c r="S14" s="427"/>
      <c r="T14" s="427"/>
      <c r="U14" s="427"/>
      <c r="V14" s="404"/>
    </row>
    <row r="15" spans="1:22" ht="15.75" x14ac:dyDescent="0.6">
      <c r="A15" s="421">
        <v>2015</v>
      </c>
      <c r="B15" s="422">
        <f>VLOOKUP(A15,'[1]Jet - DemandSupply'!Y14:AC52,4,0)</f>
        <v>6.9671837170683731E-2</v>
      </c>
      <c r="C15" s="422"/>
      <c r="D15" s="423">
        <f>VLOOKUP(A15,'[1]Jet - DemandSupply'!Y14:AC52,2,FALSE)</f>
        <v>275033735.25</v>
      </c>
      <c r="E15" s="424"/>
      <c r="F15" s="425"/>
      <c r="G15" s="425"/>
      <c r="H15" s="425"/>
      <c r="I15" s="425"/>
      <c r="J15" s="425"/>
      <c r="K15" s="425"/>
      <c r="L15" s="425"/>
      <c r="M15" s="426"/>
      <c r="N15" s="427"/>
      <c r="O15" s="427"/>
      <c r="P15" s="427"/>
      <c r="Q15" s="427"/>
      <c r="R15" s="427"/>
      <c r="S15" s="427"/>
      <c r="T15" s="427"/>
      <c r="U15" s="427"/>
      <c r="V15" s="404"/>
    </row>
    <row r="16" spans="1:22" ht="15.75" x14ac:dyDescent="0.6">
      <c r="A16" s="421">
        <v>2016</v>
      </c>
      <c r="B16" s="422">
        <f>VLOOKUP(A16,'[1]Jet - DemandSupply'!Y15:AC53,4,0)</f>
        <v>3.0290258822475481E-2</v>
      </c>
      <c r="C16" s="422"/>
      <c r="D16" s="423">
        <f>VLOOKUP(A16,'[1]Jet - DemandSupply'!Y15:AC53,2,FALSE)</f>
        <v>108419489.34</v>
      </c>
      <c r="E16" s="424"/>
      <c r="F16" s="425"/>
      <c r="G16" s="425"/>
      <c r="H16" s="425"/>
      <c r="I16" s="425"/>
      <c r="J16" s="425"/>
      <c r="K16" s="425"/>
      <c r="L16" s="425"/>
      <c r="M16" s="426"/>
      <c r="N16" s="427"/>
      <c r="O16" s="427"/>
      <c r="P16" s="427"/>
      <c r="Q16" s="427"/>
      <c r="R16" s="427"/>
      <c r="S16" s="427"/>
      <c r="T16" s="427"/>
      <c r="U16" s="427"/>
      <c r="V16" s="404"/>
    </row>
    <row r="17" spans="1:22" ht="15.75" x14ac:dyDescent="0.6">
      <c r="A17" s="421">
        <v>2017</v>
      </c>
      <c r="B17" s="422">
        <f>VLOOKUP(A17,'[1]Jet - DemandSupply'!Y16:AC54,4,0)</f>
        <v>0.11169082129528275</v>
      </c>
      <c r="C17" s="422"/>
      <c r="D17" s="423">
        <f>VLOOKUP(A17,'[1]Jet - DemandSupply'!Y16:AC54,2,FALSE)</f>
        <v>421007012</v>
      </c>
      <c r="E17" s="424"/>
      <c r="F17" s="425"/>
      <c r="G17" s="425"/>
      <c r="H17" s="425"/>
      <c r="I17" s="425"/>
      <c r="J17" s="425"/>
      <c r="K17" s="425"/>
      <c r="L17" s="425"/>
      <c r="M17" s="426"/>
      <c r="N17" s="427"/>
      <c r="O17" s="427"/>
      <c r="P17" s="427"/>
      <c r="Q17" s="427"/>
      <c r="R17" s="427"/>
      <c r="S17" s="427"/>
      <c r="T17" s="427"/>
      <c r="U17" s="427"/>
      <c r="V17" s="404"/>
    </row>
    <row r="18" spans="1:22" ht="15.75" x14ac:dyDescent="0.6">
      <c r="A18" s="421">
        <v>2018</v>
      </c>
      <c r="B18" s="422">
        <f>VLOOKUP(A18,'[1]Jet - DemandSupply'!Y17:AC55,4,0)</f>
        <v>0.11288072522106848</v>
      </c>
      <c r="C18" s="422"/>
      <c r="D18" s="423">
        <f>VLOOKUP(A18,'[1]Jet - DemandSupply'!Y17:AC55,2,FALSE)</f>
        <v>395028362.75</v>
      </c>
      <c r="E18" s="424"/>
      <c r="F18" s="425"/>
      <c r="G18" s="425"/>
      <c r="H18" s="425"/>
      <c r="I18" s="425"/>
      <c r="J18" s="425"/>
      <c r="K18" s="425"/>
      <c r="L18" s="425"/>
      <c r="M18" s="426"/>
      <c r="N18" s="427"/>
      <c r="O18" s="427"/>
      <c r="P18" s="427"/>
      <c r="Q18" s="427"/>
      <c r="R18" s="427"/>
      <c r="S18" s="427"/>
      <c r="T18" s="427"/>
      <c r="U18" s="427"/>
      <c r="V18" s="404"/>
    </row>
    <row r="19" spans="1:22" ht="15.75" x14ac:dyDescent="0.6">
      <c r="A19" s="421">
        <v>2019</v>
      </c>
      <c r="B19" s="422">
        <f>VLOOKUP(A19,'[1]Jet - DemandSupply'!Y18:AC56,4,0)</f>
        <v>0.13578359067295812</v>
      </c>
      <c r="C19" s="422"/>
      <c r="D19" s="423">
        <f>VLOOKUP(A19,'[1]Jet - DemandSupply'!Y18:AC56,2,FALSE)</f>
        <v>461709651</v>
      </c>
      <c r="E19" s="424">
        <f>(VLOOKUP($A19,'[1]Jet - DemandSupply'!$E$27:$K$31, MATCH(E$9, '[1]Jet - DemandSupply'!$E$26:$K$26, 0),FALSE))*$B19</f>
        <v>11406387.950196559</v>
      </c>
      <c r="F19" s="425">
        <f>(VLOOKUP($A19,'[1]Jet - DemandSupply'!$E$27:$K$31, MATCH(F$9, '[1]Jet - DemandSupply'!$E$26:$K$26, 0),FALSE))*$B19</f>
        <v>188908223.73980209</v>
      </c>
      <c r="G19" s="425">
        <f>(VLOOKUP($A19,'[1]Jet - DemandSupply'!$E$27:$K$31, MATCH(G$9, '[1]Jet - DemandSupply'!$E$26:$K$26, 0),FALSE))*$B19</f>
        <v>11361408.060017571</v>
      </c>
      <c r="H19" s="425">
        <f>(VLOOKUP($A19,'[1]Jet - DemandSupply'!$E$27:$K$31, MATCH(H$9, '[1]Jet - DemandSupply'!$E$26:$K$26, 0),FALSE))*$B19</f>
        <v>67561902.899801552</v>
      </c>
      <c r="I19" s="425">
        <f>(VLOOKUP($A19,'[1]Jet - DemandSupply'!$E$27:$K$31, MATCH(I$9, '[1]Jet - DemandSupply'!$E$26:$K$26, 0),FALSE))*$B19</f>
        <v>51918240.230794989</v>
      </c>
      <c r="J19" s="425">
        <f>G19</f>
        <v>11361408.060017571</v>
      </c>
      <c r="K19" s="425">
        <f>H19</f>
        <v>67561902.899801552</v>
      </c>
      <c r="L19" s="425"/>
      <c r="M19" s="426">
        <f t="shared" ref="M19:M23" si="0">SUM(E19:I19)</f>
        <v>331156162.88061273</v>
      </c>
      <c r="N19" s="427"/>
      <c r="O19" s="427"/>
      <c r="P19" s="427"/>
      <c r="Q19" s="427"/>
      <c r="R19" s="427"/>
      <c r="S19" s="427"/>
      <c r="T19" s="427"/>
      <c r="U19" s="427"/>
      <c r="V19" s="404"/>
    </row>
    <row r="20" spans="1:22" ht="15.75" x14ac:dyDescent="0.6">
      <c r="A20" s="421">
        <v>2020</v>
      </c>
      <c r="B20" s="422">
        <f>VLOOKUP(A20,'[1]Jet - DemandSupply'!Y19:AC57,4,0)</f>
        <v>0.27693071257479246</v>
      </c>
      <c r="C20" s="422"/>
      <c r="D20" s="423">
        <f>VLOOKUP(A20,'[1]Jet - DemandSupply'!Y19:AC57,2,FALSE)</f>
        <v>671350193</v>
      </c>
      <c r="E20" s="424">
        <f>(VLOOKUP($A20,'[1]Jet - DemandSupply'!$E$27:$K$31, MATCH(E$9, '[1]Jet - DemandSupply'!$E$26:$K$26, 0),FALSE))*$B20</f>
        <v>19938553.524516776</v>
      </c>
      <c r="F20" s="425">
        <f>(VLOOKUP($A20,'[1]Jet - DemandSupply'!$E$27:$K$31, MATCH(F$9, '[1]Jet - DemandSupply'!$E$26:$K$26, 0),FALSE))*$B20</f>
        <v>146842252.7238341</v>
      </c>
      <c r="G20" s="425">
        <f>(VLOOKUP($A20,'[1]Jet - DemandSupply'!$E$27:$K$31, MATCH(G$9, '[1]Jet - DemandSupply'!$E$26:$K$26, 0),FALSE))*$B20</f>
        <v>12418421.712973662</v>
      </c>
      <c r="H20" s="425">
        <f>(VLOOKUP($A20,'[1]Jet - DemandSupply'!$E$27:$K$31, MATCH(H$9, '[1]Jet - DemandSupply'!$E$26:$K$26, 0),FALSE))*$B20</f>
        <v>89053321.222676277</v>
      </c>
      <c r="I20" s="425">
        <f>(VLOOKUP($A20,'[1]Jet - DemandSupply'!$E$27:$K$31, MATCH(I$9, '[1]Jet - DemandSupply'!$E$26:$K$26, 0),FALSE))*$B20</f>
        <v>33828362.482059233</v>
      </c>
      <c r="J20" s="425">
        <f t="shared" ref="J20:K22" si="1">G20</f>
        <v>12418421.712973662</v>
      </c>
      <c r="K20" s="425">
        <f t="shared" si="1"/>
        <v>89053321.222676277</v>
      </c>
      <c r="L20" s="425"/>
      <c r="M20" s="426">
        <f t="shared" si="0"/>
        <v>302080911.66606003</v>
      </c>
      <c r="N20" s="427"/>
      <c r="O20" s="427"/>
      <c r="P20" s="427"/>
      <c r="Q20" s="427"/>
      <c r="R20" s="427"/>
      <c r="S20" s="427"/>
      <c r="T20" s="427"/>
      <c r="U20" s="427"/>
      <c r="V20" s="404"/>
    </row>
    <row r="21" spans="1:22" ht="15.75" x14ac:dyDescent="0.6">
      <c r="A21" s="421">
        <v>2021</v>
      </c>
      <c r="B21" s="422">
        <f>VLOOKUP(A21,'[1]Jet - DemandSupply'!Y20:AC58,4,0)</f>
        <v>0.308453758731768</v>
      </c>
      <c r="C21" s="422"/>
      <c r="D21" s="423">
        <f>VLOOKUP(A21,'[1]Jet - DemandSupply'!Y20:AC58,2,FALSE)</f>
        <v>703501144</v>
      </c>
      <c r="E21" s="424">
        <f>(VLOOKUP($A21,'[1]Jet - DemandSupply'!$E$27:$K$31, MATCH(E$9, '[1]Jet - DemandSupply'!$E$26:$K$26, 0),FALSE))*$B21</f>
        <v>21018449.862868417</v>
      </c>
      <c r="F21" s="425">
        <f>(VLOOKUP($A21,'[1]Jet - DemandSupply'!$E$27:$K$31, MATCH(F$9, '[1]Jet - DemandSupply'!$E$26:$K$26, 0),FALSE))*$B21</f>
        <v>155614043.41892856</v>
      </c>
      <c r="G21" s="425">
        <f>(VLOOKUP($A21,'[1]Jet - DemandSupply'!$E$27:$K$31, MATCH(G$9, '[1]Jet - DemandSupply'!$E$26:$K$26, 0),FALSE))*$B21</f>
        <v>19919910.711519815</v>
      </c>
      <c r="H21" s="425">
        <f>(VLOOKUP($A21,'[1]Jet - DemandSupply'!$E$27:$K$31, MATCH(H$9, '[1]Jet - DemandSupply'!$E$26:$K$26, 0),FALSE))*$B21</f>
        <v>78572180.61052914</v>
      </c>
      <c r="I21" s="425">
        <f>(VLOOKUP($A21,'[1]Jet - DemandSupply'!$E$27:$K$31, MATCH(I$9, '[1]Jet - DemandSupply'!$E$26:$K$26, 0),FALSE))*$B21</f>
        <v>48098249.838477343</v>
      </c>
      <c r="J21" s="425">
        <f t="shared" si="1"/>
        <v>19919910.711519815</v>
      </c>
      <c r="K21" s="425">
        <f t="shared" si="1"/>
        <v>78572180.61052914</v>
      </c>
      <c r="L21" s="425"/>
      <c r="M21" s="426">
        <f t="shared" si="0"/>
        <v>323222834.44232333</v>
      </c>
      <c r="N21" s="427"/>
      <c r="O21" s="427"/>
      <c r="P21" s="427"/>
      <c r="Q21" s="427"/>
      <c r="R21" s="427"/>
      <c r="S21" s="427"/>
      <c r="T21" s="427"/>
      <c r="U21" s="427"/>
      <c r="V21" s="404"/>
    </row>
    <row r="22" spans="1:22" ht="15.75" x14ac:dyDescent="0.6">
      <c r="A22" s="421">
        <v>2022</v>
      </c>
      <c r="B22" s="422">
        <f>VLOOKUP(A22,'[1]Jet - DemandSupply'!Y21:AC59,4,0)</f>
        <v>0.34545197490661067</v>
      </c>
      <c r="C22" s="422"/>
      <c r="D22" s="423">
        <f>VLOOKUP(A22,'[1]Jet - DemandSupply'!Y21:AC59,2,FALSE)</f>
        <v>1063826506</v>
      </c>
      <c r="E22" s="424">
        <f>(VLOOKUP($A22,'[1]Jet - DemandSupply'!$E$27:$K$31, MATCH(E$9, '[1]Jet - DemandSupply'!$E$26:$K$26, 0),FALSE))*$B22</f>
        <v>13402115.894675596</v>
      </c>
      <c r="F22" s="425">
        <f>(VLOOKUP($A22,'[1]Jet - DemandSupply'!$E$27:$K$31, MATCH(F$9, '[1]Jet - DemandSupply'!$E$26:$K$26, 0),FALSE))*$B22</f>
        <v>296305923.69729298</v>
      </c>
      <c r="G22" s="425">
        <f>(VLOOKUP($A22,'[1]Jet - DemandSupply'!$E$27:$K$31, MATCH(G$9, '[1]Jet - DemandSupply'!$E$26:$K$26, 0),FALSE))*$B22</f>
        <v>43870502.154504053</v>
      </c>
      <c r="H22" s="425">
        <f>(VLOOKUP($A22,'[1]Jet - DemandSupply'!$E$27:$K$31, MATCH(H$9, '[1]Jet - DemandSupply'!$E$26:$K$26, 0),FALSE))*$B22</f>
        <v>159109990.91463119</v>
      </c>
      <c r="I22" s="425">
        <f>(VLOOKUP($A22,'[1]Jet - DemandSupply'!$E$27:$K$31, MATCH(I$9, '[1]Jet - DemandSupply'!$E$26:$K$26, 0),FALSE))*$B22</f>
        <v>124703566.23570925</v>
      </c>
      <c r="J22" s="425">
        <f t="shared" si="1"/>
        <v>43870502.154504053</v>
      </c>
      <c r="K22" s="425">
        <f>H22</f>
        <v>159109990.91463119</v>
      </c>
      <c r="L22" s="425"/>
      <c r="M22" s="426">
        <f t="shared" si="0"/>
        <v>637392098.89681315</v>
      </c>
      <c r="N22" s="427"/>
      <c r="O22" s="427"/>
      <c r="P22" s="427"/>
      <c r="Q22" s="427"/>
      <c r="R22" s="427"/>
      <c r="S22" s="427"/>
      <c r="T22" s="427"/>
      <c r="U22" s="427"/>
      <c r="V22" s="404"/>
    </row>
    <row r="23" spans="1:22" ht="15.75" x14ac:dyDescent="0.6">
      <c r="A23" s="421">
        <v>2023</v>
      </c>
      <c r="B23" s="422">
        <f>VLOOKUP(A23,'[1]Jet - DemandSupply'!Y22:AC60,4,0)</f>
        <v>0.59969524082883485</v>
      </c>
      <c r="C23" s="422"/>
      <c r="D23" s="423">
        <f>VLOOKUP(A23,'[1]Jet - DemandSupply'!Y22:AC60,2,FALSE)</f>
        <v>1888276697.8199999</v>
      </c>
      <c r="E23" s="428">
        <f>(INDEX('[1]Jet - DemandSupply'!$AS$12:$AX$38,MATCH($A23,'[1]Jet - DemandSupply'!$AS$12:$AS$38,0),MATCH(E$9,'[1]Jet - DemandSupply'!$AS$10:$AX$10,0)))*$B23</f>
        <v>46553767.31531696</v>
      </c>
      <c r="F23" s="427">
        <f>(INDEX('[1]Jet - DemandSupply'!$AS$12:$AX$38,MATCH($A23,'[1]Jet - DemandSupply'!$AS$12:$AS$38,0),MATCH(F$9,'[1]Jet - DemandSupply'!$AS$10:$AX$10,0)))*$B23</f>
        <v>548780233.20447111</v>
      </c>
      <c r="G23" s="427">
        <f>(INDEX('[1]Jet - DemandSupply'!$AS$12:$AX$38,MATCH($A23,'[1]Jet - DemandSupply'!$AS$12:$AS$38,0),MATCH(G$9,'[1]Jet - DemandSupply'!$AS$10:$AX$10,0)))*$B23</f>
        <v>61348074.313985087</v>
      </c>
      <c r="H23" s="427">
        <f>(INDEX('[1]Jet - DemandSupply'!$AS$12:$AX$38,MATCH($A23,'[1]Jet - DemandSupply'!$AS$12:$AS$38,0),MATCH(H$9,'[1]Jet - DemandSupply'!$AS$10:$AX$10,0)))*$B23</f>
        <v>267501577.0516924</v>
      </c>
      <c r="I23" s="427">
        <f>(INDEX('[1]Jet - DemandSupply'!$AS$12:$AX$38,MATCH($A23,'[1]Jet - DemandSupply'!$AS$12:$AS$38,0),MATCH(I$9,'[1]Jet - DemandSupply'!$AS$10:$AX$10,0)))*$B23</f>
        <v>185562968.72773334</v>
      </c>
      <c r="J23" s="429">
        <f>G23</f>
        <v>61348074.313985087</v>
      </c>
      <c r="K23" s="429">
        <f>E23+F23</f>
        <v>595334000.51978803</v>
      </c>
      <c r="L23" s="429"/>
      <c r="M23" s="426">
        <f t="shared" si="0"/>
        <v>1109746620.6131988</v>
      </c>
      <c r="N23" s="427">
        <f>(INDEX('[1]Jet - DemandSupply'!$BA$12:$BF$38,MATCH($A23,'[1]Jet - DemandSupply'!$BA$12:$BA$38,0),MATCH(N$9,'[1]Jet - DemandSupply'!$BA$10:$BF$10,0)))*$C23</f>
        <v>0</v>
      </c>
      <c r="O23" s="427">
        <f>(INDEX('[1]Jet - DemandSupply'!$BA$12:$BF$38,MATCH($A23,'[1]Jet - DemandSupply'!$BA$12:$BA$38,0),MATCH(O$9,'[1]Jet - DemandSupply'!$BA$10:$BF$10,0)))*$C23</f>
        <v>0</v>
      </c>
      <c r="P23" s="427">
        <f>(INDEX('[1]Jet - DemandSupply'!$BA$12:$BF$38,MATCH($A23,'[1]Jet - DemandSupply'!$BA$12:$BA$38,0),MATCH(P$9,'[1]Jet - DemandSupply'!$BA$10:$BF$10,0)))*$C23</f>
        <v>0</v>
      </c>
      <c r="Q23" s="427">
        <f>(INDEX('[1]Jet - DemandSupply'!$BA$12:$BF$38,MATCH($A23,'[1]Jet - DemandSupply'!$BA$12:$BA$38,0),MATCH(Q$9,'[1]Jet - DemandSupply'!$BA$10:$BF$10,0)))*$C23</f>
        <v>0</v>
      </c>
      <c r="R23" s="427">
        <f>(INDEX('[1]Jet - DemandSupply'!$BA$12:$BF$38,MATCH($A23,'[1]Jet - DemandSupply'!$BA$12:$BA$38,0),MATCH(R$9,'[1]Jet - DemandSupply'!$BA$10:$BF$10,0)))*$C23</f>
        <v>0</v>
      </c>
      <c r="S23" s="429">
        <f>P23</f>
        <v>0</v>
      </c>
      <c r="T23" s="429">
        <f>N23+O23</f>
        <v>0</v>
      </c>
      <c r="U23" s="429"/>
      <c r="V23" s="404"/>
    </row>
    <row r="24" spans="1:22" ht="15.75" x14ac:dyDescent="0.6">
      <c r="A24" s="421">
        <v>2024</v>
      </c>
      <c r="B24" s="422">
        <f>VLOOKUP(A24,'[1]Jet - DemandSupply'!Y23:AC61,4,0)</f>
        <v>0.44909733039148225</v>
      </c>
      <c r="C24" s="422">
        <f>VLOOKUP($A24,'[1]Jet - DemandSupply'!$Y$9:$AC$47,5,0)</f>
        <v>0.45569993090306737</v>
      </c>
      <c r="D24" s="430"/>
      <c r="E24" s="428">
        <f>(INDEX('[1]Jet - DemandSupply'!$AS$12:$AX$38,MATCH($A24,'[1]Jet - DemandSupply'!$AS$12:$AS$38,0),MATCH(E$9,'[1]Jet - DemandSupply'!$AS$10:$AX$10,0)))*$B24</f>
        <v>33127653.313378133</v>
      </c>
      <c r="F24" s="427">
        <f>(INDEX('[1]Jet - DemandSupply'!$AS$12:$AX$38,MATCH($A24,'[1]Jet - DemandSupply'!$AS$12:$AS$38,0),MATCH(F$9,'[1]Jet - DemandSupply'!$AS$10:$AX$10,0)))*$B24</f>
        <v>390511925.4409098</v>
      </c>
      <c r="G24" s="427">
        <f>(INDEX('[1]Jet - DemandSupply'!$AS$12:$AX$38,MATCH($A24,'[1]Jet - DemandSupply'!$AS$12:$AS$38,0),MATCH(G$9,'[1]Jet - DemandSupply'!$AS$10:$AX$10,0)))*$B24</f>
        <v>43655279.787601419</v>
      </c>
      <c r="H24" s="427">
        <f>(INDEX('[1]Jet - DemandSupply'!$AS$12:$AX$38,MATCH($A24,'[1]Jet - DemandSupply'!$AS$12:$AS$38,0),MATCH(H$9,'[1]Jet - DemandSupply'!$AS$10:$AX$10,0)))*$B24</f>
        <v>190354079.08727351</v>
      </c>
      <c r="I24" s="427">
        <f>(INDEX('[1]Jet - DemandSupply'!$AS$12:$AX$38,MATCH($A24,'[1]Jet - DemandSupply'!$AS$12:$AS$38,0),MATCH(I$9,'[1]Jet - DemandSupply'!$AS$10:$AX$10,0)))*$B24</f>
        <v>132046578.61902028</v>
      </c>
      <c r="J24" s="429">
        <f>G24</f>
        <v>43655279.787601419</v>
      </c>
      <c r="K24" s="429">
        <f>E24+F24</f>
        <v>423639578.75428796</v>
      </c>
      <c r="L24" s="429"/>
      <c r="M24" s="426">
        <f>SUM(E24:I24)</f>
        <v>789695516.24818325</v>
      </c>
      <c r="N24" s="427">
        <f>(INDEX('[1]Jet - DemandSupply'!$BA$12:$BF$38,MATCH($A24,'[1]Jet - DemandSupply'!$BA$12:$BA$38,0),MATCH(N$9,'[1]Jet - DemandSupply'!$BA$10:$BF$10,0)))*$C24</f>
        <v>32188162.69523868</v>
      </c>
      <c r="O24" s="427">
        <f>(INDEX('[1]Jet - DemandSupply'!$BA$12:$BF$38,MATCH($A24,'[1]Jet - DemandSupply'!$BA$12:$BA$38,0),MATCH(O$9,'[1]Jet - DemandSupply'!$BA$10:$BF$10,0)))*$C24</f>
        <v>379437120.75273263</v>
      </c>
      <c r="P24" s="427">
        <f>(INDEX('[1]Jet - DemandSupply'!$BA$12:$BF$38,MATCH($A24,'[1]Jet - DemandSupply'!$BA$12:$BA$38,0),MATCH(P$9,'[1]Jet - DemandSupply'!$BA$10:$BF$10,0)))*$C24</f>
        <v>42417228.742912978</v>
      </c>
      <c r="Q24" s="427">
        <f>(INDEX('[1]Jet - DemandSupply'!$BA$12:$BF$38,MATCH($A24,'[1]Jet - DemandSupply'!$BA$12:$BA$38,0),MATCH(Q$9,'[1]Jet - DemandSupply'!$BA$10:$BF$10,0)))*$C24</f>
        <v>184955692.73810074</v>
      </c>
      <c r="R24" s="427">
        <f>(INDEX('[1]Jet - DemandSupply'!$BA$12:$BF$38,MATCH($A24,'[1]Jet - DemandSupply'!$BA$12:$BA$38,0),MATCH(R$9,'[1]Jet - DemandSupply'!$BA$10:$BF$10,0)))*$C24</f>
        <v>128301776.03380714</v>
      </c>
      <c r="S24" s="429">
        <f>P24</f>
        <v>42417228.742912978</v>
      </c>
      <c r="T24" s="429">
        <f>N24+O24</f>
        <v>411625283.44797134</v>
      </c>
      <c r="U24" s="429"/>
      <c r="V24" s="426">
        <f t="shared" ref="V24:V40" si="2">SUM(N24:R24)</f>
        <v>767299980.96279228</v>
      </c>
    </row>
    <row r="25" spans="1:22" ht="15.75" x14ac:dyDescent="0.6">
      <c r="A25" s="421">
        <v>2025</v>
      </c>
      <c r="B25" s="422">
        <f>VLOOKUP(A25,'[1]Jet - DemandSupply'!Y24:AC62,4,0)</f>
        <v>0.52353298533132908</v>
      </c>
      <c r="C25" s="422">
        <f>VLOOKUP($A25,'[1]Jet - DemandSupply'!$Y$9:$AC$47,5,0)</f>
        <v>0.50926548634100144</v>
      </c>
      <c r="D25" s="423"/>
      <c r="E25" s="428">
        <f>(INDEX('[1]Jet - DemandSupply'!$AS$12:$AX$38,MATCH($A25,'[1]Jet - DemandSupply'!$AS$12:$AS$38,0),MATCH(E$9,'[1]Jet - DemandSupply'!$AS$10:$AX$10,0)))*B25</f>
        <v>43867931.551738523</v>
      </c>
      <c r="F25" s="427">
        <f>(INDEX('[1]Jet - DemandSupply'!$AS$12:$AX$38,MATCH($A25,'[1]Jet - DemandSupply'!$AS$12:$AS$38,0),MATCH(F$9,'[1]Jet - DemandSupply'!$AS$10:$AX$10,0)))*$B25</f>
        <v>517119345.98341614</v>
      </c>
      <c r="G25" s="427">
        <f>(INDEX('[1]Jet - DemandSupply'!$AS$12:$AX$38,MATCH($A25,'[1]Jet - DemandSupply'!$AS$12:$AS$38,0),MATCH(G$9,'[1]Jet - DemandSupply'!$AS$10:$AX$10,0)))*$B25</f>
        <v>57808707.65213909</v>
      </c>
      <c r="H25" s="427">
        <f>(INDEX('[1]Jet - DemandSupply'!$AS$12:$AX$38,MATCH($A25,'[1]Jet - DemandSupply'!$AS$12:$AS$38,0),MATCH(H$9,'[1]Jet - DemandSupply'!$AS$10:$AX$10,0)))*$B25</f>
        <v>252068555.32451886</v>
      </c>
      <c r="I25" s="427">
        <f>(INDEX('[1]Jet - DemandSupply'!$AS$12:$AX$38,MATCH($A25,'[1]Jet - DemandSupply'!$AS$12:$AS$38,0),MATCH(I$9,'[1]Jet - DemandSupply'!$AS$10:$AX$10,0)))*$B25</f>
        <v>174857247.43929198</v>
      </c>
      <c r="J25" s="429">
        <f t="shared" ref="J25:J40" si="3">G25</f>
        <v>57808707.65213909</v>
      </c>
      <c r="K25" s="429">
        <f t="shared" ref="K25:K40" si="4">E25+F25</f>
        <v>560987277.5351547</v>
      </c>
      <c r="L25" s="429"/>
      <c r="M25" s="426">
        <f t="shared" ref="M25:M40" si="5">SUM(E25:I25)</f>
        <v>1045721787.9511046</v>
      </c>
      <c r="N25" s="427">
        <f>(INDEX('[1]Jet - DemandSupply'!$BA$12:$BF$38,MATCH($A25,'[1]Jet - DemandSupply'!$BA$12:$BA$38,0),MATCH(N$9,'[1]Jet - DemandSupply'!$BA$10:$BF$10,0)))*$C25</f>
        <v>39158119.136474207</v>
      </c>
      <c r="O25" s="427">
        <f>(INDEX('[1]Jet - DemandSupply'!$BA$12:$BF$38,MATCH($A25,'[1]Jet - DemandSupply'!$BA$12:$BA$38,0),MATCH(O$9,'[1]Jet - DemandSupply'!$BA$10:$BF$10,0)))*$C25</f>
        <v>461599629.65000409</v>
      </c>
      <c r="P25" s="427">
        <f>(INDEX('[1]Jet - DemandSupply'!$BA$12:$BF$38,MATCH($A25,'[1]Jet - DemandSupply'!$BA$12:$BA$38,0),MATCH(P$9,'[1]Jet - DemandSupply'!$BA$10:$BF$10,0)))*$C25</f>
        <v>51602165.438282646</v>
      </c>
      <c r="Q25" s="427">
        <f>(INDEX('[1]Jet - DemandSupply'!$BA$12:$BF$38,MATCH($A25,'[1]Jet - DemandSupply'!$BA$12:$BA$38,0),MATCH(Q$9,'[1]Jet - DemandSupply'!$BA$10:$BF$10,0)))*$C25</f>
        <v>225005605.93596691</v>
      </c>
      <c r="R25" s="427">
        <f>(INDEX('[1]Jet - DemandSupply'!$BA$12:$BF$38,MATCH($A25,'[1]Jet - DemandSupply'!$BA$12:$BA$38,0),MATCH(R$9,'[1]Jet - DemandSupply'!$BA$10:$BF$10,0)))*$C25</f>
        <v>156083970.33783528</v>
      </c>
      <c r="S25" s="429">
        <f t="shared" ref="S25:S40" si="6">P25</f>
        <v>51602165.438282646</v>
      </c>
      <c r="T25" s="429">
        <f t="shared" ref="T25:T40" si="7">N25+O25</f>
        <v>500757748.78647828</v>
      </c>
      <c r="U25" s="429"/>
      <c r="V25" s="426">
        <f t="shared" si="2"/>
        <v>933449490.49856305</v>
      </c>
    </row>
    <row r="26" spans="1:22" ht="15.75" x14ac:dyDescent="0.6">
      <c r="A26" s="421">
        <v>2026</v>
      </c>
      <c r="B26" s="422">
        <f>VLOOKUP(A26,'[1]Jet - DemandSupply'!Y25:AC63,4,0)</f>
        <v>0.57583490887154265</v>
      </c>
      <c r="C26" s="422">
        <f>VLOOKUP($A26,'[1]Jet - DemandSupply'!$Y$9:$AC$47,5,0)</f>
        <v>0.54773172580948926</v>
      </c>
      <c r="D26" s="403"/>
      <c r="E26" s="428">
        <f>(INDEX('[1]Jet - DemandSupply'!$AS$12:$AX$38,MATCH($A26,'[1]Jet - DemandSupply'!$AS$12:$AS$38,0),MATCH(E$9,'[1]Jet - DemandSupply'!$AS$10:$AX$10,0)))*B26</f>
        <v>54199966.007113881</v>
      </c>
      <c r="F26" s="427">
        <f>(INDEX('[1]Jet - DemandSupply'!$AS$12:$AX$38,MATCH($A26,'[1]Jet - DemandSupply'!$AS$12:$AS$38,0),MATCH(F$9,'[1]Jet - DemandSupply'!$AS$10:$AX$10,0)))*$B26</f>
        <v>638914350.01592517</v>
      </c>
      <c r="G26" s="427">
        <f>(INDEX('[1]Jet - DemandSupply'!$AS$12:$AX$38,MATCH($A26,'[1]Jet - DemandSupply'!$AS$12:$AS$38,0),MATCH(G$9,'[1]Jet - DemandSupply'!$AS$10:$AX$10,0)))*$B26</f>
        <v>71424156.070949972</v>
      </c>
      <c r="H26" s="427">
        <f>(INDEX('[1]Jet - DemandSupply'!$AS$12:$AX$38,MATCH($A26,'[1]Jet - DemandSupply'!$AS$12:$AS$38,0),MATCH(H$9,'[1]Jet - DemandSupply'!$AS$10:$AX$10,0)))*$B26</f>
        <v>311437230.95167875</v>
      </c>
      <c r="I26" s="427">
        <f>(INDEX('[1]Jet - DemandSupply'!$AS$12:$AX$38,MATCH($A26,'[1]Jet - DemandSupply'!$AS$12:$AS$38,0),MATCH(I$9,'[1]Jet - DemandSupply'!$AS$10:$AX$10,0)))*$B26</f>
        <v>216040659.59046873</v>
      </c>
      <c r="J26" s="429">
        <f t="shared" si="3"/>
        <v>71424156.070949972</v>
      </c>
      <c r="K26" s="429">
        <f t="shared" si="4"/>
        <v>693114316.0230391</v>
      </c>
      <c r="L26" s="429"/>
      <c r="M26" s="426">
        <f t="shared" si="5"/>
        <v>1292016362.6361365</v>
      </c>
      <c r="N26" s="427">
        <f>(INDEX('[1]Jet - DemandSupply'!$BA$12:$BF$38,MATCH($A26,'[1]Jet - DemandSupply'!$BA$12:$BA$38,0),MATCH(N$9,'[1]Jet - DemandSupply'!$BA$10:$BF$10,0)))*$C26</f>
        <v>45697869.731768019</v>
      </c>
      <c r="O26" s="427">
        <f>(INDEX('[1]Jet - DemandSupply'!$BA$12:$BF$38,MATCH($A26,'[1]Jet - DemandSupply'!$BA$12:$BA$38,0),MATCH(O$9,'[1]Jet - DemandSupply'!$BA$10:$BF$10,0)))*$C26</f>
        <v>538690831.15204918</v>
      </c>
      <c r="P26" s="427">
        <f>(INDEX('[1]Jet - DemandSupply'!$BA$12:$BF$38,MATCH($A26,'[1]Jet - DemandSupply'!$BA$12:$BA$38,0),MATCH(P$9,'[1]Jet - DemandSupply'!$BA$10:$BF$10,0)))*$C26</f>
        <v>60220181.307924442</v>
      </c>
      <c r="Q26" s="427">
        <f>(INDEX('[1]Jet - DemandSupply'!$BA$12:$BF$38,MATCH($A26,'[1]Jet - DemandSupply'!$BA$12:$BA$38,0),MATCH(Q$9,'[1]Jet - DemandSupply'!$BA$10:$BF$10,0)))*$C26</f>
        <v>262583522.79749361</v>
      </c>
      <c r="R26" s="427">
        <f>(INDEX('[1]Jet - DemandSupply'!$BA$12:$BF$38,MATCH($A26,'[1]Jet - DemandSupply'!$BA$12:$BA$38,0),MATCH(R$9,'[1]Jet - DemandSupply'!$BA$10:$BF$10,0)))*$C26</f>
        <v>182151367.35389608</v>
      </c>
      <c r="S26" s="429">
        <f t="shared" si="6"/>
        <v>60220181.307924442</v>
      </c>
      <c r="T26" s="429">
        <f t="shared" si="7"/>
        <v>584388700.8838172</v>
      </c>
      <c r="U26" s="429"/>
      <c r="V26" s="426">
        <f t="shared" si="2"/>
        <v>1089343772.3431313</v>
      </c>
    </row>
    <row r="27" spans="1:22" ht="15.75" x14ac:dyDescent="0.6">
      <c r="A27" s="421">
        <v>2027</v>
      </c>
      <c r="B27" s="422">
        <f>VLOOKUP(A27,'[1]Jet - DemandSupply'!Y26:AC64,4,0)</f>
        <v>0.63580337069924497</v>
      </c>
      <c r="C27" s="422">
        <f>VLOOKUP($A27,'[1]Jet - DemandSupply'!$Y$9:$AC$47,5,0)</f>
        <v>0.59340418900943592</v>
      </c>
      <c r="D27" s="403"/>
      <c r="E27" s="428">
        <f>(INDEX('[1]Jet - DemandSupply'!$AS$12:$AX$38,MATCH($A27,'[1]Jet - DemandSupply'!$AS$12:$AS$38,0),MATCH(E$9,'[1]Jet - DemandSupply'!$AS$10:$AX$10,0)))*B27</f>
        <v>65548440.041295379</v>
      </c>
      <c r="F27" s="427">
        <f>(INDEX('[1]Jet - DemandSupply'!$AS$12:$AX$38,MATCH($A27,'[1]Jet - DemandSupply'!$AS$12:$AS$38,0),MATCH(F$9,'[1]Jet - DemandSupply'!$AS$10:$AX$10,0)))*$B27</f>
        <v>772691240.39755404</v>
      </c>
      <c r="G27" s="427">
        <f>(INDEX('[1]Jet - DemandSupply'!$AS$12:$AX$38,MATCH($A27,'[1]Jet - DemandSupply'!$AS$12:$AS$38,0),MATCH(G$9,'[1]Jet - DemandSupply'!$AS$10:$AX$10,0)))*$B27</f>
        <v>86379058.081001312</v>
      </c>
      <c r="H27" s="427">
        <f>(INDEX('[1]Jet - DemandSupply'!$AS$12:$AX$38,MATCH($A27,'[1]Jet - DemandSupply'!$AS$12:$AS$38,0),MATCH(H$9,'[1]Jet - DemandSupply'!$AS$10:$AX$10,0)))*$B27</f>
        <v>376646447.65614355</v>
      </c>
      <c r="I27" s="427">
        <f>(INDEX('[1]Jet - DemandSupply'!$AS$12:$AX$38,MATCH($A27,'[1]Jet - DemandSupply'!$AS$12:$AS$38,0),MATCH(I$9,'[1]Jet - DemandSupply'!$AS$10:$AX$10,0)))*$B27</f>
        <v>261275592.30921036</v>
      </c>
      <c r="J27" s="429">
        <f t="shared" si="3"/>
        <v>86379058.081001312</v>
      </c>
      <c r="K27" s="429">
        <f t="shared" si="4"/>
        <v>838239680.43884945</v>
      </c>
      <c r="L27" s="429"/>
      <c r="M27" s="426">
        <f t="shared" si="5"/>
        <v>1562540778.4852047</v>
      </c>
      <c r="N27" s="427">
        <f>(INDEX('[1]Jet - DemandSupply'!$BA$12:$BF$38,MATCH($A27,'[1]Jet - DemandSupply'!$BA$12:$BA$38,0),MATCH(N$9,'[1]Jet - DemandSupply'!$BA$10:$BF$10,0)))*$C27</f>
        <v>51600267.365349777</v>
      </c>
      <c r="O27" s="427">
        <f>(INDEX('[1]Jet - DemandSupply'!$BA$12:$BF$38,MATCH($A27,'[1]Jet - DemandSupply'!$BA$12:$BA$38,0),MATCH(O$9,'[1]Jet - DemandSupply'!$BA$10:$BF$10,0)))*$C27</f>
        <v>608268855.37258923</v>
      </c>
      <c r="P27" s="427">
        <f>(INDEX('[1]Jet - DemandSupply'!$BA$12:$BF$38,MATCH($A27,'[1]Jet - DemandSupply'!$BA$12:$BA$38,0),MATCH(P$9,'[1]Jet - DemandSupply'!$BA$10:$BF$10,0)))*$C27</f>
        <v>67998300.019630209</v>
      </c>
      <c r="Q27" s="427">
        <f>(INDEX('[1]Jet - DemandSupply'!$BA$12:$BF$38,MATCH($A27,'[1]Jet - DemandSupply'!$BA$12:$BA$38,0),MATCH(Q$9,'[1]Jet - DemandSupply'!$BA$10:$BF$10,0)))*$C27</f>
        <v>296499159.84304398</v>
      </c>
      <c r="R27" s="427">
        <f>(INDEX('[1]Jet - DemandSupply'!$BA$12:$BF$38,MATCH($A27,'[1]Jet - DemandSupply'!$BA$12:$BA$38,0),MATCH(R$9,'[1]Jet - DemandSupply'!$BA$10:$BF$10,0)))*$C27</f>
        <v>205678280.22607124</v>
      </c>
      <c r="S27" s="429">
        <f t="shared" si="6"/>
        <v>67998300.019630209</v>
      </c>
      <c r="T27" s="429">
        <f t="shared" si="7"/>
        <v>659869122.737939</v>
      </c>
      <c r="U27" s="429"/>
      <c r="V27" s="426">
        <f t="shared" si="2"/>
        <v>1230044862.8266845</v>
      </c>
    </row>
    <row r="28" spans="1:22" ht="15.75" x14ac:dyDescent="0.6">
      <c r="A28" s="421">
        <v>2028</v>
      </c>
      <c r="B28" s="422">
        <f>VLOOKUP(A28,'[1]Jet - DemandSupply'!Y27:AC65,4,0)</f>
        <v>0.67718406017594701</v>
      </c>
      <c r="C28" s="422">
        <f>VLOOKUP($A28,'[1]Jet - DemandSupply'!$Y$9:$AC$47,5,0)</f>
        <v>0.61039690291539983</v>
      </c>
      <c r="D28" s="403"/>
      <c r="E28" s="428">
        <f>(INDEX('[1]Jet - DemandSupply'!$AS$12:$AX$38,MATCH($A28,'[1]Jet - DemandSupply'!$AS$12:$AS$38,0),MATCH(E$9,'[1]Jet - DemandSupply'!$AS$10:$AX$10,0)))*B28</f>
        <v>76270571.67091997</v>
      </c>
      <c r="F28" s="427">
        <f>(INDEX('[1]Jet - DemandSupply'!$AS$12:$AX$38,MATCH($A28,'[1]Jet - DemandSupply'!$AS$12:$AS$38,0),MATCH(F$9,'[1]Jet - DemandSupply'!$AS$10:$AX$10,0)))*$B28</f>
        <v>899084746.99177647</v>
      </c>
      <c r="G28" s="427">
        <f>(INDEX('[1]Jet - DemandSupply'!$AS$12:$AX$38,MATCH($A28,'[1]Jet - DemandSupply'!$AS$12:$AS$38,0),MATCH(G$9,'[1]Jet - DemandSupply'!$AS$10:$AX$10,0)))*$B28</f>
        <v>100508572.5317495</v>
      </c>
      <c r="H28" s="427">
        <f>(INDEX('[1]Jet - DemandSupply'!$AS$12:$AX$38,MATCH($A28,'[1]Jet - DemandSupply'!$AS$12:$AS$38,0),MATCH(H$9,'[1]Jet - DemandSupply'!$AS$10:$AX$10,0)))*$B28</f>
        <v>438256652.06460023</v>
      </c>
      <c r="I28" s="427">
        <f>(INDEX('[1]Jet - DemandSupply'!$AS$12:$AX$38,MATCH($A28,'[1]Jet - DemandSupply'!$AS$12:$AS$38,0),MATCH(I$9,'[1]Jet - DemandSupply'!$AS$10:$AX$10,0)))*$B28</f>
        <v>304013928.88262975</v>
      </c>
      <c r="J28" s="429">
        <f t="shared" si="3"/>
        <v>100508572.5317495</v>
      </c>
      <c r="K28" s="429">
        <f t="shared" si="4"/>
        <v>975355318.66269648</v>
      </c>
      <c r="L28" s="429"/>
      <c r="M28" s="426">
        <f t="shared" si="5"/>
        <v>1818134472.1416759</v>
      </c>
      <c r="N28" s="427">
        <f>(INDEX('[1]Jet - DemandSupply'!$BA$12:$BF$38,MATCH($A28,'[1]Jet - DemandSupply'!$BA$12:$BA$38,0),MATCH(N$9,'[1]Jet - DemandSupply'!$BA$10:$BF$10,0)))*$C28</f>
        <v>53530745.135364942</v>
      </c>
      <c r="O28" s="427">
        <f>(INDEX('[1]Jet - DemandSupply'!$BA$12:$BF$38,MATCH($A28,'[1]Jet - DemandSupply'!$BA$12:$BA$38,0),MATCH(O$9,'[1]Jet - DemandSupply'!$BA$10:$BF$10,0)))*$C28</f>
        <v>631025510.78243852</v>
      </c>
      <c r="P28" s="427">
        <f>(INDEX('[1]Jet - DemandSupply'!$BA$12:$BF$38,MATCH($A28,'[1]Jet - DemandSupply'!$BA$12:$BA$38,0),MATCH(P$9,'[1]Jet - DemandSupply'!$BA$10:$BF$10,0)))*$C28</f>
        <v>70542263.709920451</v>
      </c>
      <c r="Q28" s="427">
        <f>(INDEX('[1]Jet - DemandSupply'!$BA$12:$BF$38,MATCH($A28,'[1]Jet - DemandSupply'!$BA$12:$BA$38,0),MATCH(Q$9,'[1]Jet - DemandSupply'!$BA$10:$BF$10,0)))*$C28</f>
        <v>307591835.6397112</v>
      </c>
      <c r="R28" s="427">
        <f>(INDEX('[1]Jet - DemandSupply'!$BA$12:$BF$38,MATCH($A28,'[1]Jet - DemandSupply'!$BA$12:$BA$38,0),MATCH(R$9,'[1]Jet - DemandSupply'!$BA$10:$BF$10,0)))*$C28</f>
        <v>213373150.19525304</v>
      </c>
      <c r="S28" s="429">
        <f t="shared" si="6"/>
        <v>70542263.709920451</v>
      </c>
      <c r="T28" s="429">
        <f t="shared" si="7"/>
        <v>684556255.91780341</v>
      </c>
      <c r="U28" s="429"/>
      <c r="V28" s="426">
        <f t="shared" si="2"/>
        <v>1276063505.4626882</v>
      </c>
    </row>
    <row r="29" spans="1:22" ht="15.75" x14ac:dyDescent="0.6">
      <c r="A29" s="421">
        <v>2029</v>
      </c>
      <c r="B29" s="422">
        <f>VLOOKUP(A29,'[1]Jet - DemandSupply'!Y28:AC66,4,0)</f>
        <v>0.70390741647937061</v>
      </c>
      <c r="C29" s="422">
        <f>VLOOKUP($A29,'[1]Jet - DemandSupply'!$Y$9:$AC$47,5,0)</f>
        <v>0.80230666192096656</v>
      </c>
      <c r="D29" s="403"/>
      <c r="E29" s="428">
        <f>(INDEX('[1]Jet - DemandSupply'!$AS$12:$AX$38,MATCH($A29,'[1]Jet - DemandSupply'!$AS$12:$AS$38,0),MATCH(E$9,'[1]Jet - DemandSupply'!$AS$10:$AX$10,0)))*B29</f>
        <v>86435720.636220902</v>
      </c>
      <c r="F29" s="427">
        <f>(INDEX('[1]Jet - DemandSupply'!$AS$12:$AX$38,MATCH($A29,'[1]Jet - DemandSupply'!$AS$12:$AS$38,0),MATCH(F$9,'[1]Jet - DemandSupply'!$AS$10:$AX$10,0)))*$B29</f>
        <v>1018912489.0078484</v>
      </c>
      <c r="G29" s="427">
        <f>(INDEX('[1]Jet - DemandSupply'!$AS$12:$AX$38,MATCH($A29,'[1]Jet - DemandSupply'!$AS$12:$AS$38,0),MATCH(G$9,'[1]Jet - DemandSupply'!$AS$10:$AX$10,0)))*$B29</f>
        <v>113904100.97335067</v>
      </c>
      <c r="H29" s="427">
        <f>(INDEX('[1]Jet - DemandSupply'!$AS$12:$AX$38,MATCH($A29,'[1]Jet - DemandSupply'!$AS$12:$AS$38,0),MATCH(H$9,'[1]Jet - DemandSupply'!$AS$10:$AX$10,0)))*$B29</f>
        <v>496666390.65279657</v>
      </c>
      <c r="I29" s="427">
        <f>(INDEX('[1]Jet - DemandSupply'!$AS$12:$AX$38,MATCH($A29,'[1]Jet - DemandSupply'!$AS$12:$AS$38,0),MATCH(I$9,'[1]Jet - DemandSupply'!$AS$10:$AX$10,0)))*$B29</f>
        <v>344532136.71712816</v>
      </c>
      <c r="J29" s="429">
        <f t="shared" si="3"/>
        <v>113904100.97335067</v>
      </c>
      <c r="K29" s="429">
        <f t="shared" si="4"/>
        <v>1105348209.6440692</v>
      </c>
      <c r="L29" s="429"/>
      <c r="M29" s="426">
        <f t="shared" si="5"/>
        <v>2060450837.9873447</v>
      </c>
      <c r="N29" s="427">
        <f>(INDEX('[1]Jet - DemandSupply'!$BA$12:$BF$38,MATCH($A29,'[1]Jet - DemandSupply'!$BA$12:$BA$38,0),MATCH(N$9,'[1]Jet - DemandSupply'!$BA$10:$BF$10,0)))*$C29</f>
        <v>71132216.156810477</v>
      </c>
      <c r="O29" s="427">
        <f>(INDEX('[1]Jet - DemandSupply'!$BA$12:$BF$38,MATCH($A29,'[1]Jet - DemandSupply'!$BA$12:$BA$38,0),MATCH(O$9,'[1]Jet - DemandSupply'!$BA$10:$BF$10,0)))*$C29</f>
        <v>838513323.88392591</v>
      </c>
      <c r="P29" s="427">
        <f>(INDEX('[1]Jet - DemandSupply'!$BA$12:$BF$38,MATCH($A29,'[1]Jet - DemandSupply'!$BA$12:$BA$38,0),MATCH(P$9,'[1]Jet - DemandSupply'!$BA$10:$BF$10,0)))*$C29</f>
        <v>93737300.643135905</v>
      </c>
      <c r="Q29" s="427">
        <f>(INDEX('[1]Jet - DemandSupply'!$BA$12:$BF$38,MATCH($A29,'[1]Jet - DemandSupply'!$BA$12:$BA$38,0),MATCH(Q$9,'[1]Jet - DemandSupply'!$BA$10:$BF$10,0)))*$C29</f>
        <v>408731260.61417919</v>
      </c>
      <c r="R29" s="427">
        <f>(INDEX('[1]Jet - DemandSupply'!$BA$12:$BF$38,MATCH($A29,'[1]Jet - DemandSupply'!$BA$12:$BA$38,0),MATCH(R$9,'[1]Jet - DemandSupply'!$BA$10:$BF$10,0)))*$C29</f>
        <v>283532482.19071054</v>
      </c>
      <c r="S29" s="429">
        <f t="shared" si="6"/>
        <v>93737300.643135905</v>
      </c>
      <c r="T29" s="429">
        <f t="shared" si="7"/>
        <v>909645540.04073644</v>
      </c>
      <c r="U29" s="429"/>
      <c r="V29" s="426">
        <f t="shared" si="2"/>
        <v>1695646583.4887621</v>
      </c>
    </row>
    <row r="30" spans="1:22" ht="15.75" x14ac:dyDescent="0.6">
      <c r="A30" s="421">
        <v>2030</v>
      </c>
      <c r="B30" s="422">
        <f>VLOOKUP(A30,'[1]Jet - DemandSupply'!Y29:AC67,4,0)</f>
        <v>0.72783518586940943</v>
      </c>
      <c r="C30" s="422">
        <f>VLOOKUP($A30,'[1]Jet - DemandSupply'!$Y$9:$AC$47,5,0)</f>
        <v>0.8048934429457979</v>
      </c>
      <c r="D30" s="403"/>
      <c r="E30" s="428">
        <f>(INDEX('[1]Jet - DemandSupply'!$AS$12:$AX$38,MATCH($A30,'[1]Jet - DemandSupply'!$AS$12:$AS$38,0),MATCH(E$9,'[1]Jet - DemandSupply'!$AS$10:$AX$10,0)))*B30</f>
        <v>97231349.661624745</v>
      </c>
      <c r="F30" s="427">
        <f>(INDEX('[1]Jet - DemandSupply'!$AS$12:$AX$38,MATCH($A30,'[1]Jet - DemandSupply'!$AS$12:$AS$38,0),MATCH(F$9,'[1]Jet - DemandSupply'!$AS$10:$AX$10,0)))*$B30</f>
        <v>1146172389.8881116</v>
      </c>
      <c r="G30" s="427">
        <f>(INDEX('[1]Jet - DemandSupply'!$AS$12:$AX$38,MATCH($A30,'[1]Jet - DemandSupply'!$AS$12:$AS$38,0),MATCH(G$9,'[1]Jet - DemandSupply'!$AS$10:$AX$10,0)))*$B30</f>
        <v>128130469.53404896</v>
      </c>
      <c r="H30" s="427">
        <f>(INDEX('[1]Jet - DemandSupply'!$AS$12:$AX$38,MATCH($A30,'[1]Jet - DemandSupply'!$AS$12:$AS$38,0),MATCH(H$9,'[1]Jet - DemandSupply'!$AS$10:$AX$10,0)))*$B30</f>
        <v>558698916.82840431</v>
      </c>
      <c r="I30" s="427">
        <f>(INDEX('[1]Jet - DemandSupply'!$AS$12:$AX$38,MATCH($A30,'[1]Jet - DemandSupply'!$AS$12:$AS$38,0),MATCH(I$9,'[1]Jet - DemandSupply'!$AS$10:$AX$10,0)))*$B30</f>
        <v>387563433.36104369</v>
      </c>
      <c r="J30" s="429">
        <f t="shared" si="3"/>
        <v>128130469.53404896</v>
      </c>
      <c r="K30" s="429">
        <f t="shared" si="4"/>
        <v>1243403739.5497363</v>
      </c>
      <c r="L30" s="429"/>
      <c r="M30" s="426">
        <f t="shared" si="5"/>
        <v>2317796559.2732334</v>
      </c>
      <c r="N30" s="427">
        <f>(INDEX('[1]Jet - DemandSupply'!$BA$12:$BF$38,MATCH($A30,'[1]Jet - DemandSupply'!$BA$12:$BA$38,0),MATCH(N$9,'[1]Jet - DemandSupply'!$BA$10:$BF$10,0)))*$C30</f>
        <v>72307692.092046946</v>
      </c>
      <c r="O30" s="427">
        <f>(INDEX('[1]Jet - DemandSupply'!$BA$12:$BF$38,MATCH($A30,'[1]Jet - DemandSupply'!$BA$12:$BA$38,0),MATCH(O$9,'[1]Jet - DemandSupply'!$BA$10:$BF$10,0)))*$C30</f>
        <v>852369945.91616857</v>
      </c>
      <c r="P30" s="427">
        <f>(INDEX('[1]Jet - DemandSupply'!$BA$12:$BF$38,MATCH($A30,'[1]Jet - DemandSupply'!$BA$12:$BA$38,0),MATCH(P$9,'[1]Jet - DemandSupply'!$BA$10:$BF$10,0)))*$C30</f>
        <v>95286330.704242527</v>
      </c>
      <c r="Q30" s="427">
        <f>(INDEX('[1]Jet - DemandSupply'!$BA$12:$BF$38,MATCH($A30,'[1]Jet - DemandSupply'!$BA$12:$BA$38,0),MATCH(Q$9,'[1]Jet - DemandSupply'!$BA$10:$BF$10,0)))*$C30</f>
        <v>415485636.99648792</v>
      </c>
      <c r="R30" s="427">
        <f>(INDEX('[1]Jet - DemandSupply'!$BA$12:$BF$38,MATCH($A30,'[1]Jet - DemandSupply'!$BA$12:$BA$38,0),MATCH(R$9,'[1]Jet - DemandSupply'!$BA$10:$BF$10,0)))*$C30</f>
        <v>288217920.48688734</v>
      </c>
      <c r="S30" s="429">
        <f t="shared" si="6"/>
        <v>95286330.704242527</v>
      </c>
      <c r="T30" s="429">
        <f t="shared" si="7"/>
        <v>924677638.00821555</v>
      </c>
      <c r="U30" s="429"/>
      <c r="V30" s="426">
        <f t="shared" si="2"/>
        <v>1723667526.1958332</v>
      </c>
    </row>
    <row r="31" spans="1:22" ht="15.75" x14ac:dyDescent="0.6">
      <c r="A31" s="421">
        <v>2031</v>
      </c>
      <c r="B31" s="422">
        <f>VLOOKUP(A31,'[1]Jet - DemandSupply'!Y30:AC68,4,0)</f>
        <v>0.74054409942792221</v>
      </c>
      <c r="C31" s="422">
        <f>VLOOKUP($A31,'[1]Jet - DemandSupply'!$Y$9:$AC$47,5,0)</f>
        <v>0.80746722746341559</v>
      </c>
      <c r="D31" s="403"/>
      <c r="E31" s="428">
        <f>(INDEX('[1]Jet - DemandSupply'!$AS$12:$AX$38,MATCH($A31,'[1]Jet - DemandSupply'!$AS$12:$AS$38,0),MATCH(E$9,'[1]Jet - DemandSupply'!$AS$10:$AX$10,0)))*B31</f>
        <v>103774970.71681359</v>
      </c>
      <c r="F31" s="427">
        <f>(INDEX('[1]Jet - DemandSupply'!$AS$12:$AX$38,MATCH($A31,'[1]Jet - DemandSupply'!$AS$12:$AS$38,0),MATCH(F$9,'[1]Jet - DemandSupply'!$AS$10:$AX$10,0)))*$B31</f>
        <v>1223309216.7392163</v>
      </c>
      <c r="G31" s="427">
        <f>(INDEX('[1]Jet - DemandSupply'!$AS$12:$AX$38,MATCH($A31,'[1]Jet - DemandSupply'!$AS$12:$AS$38,0),MATCH(G$9,'[1]Jet - DemandSupply'!$AS$10:$AX$10,0)))*$B31</f>
        <v>136753585.85581231</v>
      </c>
      <c r="H31" s="427">
        <f>(INDEX('[1]Jet - DemandSupply'!$AS$12:$AX$38,MATCH($A31,'[1]Jet - DemandSupply'!$AS$12:$AS$38,0),MATCH(H$9,'[1]Jet - DemandSupply'!$AS$10:$AX$10,0)))*$B31</f>
        <v>596299073.65428936</v>
      </c>
      <c r="I31" s="427">
        <f>(INDEX('[1]Jet - DemandSupply'!$AS$12:$AX$38,MATCH($A31,'[1]Jet - DemandSupply'!$AS$12:$AS$38,0),MATCH(I$9,'[1]Jet - DemandSupply'!$AS$10:$AX$10,0)))*$B31</f>
        <v>413646258.00133085</v>
      </c>
      <c r="J31" s="429">
        <f t="shared" si="3"/>
        <v>136753585.85581231</v>
      </c>
      <c r="K31" s="429">
        <f t="shared" si="4"/>
        <v>1327084187.4560299</v>
      </c>
      <c r="L31" s="429"/>
      <c r="M31" s="426">
        <f t="shared" si="5"/>
        <v>2473783104.9674625</v>
      </c>
      <c r="N31" s="427">
        <f>(INDEX('[1]Jet - DemandSupply'!$BA$12:$BF$38,MATCH($A31,'[1]Jet - DemandSupply'!$BA$12:$BA$38,0),MATCH(N$9,'[1]Jet - DemandSupply'!$BA$10:$BF$10,0)))*$C31</f>
        <v>73508610.853820443</v>
      </c>
      <c r="O31" s="427">
        <f>(INDEX('[1]Jet - DemandSupply'!$BA$12:$BF$38,MATCH($A31,'[1]Jet - DemandSupply'!$BA$12:$BA$38,0),MATCH(O$9,'[1]Jet - DemandSupply'!$BA$10:$BF$10,0)))*$C31</f>
        <v>866526490.40550876</v>
      </c>
      <c r="P31" s="427">
        <f>(INDEX('[1]Jet - DemandSupply'!$BA$12:$BF$38,MATCH($A31,'[1]Jet - DemandSupply'!$BA$12:$BA$38,0),MATCH(P$9,'[1]Jet - DemandSupply'!$BA$10:$BF$10,0)))*$C31</f>
        <v>96868889.059688404</v>
      </c>
      <c r="Q31" s="427">
        <f>(INDEX('[1]Jet - DemandSupply'!$BA$12:$BF$38,MATCH($A31,'[1]Jet - DemandSupply'!$BA$12:$BA$38,0),MATCH(Q$9,'[1]Jet - DemandSupply'!$BA$10:$BF$10,0)))*$C31</f>
        <v>422386209.84399784</v>
      </c>
      <c r="R31" s="427">
        <f>(INDEX('[1]Jet - DemandSupply'!$BA$12:$BF$38,MATCH($A31,'[1]Jet - DemandSupply'!$BA$12:$BA$38,0),MATCH(R$9,'[1]Jet - DemandSupply'!$BA$10:$BF$10,0)))*$C31</f>
        <v>293004773.69956386</v>
      </c>
      <c r="S31" s="429">
        <f t="shared" si="6"/>
        <v>96868889.059688404</v>
      </c>
      <c r="T31" s="429">
        <f t="shared" si="7"/>
        <v>940035101.2593292</v>
      </c>
      <c r="U31" s="429"/>
      <c r="V31" s="426">
        <f t="shared" si="2"/>
        <v>1752294973.8625793</v>
      </c>
    </row>
    <row r="32" spans="1:22" ht="15.75" x14ac:dyDescent="0.6">
      <c r="A32" s="421">
        <v>2032</v>
      </c>
      <c r="B32" s="422">
        <f>VLOOKUP(A32,'[1]Jet - DemandSupply'!Y31:AC69,4,0)</f>
        <v>0.75223798728402935</v>
      </c>
      <c r="C32" s="422">
        <f>VLOOKUP($A32,'[1]Jet - DemandSupply'!$Y$9:$AC$47,5,0)</f>
        <v>0.80998163767919762</v>
      </c>
      <c r="D32" s="403"/>
      <c r="E32" s="428">
        <f>(INDEX('[1]Jet - DemandSupply'!$AS$12:$AX$38,MATCH($A32,'[1]Jet - DemandSupply'!$AS$12:$AS$38,0),MATCH(E$9,'[1]Jet - DemandSupply'!$AS$10:$AX$10,0)))*B32</f>
        <v>110388996.71797064</v>
      </c>
      <c r="F32" s="427">
        <f>(INDEX('[1]Jet - DemandSupply'!$AS$12:$AX$38,MATCH($A32,'[1]Jet - DemandSupply'!$AS$12:$AS$38,0),MATCH(F$9,'[1]Jet - DemandSupply'!$AS$10:$AX$10,0)))*$B32</f>
        <v>1301275983.7841077</v>
      </c>
      <c r="G32" s="427">
        <f>(INDEX('[1]Jet - DemandSupply'!$AS$12:$AX$38,MATCH($A32,'[1]Jet - DemandSupply'!$AS$12:$AS$38,0),MATCH(G$9,'[1]Jet - DemandSupply'!$AS$10:$AX$10,0)))*$B32</f>
        <v>145469481.08906683</v>
      </c>
      <c r="H32" s="427">
        <f>(INDEX('[1]Jet - DemandSupply'!$AS$12:$AX$38,MATCH($A32,'[1]Jet - DemandSupply'!$AS$12:$AS$38,0),MATCH(H$9,'[1]Jet - DemandSupply'!$AS$10:$AX$10,0)))*$B32</f>
        <v>634303782.78957534</v>
      </c>
      <c r="I32" s="427">
        <f>(INDEX('[1]Jet - DemandSupply'!$AS$12:$AX$38,MATCH($A32,'[1]Jet - DemandSupply'!$AS$12:$AS$38,0),MATCH(I$9,'[1]Jet - DemandSupply'!$AS$10:$AX$10,0)))*$B32</f>
        <v>440009716.23027015</v>
      </c>
      <c r="J32" s="429">
        <f t="shared" si="3"/>
        <v>145469481.08906683</v>
      </c>
      <c r="K32" s="429">
        <f t="shared" si="4"/>
        <v>1411664980.5020783</v>
      </c>
      <c r="L32" s="429"/>
      <c r="M32" s="426">
        <f t="shared" si="5"/>
        <v>2631447960.6109905</v>
      </c>
      <c r="N32" s="427">
        <f>(INDEX('[1]Jet - DemandSupply'!$BA$12:$BF$38,MATCH($A32,'[1]Jet - DemandSupply'!$BA$12:$BA$38,0),MATCH(N$9,'[1]Jet - DemandSupply'!$BA$10:$BF$10,0)))*$C32</f>
        <v>74713241.403123364</v>
      </c>
      <c r="O32" s="427">
        <f>(INDEX('[1]Jet - DemandSupply'!$BA$12:$BF$38,MATCH($A32,'[1]Jet - DemandSupply'!$BA$12:$BA$38,0),MATCH(O$9,'[1]Jet - DemandSupply'!$BA$10:$BF$10,0)))*$C32</f>
        <v>880726789.79898429</v>
      </c>
      <c r="P32" s="427">
        <f>(INDEX('[1]Jet - DemandSupply'!$BA$12:$BF$38,MATCH($A32,'[1]Jet - DemandSupply'!$BA$12:$BA$38,0),MATCH(P$9,'[1]Jet - DemandSupply'!$BA$10:$BF$10,0)))*$C32</f>
        <v>98456338.77044937</v>
      </c>
      <c r="Q32" s="427">
        <f>(INDEX('[1]Jet - DemandSupply'!$BA$12:$BF$38,MATCH($A32,'[1]Jet - DemandSupply'!$BA$12:$BA$38,0),MATCH(Q$9,'[1]Jet - DemandSupply'!$BA$10:$BF$10,0)))*$C32</f>
        <v>429308110.91208088</v>
      </c>
      <c r="R32" s="427">
        <f>(INDEX('[1]Jet - DemandSupply'!$BA$12:$BF$38,MATCH($A32,'[1]Jet - DemandSupply'!$BA$12:$BA$38,0),MATCH(R$9,'[1]Jet - DemandSupply'!$BA$10:$BF$10,0)))*$C32</f>
        <v>297806422.06960303</v>
      </c>
      <c r="S32" s="429">
        <f t="shared" si="6"/>
        <v>98456338.77044937</v>
      </c>
      <c r="T32" s="429">
        <f t="shared" si="7"/>
        <v>955440031.20210767</v>
      </c>
      <c r="U32" s="429"/>
      <c r="V32" s="426">
        <f t="shared" si="2"/>
        <v>1781010902.9542408</v>
      </c>
    </row>
    <row r="33" spans="1:22" ht="15.75" x14ac:dyDescent="0.6">
      <c r="A33" s="421">
        <v>2033</v>
      </c>
      <c r="B33" s="422">
        <f>VLOOKUP(A33,'[1]Jet - DemandSupply'!Y32:AC70,4,0)</f>
        <v>0.7630335269008085</v>
      </c>
      <c r="C33" s="422">
        <f>VLOOKUP($A33,'[1]Jet - DemandSupply'!$Y$9:$AC$47,5,0)</f>
        <v>0.81243870741323476</v>
      </c>
      <c r="D33" s="403"/>
      <c r="E33" s="428">
        <f>(INDEX('[1]Jet - DemandSupply'!$AS$12:$AX$38,MATCH($A33,'[1]Jet - DemandSupply'!$AS$12:$AS$38,0),MATCH(E$9,'[1]Jet - DemandSupply'!$AS$10:$AX$10,0)))*B33</f>
        <v>117074405.62868926</v>
      </c>
      <c r="F33" s="427">
        <f>(INDEX('[1]Jet - DemandSupply'!$AS$12:$AX$38,MATCH($A33,'[1]Jet - DemandSupply'!$AS$12:$AS$38,0),MATCH(F$9,'[1]Jet - DemandSupply'!$AS$10:$AX$10,0)))*$B33</f>
        <v>1380084219.3505623</v>
      </c>
      <c r="G33" s="427">
        <f>(INDEX('[1]Jet - DemandSupply'!$AS$12:$AX$38,MATCH($A33,'[1]Jet - DemandSupply'!$AS$12:$AS$38,0),MATCH(G$9,'[1]Jet - DemandSupply'!$AS$10:$AX$10,0)))*$B33</f>
        <v>154279443.98414713</v>
      </c>
      <c r="H33" s="427">
        <f>(INDEX('[1]Jet - DemandSupply'!$AS$12:$AX$38,MATCH($A33,'[1]Jet - DemandSupply'!$AS$12:$AS$38,0),MATCH(H$9,'[1]Jet - DemandSupply'!$AS$10:$AX$10,0)))*$B33</f>
        <v>672718663.68932736</v>
      </c>
      <c r="I33" s="427">
        <f>(INDEX('[1]Jet - DemandSupply'!$AS$12:$AX$38,MATCH($A33,'[1]Jet - DemandSupply'!$AS$12:$AS$38,0),MATCH(I$9,'[1]Jet - DemandSupply'!$AS$10:$AX$10,0)))*$B33</f>
        <v>466657706.20343876</v>
      </c>
      <c r="J33" s="429">
        <f t="shared" si="3"/>
        <v>154279443.98414713</v>
      </c>
      <c r="K33" s="429">
        <f t="shared" si="4"/>
        <v>1497158624.9792516</v>
      </c>
      <c r="L33" s="429"/>
      <c r="M33" s="426">
        <f t="shared" si="5"/>
        <v>2790814438.8561649</v>
      </c>
      <c r="N33" s="427">
        <f>(INDEX('[1]Jet - DemandSupply'!$BA$12:$BF$38,MATCH($A33,'[1]Jet - DemandSupply'!$BA$12:$BA$38,0),MATCH(N$9,'[1]Jet - DemandSupply'!$BA$10:$BF$10,0)))*$C33</f>
        <v>75921602.320739239</v>
      </c>
      <c r="O33" s="427">
        <f>(INDEX('[1]Jet - DemandSupply'!$BA$12:$BF$38,MATCH($A33,'[1]Jet - DemandSupply'!$BA$12:$BA$38,0),MATCH(O$9,'[1]Jet - DemandSupply'!$BA$10:$BF$10,0)))*$C33</f>
        <v>894971063.1286366</v>
      </c>
      <c r="P33" s="427">
        <f>(INDEX('[1]Jet - DemandSupply'!$BA$12:$BF$38,MATCH($A33,'[1]Jet - DemandSupply'!$BA$12:$BA$38,0),MATCH(P$9,'[1]Jet - DemandSupply'!$BA$10:$BF$10,0)))*$C33</f>
        <v>100048704.32209021</v>
      </c>
      <c r="Q33" s="427">
        <f>(INDEX('[1]Jet - DemandSupply'!$BA$12:$BF$38,MATCH($A33,'[1]Jet - DemandSupply'!$BA$12:$BA$38,0),MATCH(Q$9,'[1]Jet - DemandSupply'!$BA$10:$BF$10,0)))*$C33</f>
        <v>436251446.96736777</v>
      </c>
      <c r="R33" s="427">
        <f>(INDEX('[1]Jet - DemandSupply'!$BA$12:$BF$38,MATCH($A33,'[1]Jet - DemandSupply'!$BA$12:$BA$38,0),MATCH(R$9,'[1]Jet - DemandSupply'!$BA$10:$BF$10,0)))*$C33</f>
        <v>302622939.6598689</v>
      </c>
      <c r="S33" s="429">
        <f t="shared" si="6"/>
        <v>100048704.32209021</v>
      </c>
      <c r="T33" s="429">
        <f t="shared" si="7"/>
        <v>970892665.44937587</v>
      </c>
      <c r="U33" s="429"/>
      <c r="V33" s="426">
        <f t="shared" si="2"/>
        <v>1809815756.3987029</v>
      </c>
    </row>
    <row r="34" spans="1:22" ht="15.75" x14ac:dyDescent="0.6">
      <c r="A34" s="421">
        <v>2034</v>
      </c>
      <c r="B34" s="422">
        <f>VLOOKUP(A34,'[1]Jet - DemandSupply'!Y33:AC71,4,0)</f>
        <v>0.77303017126550211</v>
      </c>
      <c r="C34" s="422">
        <f>VLOOKUP($A34,'[1]Jet - DemandSupply'!$Y$9:$AC$47,5,0)</f>
        <v>0.81484037861777359</v>
      </c>
      <c r="D34" s="403"/>
      <c r="E34" s="428">
        <f>(INDEX('[1]Jet - DemandSupply'!$AS$12:$AX$38,MATCH($A34,'[1]Jet - DemandSupply'!$AS$12:$AS$38,0),MATCH(E$9,'[1]Jet - DemandSupply'!$AS$10:$AX$10,0)))*B34</f>
        <v>123832191.9120668</v>
      </c>
      <c r="F34" s="427">
        <f>(INDEX('[1]Jet - DemandSupply'!$AS$12:$AX$38,MATCH($A34,'[1]Jet - DemandSupply'!$AS$12:$AS$38,0),MATCH(F$9,'[1]Jet - DemandSupply'!$AS$10:$AX$10,0)))*$B34</f>
        <v>1459745646.2640772</v>
      </c>
      <c r="G34" s="427">
        <f>(INDEX('[1]Jet - DemandSupply'!$AS$12:$AX$38,MATCH($A34,'[1]Jet - DemandSupply'!$AS$12:$AS$38,0),MATCH(G$9,'[1]Jet - DemandSupply'!$AS$10:$AX$10,0)))*$B34</f>
        <v>163184785.03426385</v>
      </c>
      <c r="H34" s="427">
        <f>(INDEX('[1]Jet - DemandSupply'!$AS$12:$AX$38,MATCH($A34,'[1]Jet - DemandSupply'!$AS$12:$AS$38,0),MATCH(H$9,'[1]Jet - DemandSupply'!$AS$10:$AX$10,0)))*$B34</f>
        <v>711549430.61604643</v>
      </c>
      <c r="I34" s="427">
        <f>(INDEX('[1]Jet - DemandSupply'!$AS$12:$AX$38,MATCH($A34,'[1]Jet - DemandSupply'!$AS$12:$AS$38,0),MATCH(I$9,'[1]Jet - DemandSupply'!$AS$10:$AX$10,0)))*$B34</f>
        <v>493594191.84331316</v>
      </c>
      <c r="J34" s="429">
        <f t="shared" si="3"/>
        <v>163184785.03426385</v>
      </c>
      <c r="K34" s="429">
        <f t="shared" si="4"/>
        <v>1583577838.1761439</v>
      </c>
      <c r="L34" s="429"/>
      <c r="M34" s="426">
        <f t="shared" si="5"/>
        <v>2951906245.6697674</v>
      </c>
      <c r="N34" s="427">
        <f>(INDEX('[1]Jet - DemandSupply'!$BA$12:$BF$38,MATCH($A34,'[1]Jet - DemandSupply'!$BA$12:$BA$38,0),MATCH(N$9,'[1]Jet - DemandSupply'!$BA$10:$BF$10,0)))*$C34</f>
        <v>77133712.296999261</v>
      </c>
      <c r="O34" s="427">
        <f>(INDEX('[1]Jet - DemandSupply'!$BA$12:$BF$38,MATCH($A34,'[1]Jet - DemandSupply'!$BA$12:$BA$38,0),MATCH(O$9,'[1]Jet - DemandSupply'!$BA$10:$BF$10,0)))*$C34</f>
        <v>909259530.71786594</v>
      </c>
      <c r="P34" s="427">
        <f>(INDEX('[1]Jet - DemandSupply'!$BA$12:$BF$38,MATCH($A34,'[1]Jet - DemandSupply'!$BA$12:$BA$38,0),MATCH(P$9,'[1]Jet - DemandSupply'!$BA$10:$BF$10,0)))*$C34</f>
        <v>101646010.34453656</v>
      </c>
      <c r="Q34" s="427">
        <f>(INDEX('[1]Jet - DemandSupply'!$BA$12:$BF$38,MATCH($A34,'[1]Jet - DemandSupply'!$BA$12:$BA$38,0),MATCH(Q$9,'[1]Jet - DemandSupply'!$BA$10:$BF$10,0)))*$C34</f>
        <v>443216325.40595895</v>
      </c>
      <c r="R34" s="427">
        <f>(INDEX('[1]Jet - DemandSupply'!$BA$12:$BF$38,MATCH($A34,'[1]Jet - DemandSupply'!$BA$12:$BA$38,0),MATCH(R$9,'[1]Jet - DemandSupply'!$BA$10:$BF$10,0)))*$C34</f>
        <v>307454400.96988213</v>
      </c>
      <c r="S34" s="429">
        <f t="shared" si="6"/>
        <v>101646010.34453656</v>
      </c>
      <c r="T34" s="429">
        <f t="shared" si="7"/>
        <v>986393243.01486516</v>
      </c>
      <c r="U34" s="429"/>
      <c r="V34" s="426">
        <f t="shared" si="2"/>
        <v>1838709979.7352428</v>
      </c>
    </row>
    <row r="35" spans="1:22" ht="15.75" x14ac:dyDescent="0.6">
      <c r="A35" s="421">
        <v>2035</v>
      </c>
      <c r="B35" s="422">
        <f>VLOOKUP(A35,'[1]Jet - DemandSupply'!Y34:AC72,4,0)</f>
        <v>0.78231321417509569</v>
      </c>
      <c r="C35" s="422">
        <f>VLOOKUP($A35,'[1]Jet - DemandSupply'!$Y$9:$AC$47,5,0)</f>
        <v>0.81718850650611952</v>
      </c>
      <c r="D35" s="403"/>
      <c r="E35" s="428">
        <f>(INDEX('[1]Jet - DemandSupply'!$AS$12:$AX$38,MATCH($A35,'[1]Jet - DemandSupply'!$AS$12:$AS$38,0),MATCH(E$9,'[1]Jet - DemandSupply'!$AS$10:$AX$10,0)))*B35</f>
        <v>130663366.83893017</v>
      </c>
      <c r="F35" s="427">
        <f>(INDEX('[1]Jet - DemandSupply'!$AS$12:$AX$38,MATCH($A35,'[1]Jet - DemandSupply'!$AS$12:$AS$38,0),MATCH(F$9,'[1]Jet - DemandSupply'!$AS$10:$AX$10,0)))*$B35</f>
        <v>1540272185.4812632</v>
      </c>
      <c r="G35" s="427">
        <f>(INDEX('[1]Jet - DemandSupply'!$AS$12:$AX$38,MATCH($A35,'[1]Jet - DemandSupply'!$AS$12:$AS$38,0),MATCH(G$9,'[1]Jet - DemandSupply'!$AS$10:$AX$10,0)))*$B35</f>
        <v>172186836.88168034</v>
      </c>
      <c r="H35" s="427">
        <f>(INDEX('[1]Jet - DemandSupply'!$AS$12:$AX$38,MATCH($A35,'[1]Jet - DemandSupply'!$AS$12:$AS$38,0),MATCH(H$9,'[1]Jet - DemandSupply'!$AS$10:$AX$10,0)))*$B35</f>
        <v>750801894.4107585</v>
      </c>
      <c r="I35" s="427">
        <f>(INDEX('[1]Jet - DemandSupply'!$AS$12:$AX$38,MATCH($A35,'[1]Jet - DemandSupply'!$AS$12:$AS$38,0),MATCH(I$9,'[1]Jet - DemandSupply'!$AS$10:$AX$10,0)))*$B35</f>
        <v>520823204.0678547</v>
      </c>
      <c r="J35" s="429">
        <f t="shared" si="3"/>
        <v>172186836.88168034</v>
      </c>
      <c r="K35" s="429">
        <f t="shared" si="4"/>
        <v>1670935552.3201933</v>
      </c>
      <c r="L35" s="429"/>
      <c r="M35" s="426">
        <f t="shared" si="5"/>
        <v>3114747487.6804867</v>
      </c>
      <c r="N35" s="427">
        <f>(INDEX('[1]Jet - DemandSupply'!$BA$12:$BF$38,MATCH($A35,'[1]Jet - DemandSupply'!$BA$12:$BA$38,0),MATCH(N$9,'[1]Jet - DemandSupply'!$BA$10:$BF$10,0)))*$C35</f>
        <v>78349590.132452324</v>
      </c>
      <c r="O35" s="427">
        <f>(INDEX('[1]Jet - DemandSupply'!$BA$12:$BF$38,MATCH($A35,'[1]Jet - DemandSupply'!$BA$12:$BA$38,0),MATCH(O$9,'[1]Jet - DemandSupply'!$BA$10:$BF$10,0)))*$C35</f>
        <v>923592414.18932986</v>
      </c>
      <c r="P35" s="427">
        <f>(INDEX('[1]Jet - DemandSupply'!$BA$12:$BF$38,MATCH($A35,'[1]Jet - DemandSupply'!$BA$12:$BA$38,0),MATCH(P$9,'[1]Jet - DemandSupply'!$BA$10:$BF$10,0)))*$C35</f>
        <v>103248281.61295785</v>
      </c>
      <c r="Q35" s="427">
        <f>(INDEX('[1]Jet - DemandSupply'!$BA$12:$BF$38,MATCH($A35,'[1]Jet - DemandSupply'!$BA$12:$BA$38,0),MATCH(Q$9,'[1]Jet - DemandSupply'!$BA$10:$BF$10,0)))*$C35</f>
        <v>450202854.25727457</v>
      </c>
      <c r="R35" s="427">
        <f>(INDEX('[1]Jet - DemandSupply'!$BA$12:$BF$38,MATCH($A35,'[1]Jet - DemandSupply'!$BA$12:$BA$38,0),MATCH(R$9,'[1]Jet - DemandSupply'!$BA$10:$BF$10,0)))*$C35</f>
        <v>312300880.93849009</v>
      </c>
      <c r="S35" s="429">
        <f t="shared" si="6"/>
        <v>103248281.61295785</v>
      </c>
      <c r="T35" s="429">
        <f t="shared" si="7"/>
        <v>1001942004.3217822</v>
      </c>
      <c r="U35" s="429"/>
      <c r="V35" s="426">
        <f t="shared" si="2"/>
        <v>1867694021.1305048</v>
      </c>
    </row>
    <row r="36" spans="1:22" ht="15.75" x14ac:dyDescent="0.6">
      <c r="A36" s="421">
        <v>2036</v>
      </c>
      <c r="B36" s="422">
        <f>VLOOKUP(A36,'[1]Jet - DemandSupply'!Y35:AC73,4,0)</f>
        <v>0.79095622341795113</v>
      </c>
      <c r="C36" s="422">
        <f>VLOOKUP($A36,'[1]Jet - DemandSupply'!$Y$9:$AC$47,5,0)</f>
        <v>0.81948486434172285</v>
      </c>
      <c r="D36" s="403"/>
      <c r="E36" s="428">
        <f>(INDEX('[1]Jet - DemandSupply'!$AS$12:$AX$38,MATCH($A36,'[1]Jet - DemandSupply'!$AS$12:$AS$38,0),MATCH(E$9,'[1]Jet - DemandSupply'!$AS$10:$AX$10,0)))*B36</f>
        <v>137568958.80206889</v>
      </c>
      <c r="F36" s="427">
        <f>(INDEX('[1]Jet - DemandSupply'!$AS$12:$AX$38,MATCH($A36,'[1]Jet - DemandSupply'!$AS$12:$AS$38,0),MATCH(F$9,'[1]Jet - DemandSupply'!$AS$10:$AX$10,0)))*$B36</f>
        <v>1621675959.7940526</v>
      </c>
      <c r="G36" s="427">
        <f>(INDEX('[1]Jet - DemandSupply'!$AS$12:$AX$38,MATCH($A36,'[1]Jet - DemandSupply'!$AS$12:$AS$38,0),MATCH(G$9,'[1]Jet - DemandSupply'!$AS$10:$AX$10,0)))*$B36</f>
        <v>181286954.73180556</v>
      </c>
      <c r="H36" s="427">
        <f>(INDEX('[1]Jet - DemandSupply'!$AS$12:$AX$38,MATCH($A36,'[1]Jet - DemandSupply'!$AS$12:$AS$38,0),MATCH(H$9,'[1]Jet - DemandSupply'!$AS$10:$AX$10,0)))*$B36</f>
        <v>790481964.29862177</v>
      </c>
      <c r="I36" s="427">
        <f>(INDEX('[1]Jet - DemandSupply'!$AS$12:$AX$38,MATCH($A36,'[1]Jet - DemandSupply'!$AS$12:$AS$38,0),MATCH(I$9,'[1]Jet - DemandSupply'!$AS$10:$AX$10,0)))*$B36</f>
        <v>548348842.0430392</v>
      </c>
      <c r="J36" s="429">
        <f t="shared" si="3"/>
        <v>181286954.73180556</v>
      </c>
      <c r="K36" s="429">
        <f t="shared" si="4"/>
        <v>1759244918.5961215</v>
      </c>
      <c r="L36" s="429"/>
      <c r="M36" s="426">
        <f t="shared" si="5"/>
        <v>3279362679.6695881</v>
      </c>
      <c r="N36" s="427">
        <f>(INDEX('[1]Jet - DemandSupply'!$BA$12:$BF$38,MATCH($A36,'[1]Jet - DemandSupply'!$BA$12:$BA$38,0),MATCH(N$9,'[1]Jet - DemandSupply'!$BA$10:$BF$10,0)))*$C36</f>
        <v>79569254.738538787</v>
      </c>
      <c r="O36" s="427">
        <f>(INDEX('[1]Jet - DemandSupply'!$BA$12:$BF$38,MATCH($A36,'[1]Jet - DemandSupply'!$BA$12:$BA$38,0),MATCH(O$9,'[1]Jet - DemandSupply'!$BA$10:$BF$10,0)))*$C36</f>
        <v>937969936.47288418</v>
      </c>
      <c r="P36" s="427">
        <f>(INDEX('[1]Jet - DemandSupply'!$BA$12:$BF$38,MATCH($A36,'[1]Jet - DemandSupply'!$BA$12:$BA$38,0),MATCH(P$9,'[1]Jet - DemandSupply'!$BA$10:$BF$10,0)))*$C36</f>
        <v>104855543.04865503</v>
      </c>
      <c r="Q36" s="427">
        <f>(INDEX('[1]Jet - DemandSupply'!$BA$12:$BF$38,MATCH($A36,'[1]Jet - DemandSupply'!$BA$12:$BA$38,0),MATCH(Q$9,'[1]Jet - DemandSupply'!$BA$10:$BF$10,0)))*$C36</f>
        <v>457211142.18792522</v>
      </c>
      <c r="R36" s="427">
        <f>(INDEX('[1]Jet - DemandSupply'!$BA$12:$BF$38,MATCH($A36,'[1]Jet - DemandSupply'!$BA$12:$BA$38,0),MATCH(R$9,'[1]Jet - DemandSupply'!$BA$10:$BF$10,0)))*$C36</f>
        <v>317162454.94655281</v>
      </c>
      <c r="S36" s="429">
        <f t="shared" si="6"/>
        <v>104855543.04865503</v>
      </c>
      <c r="T36" s="429">
        <f t="shared" si="7"/>
        <v>1017539191.2114229</v>
      </c>
      <c r="U36" s="429"/>
      <c r="V36" s="426">
        <f t="shared" si="2"/>
        <v>1896768331.394556</v>
      </c>
    </row>
    <row r="37" spans="1:22" ht="15.75" x14ac:dyDescent="0.6">
      <c r="A37" s="421">
        <v>2037</v>
      </c>
      <c r="B37" s="422">
        <f>VLOOKUP(A37,'[1]Jet - DemandSupply'!Y36:AC74,4,0)</f>
        <v>0.79902298887183298</v>
      </c>
      <c r="C37" s="422">
        <f>VLOOKUP($A37,'[1]Jet - DemandSupply'!$Y$9:$AC$47,5,0)</f>
        <v>0.82173114791342738</v>
      </c>
      <c r="D37" s="403"/>
      <c r="E37" s="428">
        <f>(INDEX('[1]Jet - DemandSupply'!$AS$12:$AX$38,MATCH($A37,'[1]Jet - DemandSupply'!$AS$12:$AS$38,0),MATCH(E$9,'[1]Jet - DemandSupply'!$AS$10:$AX$10,0)))*B37</f>
        <v>144550013.63659945</v>
      </c>
      <c r="F37" s="427">
        <f>(INDEX('[1]Jet - DemandSupply'!$AS$12:$AX$38,MATCH($A37,'[1]Jet - DemandSupply'!$AS$12:$AS$38,0),MATCH(F$9,'[1]Jet - DemandSupply'!$AS$10:$AX$10,0)))*$B37</f>
        <v>1703969297.6061871</v>
      </c>
      <c r="G37" s="427">
        <f>(INDEX('[1]Jet - DemandSupply'!$AS$12:$AX$38,MATCH($A37,'[1]Jet - DemandSupply'!$AS$12:$AS$38,0),MATCH(G$9,'[1]Jet - DemandSupply'!$AS$10:$AX$10,0)))*$B37</f>
        <v>190486516.77536708</v>
      </c>
      <c r="H37" s="427">
        <f>(INDEX('[1]Jet - DemandSupply'!$AS$12:$AX$38,MATCH($A37,'[1]Jet - DemandSupply'!$AS$12:$AS$38,0),MATCH(H$9,'[1]Jet - DemandSupply'!$AS$10:$AX$10,0)))*$B37</f>
        <v>830595649.72976494</v>
      </c>
      <c r="I37" s="427">
        <f>(INDEX('[1]Jet - DemandSupply'!$AS$12:$AX$38,MATCH($A37,'[1]Jet - DemandSupply'!$AS$12:$AS$38,0),MATCH(I$9,'[1]Jet - DemandSupply'!$AS$10:$AX$10,0)))*$B37</f>
        <v>576175274.45982814</v>
      </c>
      <c r="J37" s="429">
        <f t="shared" si="3"/>
        <v>190486516.77536708</v>
      </c>
      <c r="K37" s="429">
        <f t="shared" si="4"/>
        <v>1848519311.2427866</v>
      </c>
      <c r="L37" s="429"/>
      <c r="M37" s="426">
        <f t="shared" si="5"/>
        <v>3445776752.2077465</v>
      </c>
      <c r="N37" s="427">
        <f>(INDEX('[1]Jet - DemandSupply'!$BA$12:$BF$38,MATCH($A37,'[1]Jet - DemandSupply'!$BA$12:$BA$38,0),MATCH(N$9,'[1]Jet - DemandSupply'!$BA$10:$BF$10,0)))*$C37</f>
        <v>80792725.138268068</v>
      </c>
      <c r="O37" s="427">
        <f>(INDEX('[1]Jet - DemandSupply'!$BA$12:$BF$38,MATCH($A37,'[1]Jet - DemandSupply'!$BA$12:$BA$38,0),MATCH(O$9,'[1]Jet - DemandSupply'!$BA$10:$BF$10,0)))*$C37</f>
        <v>952392321.81357145</v>
      </c>
      <c r="P37" s="427">
        <f>(INDEX('[1]Jet - DemandSupply'!$BA$12:$BF$38,MATCH($A37,'[1]Jet - DemandSupply'!$BA$12:$BA$38,0),MATCH(P$9,'[1]Jet - DemandSupply'!$BA$10:$BF$10,0)))*$C37</f>
        <v>106467819.71995372</v>
      </c>
      <c r="Q37" s="427">
        <f>(INDEX('[1]Jet - DemandSupply'!$BA$12:$BF$38,MATCH($A37,'[1]Jet - DemandSupply'!$BA$12:$BA$38,0),MATCH(Q$9,'[1]Jet - DemandSupply'!$BA$10:$BF$10,0)))*$C37</f>
        <v>464241298.50560665</v>
      </c>
      <c r="R37" s="427">
        <f>(INDEX('[1]Jet - DemandSupply'!$BA$12:$BF$38,MATCH($A37,'[1]Jet - DemandSupply'!$BA$12:$BA$38,0),MATCH(R$9,'[1]Jet - DemandSupply'!$BA$10:$BF$10,0)))*$C37</f>
        <v>322039198.81964368</v>
      </c>
      <c r="S37" s="429">
        <f t="shared" si="6"/>
        <v>106467819.71995372</v>
      </c>
      <c r="T37" s="429">
        <f t="shared" si="7"/>
        <v>1033185046.9518396</v>
      </c>
      <c r="U37" s="429"/>
      <c r="V37" s="426">
        <f t="shared" si="2"/>
        <v>1925933363.9970436</v>
      </c>
    </row>
    <row r="38" spans="1:22" ht="15.75" x14ac:dyDescent="0.6">
      <c r="A38" s="421">
        <v>2038</v>
      </c>
      <c r="B38" s="422">
        <f>VLOOKUP(A38,'[1]Jet - DemandSupply'!Y37:AC75,4,0)</f>
        <v>0.80656909471508209</v>
      </c>
      <c r="C38" s="422">
        <f>VLOOKUP($A38,'[1]Jet - DemandSupply'!$Y$9:$AC$47,5,0)</f>
        <v>0.82392897972061818</v>
      </c>
      <c r="D38" s="403"/>
      <c r="E38" s="428">
        <f>(INDEX('[1]Jet - DemandSupply'!$AS$12:$AX$38,MATCH($A38,'[1]Jet - DemandSupply'!$AS$12:$AS$38,0),MATCH(E$9,'[1]Jet - DemandSupply'!$AS$10:$AX$10,0)))*B38</f>
        <v>151607594.94657633</v>
      </c>
      <c r="F38" s="427">
        <f>(INDEX('[1]Jet - DemandSupply'!$AS$12:$AX$38,MATCH($A38,'[1]Jet - DemandSupply'!$AS$12:$AS$38,0),MATCH(F$9,'[1]Jet - DemandSupply'!$AS$10:$AX$10,0)))*$B38</f>
        <v>1787164736.7833369</v>
      </c>
      <c r="G38" s="427">
        <f>(INDEX('[1]Jet - DemandSupply'!$AS$12:$AX$38,MATCH($A38,'[1]Jet - DemandSupply'!$AS$12:$AS$38,0),MATCH(G$9,'[1]Jet - DemandSupply'!$AS$10:$AX$10,0)))*$B38</f>
        <v>199786924.61881566</v>
      </c>
      <c r="H38" s="427">
        <f>(INDEX('[1]Jet - DemandSupply'!$AS$12:$AX$38,MATCH($A38,'[1]Jet - DemandSupply'!$AS$12:$AS$38,0),MATCH(H$9,'[1]Jet - DemandSupply'!$AS$10:$AX$10,0)))*$B38</f>
        <v>871149062.25602078</v>
      </c>
      <c r="I38" s="427">
        <f>(INDEX('[1]Jet - DemandSupply'!$AS$12:$AX$38,MATCH($A38,'[1]Jet - DemandSupply'!$AS$12:$AS$38,0),MATCH(I$9,'[1]Jet - DemandSupply'!$AS$10:$AX$10,0)))*$B38</f>
        <v>604306740.83603668</v>
      </c>
      <c r="J38" s="429">
        <f t="shared" si="3"/>
        <v>199786924.61881566</v>
      </c>
      <c r="K38" s="429">
        <f t="shared" si="4"/>
        <v>1938772331.7299132</v>
      </c>
      <c r="L38" s="429"/>
      <c r="M38" s="426">
        <f t="shared" si="5"/>
        <v>3614015059.4407864</v>
      </c>
      <c r="N38" s="427">
        <f>(INDEX('[1]Jet - DemandSupply'!$BA$12:$BF$38,MATCH($A38,'[1]Jet - DemandSupply'!$BA$12:$BA$38,0),MATCH(N$9,'[1]Jet - DemandSupply'!$BA$10:$BF$10,0)))*$C38</f>
        <v>82020020.466901198</v>
      </c>
      <c r="O38" s="427">
        <f>(INDEX('[1]Jet - DemandSupply'!$BA$12:$BF$38,MATCH($A38,'[1]Jet - DemandSupply'!$BA$12:$BA$38,0),MATCH(O$9,'[1]Jet - DemandSupply'!$BA$10:$BF$10,0)))*$C38</f>
        <v>966859795.77966785</v>
      </c>
      <c r="P38" s="427">
        <f>(INDEX('[1]Jet - DemandSupply'!$BA$12:$BF$38,MATCH($A38,'[1]Jet - DemandSupply'!$BA$12:$BA$38,0),MATCH(P$9,'[1]Jet - DemandSupply'!$BA$10:$BF$10,0)))*$C38</f>
        <v>108085136.84310351</v>
      </c>
      <c r="Q38" s="427">
        <f>(INDEX('[1]Jet - DemandSupply'!$BA$12:$BF$38,MATCH($A38,'[1]Jet - DemandSupply'!$BA$12:$BA$38,0),MATCH(Q$9,'[1]Jet - DemandSupply'!$BA$10:$BF$10,0)))*$C38</f>
        <v>471293433.16302091</v>
      </c>
      <c r="R38" s="427">
        <f>(INDEX('[1]Jet - DemandSupply'!$BA$12:$BF$38,MATCH($A38,'[1]Jet - DemandSupply'!$BA$12:$BA$38,0),MATCH(R$9,'[1]Jet - DemandSupply'!$BA$10:$BF$10,0)))*$C38</f>
        <v>326931188.83077037</v>
      </c>
      <c r="S38" s="429">
        <f t="shared" si="6"/>
        <v>108085136.84310351</v>
      </c>
      <c r="T38" s="429">
        <f t="shared" si="7"/>
        <v>1048879816.246569</v>
      </c>
      <c r="U38" s="429"/>
      <c r="V38" s="426">
        <f t="shared" si="2"/>
        <v>1955189575.0834637</v>
      </c>
    </row>
    <row r="39" spans="1:22" ht="15.75" x14ac:dyDescent="0.6">
      <c r="A39" s="421">
        <v>2039</v>
      </c>
      <c r="B39" s="422">
        <f>VLOOKUP(A39,'[1]Jet - DemandSupply'!Y38:AC76,4,0)</f>
        <v>0.81364319773019256</v>
      </c>
      <c r="C39" s="422">
        <f>VLOOKUP($A39,'[1]Jet - DemandSupply'!$Y$9:$AC$47,5,0)</f>
        <v>0.82607991288996996</v>
      </c>
      <c r="D39" s="403"/>
      <c r="E39" s="428">
        <f>(INDEX('[1]Jet - DemandSupply'!$AS$12:$AX$38,MATCH($A39,'[1]Jet - DemandSupply'!$AS$12:$AS$38,0),MATCH(E$9,'[1]Jet - DemandSupply'!$AS$10:$AX$10,0)))*B39</f>
        <v>158742784.4379811</v>
      </c>
      <c r="F39" s="427">
        <f>(INDEX('[1]Jet - DemandSupply'!$AS$12:$AX$38,MATCH($A39,'[1]Jet - DemandSupply'!$AS$12:$AS$38,0),MATCH(F$9,'[1]Jet - DemandSupply'!$AS$10:$AX$10,0)))*$B39</f>
        <v>1871275028.578409</v>
      </c>
      <c r="G39" s="427">
        <f>(INDEX('[1]Jet - DemandSupply'!$AS$12:$AX$38,MATCH($A39,'[1]Jet - DemandSupply'!$AS$12:$AS$38,0),MATCH(G$9,'[1]Jet - DemandSupply'!$AS$10:$AX$10,0)))*$B39</f>
        <v>209189603.72313482</v>
      </c>
      <c r="H39" s="427">
        <f>(INDEX('[1]Jet - DemandSupply'!$AS$12:$AX$38,MATCH($A39,'[1]Jet - DemandSupply'!$AS$12:$AS$38,0),MATCH(H$9,'[1]Jet - DemandSupply'!$AS$10:$AX$10,0)))*$B39</f>
        <v>912148417.44430542</v>
      </c>
      <c r="I39" s="427">
        <f>(INDEX('[1]Jet - DemandSupply'!$AS$12:$AX$38,MATCH($A39,'[1]Jet - DemandSupply'!$AS$12:$AS$38,0),MATCH(I$9,'[1]Jet - DemandSupply'!$AS$10:$AX$10,0)))*$B39</f>
        <v>632747552.84362614</v>
      </c>
      <c r="J39" s="429">
        <f t="shared" si="3"/>
        <v>209189603.72313482</v>
      </c>
      <c r="K39" s="429">
        <f t="shared" si="4"/>
        <v>2030017813.0163901</v>
      </c>
      <c r="L39" s="429"/>
      <c r="M39" s="426">
        <f t="shared" si="5"/>
        <v>3784103387.0274563</v>
      </c>
      <c r="N39" s="427">
        <f>(INDEX('[1]Jet - DemandSupply'!$BA$12:$BF$38,MATCH($A39,'[1]Jet - DemandSupply'!$BA$12:$BA$38,0),MATCH(N$9,'[1]Jet - DemandSupply'!$BA$10:$BF$10,0)))*$C39</f>
        <v>83251159.972636163</v>
      </c>
      <c r="O39" s="427">
        <f>(INDEX('[1]Jet - DemandSupply'!$BA$12:$BF$38,MATCH($A39,'[1]Jet - DemandSupply'!$BA$12:$BA$38,0),MATCH(O$9,'[1]Jet - DemandSupply'!$BA$10:$BF$10,0)))*$C39</f>
        <v>981372585.27075982</v>
      </c>
      <c r="P39" s="427">
        <f>(INDEX('[1]Jet - DemandSupply'!$BA$12:$BF$38,MATCH($A39,'[1]Jet - DemandSupply'!$BA$12:$BA$38,0),MATCH(P$9,'[1]Jet - DemandSupply'!$BA$10:$BF$10,0)))*$C39</f>
        <v>109707519.78318109</v>
      </c>
      <c r="Q39" s="427">
        <f>(INDEX('[1]Jet - DemandSupply'!$BA$12:$BF$38,MATCH($A39,'[1]Jet - DemandSupply'!$BA$12:$BA$38,0),MATCH(Q$9,'[1]Jet - DemandSupply'!$BA$10:$BF$10,0)))*$C39</f>
        <v>478367656.76181406</v>
      </c>
      <c r="R39" s="427">
        <f>(INDEX('[1]Jet - DemandSupply'!$BA$12:$BF$38,MATCH($A39,'[1]Jet - DemandSupply'!$BA$12:$BA$38,0),MATCH(R$9,'[1]Jet - DemandSupply'!$BA$10:$BF$10,0)))*$C39</f>
        <v>331838501.70310605</v>
      </c>
      <c r="S39" s="429">
        <f t="shared" si="6"/>
        <v>109707519.78318109</v>
      </c>
      <c r="T39" s="429">
        <f t="shared" si="7"/>
        <v>1064623745.243396</v>
      </c>
      <c r="U39" s="429"/>
      <c r="V39" s="426">
        <f t="shared" si="2"/>
        <v>1984537423.4914975</v>
      </c>
    </row>
    <row r="40" spans="1:22" ht="16.149999999999999" thickBot="1" x14ac:dyDescent="0.65">
      <c r="A40" s="431">
        <v>2040</v>
      </c>
      <c r="B40" s="432">
        <f>VLOOKUP(A40,'[1]Jet - DemandSupply'!Y39:AC77,4,0)</f>
        <v>0.82028807386293456</v>
      </c>
      <c r="C40" s="432">
        <f>VLOOKUP($A40,'[1]Jet - DemandSupply'!$Y$9:$AC$47,5,0)</f>
        <v>0.82818543484367213</v>
      </c>
      <c r="D40" s="433"/>
      <c r="E40" s="434">
        <f>(INDEX('[1]Jet - DemandSupply'!$AS$12:$AX$38,MATCH($A40,'[1]Jet - DemandSupply'!$AS$12:$AS$38,0),MATCH(E$9,'[1]Jet - DemandSupply'!$AS$10:$AX$10,0)))*B40</f>
        <v>165956682.25820875</v>
      </c>
      <c r="F40" s="435">
        <f>(INDEX('[1]Jet - DemandSupply'!$AS$12:$AX$38,MATCH($A40,'[1]Jet - DemandSupply'!$AS$12:$AS$38,0),MATCH(F$9,'[1]Jet - DemandSupply'!$AS$10:$AX$10,0)))*$B40</f>
        <v>1956313141.633445</v>
      </c>
      <c r="G40" s="435">
        <f>(INDEX('[1]Jet - DemandSupply'!$AS$12:$AX$38,MATCH($A40,'[1]Jet - DemandSupply'!$AS$12:$AS$38,0),MATCH(G$9,'[1]Jet - DemandSupply'!$AS$10:$AX$10,0)))*$B40</f>
        <v>218696003.85121232</v>
      </c>
      <c r="H40" s="435">
        <f>(INDEX('[1]Jet - DemandSupply'!$AS$12:$AX$38,MATCH($A40,'[1]Jet - DemandSupply'!$AS$12:$AS$38,0),MATCH(H$9,'[1]Jet - DemandSupply'!$AS$10:$AX$10,0)))*$B40</f>
        <v>953600036.8273356</v>
      </c>
      <c r="I40" s="435">
        <f>(INDEX('[1]Jet - DemandSupply'!$AS$12:$AX$38,MATCH($A40,'[1]Jet - DemandSupply'!$AS$12:$AS$38,0),MATCH(I$9,'[1]Jet - DemandSupply'!$AS$10:$AX$10,0)))*$B40</f>
        <v>661502095.6618942</v>
      </c>
      <c r="J40" s="436">
        <f t="shared" si="3"/>
        <v>218696003.85121232</v>
      </c>
      <c r="K40" s="436">
        <f t="shared" si="4"/>
        <v>2122269823.8916538</v>
      </c>
      <c r="L40" s="436"/>
      <c r="M40" s="437">
        <f t="shared" si="5"/>
        <v>3956067960.2320962</v>
      </c>
      <c r="N40" s="435">
        <f>(INDEX('[1]Jet - DemandSupply'!$BA$12:$BF$38,MATCH($A40,'[1]Jet - DemandSupply'!$BA$12:$BA$38,0),MATCH(N$9,'[1]Jet - DemandSupply'!$BA$10:$BF$10,0)))*$C40</f>
        <v>84486163.017299488</v>
      </c>
      <c r="O40" s="435">
        <f>(INDEX('[1]Jet - DemandSupply'!$BA$12:$BF$38,MATCH($A40,'[1]Jet - DemandSupply'!$BA$12:$BA$38,0),MATCH(O$9,'[1]Jet - DemandSupply'!$BA$10:$BF$10,0)))*$C40</f>
        <v>995930918.52589869</v>
      </c>
      <c r="P40" s="435">
        <f>(INDEX('[1]Jet - DemandSupply'!$BA$12:$BF$38,MATCH($A40,'[1]Jet - DemandSupply'!$BA$12:$BA$38,0),MATCH(P$9,'[1]Jet - DemandSupply'!$BA$10:$BF$10,0)))*$C40</f>
        <v>111334994.05500175</v>
      </c>
      <c r="Q40" s="435">
        <f>(INDEX('[1]Jet - DemandSupply'!$BA$12:$BF$38,MATCH($A40,'[1]Jet - DemandSupply'!$BA$12:$BA$38,0),MATCH(Q$9,'[1]Jet - DemandSupply'!$BA$10:$BF$10,0)))*$C40</f>
        <v>485464080.55655146</v>
      </c>
      <c r="R40" s="435">
        <f>(INDEX('[1]Jet - DemandSupply'!$BA$12:$BF$38,MATCH($A40,'[1]Jet - DemandSupply'!$BA$12:$BA$38,0),MATCH(R$9,'[1]Jet - DemandSupply'!$BA$10:$BF$10,0)))*$C40</f>
        <v>336761214.61274666</v>
      </c>
      <c r="S40" s="436">
        <f t="shared" si="6"/>
        <v>111334994.05500175</v>
      </c>
      <c r="T40" s="436">
        <f t="shared" si="7"/>
        <v>1080417081.5431981</v>
      </c>
      <c r="U40" s="436"/>
      <c r="V40" s="437">
        <f t="shared" si="2"/>
        <v>2013977370.767498</v>
      </c>
    </row>
    <row r="41" spans="1:22" ht="15.75" x14ac:dyDescent="0.6">
      <c r="A41" s="76"/>
      <c r="B41" s="438"/>
      <c r="C41" s="438"/>
    </row>
    <row r="42" spans="1:22" ht="16.149999999999999" thickBot="1" x14ac:dyDescent="0.65">
      <c r="A42" s="76"/>
      <c r="B42" s="438"/>
      <c r="C42" s="438"/>
      <c r="F42" s="54"/>
      <c r="M42" s="397">
        <v>8680040776</v>
      </c>
    </row>
    <row r="43" spans="1:22" ht="14.65" thickBot="1" x14ac:dyDescent="0.5">
      <c r="A43" s="491" t="s">
        <v>362</v>
      </c>
      <c r="B43" s="492"/>
      <c r="C43" s="492"/>
      <c r="D43" s="492"/>
      <c r="E43" s="492"/>
      <c r="F43" s="492"/>
      <c r="G43" s="492"/>
      <c r="H43" s="492"/>
      <c r="I43" s="492"/>
      <c r="J43" s="492"/>
      <c r="K43" s="492"/>
      <c r="L43" s="492"/>
      <c r="M43" s="492"/>
      <c r="N43" s="492"/>
      <c r="O43" s="492"/>
      <c r="P43" s="492"/>
      <c r="Q43" s="492"/>
      <c r="R43" s="492"/>
      <c r="S43" s="492"/>
      <c r="T43" s="492"/>
      <c r="U43" s="492"/>
      <c r="V43" s="493"/>
    </row>
    <row r="44" spans="1:22" ht="14.65" thickBot="1" x14ac:dyDescent="0.5">
      <c r="A44" s="503"/>
      <c r="B44" s="504"/>
      <c r="C44" s="504"/>
      <c r="D44" s="504"/>
      <c r="E44" s="505" t="s">
        <v>354</v>
      </c>
      <c r="F44" s="506"/>
      <c r="G44" s="506"/>
      <c r="H44" s="506"/>
      <c r="I44" s="506"/>
      <c r="J44" s="506"/>
      <c r="K44" s="506"/>
      <c r="L44" s="506"/>
      <c r="M44" s="507"/>
      <c r="N44" s="508" t="s">
        <v>355</v>
      </c>
      <c r="O44" s="508"/>
      <c r="P44" s="508"/>
      <c r="Q44" s="508"/>
      <c r="R44" s="508"/>
      <c r="S44" s="508"/>
      <c r="T44" s="508"/>
      <c r="U44" s="508"/>
      <c r="V44" s="509"/>
    </row>
    <row r="45" spans="1:22" ht="31.5" x14ac:dyDescent="0.45">
      <c r="A45" s="412" t="s">
        <v>30</v>
      </c>
      <c r="B45" s="413" t="s">
        <v>356</v>
      </c>
      <c r="C45" s="413" t="s">
        <v>357</v>
      </c>
      <c r="D45" s="414" t="s">
        <v>358</v>
      </c>
      <c r="E45" s="419" t="s">
        <v>198</v>
      </c>
      <c r="F45" s="413" t="s">
        <v>199</v>
      </c>
      <c r="G45" s="413" t="s">
        <v>97</v>
      </c>
      <c r="H45" s="413" t="s">
        <v>200</v>
      </c>
      <c r="I45" s="413" t="s">
        <v>201</v>
      </c>
      <c r="J45" s="414" t="s">
        <v>359</v>
      </c>
      <c r="K45" s="414" t="s">
        <v>360</v>
      </c>
      <c r="L45" s="414" t="s">
        <v>182</v>
      </c>
      <c r="M45" s="418" t="s">
        <v>361</v>
      </c>
      <c r="N45" s="419" t="s">
        <v>198</v>
      </c>
      <c r="O45" s="413" t="s">
        <v>199</v>
      </c>
      <c r="P45" s="413" t="s">
        <v>97</v>
      </c>
      <c r="Q45" s="413" t="s">
        <v>200</v>
      </c>
      <c r="R45" s="413" t="s">
        <v>201</v>
      </c>
      <c r="S45" s="414" t="s">
        <v>359</v>
      </c>
      <c r="T45" s="414" t="s">
        <v>360</v>
      </c>
      <c r="U45" s="263" t="s">
        <v>182</v>
      </c>
      <c r="V45" s="420" t="s">
        <v>361</v>
      </c>
    </row>
    <row r="46" spans="1:22" ht="15.75" x14ac:dyDescent="0.6">
      <c r="A46" s="421">
        <v>2010</v>
      </c>
      <c r="B46" s="422">
        <f>VLOOKUP($A46,'Diesel - DemandSupply'!$AT$11:$AY$49,4,0)</f>
        <v>0.23018192978859919</v>
      </c>
      <c r="C46" s="439"/>
      <c r="D46" s="423">
        <f>VLOOKUP(A46,'Diesel - DemandSupply'!AT11:AY49,2,FALSE)</f>
        <v>2575160810.7142859</v>
      </c>
      <c r="E46" s="424">
        <f>(VLOOKUP($A46,'Diesel - DemandSupply'!$C$10:$H$31, MATCH($E$45, 'Diesel - DemandSupply'!$C$10:$H$10, 0),FALSE))*B46</f>
        <v>718268985.46630466</v>
      </c>
      <c r="F46" s="425">
        <f>(VLOOKUP($A46,'Diesel - DemandSupply'!$C$10:$H$31, MATCH($F$45, 'Diesel - DemandSupply'!$C$10:$H$10, 0),FALSE))*B46</f>
        <v>490846404.37488526</v>
      </c>
      <c r="G46" s="425">
        <f>(VLOOKUP($A46,'Diesel - DemandSupply'!$C$10:$H$31, MATCH($G$45, 'Diesel - DemandSupply'!$C$10:$H$10, 0),FALSE))*B46</f>
        <v>351943144.3941493</v>
      </c>
      <c r="H46" s="425">
        <f>(VLOOKUP($A46,'Diesel - DemandSupply'!$C$10:$H$31, MATCH($H$45, 'Diesel - DemandSupply'!$C$10:$H$10, 0),FALSE))*B46</f>
        <v>130650965.95295562</v>
      </c>
      <c r="I46" s="425">
        <f>(VLOOKUP($A46,'Diesel - DemandSupply'!$C$10:$H$31, MATCH($I$45, 'Diesel - DemandSupply'!$C$10:$H$10, 0),FALSE))*B46</f>
        <v>306279036.27511513</v>
      </c>
      <c r="J46" s="425">
        <f>G46</f>
        <v>351943144.3941493</v>
      </c>
      <c r="K46" s="425">
        <f>SUM(E46:F46)</f>
        <v>1209115389.8411899</v>
      </c>
      <c r="L46" s="425">
        <f>SUM(J46:K46)</f>
        <v>1561058534.2353392</v>
      </c>
      <c r="M46" s="426">
        <f>SUM(E46:I46)</f>
        <v>1997988536.4634099</v>
      </c>
      <c r="N46" s="427"/>
      <c r="O46" s="427"/>
      <c r="P46" s="427"/>
      <c r="Q46" s="427"/>
      <c r="R46" s="427"/>
      <c r="S46" s="427"/>
      <c r="T46" s="427"/>
      <c r="U46" s="427"/>
      <c r="V46" s="404"/>
    </row>
    <row r="47" spans="1:22" ht="15.75" x14ac:dyDescent="0.6">
      <c r="A47" s="421">
        <v>2011</v>
      </c>
      <c r="B47" s="422">
        <f>VLOOKUP($A47,'Diesel - DemandSupply'!$AT$11:$AY$49,4,0)</f>
        <v>0.31253451060774928</v>
      </c>
      <c r="C47" s="439"/>
      <c r="D47" s="423">
        <f>VLOOKUP(A47,'Diesel - DemandSupply'!AT12:AY50,2,FALSE)</f>
        <v>3753147008.333333</v>
      </c>
      <c r="E47" s="424">
        <f>(VLOOKUP($A47,'Diesel - DemandSupply'!$C$10:$H$31, MATCH($E$45, 'Diesel - DemandSupply'!$C$10:$H$10, 0),FALSE))*B47</f>
        <v>1227601714.2426889</v>
      </c>
      <c r="F47" s="425">
        <f>(VLOOKUP($A47,'Diesel - DemandSupply'!$C$10:$H$31, MATCH($F$45, 'Diesel - DemandSupply'!$C$10:$H$10, 0),FALSE))*B47</f>
        <v>798115048.63576138</v>
      </c>
      <c r="G47" s="425">
        <f>(VLOOKUP($A47,'Diesel - DemandSupply'!$C$10:$H$31, MATCH($G$45, 'Diesel - DemandSupply'!$C$10:$H$10, 0),FALSE))*B47</f>
        <v>632227369.15280843</v>
      </c>
      <c r="H47" s="425">
        <f>(VLOOKUP($A47,'Diesel - DemandSupply'!$C$10:$H$31, MATCH($H$45, 'Diesel - DemandSupply'!$C$10:$H$10, 0),FALSE))*B47</f>
        <v>214592977.60722986</v>
      </c>
      <c r="I47" s="425">
        <f>(VLOOKUP($A47,'Diesel - DemandSupply'!$C$10:$H$31, MATCH($I$45, 'Diesel - DemandSupply'!$C$10:$H$10, 0),FALSE))*B47</f>
        <v>635484264.40988386</v>
      </c>
      <c r="J47" s="425">
        <f t="shared" ref="J47:J59" si="8">G47</f>
        <v>632227369.15280843</v>
      </c>
      <c r="K47" s="425">
        <f t="shared" ref="K47:K59" si="9">SUM(E47:F47)</f>
        <v>2025716762.8784504</v>
      </c>
      <c r="L47" s="425">
        <f t="shared" ref="L47:L76" si="10">SUM(J47:K47)</f>
        <v>2657944132.0312586</v>
      </c>
      <c r="M47" s="426">
        <f t="shared" ref="M47:M59" si="11">SUM(E47:I47)</f>
        <v>3508021374.0483723</v>
      </c>
      <c r="N47" s="427"/>
      <c r="O47" s="427"/>
      <c r="P47" s="427"/>
      <c r="Q47" s="427"/>
      <c r="R47" s="427"/>
      <c r="S47" s="427"/>
      <c r="T47" s="427"/>
      <c r="U47" s="427"/>
      <c r="V47" s="404"/>
    </row>
    <row r="48" spans="1:22" ht="15.75" x14ac:dyDescent="0.6">
      <c r="A48" s="421">
        <v>2012</v>
      </c>
      <c r="B48" s="422">
        <f>VLOOKUP($A48,'Diesel - DemandSupply'!$AT$11:$AY$49,4,0)</f>
        <v>0.25784290662968062</v>
      </c>
      <c r="C48" s="439"/>
      <c r="D48" s="423">
        <f>VLOOKUP(A48,'Diesel - DemandSupply'!AT13:AY51,2,FALSE)</f>
        <v>3246942102.96</v>
      </c>
      <c r="E48" s="424">
        <f>(VLOOKUP($A48,'Diesel - DemandSupply'!$C$10:$H$31, MATCH($E$45, 'Diesel - DemandSupply'!$C$10:$H$10, 0),FALSE))*B48</f>
        <v>966581742.76355708</v>
      </c>
      <c r="F48" s="425">
        <f>(VLOOKUP($A48,'Diesel - DemandSupply'!$C$10:$H$31, MATCH($F$45, 'Diesel - DemandSupply'!$C$10:$H$10, 0),FALSE))*B48</f>
        <v>659451910.81419277</v>
      </c>
      <c r="G48" s="425">
        <f>(VLOOKUP($A48,'Diesel - DemandSupply'!$C$10:$H$31, MATCH($G$45, 'Diesel - DemandSupply'!$C$10:$H$10, 0),FALSE))*B48</f>
        <v>539151933.49285436</v>
      </c>
      <c r="H48" s="425">
        <f>(VLOOKUP($A48,'Diesel - DemandSupply'!$C$10:$H$31, MATCH($H$45, 'Diesel - DemandSupply'!$C$10:$H$10, 0),FALSE))*B48</f>
        <v>181746933.72243693</v>
      </c>
      <c r="I48" s="425">
        <f>(VLOOKUP($A48,'Diesel - DemandSupply'!$C$10:$H$31, MATCH($I$45, 'Diesel - DemandSupply'!$C$10:$H$10, 0),FALSE))*B48</f>
        <v>548304783.49342668</v>
      </c>
      <c r="J48" s="425">
        <f t="shared" si="8"/>
        <v>539151933.49285436</v>
      </c>
      <c r="K48" s="425">
        <f t="shared" si="9"/>
        <v>1626033653.5777497</v>
      </c>
      <c r="L48" s="425">
        <f t="shared" si="10"/>
        <v>2165185587.0706043</v>
      </c>
      <c r="M48" s="426">
        <f t="shared" si="11"/>
        <v>2895237304.286468</v>
      </c>
      <c r="N48" s="427"/>
      <c r="O48" s="427"/>
      <c r="P48" s="427"/>
      <c r="Q48" s="427"/>
      <c r="R48" s="427"/>
      <c r="S48" s="427"/>
      <c r="T48" s="427"/>
      <c r="U48" s="427"/>
      <c r="V48" s="404"/>
    </row>
    <row r="49" spans="1:22" ht="15.75" x14ac:dyDescent="0.6">
      <c r="A49" s="421">
        <v>2013</v>
      </c>
      <c r="B49" s="422">
        <f>VLOOKUP($A49,'Diesel - DemandSupply'!$AT$11:$AY$49,4,0)</f>
        <v>0.30912869199808779</v>
      </c>
      <c r="C49" s="439"/>
      <c r="D49" s="423">
        <f>VLOOKUP(A49,'Diesel - DemandSupply'!AT14:AY52,2,FALSE)</f>
        <v>4253991750.7599998</v>
      </c>
      <c r="E49" s="424">
        <f>(VLOOKUP($A49,'Diesel - DemandSupply'!$C$10:$H$31, MATCH($E$45, 'Diesel - DemandSupply'!$C$10:$H$10, 0),FALSE))*B49</f>
        <v>1195843011.0961819</v>
      </c>
      <c r="F49" s="425">
        <f>(VLOOKUP($A49,'Diesel - DemandSupply'!$C$10:$H$31, MATCH($F$45, 'Diesel - DemandSupply'!$C$10:$H$10, 0),FALSE))*B49</f>
        <v>867595568.25751865</v>
      </c>
      <c r="G49" s="425">
        <f>(VLOOKUP($A49,'Diesel - DemandSupply'!$C$10:$H$31, MATCH($G$45, 'Diesel - DemandSupply'!$C$10:$H$10, 0),FALSE))*B49</f>
        <v>697303367.41180825</v>
      </c>
      <c r="H49" s="425">
        <f>(VLOOKUP($A49,'Diesel - DemandSupply'!$C$10:$H$31, MATCH($H$45, 'Diesel - DemandSupply'!$C$10:$H$10, 0),FALSE))*B49</f>
        <v>240687460.79092845</v>
      </c>
      <c r="I49" s="425">
        <f>(VLOOKUP($A49,'Diesel - DemandSupply'!$C$10:$H$31, MATCH($I$45, 'Diesel - DemandSupply'!$C$10:$H$10, 0),FALSE))*B49</f>
        <v>751716607.20892775</v>
      </c>
      <c r="J49" s="425">
        <f t="shared" si="8"/>
        <v>697303367.41180825</v>
      </c>
      <c r="K49" s="425">
        <f t="shared" si="9"/>
        <v>2063438579.3537006</v>
      </c>
      <c r="L49" s="425">
        <f t="shared" si="10"/>
        <v>2760741946.7655087</v>
      </c>
      <c r="M49" s="426">
        <f t="shared" si="11"/>
        <v>3753146014.7653646</v>
      </c>
      <c r="N49" s="427"/>
      <c r="O49" s="427"/>
      <c r="P49" s="427"/>
      <c r="Q49" s="427"/>
      <c r="R49" s="427"/>
      <c r="S49" s="427"/>
      <c r="T49" s="427"/>
      <c r="U49" s="427"/>
      <c r="V49" s="404"/>
    </row>
    <row r="50" spans="1:22" ht="15.75" x14ac:dyDescent="0.6">
      <c r="A50" s="421">
        <v>2014</v>
      </c>
      <c r="B50" s="422">
        <f>VLOOKUP($A50,'Diesel - DemandSupply'!$AT$11:$AY$49,4,0)</f>
        <v>0.35419055496330315</v>
      </c>
      <c r="C50" s="439"/>
      <c r="D50" s="423">
        <f>VLOOKUP(A50,'Diesel - DemandSupply'!AT15:AY53,2,FALSE)</f>
        <v>4997072943.6000004</v>
      </c>
      <c r="E50" s="424">
        <f>(VLOOKUP($A50,'Diesel - DemandSupply'!$C$10:$H$31, MATCH($E$45, 'Diesel - DemandSupply'!$C$10:$H$10, 0),FALSE))*B50</f>
        <v>1348825104.8300261</v>
      </c>
      <c r="F50" s="425">
        <f>(VLOOKUP($A50,'Diesel - DemandSupply'!$C$10:$H$31, MATCH($F$45, 'Diesel - DemandSupply'!$C$10:$H$10, 0),FALSE))*B50</f>
        <v>1112087004.0025251</v>
      </c>
      <c r="G50" s="425">
        <f>(VLOOKUP($A50,'Diesel - DemandSupply'!$C$10:$H$31, MATCH($G$45, 'Diesel - DemandSupply'!$C$10:$H$10, 0),FALSE))*B50</f>
        <v>756046479.18511748</v>
      </c>
      <c r="H50" s="425">
        <f>(VLOOKUP($A50,'Diesel - DemandSupply'!$C$10:$H$31, MATCH($H$45, 'Diesel - DemandSupply'!$C$10:$H$10, 0),FALSE))*B50</f>
        <v>284735544.98272371</v>
      </c>
      <c r="I50" s="425">
        <f>(VLOOKUP($A50,'Diesel - DemandSupply'!$C$10:$H$31, MATCH($I$45, 'Diesel - DemandSupply'!$C$10:$H$10, 0),FALSE))*B50</f>
        <v>1011894202.835692</v>
      </c>
      <c r="J50" s="425">
        <f t="shared" si="8"/>
        <v>756046479.18511748</v>
      </c>
      <c r="K50" s="425">
        <f t="shared" si="9"/>
        <v>2460912108.832551</v>
      </c>
      <c r="L50" s="425">
        <f t="shared" si="10"/>
        <v>3216958588.0176687</v>
      </c>
      <c r="M50" s="426">
        <f t="shared" si="11"/>
        <v>4513588335.8360844</v>
      </c>
      <c r="N50" s="427"/>
      <c r="O50" s="427"/>
      <c r="P50" s="427"/>
      <c r="Q50" s="427"/>
      <c r="R50" s="427"/>
      <c r="S50" s="427"/>
      <c r="T50" s="427"/>
      <c r="U50" s="427"/>
      <c r="V50" s="404"/>
    </row>
    <row r="51" spans="1:22" ht="15.75" x14ac:dyDescent="0.6">
      <c r="A51" s="421">
        <v>2015</v>
      </c>
      <c r="B51" s="422">
        <f>VLOOKUP($A51,'Diesel - DemandSupply'!$AT$11:$AY$49,4,0)</f>
        <v>0.42591897887168695</v>
      </c>
      <c r="C51" s="439"/>
      <c r="D51" s="423">
        <f>VLOOKUP(A51,'Diesel - DemandSupply'!AT16:AY54,2,FALSE)</f>
        <v>6450779034.5599995</v>
      </c>
      <c r="E51" s="424">
        <f>(VLOOKUP($A51,'Diesel - DemandSupply'!$C$10:$H$31, MATCH($E$45, 'Diesel - DemandSupply'!$C$10:$H$10, 0),FALSE))*B51</f>
        <v>1613650330.6855781</v>
      </c>
      <c r="F51" s="425">
        <f>(VLOOKUP($A51,'Diesel - DemandSupply'!$C$10:$H$31, MATCH($F$45, 'Diesel - DemandSupply'!$C$10:$H$10, 0),FALSE))*B51</f>
        <v>1352672736.8494976</v>
      </c>
      <c r="G51" s="425">
        <f>(VLOOKUP($A51,'Diesel - DemandSupply'!$C$10:$H$31, MATCH($G$45, 'Diesel - DemandSupply'!$C$10:$H$10, 0),FALSE))*B51</f>
        <v>906604230.44635451</v>
      </c>
      <c r="H51" s="425">
        <f>(VLOOKUP($A51,'Diesel - DemandSupply'!$C$10:$H$31, MATCH($H$45, 'Diesel - DemandSupply'!$C$10:$H$10, 0),FALSE))*B51</f>
        <v>394200276.727229</v>
      </c>
      <c r="I51" s="425">
        <f>(VLOOKUP($A51,'Diesel - DemandSupply'!$C$10:$H$31, MATCH($I$45, 'Diesel - DemandSupply'!$C$10:$H$10, 0),FALSE))*B51</f>
        <v>1479366241.9400792</v>
      </c>
      <c r="J51" s="425">
        <f t="shared" si="8"/>
        <v>906604230.44635451</v>
      </c>
      <c r="K51" s="425">
        <f t="shared" si="9"/>
        <v>2966323067.5350757</v>
      </c>
      <c r="L51" s="425">
        <f t="shared" si="10"/>
        <v>3872927297.9814301</v>
      </c>
      <c r="M51" s="426">
        <f t="shared" si="11"/>
        <v>5746493816.6487389</v>
      </c>
      <c r="N51" s="427"/>
      <c r="O51" s="427"/>
      <c r="P51" s="427"/>
      <c r="Q51" s="427"/>
      <c r="R51" s="427"/>
      <c r="S51" s="427"/>
      <c r="T51" s="427"/>
      <c r="U51" s="427"/>
      <c r="V51" s="404"/>
    </row>
    <row r="52" spans="1:22" ht="15.75" x14ac:dyDescent="0.6">
      <c r="A52" s="421">
        <v>2016</v>
      </c>
      <c r="B52" s="422">
        <f>VLOOKUP($A52,'Diesel - DemandSupply'!$AT$11:$AY$49,4,0)</f>
        <v>0.31671289088225268</v>
      </c>
      <c r="C52" s="439"/>
      <c r="D52" s="423">
        <f>VLOOKUP(A52,'Diesel - DemandSupply'!AT17:AY55,2,FALSE)</f>
        <v>4424294964.8899994</v>
      </c>
      <c r="E52" s="424">
        <f>(VLOOKUP($A52,'Diesel - DemandSupply'!$C$10:$H$31, MATCH($E$45, 'Diesel - DemandSupply'!$C$10:$H$10, 0),FALSE))*B52</f>
        <v>1176828604.1377857</v>
      </c>
      <c r="F52" s="425">
        <f>(VLOOKUP($A52,'Diesel - DemandSupply'!$C$10:$H$31, MATCH($F$45, 'Diesel - DemandSupply'!$C$10:$H$10, 0),FALSE))*B52</f>
        <v>939678217.04248071</v>
      </c>
      <c r="G52" s="425">
        <f>(VLOOKUP($A52,'Diesel - DemandSupply'!$C$10:$H$31, MATCH($G$45, 'Diesel - DemandSupply'!$C$10:$H$10, 0),FALSE))*B52</f>
        <v>690695618.27921832</v>
      </c>
      <c r="H52" s="425">
        <f>(VLOOKUP($A52,'Diesel - DemandSupply'!$C$10:$H$31, MATCH($H$45, 'Diesel - DemandSupply'!$C$10:$H$10, 0),FALSE))*B52</f>
        <v>292710287.68785357</v>
      </c>
      <c r="I52" s="425">
        <f>(VLOOKUP($A52,'Diesel - DemandSupply'!$C$10:$H$31, MATCH($I$45, 'Diesel - DemandSupply'!$C$10:$H$10, 0),FALSE))*B52</f>
        <v>726730883.28197002</v>
      </c>
      <c r="J52" s="425">
        <f t="shared" si="8"/>
        <v>690695618.27921832</v>
      </c>
      <c r="K52" s="425">
        <f t="shared" si="9"/>
        <v>2116506821.1802664</v>
      </c>
      <c r="L52" s="425">
        <f t="shared" si="10"/>
        <v>2807202439.4594846</v>
      </c>
      <c r="M52" s="426">
        <f t="shared" si="11"/>
        <v>3826643610.4293079</v>
      </c>
      <c r="N52" s="427"/>
      <c r="O52" s="427"/>
      <c r="P52" s="427"/>
      <c r="Q52" s="427"/>
      <c r="R52" s="427"/>
      <c r="S52" s="427"/>
      <c r="T52" s="427"/>
      <c r="U52" s="427"/>
      <c r="V52" s="404"/>
    </row>
    <row r="53" spans="1:22" ht="15.75" x14ac:dyDescent="0.6">
      <c r="A53" s="421">
        <v>2017</v>
      </c>
      <c r="B53" s="422">
        <f>VLOOKUP($A53,'Diesel - DemandSupply'!$AT$11:$AY$49,4,0)</f>
        <v>0.43327341232054989</v>
      </c>
      <c r="C53" s="439"/>
      <c r="D53" s="423">
        <f>VLOOKUP(A53,'Diesel - DemandSupply'!AT18:AY56,2,FALSE)</f>
        <v>6036040239.8100004</v>
      </c>
      <c r="E53" s="424">
        <f>(VLOOKUP($A53,'Diesel - DemandSupply'!$C$10:$H$31, MATCH($E$45, 'Diesel - DemandSupply'!$C$10:$H$10, 0),FALSE))*B53</f>
        <v>1446305130.4330583</v>
      </c>
      <c r="F53" s="425">
        <f>(VLOOKUP($A53,'Diesel - DemandSupply'!$C$10:$H$31, MATCH($F$45, 'Diesel - DemandSupply'!$C$10:$H$10, 0),FALSE))*B53</f>
        <v>1359638550.3399711</v>
      </c>
      <c r="G53" s="425">
        <f>(VLOOKUP($A53,'Diesel - DemandSupply'!$C$10:$H$31, MATCH($G$45, 'Diesel - DemandSupply'!$C$10:$H$10, 0),FALSE))*B53</f>
        <v>1067465555.9905251</v>
      </c>
      <c r="H53" s="425">
        <f>(VLOOKUP($A53,'Diesel - DemandSupply'!$C$10:$H$31, MATCH($H$45, 'Diesel - DemandSupply'!$C$10:$H$10, 0),FALSE))*B53</f>
        <v>404374969.16537327</v>
      </c>
      <c r="I53" s="425">
        <f>(VLOOKUP($A53,'Diesel - DemandSupply'!$C$10:$H$31, MATCH($I$45, 'Diesel - DemandSupply'!$C$10:$H$10, 0),FALSE))*B53</f>
        <v>984386459.68656075</v>
      </c>
      <c r="J53" s="425">
        <f t="shared" si="8"/>
        <v>1067465555.9905251</v>
      </c>
      <c r="K53" s="425">
        <f t="shared" si="9"/>
        <v>2805943680.7730293</v>
      </c>
      <c r="L53" s="425">
        <f t="shared" si="10"/>
        <v>3873409236.7635546</v>
      </c>
      <c r="M53" s="426">
        <f t="shared" si="11"/>
        <v>5262170665.615489</v>
      </c>
      <c r="N53" s="427"/>
      <c r="O53" s="427"/>
      <c r="P53" s="427"/>
      <c r="Q53" s="427"/>
      <c r="R53" s="427"/>
      <c r="S53" s="427"/>
      <c r="T53" s="427"/>
      <c r="U53" s="427"/>
      <c r="V53" s="404"/>
    </row>
    <row r="54" spans="1:22" ht="15.75" x14ac:dyDescent="0.6">
      <c r="A54" s="421">
        <v>2018</v>
      </c>
      <c r="B54" s="422">
        <f>VLOOKUP($A54,'Diesel - DemandSupply'!$AT$11:$AY$49,4,0)</f>
        <v>0.42466850778813464</v>
      </c>
      <c r="C54" s="439"/>
      <c r="D54" s="423">
        <f>VLOOKUP(A54,'Diesel - DemandSupply'!AT19:AY57,2,FALSE)</f>
        <v>6105304179.7600002</v>
      </c>
      <c r="E54" s="424">
        <f>(VLOOKUP($A54,'Diesel - DemandSupply'!$C$10:$H$31, MATCH($E$45, 'Diesel - DemandSupply'!$C$10:$H$10, 0),FALSE))*B54</f>
        <v>1441153229.056962</v>
      </c>
      <c r="F54" s="425">
        <f>(VLOOKUP($A54,'Diesel - DemandSupply'!$C$10:$H$31, MATCH($F$45, 'Diesel - DemandSupply'!$C$10:$H$10, 0),FALSE))*B54</f>
        <v>1414774814.8860025</v>
      </c>
      <c r="G54" s="425">
        <f>(VLOOKUP($A54,'Diesel - DemandSupply'!$C$10:$H$31, MATCH($G$45, 'Diesel - DemandSupply'!$C$10:$H$10, 0),FALSE))*B54</f>
        <v>1009801840.0786387</v>
      </c>
      <c r="H54" s="425">
        <f>(VLOOKUP($A54,'Diesel - DemandSupply'!$C$10:$H$31, MATCH($H$45, 'Diesel - DemandSupply'!$C$10:$H$10, 0),FALSE))*B54</f>
        <v>406594769.42153776</v>
      </c>
      <c r="I54" s="425">
        <f>(VLOOKUP($A54,'Diesel - DemandSupply'!$C$10:$H$31, MATCH($I$45, 'Diesel - DemandSupply'!$C$10:$H$10, 0),FALSE))*B54</f>
        <v>959005503.58112359</v>
      </c>
      <c r="J54" s="425">
        <f t="shared" si="8"/>
        <v>1009801840.0786387</v>
      </c>
      <c r="K54" s="425">
        <f t="shared" si="9"/>
        <v>2855928043.9429646</v>
      </c>
      <c r="L54" s="425">
        <f t="shared" si="10"/>
        <v>3865729884.0216031</v>
      </c>
      <c r="M54" s="426">
        <f t="shared" si="11"/>
        <v>5231330157.0242643</v>
      </c>
      <c r="N54" s="427"/>
      <c r="O54" s="427"/>
      <c r="P54" s="427"/>
      <c r="Q54" s="427"/>
      <c r="R54" s="427"/>
      <c r="S54" s="427"/>
      <c r="T54" s="427"/>
      <c r="U54" s="427"/>
      <c r="V54" s="404"/>
    </row>
    <row r="55" spans="1:22" ht="15.75" x14ac:dyDescent="0.6">
      <c r="A55" s="421">
        <v>2019</v>
      </c>
      <c r="B55" s="422">
        <f>VLOOKUP($A55,'Diesel - DemandSupply'!$AT$11:$AY$49,4,0)</f>
        <v>0.39865138124327526</v>
      </c>
      <c r="C55" s="439"/>
      <c r="D55" s="423">
        <f>VLOOKUP(A55,'Diesel - DemandSupply'!AT20:AY58,2,FALSE)</f>
        <v>5858025642.5600004</v>
      </c>
      <c r="E55" s="424">
        <f>(VLOOKUP($A55,'Diesel - DemandSupply'!$C$10:$H$31, MATCH($E$45, 'Diesel - DemandSupply'!$C$10:$H$10, 0),FALSE))*B55</f>
        <v>1308469340.1303408</v>
      </c>
      <c r="F55" s="425">
        <f>(VLOOKUP($A55,'Diesel - DemandSupply'!$C$10:$H$31, MATCH($F$45, 'Diesel - DemandSupply'!$C$10:$H$10, 0),FALSE))*B55</f>
        <v>1425745801.2241213</v>
      </c>
      <c r="G55" s="425">
        <f>(VLOOKUP($A55,'Diesel - DemandSupply'!$C$10:$H$31, MATCH($G$45, 'Diesel - DemandSupply'!$C$10:$H$10, 0),FALSE))*B55</f>
        <v>1027876510.154802</v>
      </c>
      <c r="H55" s="425">
        <f>(VLOOKUP($A55,'Diesel - DemandSupply'!$C$10:$H$31, MATCH($H$45, 'Diesel - DemandSupply'!$C$10:$H$10, 0),FALSE))*B55</f>
        <v>397328960.06992149</v>
      </c>
      <c r="I55" s="425">
        <f>(VLOOKUP($A55,'Diesel - DemandSupply'!$C$10:$H$31, MATCH($I$45, 'Diesel - DemandSupply'!$C$10:$H$10, 0),FALSE))*B55</f>
        <v>986623059.10420179</v>
      </c>
      <c r="J55" s="425">
        <f t="shared" si="8"/>
        <v>1027876510.154802</v>
      </c>
      <c r="K55" s="425">
        <f t="shared" si="9"/>
        <v>2734215141.3544621</v>
      </c>
      <c r="L55" s="425">
        <f t="shared" si="10"/>
        <v>3762091651.509264</v>
      </c>
      <c r="M55" s="426">
        <f t="shared" si="11"/>
        <v>5146043670.6833878</v>
      </c>
      <c r="N55" s="427"/>
      <c r="O55" s="427"/>
      <c r="P55" s="427"/>
      <c r="Q55" s="427"/>
      <c r="R55" s="427"/>
      <c r="S55" s="427"/>
      <c r="T55" s="427"/>
      <c r="U55" s="427"/>
      <c r="V55" s="404"/>
    </row>
    <row r="56" spans="1:22" ht="15.75" x14ac:dyDescent="0.6">
      <c r="A56" s="421">
        <v>2020</v>
      </c>
      <c r="B56" s="422">
        <f>VLOOKUP($A56,'Diesel - DemandSupply'!$AT$11:$AY$49,4,0)</f>
        <v>0.54070997933655307</v>
      </c>
      <c r="C56" s="439"/>
      <c r="D56" s="423">
        <f>VLOOKUP(A56,'Diesel - DemandSupply'!AT21:AY59,2,FALSE)</f>
        <v>6814985448</v>
      </c>
      <c r="E56" s="424">
        <f>(VLOOKUP($A56,'Diesel - DemandSupply'!$C$10:$H$31, MATCH($E$45, 'Diesel - DemandSupply'!$C$10:$H$10, 0),FALSE))*B56</f>
        <v>1616886678.4118907</v>
      </c>
      <c r="F56" s="425">
        <f>(VLOOKUP($A56,'Diesel - DemandSupply'!$C$10:$H$31, MATCH($F$45, 'Diesel - DemandSupply'!$C$10:$H$10, 0),FALSE))*B56</f>
        <v>1601174095.105948</v>
      </c>
      <c r="G56" s="425">
        <f>(VLOOKUP($A56,'Diesel - DemandSupply'!$C$10:$H$31, MATCH($G$45, 'Diesel - DemandSupply'!$C$10:$H$10, 0),FALSE))*B56</f>
        <v>1412424636.5161946</v>
      </c>
      <c r="H56" s="425">
        <f>(VLOOKUP($A56,'Diesel - DemandSupply'!$C$10:$H$31, MATCH($H$45, 'Diesel - DemandSupply'!$C$10:$H$10, 0),FALSE))*B56</f>
        <v>505547885.39003164</v>
      </c>
      <c r="I56" s="425">
        <f>(VLOOKUP($A56,'Diesel - DemandSupply'!$C$10:$H$31, MATCH($I$45, 'Diesel - DemandSupply'!$C$10:$H$10, 0),FALSE))*B56</f>
        <v>1184843523.0500519</v>
      </c>
      <c r="J56" s="425">
        <f t="shared" si="8"/>
        <v>1412424636.5161946</v>
      </c>
      <c r="K56" s="425">
        <f t="shared" si="9"/>
        <v>3218060773.5178385</v>
      </c>
      <c r="L56" s="425">
        <f t="shared" si="10"/>
        <v>4630485410.0340328</v>
      </c>
      <c r="M56" s="426">
        <f t="shared" si="11"/>
        <v>6320876818.4741163</v>
      </c>
      <c r="N56" s="427"/>
      <c r="O56" s="427"/>
      <c r="P56" s="427"/>
      <c r="Q56" s="427"/>
      <c r="R56" s="427"/>
      <c r="S56" s="427"/>
      <c r="T56" s="427"/>
      <c r="U56" s="427"/>
      <c r="V56" s="404"/>
    </row>
    <row r="57" spans="1:22" ht="15.75" x14ac:dyDescent="0.6">
      <c r="A57" s="421">
        <v>2021</v>
      </c>
      <c r="B57" s="422">
        <f>VLOOKUP($A57,'Diesel - DemandSupply'!$AT$11:$AY$49,4,0)</f>
        <v>0.7053402890125976</v>
      </c>
      <c r="C57" s="439"/>
      <c r="D57" s="423">
        <f>VLOOKUP(A57,'Diesel - DemandSupply'!AT22:AY60,2,FALSE)</f>
        <v>9761395306</v>
      </c>
      <c r="E57" s="424">
        <f>(VLOOKUP($A57,'Diesel - DemandSupply'!$C$10:$H$31, MATCH($E$45, 'Diesel - DemandSupply'!$C$10:$H$10, 0),FALSE))*B57</f>
        <v>2124432098.9680371</v>
      </c>
      <c r="F57" s="425">
        <f>(VLOOKUP($A57,'Diesel - DemandSupply'!$C$10:$H$31, MATCH($F$45, 'Diesel - DemandSupply'!$C$10:$H$10, 0),FALSE))*B57</f>
        <v>2268646579.8912096</v>
      </c>
      <c r="G57" s="425">
        <f>(VLOOKUP($A57,'Diesel - DemandSupply'!$C$10:$H$31, MATCH($G$45, 'Diesel - DemandSupply'!$C$10:$H$10, 0),FALSE))*B57</f>
        <v>1922996396.6643255</v>
      </c>
      <c r="H57" s="425">
        <f>(VLOOKUP($A57,'Diesel - DemandSupply'!$C$10:$H$31, MATCH($H$45, 'Diesel - DemandSupply'!$C$10:$H$10, 0),FALSE))*B57</f>
        <v>729701850.28954804</v>
      </c>
      <c r="I57" s="425">
        <f>(VLOOKUP($A57,'Diesel - DemandSupply'!$C$10:$H$31, MATCH($I$45, 'Diesel - DemandSupply'!$C$10:$H$10, 0),FALSE))*B57</f>
        <v>2084865820.2304535</v>
      </c>
      <c r="J57" s="425">
        <f t="shared" si="8"/>
        <v>1922996396.6643255</v>
      </c>
      <c r="K57" s="425">
        <f t="shared" si="9"/>
        <v>4393078678.8592472</v>
      </c>
      <c r="L57" s="425">
        <f t="shared" si="10"/>
        <v>6316075075.5235729</v>
      </c>
      <c r="M57" s="426">
        <f t="shared" si="11"/>
        <v>9130642746.0435753</v>
      </c>
      <c r="N57" s="427"/>
      <c r="O57" s="427"/>
      <c r="P57" s="427"/>
      <c r="Q57" s="427"/>
      <c r="R57" s="427"/>
      <c r="S57" s="427"/>
      <c r="T57" s="427"/>
      <c r="U57" s="427"/>
      <c r="V57" s="404"/>
    </row>
    <row r="58" spans="1:22" ht="15.75" x14ac:dyDescent="0.6">
      <c r="A58" s="421">
        <v>2022</v>
      </c>
      <c r="B58" s="422">
        <f>VLOOKUP($A58,'Diesel - DemandSupply'!$AT$11:$AY$49,4,0)</f>
        <v>0.8118161150037132</v>
      </c>
      <c r="C58" s="439"/>
      <c r="D58" s="423">
        <f>VLOOKUP(A58,'Diesel - DemandSupply'!AT23:AY61,2,FALSE)</f>
        <v>11913795570</v>
      </c>
      <c r="E58" s="424">
        <f>(VLOOKUP($A58,'Diesel - DemandSupply'!$C$10:$H$31, MATCH($E$45, 'Diesel - DemandSupply'!$C$10:$H$10, 0),FALSE))*B58</f>
        <v>2261022059.9767799</v>
      </c>
      <c r="F58" s="425">
        <f>(VLOOKUP($A58,'Diesel - DemandSupply'!$C$10:$H$31, MATCH($F$45, 'Diesel - DemandSupply'!$C$10:$H$10, 0),FALSE))*B58</f>
        <v>2637056822.0745015</v>
      </c>
      <c r="G58" s="425">
        <f>(VLOOKUP($A58,'Diesel - DemandSupply'!$C$10:$H$31, MATCH($G$45, 'Diesel - DemandSupply'!$C$10:$H$10, 0),FALSE))*B58</f>
        <v>2312735301.1127667</v>
      </c>
      <c r="H58" s="425">
        <f>(VLOOKUP($A58,'Diesel - DemandSupply'!$C$10:$H$31, MATCH($H$45, 'Diesel - DemandSupply'!$C$10:$H$10, 0),FALSE))*B58</f>
        <v>830160244.92796588</v>
      </c>
      <c r="I58" s="425">
        <f>(VLOOKUP($A58,'Diesel - DemandSupply'!$C$10:$H$31, MATCH($I$45, 'Diesel - DemandSupply'!$C$10:$H$10, 0),FALSE))*B58</f>
        <v>2283156017.4054332</v>
      </c>
      <c r="J58" s="425">
        <f t="shared" si="8"/>
        <v>2312735301.1127667</v>
      </c>
      <c r="K58" s="425">
        <f t="shared" si="9"/>
        <v>4898078882.051281</v>
      </c>
      <c r="L58" s="425">
        <f t="shared" si="10"/>
        <v>7210814183.1640472</v>
      </c>
      <c r="M58" s="426">
        <f t="shared" si="11"/>
        <v>10324130445.497446</v>
      </c>
      <c r="N58" s="427"/>
      <c r="O58" s="427"/>
      <c r="P58" s="427"/>
      <c r="Q58" s="427"/>
      <c r="R58" s="427"/>
      <c r="S58" s="427"/>
      <c r="T58" s="427"/>
      <c r="U58" s="427"/>
      <c r="V58" s="404"/>
    </row>
    <row r="59" spans="1:22" ht="15.75" x14ac:dyDescent="0.6">
      <c r="A59" s="421">
        <v>2023</v>
      </c>
      <c r="B59" s="422">
        <f>VLOOKUP($A59,'Diesel - DemandSupply'!$AT$11:$AY$49,4,0)</f>
        <v>0.86446007881869891</v>
      </c>
      <c r="C59" s="422"/>
      <c r="D59" s="423">
        <f>VLOOKUP(A59,'Diesel - DemandSupply'!AT24:AY62,2,FALSE)</f>
        <v>12843098055.67</v>
      </c>
      <c r="E59" s="424">
        <f>(VLOOKUP($A59,'Diesel - DemandSupply'!$C$10:$H$31, MATCH($E$45, 'Diesel - DemandSupply'!$C$10:$H$10, 0),FALSE))*B59</f>
        <v>2454778331.9932837</v>
      </c>
      <c r="F59" s="425">
        <f>(VLOOKUP($A59,'Diesel - DemandSupply'!$C$10:$H$31, MATCH($F$45, 'Diesel - DemandSupply'!$C$10:$H$10, 0),FALSE))*B59</f>
        <v>3150735835.4208798</v>
      </c>
      <c r="G59" s="425">
        <f>(VLOOKUP($A59,'Diesel - DemandSupply'!$C$10:$H$31, MATCH($G$45, 'Diesel - DemandSupply'!$C$10:$H$10, 0),FALSE))*B59</f>
        <v>2390986008.0668554</v>
      </c>
      <c r="H59" s="425">
        <f>(VLOOKUP($A59,'Diesel - DemandSupply'!$C$10:$H$31, MATCH($H$45, 'Diesel - DemandSupply'!$C$10:$H$10, 0),FALSE))*B59</f>
        <v>939391430.68764341</v>
      </c>
      <c r="I59" s="425">
        <f>(VLOOKUP($A59,'Diesel - DemandSupply'!$C$10:$H$31, MATCH($I$45, 'Diesel - DemandSupply'!$C$10:$H$10, 0),FALSE))*B59</f>
        <v>3138076341.5019956</v>
      </c>
      <c r="J59" s="425">
        <f t="shared" si="8"/>
        <v>2390986008.0668554</v>
      </c>
      <c r="K59" s="425">
        <f t="shared" si="9"/>
        <v>5605514167.4141636</v>
      </c>
      <c r="L59" s="425">
        <f t="shared" si="10"/>
        <v>7996500175.481019</v>
      </c>
      <c r="M59" s="426">
        <f t="shared" si="11"/>
        <v>12073967947.670658</v>
      </c>
      <c r="N59" s="427">
        <f>(INDEX('[1]Diesel - DemandSupply'!$BX$12:$CC$38,MATCH($A59,'[1]Diesel - DemandSupply'!$BX$12:$BX$38,0),MATCH(N$9,'[1]Diesel - DemandSupply'!$BX$10:$CC$10,0)))*$C59</f>
        <v>0</v>
      </c>
      <c r="O59" s="427">
        <f>(INDEX('[1]Diesel - DemandSupply'!$BX$12:$CC$38,MATCH($A59,'[1]Diesel - DemandSupply'!$BX$12:$BX$38,0),MATCH(O$9,'[1]Diesel - DemandSupply'!$BX$10:$CC$10,0)))*$C59</f>
        <v>0</v>
      </c>
      <c r="P59" s="427">
        <f>(INDEX('[1]Diesel - DemandSupply'!$BX$12:$CC$38,MATCH($A59,'[1]Diesel - DemandSupply'!$BX$12:$BX$38,0),MATCH(P$9,'[1]Diesel - DemandSupply'!$BX$10:$CC$10,0)))*$C59</f>
        <v>0</v>
      </c>
      <c r="Q59" s="427">
        <f>(INDEX('[1]Diesel - DemandSupply'!$BX$12:$CC$38,MATCH($A59,'[1]Diesel - DemandSupply'!$BX$12:$BX$38,0),MATCH(Q$9,'[1]Diesel - DemandSupply'!$BX$10:$CC$10,0)))*$C59</f>
        <v>0</v>
      </c>
      <c r="R59" s="427">
        <f>(INDEX('[1]Diesel - DemandSupply'!$BX$12:$CC$38,MATCH($A59,'[1]Diesel - DemandSupply'!$BX$12:$BX$38,0),MATCH(R$9,'[1]Diesel - DemandSupply'!$BX$10:$CC$10,0)))*$C59</f>
        <v>0</v>
      </c>
      <c r="S59" s="429">
        <f>P59</f>
        <v>0</v>
      </c>
      <c r="T59" s="429">
        <f>N59+O59</f>
        <v>0</v>
      </c>
      <c r="U59" s="429"/>
      <c r="V59" s="404"/>
    </row>
    <row r="60" spans="1:22" ht="15.75" x14ac:dyDescent="0.6">
      <c r="A60" s="421">
        <v>2024</v>
      </c>
      <c r="B60" s="422">
        <f>VLOOKUP($A60,'Diesel - DemandSupply'!$AT$11:$AY$49,4,0)</f>
        <v>0.85062535784866067</v>
      </c>
      <c r="C60" s="422"/>
      <c r="D60" s="423">
        <f>VLOOKUP(A60,'Diesel - DemandSupply'!AT25:AY63,2,FALSE)</f>
        <v>10792547134.049999</v>
      </c>
      <c r="E60" s="424">
        <f>(VLOOKUP($A60,'Diesel - DemandSupply'!$C$10:$H$31, MATCH($E$45, 'Diesel - DemandSupply'!$C$10:$H$10, 0),FALSE))*B60</f>
        <v>2054278479.7628388</v>
      </c>
      <c r="F60" s="425">
        <f>(VLOOKUP($A60,'Diesel - DemandSupply'!$C$10:$H$31, MATCH($F$45, 'Diesel - DemandSupply'!$C$10:$H$10, 0),FALSE))*B60</f>
        <v>2636689731.9266424</v>
      </c>
      <c r="G60" s="425">
        <f>(VLOOKUP($A60,'Diesel - DemandSupply'!$C$10:$H$31, MATCH($G$45, 'Diesel - DemandSupply'!$C$10:$H$10, 0),FALSE))*B60</f>
        <v>2000893945.4005392</v>
      </c>
      <c r="H60" s="425">
        <f>(VLOOKUP($A60,'Diesel - DemandSupply'!$C$10:$H$31, MATCH($H$45, 'Diesel - DemandSupply'!$C$10:$H$10, 0),FALSE))*B60</f>
        <v>786128659.75897384</v>
      </c>
      <c r="I60" s="425">
        <f>(VLOOKUP($A60,'Diesel - DemandSupply'!$C$10:$H$31, MATCH($I$45, 'Diesel - DemandSupply'!$C$10:$H$10, 0),FALSE))*B60</f>
        <v>2626095648.7121568</v>
      </c>
      <c r="J60" s="425">
        <f>G60</f>
        <v>2000893945.4005392</v>
      </c>
      <c r="K60" s="425">
        <f>E60+F60</f>
        <v>4690968211.6894817</v>
      </c>
      <c r="L60" s="425">
        <f t="shared" si="10"/>
        <v>6691862157.0900211</v>
      </c>
      <c r="M60" s="426">
        <f>SUM(E60:I60)</f>
        <v>10104086465.561152</v>
      </c>
      <c r="N60" s="427">
        <f>(INDEX('[1]Diesel - DemandSupply'!$BX$12:$CC$38,MATCH($A60,'[1]Diesel - DemandSupply'!$BX$12:$BX$38,0),MATCH(N$9,'[1]Diesel - DemandSupply'!$BX$10:$CC$10,0)))*$C60</f>
        <v>0</v>
      </c>
      <c r="O60" s="427">
        <f>(INDEX('[1]Diesel - DemandSupply'!$BX$12:$CC$38,MATCH($A60,'[1]Diesel - DemandSupply'!$BX$12:$BX$38,0),MATCH(O$9,'[1]Diesel - DemandSupply'!$BX$10:$CC$10,0)))*$C60</f>
        <v>0</v>
      </c>
      <c r="P60" s="427">
        <f>(INDEX('[1]Diesel - DemandSupply'!$BX$12:$CC$38,MATCH($A60,'[1]Diesel - DemandSupply'!$BX$12:$BX$38,0),MATCH(P$9,'[1]Diesel - DemandSupply'!$BX$10:$CC$10,0)))*$C60</f>
        <v>0</v>
      </c>
      <c r="Q60" s="427">
        <f>(INDEX('[1]Diesel - DemandSupply'!$BX$12:$CC$38,MATCH($A60,'[1]Diesel - DemandSupply'!$BX$12:$BX$38,0),MATCH(Q$9,'[1]Diesel - DemandSupply'!$BX$10:$CC$10,0)))*$C60</f>
        <v>0</v>
      </c>
      <c r="R60" s="427">
        <f>(INDEX('[1]Diesel - DemandSupply'!$BX$12:$CC$38,MATCH($A60,'[1]Diesel - DemandSupply'!$BX$12:$BX$38,0),MATCH(R$9,'[1]Diesel - DemandSupply'!$BX$10:$CC$10,0)))*$C60</f>
        <v>0</v>
      </c>
      <c r="S60" s="429">
        <f>P60</f>
        <v>0</v>
      </c>
      <c r="T60" s="429">
        <f t="shared" ref="T60:T76" si="12">N60+O60</f>
        <v>0</v>
      </c>
      <c r="U60" s="429">
        <f>SUM(S60:T60)</f>
        <v>0</v>
      </c>
      <c r="V60" s="426">
        <f>SUM(N60:R60)</f>
        <v>0</v>
      </c>
    </row>
    <row r="61" spans="1:22" ht="15.75" x14ac:dyDescent="0.6">
      <c r="A61" s="421">
        <v>2025</v>
      </c>
      <c r="B61" s="422">
        <f>VLOOKUP($A61,'Diesel - DemandSupply'!$AT$11:$AY$49,4,0)</f>
        <v>0.85951149043757769</v>
      </c>
      <c r="C61" s="422"/>
      <c r="D61" s="423">
        <f>VLOOKUP(A61,'Diesel - DemandSupply'!AT26:AY64,2,FALSE)</f>
        <v>11417540722.02</v>
      </c>
      <c r="E61" s="424">
        <f>(VLOOKUP($A61,'Diesel - DemandSupply'!$C$10:$H$31, MATCH($E$45, 'Diesel - DemandSupply'!$C$10:$H$10, 0),FALSE))*B61</f>
        <v>2203805424.2196178</v>
      </c>
      <c r="F61" s="425">
        <f>(VLOOKUP($A61,'Diesel - DemandSupply'!$C$10:$H$31, MATCH($F$45, 'Diesel - DemandSupply'!$C$10:$H$10, 0),FALSE))*B61</f>
        <v>2828609261.3280659</v>
      </c>
      <c r="G61" s="425">
        <f>(VLOOKUP($A61,'Diesel - DemandSupply'!$C$10:$H$31, MATCH($G$45, 'Diesel - DemandSupply'!$C$10:$H$10, 0),FALSE))*B61</f>
        <v>2146535133.1874807</v>
      </c>
      <c r="H61" s="425">
        <f>(VLOOKUP($A61,'Diesel - DemandSupply'!$C$10:$H$31, MATCH($H$45, 'Diesel - DemandSupply'!$C$10:$H$10, 0),FALSE))*B61</f>
        <v>843349439.51286256</v>
      </c>
      <c r="I61" s="425">
        <f>(VLOOKUP($A61,'Diesel - DemandSupply'!$C$10:$H$31, MATCH($I$45, 'Diesel - DemandSupply'!$C$10:$H$10, 0),FALSE))*B61</f>
        <v>2817244055.3529673</v>
      </c>
      <c r="J61" s="425">
        <f t="shared" ref="J61:J76" si="13">G61</f>
        <v>2146535133.1874807</v>
      </c>
      <c r="K61" s="425">
        <f t="shared" ref="K61:K76" si="14">E61+F61</f>
        <v>5032414685.5476837</v>
      </c>
      <c r="L61" s="425">
        <f t="shared" si="10"/>
        <v>7178949818.7351646</v>
      </c>
      <c r="M61" s="426">
        <f t="shared" ref="M61:M76" si="15">SUM(E61:I61)</f>
        <v>10839543313.600994</v>
      </c>
      <c r="N61" s="427">
        <f>(INDEX('[1]Diesel - DemandSupply'!$BX$12:$CC$38,MATCH($A61,'[1]Diesel - DemandSupply'!$BX$12:$BX$38,0),MATCH(N$9,'[1]Diesel - DemandSupply'!$BX$10:$CC$10,0)))*$C61</f>
        <v>0</v>
      </c>
      <c r="O61" s="427">
        <f>(INDEX('[1]Diesel - DemandSupply'!$BX$12:$CC$38,MATCH($A61,'[1]Diesel - DemandSupply'!$BX$12:$BX$38,0),MATCH(O$9,'[1]Diesel - DemandSupply'!$BX$10:$CC$10,0)))*$C61</f>
        <v>0</v>
      </c>
      <c r="P61" s="427">
        <f>(INDEX('[1]Diesel - DemandSupply'!$BX$12:$CC$38,MATCH($A61,'[1]Diesel - DemandSupply'!$BX$12:$BX$38,0),MATCH(P$9,'[1]Diesel - DemandSupply'!$BX$10:$CC$10,0)))*$C61</f>
        <v>0</v>
      </c>
      <c r="Q61" s="427">
        <f>(INDEX('[1]Diesel - DemandSupply'!$BX$12:$CC$38,MATCH($A61,'[1]Diesel - DemandSupply'!$BX$12:$BX$38,0),MATCH(Q$9,'[1]Diesel - DemandSupply'!$BX$10:$CC$10,0)))*$C61</f>
        <v>0</v>
      </c>
      <c r="R61" s="427">
        <f>(INDEX('[1]Diesel - DemandSupply'!$BX$12:$CC$38,MATCH($A61,'[1]Diesel - DemandSupply'!$BX$12:$BX$38,0),MATCH(R$9,'[1]Diesel - DemandSupply'!$BX$10:$CC$10,0)))*$C61</f>
        <v>0</v>
      </c>
      <c r="S61" s="429">
        <f t="shared" ref="S61:S76" si="16">P61</f>
        <v>0</v>
      </c>
      <c r="T61" s="429">
        <f t="shared" si="12"/>
        <v>0</v>
      </c>
      <c r="U61" s="429">
        <f t="shared" ref="U61:U75" si="17">SUM(S61:T61)</f>
        <v>0</v>
      </c>
      <c r="V61" s="426">
        <f t="shared" ref="V61:V76" si="18">SUM(N61:R61)</f>
        <v>0</v>
      </c>
    </row>
    <row r="62" spans="1:22" ht="15.75" x14ac:dyDescent="0.6">
      <c r="A62" s="421">
        <v>2026</v>
      </c>
      <c r="B62" s="422">
        <f>VLOOKUP($A62,'Diesel - DemandSupply'!$AT$11:$AY$49,4,0)</f>
        <v>0.78039492748963302</v>
      </c>
      <c r="C62" s="422">
        <f>VLOOKUP($A62,'Diesel - DemandSupply'!$AT$11:$AY$49,5,0)</f>
        <v>0.78307730380585705</v>
      </c>
      <c r="D62" s="403"/>
      <c r="E62" s="428">
        <f>(INDEX('Diesel - DemandSupply'!$BO$12:$BT$38,MATCH($A62,'Diesel - DemandSupply'!$BO$12:$BO$38,0),MATCH(E$9,'Diesel - DemandSupply'!$BO$10:$BT$10,0)))*$B62</f>
        <v>2978360855.6123791</v>
      </c>
      <c r="F62" s="427">
        <f>(INDEX('Diesel - DemandSupply'!$BO$12:$BT$38,MATCH($A62,'Diesel - DemandSupply'!$BO$12:$BO$38,0),MATCH(F$9,'Diesel - DemandSupply'!$BO$10:$BT$10,0)))*$B62</f>
        <v>2598548313.444953</v>
      </c>
      <c r="G62" s="427">
        <f>(INDEX('Diesel - DemandSupply'!$BO$12:$BT$38,MATCH($A62,'Diesel - DemandSupply'!$BO$12:$BO$38,0),MATCH(G$9,'Diesel - DemandSupply'!$BO$10:$BT$10,0)))*$B62</f>
        <v>1989444274.2462232</v>
      </c>
      <c r="H62" s="427">
        <f>(INDEX('Diesel - DemandSupply'!$BO$12:$BT$38,MATCH($A62,'Diesel - DemandSupply'!$BO$12:$BO$38,0),MATCH(H$9,'Diesel - DemandSupply'!$BO$10:$BT$10,0)))*$B62</f>
        <v>776918974.23784959</v>
      </c>
      <c r="I62" s="427">
        <f>(INDEX('Diesel - DemandSupply'!$BO$12:$BT$38,MATCH($A62,'Diesel - DemandSupply'!$BO$12:$BO$38,0),MATCH(I$9,'Diesel - DemandSupply'!$BO$10:$BT$10,0)))*$B62</f>
        <v>2164484309.6335096</v>
      </c>
      <c r="J62" s="429">
        <f t="shared" si="13"/>
        <v>1989444274.2462232</v>
      </c>
      <c r="K62" s="429">
        <f t="shared" si="14"/>
        <v>5576909169.057332</v>
      </c>
      <c r="L62" s="429">
        <f t="shared" si="10"/>
        <v>7566353443.3035555</v>
      </c>
      <c r="M62" s="426">
        <f t="shared" si="15"/>
        <v>10507756727.174915</v>
      </c>
      <c r="N62" s="427">
        <f>(INDEX('Diesel - DemandSupply'!$BX$12:$CC$38,MATCH($A62,'Diesel - DemandSupply'!$BW$12:$BW$38,0),MATCH(N$9,'Diesel - DemandSupply'!$BX$10:$CC$10,0)))*$C62</f>
        <v>2655132362.1208696</v>
      </c>
      <c r="O62" s="427">
        <f>(INDEX('Diesel - DemandSupply'!$BX$12:$CC$38,MATCH($A62,'Diesel - DemandSupply'!$BW$12:$BW$38,0),MATCH(O$9,'Diesel - DemandSupply'!$BX$10:$CC$10,0)))*$C62</f>
        <v>2316539216.0459676</v>
      </c>
      <c r="P62" s="427">
        <f>(INDEX('Diesel - DemandSupply'!$BX$12:$CC$38,MATCH($A62,'Diesel - DemandSupply'!$BW$12:$BW$38,0),MATCH(P$9,'Diesel - DemandSupply'!$BX$10:$CC$10,0)))*$C62</f>
        <v>1773538577.5143538</v>
      </c>
      <c r="Q62" s="427">
        <f>(INDEX('Diesel - DemandSupply'!$BX$12:$CC$38,MATCH($A62,'Diesel - DemandSupply'!$BW$12:$BW$38,0),MATCH(Q$9,'Diesel - DemandSupply'!$BX$10:$CC$10,0)))*$C62</f>
        <v>692603351.72533309</v>
      </c>
      <c r="R62" s="427">
        <f>(INDEX('Diesel - DemandSupply'!$BX$12:$CC$38,MATCH($A62,'Diesel - DemandSupply'!$BW$12:$BW$38,0),MATCH(R$9,'Diesel - DemandSupply'!$BX$10:$CC$10,0)))*$C62</f>
        <v>1929582282.4763598</v>
      </c>
      <c r="S62" s="429">
        <f t="shared" si="16"/>
        <v>1773538577.5143538</v>
      </c>
      <c r="T62" s="429">
        <f t="shared" si="12"/>
        <v>4971671578.1668377</v>
      </c>
      <c r="U62" s="429">
        <f t="shared" si="17"/>
        <v>6745210155.6811914</v>
      </c>
      <c r="V62" s="426">
        <f t="shared" si="18"/>
        <v>9367395789.882885</v>
      </c>
    </row>
    <row r="63" spans="1:22" ht="15.75" x14ac:dyDescent="0.6">
      <c r="A63" s="421">
        <v>2027</v>
      </c>
      <c r="B63" s="422">
        <f>VLOOKUP($A63,'Diesel - DemandSupply'!$AT$11:$AY$49,4,0)</f>
        <v>0.78409652163530574</v>
      </c>
      <c r="C63" s="422">
        <f>VLOOKUP($A63,'Diesel - DemandSupply'!$AT$11:$AY$49,5,0)</f>
        <v>0.78450568534002141</v>
      </c>
      <c r="D63" s="403"/>
      <c r="E63" s="428">
        <f>(INDEX('Diesel - DemandSupply'!$BO$12:$BT$38,MATCH($A63,'Diesel - DemandSupply'!$BO$12:$BO$38,0),MATCH(E$9,'Diesel - DemandSupply'!$BO$10:$BT$10,0)))*$B63</f>
        <v>3051282894.9112148</v>
      </c>
      <c r="F63" s="427">
        <f>(INDEX('Diesel - DemandSupply'!$BO$12:$BT$38,MATCH($A63,'Diesel - DemandSupply'!$BO$12:$BO$38,0),MATCH(F$9,'Diesel - DemandSupply'!$BO$10:$BT$10,0)))*$B63</f>
        <v>2662171041.3208852</v>
      </c>
      <c r="G63" s="427">
        <f>(INDEX('Diesel - DemandSupply'!$BO$12:$BT$38,MATCH($A63,'Diesel - DemandSupply'!$BO$12:$BO$38,0),MATCH(G$9,'Diesel - DemandSupply'!$BO$10:$BT$10,0)))*$B63</f>
        <v>2038153729.0713663</v>
      </c>
      <c r="H63" s="427">
        <f>(INDEX('Diesel - DemandSupply'!$BO$12:$BT$38,MATCH($A63,'Diesel - DemandSupply'!$BO$12:$BO$38,0),MATCH(H$9,'Diesel - DemandSupply'!$BO$10:$BT$10,0)))*$B63</f>
        <v>795941019.82531571</v>
      </c>
      <c r="I63" s="427">
        <f>(INDEX('Diesel - DemandSupply'!$BO$12:$BT$38,MATCH($A63,'Diesel - DemandSupply'!$BO$12:$BO$38,0),MATCH(I$9,'Diesel - DemandSupply'!$BO$10:$BT$10,0)))*$B63</f>
        <v>2217479435.9934931</v>
      </c>
      <c r="J63" s="429">
        <f t="shared" si="13"/>
        <v>2038153729.0713663</v>
      </c>
      <c r="K63" s="429">
        <f t="shared" si="14"/>
        <v>5713453936.2320995</v>
      </c>
      <c r="L63" s="429">
        <f t="shared" si="10"/>
        <v>7751607665.3034658</v>
      </c>
      <c r="M63" s="426">
        <f t="shared" si="15"/>
        <v>10765028121.122274</v>
      </c>
      <c r="N63" s="427">
        <f>(INDEX('Diesel - DemandSupply'!$BX$12:$CC$38,MATCH($A63,'Diesel - DemandSupply'!$BW$12:$BW$38,0),MATCH(N$9,'Diesel - DemandSupply'!$BX$10:$CC$10,0)))*$C63</f>
        <v>2681635485.9431434</v>
      </c>
      <c r="O63" s="427">
        <f>(INDEX('Diesel - DemandSupply'!$BX$12:$CC$38,MATCH($A63,'Diesel - DemandSupply'!$BW$12:$BW$38,0),MATCH(O$9,'Diesel - DemandSupply'!$BX$10:$CC$10,0)))*$C63</f>
        <v>2339662555.0395007</v>
      </c>
      <c r="P63" s="427">
        <f>(INDEX('Diesel - DemandSupply'!$BX$12:$CC$38,MATCH($A63,'Diesel - DemandSupply'!$BW$12:$BW$38,0),MATCH(P$9,'Diesel - DemandSupply'!$BX$10:$CC$10,0)))*$C63</f>
        <v>1791241767.4547215</v>
      </c>
      <c r="Q63" s="427">
        <f>(INDEX('Diesel - DemandSupply'!$BX$12:$CC$38,MATCH($A63,'Diesel - DemandSupply'!$BW$12:$BW$38,0),MATCH(Q$9,'Diesel - DemandSupply'!$BX$10:$CC$10,0)))*$C63</f>
        <v>699516812.10583019</v>
      </c>
      <c r="R63" s="427">
        <f>(INDEX('Diesel - DemandSupply'!$BX$12:$CC$38,MATCH($A63,'Diesel - DemandSupply'!$BW$12:$BW$38,0),MATCH(R$9,'Diesel - DemandSupply'!$BX$10:$CC$10,0)))*$C63</f>
        <v>1948843076.7355535</v>
      </c>
      <c r="S63" s="429">
        <f t="shared" si="16"/>
        <v>1791241767.4547215</v>
      </c>
      <c r="T63" s="429">
        <f t="shared" si="12"/>
        <v>5021298040.9826441</v>
      </c>
      <c r="U63" s="429">
        <f t="shared" si="17"/>
        <v>6812539808.4373655</v>
      </c>
      <c r="V63" s="426">
        <f t="shared" si="18"/>
        <v>9460899697.2787495</v>
      </c>
    </row>
    <row r="64" spans="1:22" ht="15.75" x14ac:dyDescent="0.6">
      <c r="A64" s="421">
        <v>2028</v>
      </c>
      <c r="B64" s="422">
        <f>VLOOKUP($A64,'Diesel - DemandSupply'!$AT$11:$AY$49,4,0)</f>
        <v>0.7877335543410845</v>
      </c>
      <c r="C64" s="422">
        <f>VLOOKUP($A64,'Diesel - DemandSupply'!$AT$11:$AY$49,5,0)</f>
        <v>0.78595502900272296</v>
      </c>
      <c r="D64" s="403"/>
      <c r="E64" s="428">
        <f>(INDEX('Diesel - DemandSupply'!$BO$12:$BT$38,MATCH($A64,'Diesel - DemandSupply'!$BO$12:$BO$38,0),MATCH(E$9,'Diesel - DemandSupply'!$BO$10:$BT$10,0)))*$B64</f>
        <v>3125551524.6622057</v>
      </c>
      <c r="F64" s="427">
        <f>(INDEX('Diesel - DemandSupply'!$BO$12:$BT$38,MATCH($A64,'Diesel - DemandSupply'!$BO$12:$BO$38,0),MATCH(F$9,'Diesel - DemandSupply'!$BO$10:$BT$10,0)))*$B64</f>
        <v>2726968637.0244536</v>
      </c>
      <c r="G64" s="427">
        <f>(INDEX('Diesel - DemandSupply'!$BO$12:$BT$38,MATCH($A64,'Diesel - DemandSupply'!$BO$12:$BO$38,0),MATCH(G$9,'Diesel - DemandSupply'!$BO$10:$BT$10,0)))*$B64</f>
        <v>2087762660.7546434</v>
      </c>
      <c r="H64" s="427">
        <f>(INDEX('Diesel - DemandSupply'!$BO$12:$BT$38,MATCH($A64,'Diesel - DemandSupply'!$BO$12:$BO$38,0),MATCH(H$9,'Diesel - DemandSupply'!$BO$10:$BT$10,0)))*$B64</f>
        <v>815314329.65627873</v>
      </c>
      <c r="I64" s="427">
        <f>(INDEX('Diesel - DemandSupply'!$BO$12:$BT$38,MATCH($A64,'Diesel - DemandSupply'!$BO$12:$BO$38,0),MATCH(I$9,'Diesel - DemandSupply'!$BO$10:$BT$10,0)))*$B64</f>
        <v>2271453179.1317968</v>
      </c>
      <c r="J64" s="429">
        <f t="shared" si="13"/>
        <v>2087762660.7546434</v>
      </c>
      <c r="K64" s="429">
        <f t="shared" si="14"/>
        <v>5852520161.6866589</v>
      </c>
      <c r="L64" s="429">
        <f t="shared" si="10"/>
        <v>7940282822.4413023</v>
      </c>
      <c r="M64" s="426">
        <f t="shared" si="15"/>
        <v>11027050331.229378</v>
      </c>
      <c r="N64" s="427">
        <f>(INDEX('Diesel - DemandSupply'!$BX$12:$CC$38,MATCH($A64,'Diesel - DemandSupply'!$BW$12:$BW$38,0),MATCH(N$9,'Diesel - DemandSupply'!$BX$10:$CC$10,0)))*$C64</f>
        <v>2708783002.2697558</v>
      </c>
      <c r="O64" s="427">
        <f>(INDEX('Diesel - DemandSupply'!$BX$12:$CC$38,MATCH($A64,'Diesel - DemandSupply'!$BW$12:$BW$38,0),MATCH(O$9,'Diesel - DemandSupply'!$BX$10:$CC$10,0)))*$C64</f>
        <v>2363348111.0163074</v>
      </c>
      <c r="P64" s="427">
        <f>(INDEX('Diesel - DemandSupply'!$BX$12:$CC$38,MATCH($A64,'Diesel - DemandSupply'!$BW$12:$BW$38,0),MATCH(P$9,'Diesel - DemandSupply'!$BX$10:$CC$10,0)))*$C64</f>
        <v>1809375389.7840006</v>
      </c>
      <c r="Q64" s="427">
        <f>(INDEX('Diesel - DemandSupply'!$BX$12:$CC$38,MATCH($A64,'Diesel - DemandSupply'!$BW$12:$BW$38,0),MATCH(Q$9,'Diesel - DemandSupply'!$BX$10:$CC$10,0)))*$C64</f>
        <v>706598365.20166552</v>
      </c>
      <c r="R64" s="427">
        <f>(INDEX('Diesel - DemandSupply'!$BX$12:$CC$38,MATCH($A64,'Diesel - DemandSupply'!$BW$12:$BW$38,0),MATCH(R$9,'Diesel - DemandSupply'!$BX$10:$CC$10,0)))*$C64</f>
        <v>1968572174.713639</v>
      </c>
      <c r="S64" s="429">
        <f t="shared" si="16"/>
        <v>1809375389.7840006</v>
      </c>
      <c r="T64" s="429">
        <f t="shared" si="12"/>
        <v>5072131113.2860632</v>
      </c>
      <c r="U64" s="429">
        <f t="shared" si="17"/>
        <v>6881506503.0700636</v>
      </c>
      <c r="V64" s="426">
        <f t="shared" si="18"/>
        <v>9556677042.9853687</v>
      </c>
    </row>
    <row r="65" spans="1:24" ht="15.75" x14ac:dyDescent="0.6">
      <c r="A65" s="421">
        <v>2029</v>
      </c>
      <c r="B65" s="422">
        <f>VLOOKUP($A65,'Diesel - DemandSupply'!$AT$11:$AY$49,4,0)</f>
        <v>0.79305205086229991</v>
      </c>
      <c r="C65" s="422">
        <f>VLOOKUP($A65,'Diesel - DemandSupply'!$AT$11:$AY$49,5,0)</f>
        <v>0.78930405612279142</v>
      </c>
      <c r="D65" s="403"/>
      <c r="E65" s="428">
        <f>(INDEX('Diesel - DemandSupply'!$BO$12:$BT$38,MATCH($A65,'Diesel - DemandSupply'!$BO$12:$BO$38,0),MATCH(E$9,'Diesel - DemandSupply'!$BO$10:$BT$10,0)))*$B65</f>
        <v>3208246240.2211919</v>
      </c>
      <c r="F65" s="427">
        <f>(INDEX('Diesel - DemandSupply'!$BO$12:$BT$38,MATCH($A65,'Diesel - DemandSupply'!$BO$12:$BO$38,0),MATCH(F$9,'Diesel - DemandSupply'!$BO$10:$BT$10,0)))*$B65</f>
        <v>2799117790.2211475</v>
      </c>
      <c r="G65" s="427">
        <f>(INDEX('Diesel - DemandSupply'!$BO$12:$BT$38,MATCH($A65,'Diesel - DemandSupply'!$BO$12:$BO$38,0),MATCH(G$9,'Diesel - DemandSupply'!$BO$10:$BT$10,0)))*$B65</f>
        <v>2142999932.648421</v>
      </c>
      <c r="H65" s="427">
        <f>(INDEX('Diesel - DemandSupply'!$BO$12:$BT$38,MATCH($A65,'Diesel - DemandSupply'!$BO$12:$BO$38,0),MATCH(H$9,'Diesel - DemandSupply'!$BO$10:$BT$10,0)))*$B65</f>
        <v>836885622.29058528</v>
      </c>
      <c r="I65" s="427">
        <f>(INDEX('Diesel - DemandSupply'!$BO$12:$BT$38,MATCH($A65,'Diesel - DemandSupply'!$BO$12:$BO$38,0),MATCH(I$9,'Diesel - DemandSupply'!$BO$10:$BT$10,0)))*$B65</f>
        <v>2331550468.545114</v>
      </c>
      <c r="J65" s="429">
        <f t="shared" si="13"/>
        <v>2142999932.648421</v>
      </c>
      <c r="K65" s="429">
        <f t="shared" si="14"/>
        <v>6007364030.4423389</v>
      </c>
      <c r="L65" s="429">
        <f t="shared" si="10"/>
        <v>8150363963.0907602</v>
      </c>
      <c r="M65" s="426">
        <f t="shared" si="15"/>
        <v>11318800053.92646</v>
      </c>
      <c r="N65" s="427">
        <f>(INDEX('Diesel - DemandSupply'!$BX$12:$CC$38,MATCH($A65,'Diesel - DemandSupply'!$BW$12:$BW$38,0),MATCH(N$9,'Diesel - DemandSupply'!$BX$10:$CC$10,0)))*$C65</f>
        <v>2728327730.8536</v>
      </c>
      <c r="O65" s="427">
        <f>(INDEX('Diesel - DemandSupply'!$BX$12:$CC$38,MATCH($A65,'Diesel - DemandSupply'!$BW$12:$BW$38,0),MATCH(O$9,'Diesel - DemandSupply'!$BX$10:$CC$10,0)))*$C65</f>
        <v>2380400417.2882566</v>
      </c>
      <c r="P65" s="427">
        <f>(INDEX('Diesel - DemandSupply'!$BX$12:$CC$38,MATCH($A65,'Diesel - DemandSupply'!$BW$12:$BW$38,0),MATCH(P$9,'Diesel - DemandSupply'!$BX$10:$CC$10,0)))*$C65</f>
        <v>1822430607.152828</v>
      </c>
      <c r="Q65" s="427">
        <f>(INDEX('Diesel - DemandSupply'!$BX$12:$CC$38,MATCH($A65,'Diesel - DemandSupply'!$BW$12:$BW$38,0),MATCH(Q$9,'Diesel - DemandSupply'!$BX$10:$CC$10,0)))*$C65</f>
        <v>711696696.53868401</v>
      </c>
      <c r="R65" s="427">
        <f>(INDEX('Diesel - DemandSupply'!$BX$12:$CC$38,MATCH($A65,'Diesel - DemandSupply'!$BW$12:$BW$38,0),MATCH(R$9,'Diesel - DemandSupply'!$BX$10:$CC$10,0)))*$C65</f>
        <v>1982776047.3827481</v>
      </c>
      <c r="S65" s="429">
        <f t="shared" si="16"/>
        <v>1822430607.152828</v>
      </c>
      <c r="T65" s="429">
        <f t="shared" si="12"/>
        <v>5108728148.1418571</v>
      </c>
      <c r="U65" s="429">
        <f t="shared" si="17"/>
        <v>6931158755.2946854</v>
      </c>
      <c r="V65" s="426">
        <f t="shared" si="18"/>
        <v>9625631499.2161179</v>
      </c>
    </row>
    <row r="66" spans="1:24" ht="15.75" x14ac:dyDescent="0.6">
      <c r="A66" s="421">
        <v>2030</v>
      </c>
      <c r="B66" s="422">
        <f>VLOOKUP($A66,'Diesel - DemandSupply'!$AT$11:$AY$49,4,0)</f>
        <v>0.79701772800255277</v>
      </c>
      <c r="C66" s="422">
        <f>VLOOKUP($A66,'Diesel - DemandSupply'!$AT$11:$AY$49,5,0)</f>
        <v>0.78995872469149064</v>
      </c>
      <c r="D66" s="403"/>
      <c r="E66" s="428">
        <f>(INDEX('Diesel - DemandSupply'!$BO$12:$BT$38,MATCH($A66,'Diesel - DemandSupply'!$BO$12:$BO$38,0),MATCH(E$9,'Diesel - DemandSupply'!$BO$10:$BT$10,0)))*$B66</f>
        <v>3287282293.6224027</v>
      </c>
      <c r="F66" s="427">
        <f>(INDEX('Diesel - DemandSupply'!$BO$12:$BT$38,MATCH($A66,'Diesel - DemandSupply'!$BO$12:$BO$38,0),MATCH(F$9,'Diesel - DemandSupply'!$BO$10:$BT$10,0)))*$B66</f>
        <v>2868074848.5574627</v>
      </c>
      <c r="G66" s="427">
        <f>(INDEX('Diesel - DemandSupply'!$BO$12:$BT$38,MATCH($A66,'Diesel - DemandSupply'!$BO$12:$BO$38,0),MATCH(G$9,'Diesel - DemandSupply'!$BO$10:$BT$10,0)))*$B66</f>
        <v>2195793342.0171218</v>
      </c>
      <c r="H66" s="427">
        <f>(INDEX('Diesel - DemandSupply'!$BO$12:$BT$38,MATCH($A66,'Diesel - DemandSupply'!$BO$12:$BO$38,0),MATCH(H$9,'Diesel - DemandSupply'!$BO$10:$BT$10,0)))*$B66</f>
        <v>857502536.26209641</v>
      </c>
      <c r="I66" s="427">
        <f>(INDEX('Diesel - DemandSupply'!$BO$12:$BT$38,MATCH($A66,'Diesel - DemandSupply'!$BO$12:$BO$38,0),MATCH(I$9,'Diesel - DemandSupply'!$BO$10:$BT$10,0)))*$B66</f>
        <v>2388988873.6866231</v>
      </c>
      <c r="J66" s="429">
        <f t="shared" si="13"/>
        <v>2195793342.0171218</v>
      </c>
      <c r="K66" s="429">
        <f t="shared" si="14"/>
        <v>6155357142.1798649</v>
      </c>
      <c r="L66" s="429">
        <f t="shared" si="10"/>
        <v>8351150484.1969872</v>
      </c>
      <c r="M66" s="426">
        <f t="shared" si="15"/>
        <v>11597641894.145706</v>
      </c>
      <c r="N66" s="427">
        <f>(INDEX('Diesel - DemandSupply'!$BX$12:$CC$38,MATCH($A66,'Diesel - DemandSupply'!$BW$12:$BW$38,0),MATCH(N$9,'Diesel - DemandSupply'!$BX$10:$CC$10,0)))*$C66</f>
        <v>2739101534.2615705</v>
      </c>
      <c r="O66" s="427">
        <f>(INDEX('Diesel - DemandSupply'!$BX$12:$CC$38,MATCH($A66,'Diesel - DemandSupply'!$BW$12:$BW$38,0),MATCH(O$9,'Diesel - DemandSupply'!$BX$10:$CC$10,0)))*$C66</f>
        <v>2389800302.0008211</v>
      </c>
      <c r="P66" s="427">
        <f>(INDEX('Diesel - DemandSupply'!$BX$12:$CC$38,MATCH($A66,'Diesel - DemandSupply'!$BW$12:$BW$38,0),MATCH(P$9,'Diesel - DemandSupply'!$BX$10:$CC$10,0)))*$C66</f>
        <v>1829627143.2815688</v>
      </c>
      <c r="Q66" s="427">
        <f>(INDEX('Diesel - DemandSupply'!$BX$12:$CC$38,MATCH($A66,'Diesel - DemandSupply'!$BW$12:$BW$38,0),MATCH(Q$9,'Diesel - DemandSupply'!$BX$10:$CC$10,0)))*$C66</f>
        <v>714507092.15498006</v>
      </c>
      <c r="R66" s="427">
        <f>(INDEX('Diesel - DemandSupply'!$BX$12:$CC$38,MATCH($A66,'Diesel - DemandSupply'!$BW$12:$BW$38,0),MATCH(R$9,'Diesel - DemandSupply'!$BX$10:$CC$10,0)))*$C66</f>
        <v>1990605766.3329167</v>
      </c>
      <c r="S66" s="429">
        <f t="shared" si="16"/>
        <v>1829627143.2815688</v>
      </c>
      <c r="T66" s="429">
        <f t="shared" si="12"/>
        <v>5128901836.262392</v>
      </c>
      <c r="U66" s="429">
        <f t="shared" si="17"/>
        <v>6958528979.5439606</v>
      </c>
      <c r="V66" s="426">
        <f t="shared" si="18"/>
        <v>9663641838.0318565</v>
      </c>
    </row>
    <row r="67" spans="1:24" ht="15.75" x14ac:dyDescent="0.6">
      <c r="A67" s="421">
        <v>2031</v>
      </c>
      <c r="B67" s="422">
        <f>VLOOKUP($A67,'Diesel - DemandSupply'!$AT$11:$AY$49,4,0)</f>
        <v>0.80234529915956032</v>
      </c>
      <c r="C67" s="422">
        <f>VLOOKUP($A67,'Diesel - DemandSupply'!$AT$11:$AY$49,5,0)</f>
        <v>0.87468494605970004</v>
      </c>
      <c r="D67" s="403"/>
      <c r="E67" s="428">
        <f>(INDEX('Diesel - DemandSupply'!$BO$12:$BT$38,MATCH($A67,'Diesel - DemandSupply'!$BO$12:$BO$38,0),MATCH(E$9,'Diesel - DemandSupply'!$BO$10:$BT$10,0)))*$B67</f>
        <v>3418871911.3766952</v>
      </c>
      <c r="F67" s="427">
        <f>(INDEX('Diesel - DemandSupply'!$BO$12:$BT$38,MATCH($A67,'Diesel - DemandSupply'!$BO$12:$BO$38,0),MATCH(F$9,'Diesel - DemandSupply'!$BO$10:$BT$10,0)))*$B67</f>
        <v>2982883629.5814052</v>
      </c>
      <c r="G67" s="427">
        <f>(INDEX('Diesel - DemandSupply'!$BO$12:$BT$38,MATCH($A67,'Diesel - DemandSupply'!$BO$12:$BO$38,0),MATCH(G$9,'Diesel - DemandSupply'!$BO$10:$BT$10,0)))*$B67</f>
        <v>2283690754.1450758</v>
      </c>
      <c r="H67" s="427">
        <f>(INDEX('Diesel - DemandSupply'!$BO$12:$BT$38,MATCH($A67,'Diesel - DemandSupply'!$BO$12:$BO$38,0),MATCH(H$9,'Diesel - DemandSupply'!$BO$10:$BT$10,0)))*$B67</f>
        <v>891828286.49930036</v>
      </c>
      <c r="I67" s="427">
        <f>(INDEX('Diesel - DemandSupply'!$BO$12:$BT$38,MATCH($A67,'Diesel - DemandSupply'!$BO$12:$BO$38,0),MATCH(I$9,'Diesel - DemandSupply'!$BO$10:$BT$10,0)))*$B67</f>
        <v>2484619885.759294</v>
      </c>
      <c r="J67" s="429">
        <f t="shared" si="13"/>
        <v>2283690754.1450758</v>
      </c>
      <c r="K67" s="429">
        <f t="shared" si="14"/>
        <v>6401755540.9581003</v>
      </c>
      <c r="L67" s="429">
        <f t="shared" si="10"/>
        <v>8685446295.1031761</v>
      </c>
      <c r="M67" s="426">
        <f t="shared" si="15"/>
        <v>12061894467.361771</v>
      </c>
      <c r="N67" s="427">
        <f>(INDEX('Diesel - DemandSupply'!$BX$12:$CC$38,MATCH($A67,'Diesel - DemandSupply'!$BW$12:$BW$38,0),MATCH(N$9,'Diesel - DemandSupply'!$BX$10:$CC$10,0)))*$C67</f>
        <v>3108203823.7691207</v>
      </c>
      <c r="O67" s="427">
        <f>(INDEX('Diesel - DemandSupply'!$BX$12:$CC$38,MATCH($A67,'Diesel - DemandSupply'!$BW$12:$BW$38,0),MATCH(O$9,'Diesel - DemandSupply'!$BX$10:$CC$10,0)))*$C67</f>
        <v>2711833184.6453614</v>
      </c>
      <c r="P67" s="427">
        <f>(INDEX('Diesel - DemandSupply'!$BX$12:$CC$38,MATCH($A67,'Diesel - DemandSupply'!$BW$12:$BW$38,0),MATCH(P$9,'Diesel - DemandSupply'!$BX$10:$CC$10,0)))*$C67</f>
        <v>2076174983.543519</v>
      </c>
      <c r="Q67" s="427">
        <f>(INDEX('Diesel - DemandSupply'!$BX$12:$CC$38,MATCH($A67,'Diesel - DemandSupply'!$BW$12:$BW$38,0),MATCH(Q$9,'Diesel - DemandSupply'!$BX$10:$CC$10,0)))*$C67</f>
        <v>810789102.98408306</v>
      </c>
      <c r="R67" s="427">
        <f>(INDEX('Diesel - DemandSupply'!$BX$12:$CC$38,MATCH($A67,'Diesel - DemandSupply'!$BW$12:$BW$38,0),MATCH(R$9,'Diesel - DemandSupply'!$BX$10:$CC$10,0)))*$C67</f>
        <v>2258845967.2418938</v>
      </c>
      <c r="S67" s="429">
        <f t="shared" si="16"/>
        <v>2076174983.543519</v>
      </c>
      <c r="T67" s="429">
        <f t="shared" si="12"/>
        <v>5820037008.4144821</v>
      </c>
      <c r="U67" s="429">
        <f t="shared" si="17"/>
        <v>7896211991.9580011</v>
      </c>
      <c r="V67" s="426">
        <f t="shared" si="18"/>
        <v>10965847062.183977</v>
      </c>
      <c r="X67" s="441"/>
    </row>
    <row r="68" spans="1:24" ht="15.75" x14ac:dyDescent="0.6">
      <c r="A68" s="421">
        <v>2032</v>
      </c>
      <c r="B68" s="422">
        <f>VLOOKUP($A68,'Diesel - DemandSupply'!$AT$11:$AY$49,4,0)</f>
        <v>0.80607011974364817</v>
      </c>
      <c r="C68" s="422">
        <f>VLOOKUP($A68,'Diesel - DemandSupply'!$AT$11:$AY$49,5,0)</f>
        <v>0.87764991974950157</v>
      </c>
      <c r="D68" s="403"/>
      <c r="E68" s="428">
        <f>(INDEX('Diesel - DemandSupply'!$BO$12:$BT$38,MATCH($A68,'Diesel - DemandSupply'!$BO$12:$BO$38,0),MATCH(E$9,'Diesel - DemandSupply'!$BO$10:$BT$10,0)))*$B68</f>
        <v>3500715025.7177153</v>
      </c>
      <c r="F68" s="427">
        <f>(INDEX('Diesel - DemandSupply'!$BO$12:$BT$38,MATCH($A68,'Diesel - DemandSupply'!$BO$12:$BO$38,0),MATCH(F$9,'Diesel - DemandSupply'!$BO$10:$BT$10,0)))*$B68</f>
        <v>3054289781.1688404</v>
      </c>
      <c r="G68" s="427">
        <f>(INDEX('Diesel - DemandSupply'!$BO$12:$BT$38,MATCH($A68,'Diesel - DemandSupply'!$BO$12:$BO$38,0),MATCH(G$9,'Diesel - DemandSupply'!$BO$10:$BT$10,0)))*$B68</f>
        <v>2338359185.2404552</v>
      </c>
      <c r="H68" s="427">
        <f>(INDEX('Diesel - DemandSupply'!$BO$12:$BT$38,MATCH($A68,'Diesel - DemandSupply'!$BO$12:$BO$38,0),MATCH(H$9,'Diesel - DemandSupply'!$BO$10:$BT$10,0)))*$B68</f>
        <v>913177435.08297086</v>
      </c>
      <c r="I68" s="427">
        <f>(INDEX('Diesel - DemandSupply'!$BO$12:$BT$38,MATCH($A68,'Diesel - DemandSupply'!$BO$12:$BO$38,0),MATCH(I$9,'Diesel - DemandSupply'!$BO$10:$BT$10,0)))*$B68</f>
        <v>2544098285.2651377</v>
      </c>
      <c r="J68" s="429">
        <f t="shared" si="13"/>
        <v>2338359185.2404552</v>
      </c>
      <c r="K68" s="429">
        <f t="shared" si="14"/>
        <v>6555004806.8865557</v>
      </c>
      <c r="L68" s="429">
        <f t="shared" si="10"/>
        <v>8893363992.1270103</v>
      </c>
      <c r="M68" s="426">
        <f t="shared" si="15"/>
        <v>12350639712.475121</v>
      </c>
      <c r="N68" s="427">
        <f>(INDEX('Diesel - DemandSupply'!$BX$12:$CC$38,MATCH($A68,'Diesel - DemandSupply'!$BW$12:$BW$38,0),MATCH(N$9,'Diesel - DemandSupply'!$BX$10:$CC$10,0)))*$C68</f>
        <v>3194317954.8337445</v>
      </c>
      <c r="O68" s="427">
        <f>(INDEX('Diesel - DemandSupply'!$BX$12:$CC$38,MATCH($A68,'Diesel - DemandSupply'!$BW$12:$BW$38,0),MATCH(O$9,'Diesel - DemandSupply'!$BX$10:$CC$10,0)))*$C68</f>
        <v>2786965695.7445736</v>
      </c>
      <c r="P68" s="427">
        <f>(INDEX('Diesel - DemandSupply'!$BX$12:$CC$38,MATCH($A68,'Diesel - DemandSupply'!$BW$12:$BW$38,0),MATCH(P$9,'Diesel - DemandSupply'!$BX$10:$CC$10,0)))*$C68</f>
        <v>2133696309.2940149</v>
      </c>
      <c r="Q68" s="427">
        <f>(INDEX('Diesel - DemandSupply'!$BX$12:$CC$38,MATCH($A68,'Diesel - DemandSupply'!$BW$12:$BW$38,0),MATCH(Q$9,'Diesel - DemandSupply'!$BX$10:$CC$10,0)))*$C68</f>
        <v>833252365.70392406</v>
      </c>
      <c r="R68" s="427">
        <f>(INDEX('Diesel - DemandSupply'!$BX$12:$CC$38,MATCH($A68,'Diesel - DemandSupply'!$BW$12:$BW$38,0),MATCH(R$9,'Diesel - DemandSupply'!$BX$10:$CC$10,0)))*$C68</f>
        <v>2321428271.5909004</v>
      </c>
      <c r="S68" s="429">
        <f t="shared" si="16"/>
        <v>2133696309.2940149</v>
      </c>
      <c r="T68" s="429">
        <f t="shared" si="12"/>
        <v>5981283650.5783176</v>
      </c>
      <c r="U68" s="429">
        <f t="shared" si="17"/>
        <v>8114979959.8723326</v>
      </c>
      <c r="V68" s="426">
        <f t="shared" si="18"/>
        <v>11269660597.167156</v>
      </c>
    </row>
    <row r="69" spans="1:24" ht="15.75" x14ac:dyDescent="0.6">
      <c r="A69" s="421">
        <v>2033</v>
      </c>
      <c r="B69" s="422">
        <f>VLOOKUP($A69,'Diesel - DemandSupply'!$AT$11:$AY$49,4,0)</f>
        <v>0.81082124899320962</v>
      </c>
      <c r="C69" s="422">
        <f>VLOOKUP($A69,'Diesel - DemandSupply'!$AT$11:$AY$49,5,0)</f>
        <v>0.88199443012351897</v>
      </c>
      <c r="D69" s="403"/>
      <c r="E69" s="428">
        <f>(INDEX('Diesel - DemandSupply'!$BO$12:$BT$38,MATCH($A69,'Diesel - DemandSupply'!$BO$12:$BO$38,0),MATCH(E$9,'Diesel - DemandSupply'!$BO$10:$BT$10,0)))*$B69</f>
        <v>3588873654.4629965</v>
      </c>
      <c r="F69" s="427">
        <f>(INDEX('Diesel - DemandSupply'!$BO$12:$BT$38,MATCH($A69,'Diesel - DemandSupply'!$BO$12:$BO$38,0),MATCH(F$9,'Diesel - DemandSupply'!$BO$10:$BT$10,0)))*$B69</f>
        <v>3131206067.3905005</v>
      </c>
      <c r="G69" s="427">
        <f>(INDEX('Diesel - DemandSupply'!$BO$12:$BT$38,MATCH($A69,'Diesel - DemandSupply'!$BO$12:$BO$38,0),MATCH(G$9,'Diesel - DemandSupply'!$BO$10:$BT$10,0)))*$B69</f>
        <v>2397246166.2629871</v>
      </c>
      <c r="H69" s="427">
        <f>(INDEX('Diesel - DemandSupply'!$BO$12:$BT$38,MATCH($A69,'Diesel - DemandSupply'!$BO$12:$BO$38,0),MATCH(H$9,'Diesel - DemandSupply'!$BO$10:$BT$10,0)))*$B69</f>
        <v>936174014.32082021</v>
      </c>
      <c r="I69" s="427">
        <f>(INDEX('Diesel - DemandSupply'!$BO$12:$BT$38,MATCH($A69,'Diesel - DemandSupply'!$BO$12:$BO$38,0),MATCH(I$9,'Diesel - DemandSupply'!$BO$10:$BT$10,0)))*$B69</f>
        <v>2608166401.2284508</v>
      </c>
      <c r="J69" s="429">
        <f t="shared" si="13"/>
        <v>2397246166.2629871</v>
      </c>
      <c r="K69" s="429">
        <f t="shared" si="14"/>
        <v>6720079721.8534966</v>
      </c>
      <c r="L69" s="429">
        <f t="shared" si="10"/>
        <v>9117325888.1164837</v>
      </c>
      <c r="M69" s="426">
        <f t="shared" si="15"/>
        <v>12661666303.665754</v>
      </c>
      <c r="N69" s="427">
        <f>(INDEX('Diesel - DemandSupply'!$BX$12:$CC$38,MATCH($A69,'Diesel - DemandSupply'!$BW$12:$BW$38,0),MATCH(N$9,'Diesel - DemandSupply'!$BX$10:$CC$10,0)))*$C69</f>
        <v>3286082534.11797</v>
      </c>
      <c r="O69" s="427">
        <f>(INDEX('Diesel - DemandSupply'!$BX$12:$CC$38,MATCH($A69,'Diesel - DemandSupply'!$BW$12:$BW$38,0),MATCH(O$9,'Diesel - DemandSupply'!$BX$10:$CC$10,0)))*$C69</f>
        <v>2867028087.2051878</v>
      </c>
      <c r="P69" s="427">
        <f>(INDEX('Diesel - DemandSupply'!$BX$12:$CC$38,MATCH($A69,'Diesel - DemandSupply'!$BW$12:$BW$38,0),MATCH(P$9,'Diesel - DemandSupply'!$BX$10:$CC$10,0)))*$C69</f>
        <v>2194991943.2638211</v>
      </c>
      <c r="Q69" s="427">
        <f>(INDEX('Diesel - DemandSupply'!$BX$12:$CC$38,MATCH($A69,'Diesel - DemandSupply'!$BW$12:$BW$38,0),MATCH(Q$9,'Diesel - DemandSupply'!$BX$10:$CC$10,0)))*$C69</f>
        <v>857189573.53907382</v>
      </c>
      <c r="R69" s="427">
        <f>(INDEX('Diesel - DemandSupply'!$BX$12:$CC$38,MATCH($A69,'Diesel - DemandSupply'!$BW$12:$BW$38,0),MATCH(R$9,'Diesel - DemandSupply'!$BX$10:$CC$10,0)))*$C69</f>
        <v>2388116964.3550911</v>
      </c>
      <c r="S69" s="429">
        <f t="shared" si="16"/>
        <v>2194991943.2638211</v>
      </c>
      <c r="T69" s="429">
        <f t="shared" si="12"/>
        <v>6153110621.3231583</v>
      </c>
      <c r="U69" s="429">
        <f t="shared" si="17"/>
        <v>8348102564.5869789</v>
      </c>
      <c r="V69" s="426">
        <f t="shared" si="18"/>
        <v>11593409102.481144</v>
      </c>
    </row>
    <row r="70" spans="1:24" ht="15.75" x14ac:dyDescent="0.6">
      <c r="A70" s="421">
        <v>2034</v>
      </c>
      <c r="B70" s="422">
        <f>VLOOKUP($A70,'Diesel - DemandSupply'!$AT$11:$AY$49,4,0)</f>
        <v>0.81545658911091046</v>
      </c>
      <c r="C70" s="422">
        <f>VLOOKUP($A70,'Diesel - DemandSupply'!$AT$11:$AY$49,5,0)</f>
        <v>0.88614264564707379</v>
      </c>
      <c r="D70" s="403"/>
      <c r="E70" s="428">
        <f>(INDEX('Diesel - DemandSupply'!$BO$12:$BT$38,MATCH($A70,'Diesel - DemandSupply'!$BO$12:$BO$38,0),MATCH(E$9,'Diesel - DemandSupply'!$BO$10:$BT$10,0)))*$B70</f>
        <v>3678490974.4244194</v>
      </c>
      <c r="F70" s="427">
        <f>(INDEX('Diesel - DemandSupply'!$BO$12:$BT$38,MATCH($A70,'Diesel - DemandSupply'!$BO$12:$BO$38,0),MATCH(F$9,'Diesel - DemandSupply'!$BO$10:$BT$10,0)))*$B70</f>
        <v>3209395026.6639833</v>
      </c>
      <c r="G70" s="427">
        <f>(INDEX('Diesel - DemandSupply'!$BO$12:$BT$38,MATCH($A70,'Diesel - DemandSupply'!$BO$12:$BO$38,0),MATCH(G$9,'Diesel - DemandSupply'!$BO$10:$BT$10,0)))*$B70</f>
        <v>2457107503.6608982</v>
      </c>
      <c r="H70" s="427">
        <f>(INDEX('Diesel - DemandSupply'!$BO$12:$BT$38,MATCH($A70,'Diesel - DemandSupply'!$BO$12:$BO$38,0),MATCH(H$9,'Diesel - DemandSupply'!$BO$10:$BT$10,0)))*$B70</f>
        <v>959551099.79626644</v>
      </c>
      <c r="I70" s="427">
        <f>(INDEX('Diesel - DemandSupply'!$BO$12:$BT$38,MATCH($A70,'Diesel - DemandSupply'!$BO$12:$BO$38,0),MATCH(I$9,'Diesel - DemandSupply'!$BO$10:$BT$10,0)))*$B70</f>
        <v>2673294601.7157698</v>
      </c>
      <c r="J70" s="429">
        <f t="shared" si="13"/>
        <v>2457107503.6608982</v>
      </c>
      <c r="K70" s="429">
        <f t="shared" si="14"/>
        <v>6887886001.0884027</v>
      </c>
      <c r="L70" s="429">
        <f t="shared" si="10"/>
        <v>9344993504.7493019</v>
      </c>
      <c r="M70" s="426">
        <f t="shared" si="15"/>
        <v>12977839206.261337</v>
      </c>
      <c r="N70" s="427">
        <f>(INDEX('Diesel - DemandSupply'!$BX$12:$CC$38,MATCH($A70,'Diesel - DemandSupply'!$BW$12:$BW$38,0),MATCH(N$9,'Diesel - DemandSupply'!$BX$10:$CC$10,0)))*$C70</f>
        <v>3377847113.4021955</v>
      </c>
      <c r="O70" s="427">
        <f>(INDEX('Diesel - DemandSupply'!$BX$12:$CC$38,MATCH($A70,'Diesel - DemandSupply'!$BW$12:$BW$38,0),MATCH(O$9,'Diesel - DemandSupply'!$BX$10:$CC$10,0)))*$C70</f>
        <v>2947090478.665803</v>
      </c>
      <c r="P70" s="427">
        <f>(INDEX('Diesel - DemandSupply'!$BX$12:$CC$38,MATCH($A70,'Diesel - DemandSupply'!$BW$12:$BW$38,0),MATCH(P$9,'Diesel - DemandSupply'!$BX$10:$CC$10,0)))*$C70</f>
        <v>2256287577.2336278</v>
      </c>
      <c r="Q70" s="427">
        <f>(INDEX('Diesel - DemandSupply'!$BX$12:$CC$38,MATCH($A70,'Diesel - DemandSupply'!$BW$12:$BW$38,0),MATCH(Q$9,'Diesel - DemandSupply'!$BX$10:$CC$10,0)))*$C70</f>
        <v>881126781.37422371</v>
      </c>
      <c r="R70" s="427">
        <f>(INDEX('Diesel - DemandSupply'!$BX$12:$CC$38,MATCH($A70,'Diesel - DemandSupply'!$BW$12:$BW$38,0),MATCH(R$9,'Diesel - DemandSupply'!$BX$10:$CC$10,0)))*$C70</f>
        <v>2454805657.1192818</v>
      </c>
      <c r="S70" s="429">
        <f t="shared" si="16"/>
        <v>2256287577.2336278</v>
      </c>
      <c r="T70" s="429">
        <f t="shared" si="12"/>
        <v>6324937592.0679989</v>
      </c>
      <c r="U70" s="429">
        <f t="shared" si="17"/>
        <v>8581225169.3016262</v>
      </c>
      <c r="V70" s="426">
        <f t="shared" si="18"/>
        <v>11917157607.795132</v>
      </c>
      <c r="X70" s="442"/>
    </row>
    <row r="71" spans="1:24" ht="15.75" x14ac:dyDescent="0.6">
      <c r="A71" s="421">
        <v>2035</v>
      </c>
      <c r="B71" s="422">
        <f>VLOOKUP($A71,'Diesel - DemandSupply'!$AT$11:$AY$49,4,0)</f>
        <v>0.81998266704924117</v>
      </c>
      <c r="C71" s="422">
        <f>VLOOKUP($A71,'Diesel - DemandSupply'!$AT$11:$AY$49,5,0)</f>
        <v>0.89010757598804691</v>
      </c>
      <c r="D71" s="403"/>
      <c r="E71" s="428">
        <f>(INDEX('Diesel - DemandSupply'!$BO$12:$BT$38,MATCH($A71,'Diesel - DemandSupply'!$BO$12:$BO$38,0),MATCH(E$9,'Diesel - DemandSupply'!$BO$10:$BT$10,0)))*$B71</f>
        <v>3769606460.4706893</v>
      </c>
      <c r="F71" s="427">
        <f>(INDEX('Diesel - DemandSupply'!$BO$12:$BT$38,MATCH($A71,'Diesel - DemandSupply'!$BO$12:$BO$38,0),MATCH(F$9,'Diesel - DemandSupply'!$BO$10:$BT$10,0)))*$B71</f>
        <v>3288891099.8641429</v>
      </c>
      <c r="G71" s="427">
        <f>(INDEX('Diesel - DemandSupply'!$BO$12:$BT$38,MATCH($A71,'Diesel - DemandSupply'!$BO$12:$BO$38,0),MATCH(G$9,'Diesel - DemandSupply'!$BO$10:$BT$10,0)))*$B71</f>
        <v>2517969565.3107929</v>
      </c>
      <c r="H71" s="427">
        <f>(INDEX('Diesel - DemandSupply'!$BO$12:$BT$38,MATCH($A71,'Diesel - DemandSupply'!$BO$12:$BO$38,0),MATCH(H$9,'Diesel - DemandSupply'!$BO$10:$BT$10,0)))*$B71</f>
        <v>983318988.708336</v>
      </c>
      <c r="I71" s="427">
        <f>(INDEX('Diesel - DemandSupply'!$BO$12:$BT$38,MATCH($A71,'Diesel - DemandSupply'!$BO$12:$BO$38,0),MATCH(I$9,'Diesel - DemandSupply'!$BO$10:$BT$10,0)))*$B71</f>
        <v>2739511574.5651636</v>
      </c>
      <c r="J71" s="429">
        <f t="shared" si="13"/>
        <v>2517969565.3107929</v>
      </c>
      <c r="K71" s="429">
        <f t="shared" si="14"/>
        <v>7058497560.3348322</v>
      </c>
      <c r="L71" s="429">
        <f t="shared" si="10"/>
        <v>9576467125.6456261</v>
      </c>
      <c r="M71" s="426">
        <f t="shared" si="15"/>
        <v>13299297688.919125</v>
      </c>
      <c r="N71" s="427">
        <f>(INDEX('Diesel - DemandSupply'!$BX$12:$CC$38,MATCH($A71,'Diesel - DemandSupply'!$BW$12:$BW$38,0),MATCH(N$9,'Diesel - DemandSupply'!$BX$10:$CC$10,0)))*$C71</f>
        <v>3469611692.6864204</v>
      </c>
      <c r="O71" s="427">
        <f>(INDEX('Diesel - DemandSupply'!$BX$12:$CC$38,MATCH($A71,'Diesel - DemandSupply'!$BW$12:$BW$38,0),MATCH(O$9,'Diesel - DemandSupply'!$BX$10:$CC$10,0)))*$C71</f>
        <v>3027152870.1264176</v>
      </c>
      <c r="P71" s="427">
        <f>(INDEX('Diesel - DemandSupply'!$BX$12:$CC$38,MATCH($A71,'Diesel - DemandSupply'!$BW$12:$BW$38,0),MATCH(P$9,'Diesel - DemandSupply'!$BX$10:$CC$10,0)))*$C71</f>
        <v>2317583211.2034345</v>
      </c>
      <c r="Q71" s="427">
        <f>(INDEX('Diesel - DemandSupply'!$BX$12:$CC$38,MATCH($A71,'Diesel - DemandSupply'!$BW$12:$BW$38,0),MATCH(Q$9,'Diesel - DemandSupply'!$BX$10:$CC$10,0)))*$C71</f>
        <v>905063989.20937347</v>
      </c>
      <c r="R71" s="427">
        <f>(INDEX('Diesel - DemandSupply'!$BX$12:$CC$38,MATCH($A71,'Diesel - DemandSupply'!$BW$12:$BW$38,0),MATCH(R$9,'Diesel - DemandSupply'!$BX$10:$CC$10,0)))*$C71</f>
        <v>2521494349.8834724</v>
      </c>
      <c r="S71" s="429">
        <f t="shared" si="16"/>
        <v>2317583211.2034345</v>
      </c>
      <c r="T71" s="429">
        <f t="shared" si="12"/>
        <v>6496764562.8128376</v>
      </c>
      <c r="U71" s="429">
        <f t="shared" si="17"/>
        <v>8814347774.0162716</v>
      </c>
      <c r="V71" s="426">
        <f t="shared" si="18"/>
        <v>12240906113.109118</v>
      </c>
    </row>
    <row r="72" spans="1:24" ht="15.75" x14ac:dyDescent="0.6">
      <c r="A72" s="421">
        <v>2036</v>
      </c>
      <c r="B72" s="422">
        <f>VLOOKUP($A72,'Diesel - DemandSupply'!$AT$11:$AY$49,4,0)</f>
        <v>0.82810288168560486</v>
      </c>
      <c r="C72" s="422">
        <f>VLOOKUP($A72,'Diesel - DemandSupply'!$AT$11:$AY$49,5,0)</f>
        <v>0.89248285040216624</v>
      </c>
      <c r="D72" s="403"/>
      <c r="E72" s="428">
        <f>(INDEX('Diesel - DemandSupply'!$BO$12:$BT$38,MATCH($A72,'Diesel - DemandSupply'!$BO$12:$BO$38,0),MATCH(E$9,'Diesel - DemandSupply'!$BO$10:$BT$10,0)))*$B72</f>
        <v>3910602296.2256999</v>
      </c>
      <c r="F72" s="427">
        <f>(INDEX('Diesel - DemandSupply'!$BO$12:$BT$38,MATCH($A72,'Diesel - DemandSupply'!$BO$12:$BO$38,0),MATCH(F$9,'Diesel - DemandSupply'!$BO$10:$BT$10,0)))*$B72</f>
        <v>3411906580.1789389</v>
      </c>
      <c r="G72" s="427">
        <f>(INDEX('Diesel - DemandSupply'!$BO$12:$BT$38,MATCH($A72,'Diesel - DemandSupply'!$BO$12:$BO$38,0),MATCH(G$9,'Diesel - DemandSupply'!$BO$10:$BT$10,0)))*$B72</f>
        <v>2612150012.7897444</v>
      </c>
      <c r="H72" s="427">
        <f>(INDEX('Diesel - DemandSupply'!$BO$12:$BT$38,MATCH($A72,'Diesel - DemandSupply'!$BO$12:$BO$38,0),MATCH(H$9,'Diesel - DemandSupply'!$BO$10:$BT$10,0)))*$B72</f>
        <v>1020098393.6888207</v>
      </c>
      <c r="I72" s="427">
        <f>(INDEX('Diesel - DemandSupply'!$BO$12:$BT$38,MATCH($A72,'Diesel - DemandSupply'!$BO$12:$BO$38,0),MATCH(I$9,'Diesel - DemandSupply'!$BO$10:$BT$10,0)))*$B72</f>
        <v>2841978431.0041003</v>
      </c>
      <c r="J72" s="429">
        <f t="shared" si="13"/>
        <v>2612150012.7897444</v>
      </c>
      <c r="K72" s="429">
        <f t="shared" si="14"/>
        <v>7322508876.4046383</v>
      </c>
      <c r="L72" s="429">
        <f t="shared" si="10"/>
        <v>9934658889.1943817</v>
      </c>
      <c r="M72" s="426">
        <f t="shared" si="15"/>
        <v>13796735713.887302</v>
      </c>
      <c r="N72" s="427">
        <f>(INDEX('Diesel - DemandSupply'!$BX$12:$CC$38,MATCH($A72,'Diesel - DemandSupply'!$BW$12:$BW$38,0),MATCH(N$9,'Diesel - DemandSupply'!$BX$10:$CC$10,0)))*$C72</f>
        <v>3555725823.7510781</v>
      </c>
      <c r="O72" s="427">
        <f>(INDEX('Diesel - DemandSupply'!$BX$12:$CC$38,MATCH($A72,'Diesel - DemandSupply'!$BW$12:$BW$38,0),MATCH(O$9,'Diesel - DemandSupply'!$BX$10:$CC$10,0)))*$C72</f>
        <v>3102285381.2256589</v>
      </c>
      <c r="P72" s="427">
        <f>(INDEX('Diesel - DemandSupply'!$BX$12:$CC$38,MATCH($A72,'Diesel - DemandSupply'!$BW$12:$BW$38,0),MATCH(P$9,'Diesel - DemandSupply'!$BX$10:$CC$10,0)))*$C72</f>
        <v>2375104536.9539523</v>
      </c>
      <c r="Q72" s="427">
        <f>(INDEX('Diesel - DemandSupply'!$BX$12:$CC$38,MATCH($A72,'Diesel - DemandSupply'!$BW$12:$BW$38,0),MATCH(Q$9,'Diesel - DemandSupply'!$BX$10:$CC$10,0)))*$C72</f>
        <v>927527251.9292233</v>
      </c>
      <c r="R72" s="427">
        <f>(INDEX('Diesel - DemandSupply'!$BX$12:$CC$38,MATCH($A72,'Diesel - DemandSupply'!$BW$12:$BW$38,0),MATCH(R$9,'Diesel - DemandSupply'!$BX$10:$CC$10,0)))*$C72</f>
        <v>2584076654.2325034</v>
      </c>
      <c r="S72" s="429">
        <f t="shared" si="16"/>
        <v>2375104536.9539523</v>
      </c>
      <c r="T72" s="429">
        <f t="shared" si="12"/>
        <v>6658011204.976737</v>
      </c>
      <c r="U72" s="429">
        <f t="shared" si="17"/>
        <v>9033115741.9306889</v>
      </c>
      <c r="V72" s="426">
        <f t="shared" si="18"/>
        <v>12544719648.092417</v>
      </c>
    </row>
    <row r="73" spans="1:24" ht="15.75" x14ac:dyDescent="0.6">
      <c r="A73" s="421">
        <v>2037</v>
      </c>
      <c r="B73" s="422">
        <f>VLOOKUP($A73,'Diesel - DemandSupply'!$AT$11:$AY$49,4,0)</f>
        <v>0.83129144776467234</v>
      </c>
      <c r="C73" s="422">
        <f>VLOOKUP($A73,'Diesel - DemandSupply'!$AT$11:$AY$49,5,0)</f>
        <v>0.89367224722805294</v>
      </c>
      <c r="D73" s="403"/>
      <c r="E73" s="428">
        <f>(INDEX('Diesel - DemandSupply'!$BO$12:$BT$38,MATCH($A73,'Diesel - DemandSupply'!$BO$12:$BO$38,0),MATCH(E$9,'Diesel - DemandSupply'!$BO$10:$BT$10,0)))*$B73</f>
        <v>3999854238.9541059</v>
      </c>
      <c r="F73" s="427">
        <f>(INDEX('Diesel - DemandSupply'!$BO$12:$BT$38,MATCH($A73,'Diesel - DemandSupply'!$BO$12:$BO$38,0),MATCH(F$9,'Diesel - DemandSupply'!$BO$10:$BT$10,0)))*$B73</f>
        <v>3489776756.5920992</v>
      </c>
      <c r="G73" s="427">
        <f>(INDEX('Diesel - DemandSupply'!$BO$12:$BT$38,MATCH($A73,'Diesel - DemandSupply'!$BO$12:$BO$38,0),MATCH(G$9,'Diesel - DemandSupply'!$BO$10:$BT$10,0)))*$B73</f>
        <v>2671767290.5590868</v>
      </c>
      <c r="H73" s="427">
        <f>(INDEX('Diesel - DemandSupply'!$BO$12:$BT$38,MATCH($A73,'Diesel - DemandSupply'!$BO$12:$BO$38,0),MATCH(H$9,'Diesel - DemandSupply'!$BO$10:$BT$10,0)))*$B73</f>
        <v>1043380168.8513644</v>
      </c>
      <c r="I73" s="427">
        <f>(INDEX('Diesel - DemandSupply'!$BO$12:$BT$38,MATCH($A73,'Diesel - DemandSupply'!$BO$12:$BO$38,0),MATCH(I$9,'Diesel - DemandSupply'!$BO$10:$BT$10,0)))*$B73</f>
        <v>2906841098.4259849</v>
      </c>
      <c r="J73" s="429">
        <f t="shared" si="13"/>
        <v>2671767290.5590868</v>
      </c>
      <c r="K73" s="429">
        <f t="shared" si="14"/>
        <v>7489630995.5462055</v>
      </c>
      <c r="L73" s="429">
        <f t="shared" si="10"/>
        <v>10161398286.105293</v>
      </c>
      <c r="M73" s="426">
        <f t="shared" si="15"/>
        <v>14111619553.382643</v>
      </c>
      <c r="N73" s="427">
        <f>(INDEX('Diesel - DemandSupply'!$BX$12:$CC$38,MATCH($A73,'Diesel - DemandSupply'!$BW$12:$BW$38,0),MATCH(N$9,'Diesel - DemandSupply'!$BX$10:$CC$10,0)))*$C73</f>
        <v>3600292323.5241814</v>
      </c>
      <c r="O73" s="427">
        <f>(INDEX('Diesel - DemandSupply'!$BX$12:$CC$38,MATCH($A73,'Diesel - DemandSupply'!$BW$12:$BW$38,0),MATCH(O$9,'Diesel - DemandSupply'!$BX$10:$CC$10,0)))*$C73</f>
        <v>3141168581.8973694</v>
      </c>
      <c r="P73" s="427">
        <f>(INDEX('Diesel - DemandSupply'!$BX$12:$CC$38,MATCH($A73,'Diesel - DemandSupply'!$BW$12:$BW$38,0),MATCH(P$9,'Diesel - DemandSupply'!$BX$10:$CC$10,0)))*$C73</f>
        <v>2404873450.8280792</v>
      </c>
      <c r="Q73" s="427">
        <f>(INDEX('Diesel - DemandSupply'!$BX$12:$CC$38,MATCH($A73,'Diesel - DemandSupply'!$BW$12:$BW$38,0),MATCH(Q$9,'Diesel - DemandSupply'!$BX$10:$CC$10,0)))*$C73</f>
        <v>939152626.07549071</v>
      </c>
      <c r="R73" s="427">
        <f>(INDEX('Diesel - DemandSupply'!$BX$12:$CC$38,MATCH($A73,'Diesel - DemandSupply'!$BW$12:$BW$38,0),MATCH(R$9,'Diesel - DemandSupply'!$BX$10:$CC$10,0)))*$C73</f>
        <v>2616464767.7521911</v>
      </c>
      <c r="S73" s="429">
        <f t="shared" si="16"/>
        <v>2404873450.8280792</v>
      </c>
      <c r="T73" s="429">
        <f t="shared" si="12"/>
        <v>6741460905.4215508</v>
      </c>
      <c r="U73" s="429">
        <f t="shared" si="17"/>
        <v>9146334356.24963</v>
      </c>
      <c r="V73" s="426">
        <f t="shared" si="18"/>
        <v>12701951750.077312</v>
      </c>
    </row>
    <row r="74" spans="1:24" ht="15.75" x14ac:dyDescent="0.6">
      <c r="A74" s="421">
        <v>2038</v>
      </c>
      <c r="B74" s="422">
        <f>VLOOKUP($A74,'Diesel - DemandSupply'!$AT$11:$AY$49,4,0)</f>
        <v>0.83441630517609033</v>
      </c>
      <c r="C74" s="422">
        <f>VLOOKUP($A74,'Diesel - DemandSupply'!$AT$11:$AY$49,5,0)</f>
        <v>0.89485287646408318</v>
      </c>
      <c r="D74" s="403"/>
      <c r="E74" s="428">
        <f>(INDEX('Diesel - DemandSupply'!$BO$12:$BT$38,MATCH($A74,'Diesel - DemandSupply'!$BO$12:$BO$38,0),MATCH(E$9,'Diesel - DemandSupply'!$BO$10:$BT$10,0)))*$B74</f>
        <v>4090657927.1214151</v>
      </c>
      <c r="F74" s="427">
        <f>(INDEX('Diesel - DemandSupply'!$BO$12:$BT$38,MATCH($A74,'Diesel - DemandSupply'!$BO$12:$BO$38,0),MATCH(F$9,'Diesel - DemandSupply'!$BO$10:$BT$10,0)))*$B74</f>
        <v>3569000793.6315017</v>
      </c>
      <c r="G74" s="427">
        <f>(INDEX('Diesel - DemandSupply'!$BO$12:$BT$38,MATCH($A74,'Diesel - DemandSupply'!$BO$12:$BO$38,0),MATCH(G$9,'Diesel - DemandSupply'!$BO$10:$BT$10,0)))*$B74</f>
        <v>2732421081.7759843</v>
      </c>
      <c r="H74" s="427">
        <f>(INDEX('Diesel - DemandSupply'!$BO$12:$BT$38,MATCH($A74,'Diesel - DemandSupply'!$BO$12:$BO$38,0),MATCH(H$9,'Diesel - DemandSupply'!$BO$10:$BT$10,0)))*$B74</f>
        <v>1067066723.8687062</v>
      </c>
      <c r="I74" s="427">
        <f>(INDEX('Diesel - DemandSupply'!$BO$12:$BT$38,MATCH($A74,'Diesel - DemandSupply'!$BO$12:$BO$38,0),MATCH(I$9,'Diesel - DemandSupply'!$BO$10:$BT$10,0)))*$B74</f>
        <v>2972831476.2959571</v>
      </c>
      <c r="J74" s="429">
        <f t="shared" si="13"/>
        <v>2732421081.7759843</v>
      </c>
      <c r="K74" s="429">
        <f t="shared" si="14"/>
        <v>7659658720.7529163</v>
      </c>
      <c r="L74" s="429">
        <f t="shared" si="10"/>
        <v>10392079802.5289</v>
      </c>
      <c r="M74" s="426">
        <f t="shared" si="15"/>
        <v>14431978002.693563</v>
      </c>
      <c r="N74" s="427">
        <f>(INDEX('Diesel - DemandSupply'!$BX$12:$CC$38,MATCH($A74,'Diesel - DemandSupply'!$BW$12:$BW$38,0),MATCH(N$9,'Diesel - DemandSupply'!$BX$10:$CC$10,0)))*$C74</f>
        <v>3645527431.3998451</v>
      </c>
      <c r="O74" s="427">
        <f>(INDEX('Diesel - DemandSupply'!$BX$12:$CC$38,MATCH($A74,'Diesel - DemandSupply'!$BW$12:$BW$38,0),MATCH(O$9,'Diesel - DemandSupply'!$BX$10:$CC$10,0)))*$C74</f>
        <v>3180635127.0802021</v>
      </c>
      <c r="P74" s="427">
        <f>(INDEX('Diesel - DemandSupply'!$BX$12:$CC$38,MATCH($A74,'Diesel - DemandSupply'!$BW$12:$BW$38,0),MATCH(P$9,'Diesel - DemandSupply'!$BX$10:$CC$10,0)))*$C74</f>
        <v>2435088972.2913594</v>
      </c>
      <c r="Q74" s="427">
        <f>(INDEX('Diesel - DemandSupply'!$BX$12:$CC$38,MATCH($A74,'Diesel - DemandSupply'!$BW$12:$BW$38,0),MATCH(Q$9,'Diesel - DemandSupply'!$BX$10:$CC$10,0)))*$C74</f>
        <v>950952409.68602061</v>
      </c>
      <c r="R74" s="427">
        <f>(INDEX('Diesel - DemandSupply'!$BX$12:$CC$38,MATCH($A74,'Diesel - DemandSupply'!$BW$12:$BW$38,0),MATCH(R$9,'Diesel - DemandSupply'!$BX$10:$CC$10,0)))*$C74</f>
        <v>2649338783.3560939</v>
      </c>
      <c r="S74" s="429">
        <f t="shared" si="16"/>
        <v>2435088972.2913594</v>
      </c>
      <c r="T74" s="429">
        <f t="shared" si="12"/>
        <v>6826162558.4800472</v>
      </c>
      <c r="U74" s="429">
        <f t="shared" si="17"/>
        <v>9261251530.7714062</v>
      </c>
      <c r="V74" s="426">
        <f t="shared" si="18"/>
        <v>12861542723.81352</v>
      </c>
    </row>
    <row r="75" spans="1:24" ht="15.75" x14ac:dyDescent="0.6">
      <c r="A75" s="421">
        <v>2039</v>
      </c>
      <c r="B75" s="422">
        <f>VLOOKUP($A75,'Diesel - DemandSupply'!$AT$11:$AY$49,4,0)</f>
        <v>0.83747880383673878</v>
      </c>
      <c r="C75" s="422">
        <f>VLOOKUP($A75,'Diesel - DemandSupply'!$AT$11:$AY$49,5,0)</f>
        <v>0.89602456457122792</v>
      </c>
      <c r="D75" s="403"/>
      <c r="E75" s="428">
        <f>(INDEX('Diesel - DemandSupply'!$BO$12:$BT$38,MATCH($A75,'Diesel - DemandSupply'!$BO$12:$BO$38,0),MATCH(E$9,'Diesel - DemandSupply'!$BO$10:$BT$10,0)))*$B75</f>
        <v>4183037570.0828714</v>
      </c>
      <c r="F75" s="427">
        <f>(INDEX('Diesel - DemandSupply'!$BO$12:$BT$38,MATCH($A75,'Diesel - DemandSupply'!$BO$12:$BO$38,0),MATCH(F$9,'Diesel - DemandSupply'!$BO$10:$BT$10,0)))*$B75</f>
        <v>3649599813.3781481</v>
      </c>
      <c r="G75" s="427">
        <f>(INDEX('Diesel - DemandSupply'!$BO$12:$BT$38,MATCH($A75,'Diesel - DemandSupply'!$BO$12:$BO$38,0),MATCH(G$9,'Diesel - DemandSupply'!$BO$10:$BT$10,0)))*$B75</f>
        <v>2794127557.4705791</v>
      </c>
      <c r="H75" s="427">
        <f>(INDEX('Diesel - DemandSupply'!$BO$12:$BT$38,MATCH($A75,'Diesel - DemandSupply'!$BO$12:$BO$38,0),MATCH(H$9,'Diesel - DemandSupply'!$BO$10:$BT$10,0)))*$B75</f>
        <v>1091164373.8612609</v>
      </c>
      <c r="I75" s="427">
        <f>(INDEX('Diesel - DemandSupply'!$BO$12:$BT$38,MATCH($A75,'Diesel - DemandSupply'!$BO$12:$BO$38,0),MATCH(I$9,'Diesel - DemandSupply'!$BO$10:$BT$10,0)))*$B75</f>
        <v>3039967158.4423389</v>
      </c>
      <c r="J75" s="429">
        <f t="shared" si="13"/>
        <v>2794127557.4705791</v>
      </c>
      <c r="K75" s="429">
        <f t="shared" si="14"/>
        <v>7832637383.4610195</v>
      </c>
      <c r="L75" s="429">
        <f t="shared" si="10"/>
        <v>10626764940.931599</v>
      </c>
      <c r="M75" s="426">
        <f t="shared" si="15"/>
        <v>14757896473.235199</v>
      </c>
      <c r="N75" s="427">
        <f>(INDEX('Diesel - DemandSupply'!$BX$12:$CC$38,MATCH($A75,'Diesel - DemandSupply'!$BW$12:$BW$38,0),MATCH(N$9,'Diesel - DemandSupply'!$BX$10:$CC$10,0)))*$C75</f>
        <v>3691435604.0280442</v>
      </c>
      <c r="O75" s="427">
        <f>(INDEX('Diesel - DemandSupply'!$BX$12:$CC$38,MATCH($A75,'Diesel - DemandSupply'!$BW$12:$BW$38,0),MATCH(O$9,'Diesel - DemandSupply'!$BX$10:$CC$10,0)))*$C75</f>
        <v>3220688905.0942225</v>
      </c>
      <c r="P75" s="427">
        <f>(INDEX('Diesel - DemandSupply'!$BX$12:$CC$38,MATCH($A75,'Diesel - DemandSupply'!$BW$12:$BW$38,0),MATCH(P$9,'Diesel - DemandSupply'!$BX$10:$CC$10,0)))*$C75</f>
        <v>2465754078.2351789</v>
      </c>
      <c r="Q75" s="427">
        <f>(INDEX('Diesel - DemandSupply'!$BX$12:$CC$38,MATCH($A75,'Diesel - DemandSupply'!$BW$12:$BW$38,0),MATCH(Q$9,'Diesel - DemandSupply'!$BX$10:$CC$10,0)))*$C75</f>
        <v>962927765.29822743</v>
      </c>
      <c r="R75" s="427">
        <f>(INDEX('Diesel - DemandSupply'!$BX$12:$CC$38,MATCH($A75,'Diesel - DemandSupply'!$BW$12:$BW$38,0),MATCH(R$9,'Diesel - DemandSupply'!$BX$10:$CC$10,0)))*$C75</f>
        <v>2682701939.8555613</v>
      </c>
      <c r="S75" s="429">
        <f t="shared" si="16"/>
        <v>2465754078.2351789</v>
      </c>
      <c r="T75" s="429">
        <f t="shared" si="12"/>
        <v>6912124509.1222668</v>
      </c>
      <c r="U75" s="429">
        <f t="shared" si="17"/>
        <v>9377878587.3574448</v>
      </c>
      <c r="V75" s="426">
        <f t="shared" si="18"/>
        <v>13023508292.511234</v>
      </c>
    </row>
    <row r="76" spans="1:24" ht="16.149999999999999" thickBot="1" x14ac:dyDescent="0.65">
      <c r="A76" s="431">
        <v>2040</v>
      </c>
      <c r="B76" s="422">
        <f>VLOOKUP($A76,'Diesel - DemandSupply'!$AT$11:$AY$49,4,0)</f>
        <v>0.84048026570335088</v>
      </c>
      <c r="C76" s="422">
        <f>VLOOKUP($A76,'Diesel - DemandSupply'!$AT$11:$AY$49,5,0)</f>
        <v>0.89718715088743795</v>
      </c>
      <c r="D76" s="433"/>
      <c r="E76" s="428">
        <f>(INDEX('Diesel - DemandSupply'!$BO$12:$BT$38,MATCH($A76,'Diesel - DemandSupply'!$BO$12:$BO$38,0),MATCH(E$9,'Diesel - DemandSupply'!$BO$10:$BT$10,0)))*$B76</f>
        <v>4277017767.6362638</v>
      </c>
      <c r="F76" s="427">
        <f>(INDEX('Diesel - DemandSupply'!$BO$12:$BT$38,MATCH($A76,'Diesel - DemandSupply'!$BO$12:$BO$38,0),MATCH(F$9,'Diesel - DemandSupply'!$BO$10:$BT$10,0)))*$B76</f>
        <v>3731595278.5647793</v>
      </c>
      <c r="G76" s="427">
        <f>(INDEX('Diesel - DemandSupply'!$BO$12:$BT$38,MATCH($A76,'Diesel - DemandSupply'!$BO$12:$BO$38,0),MATCH(G$9,'Diesel - DemandSupply'!$BO$10:$BT$10,0)))*$B76</f>
        <v>2856903149.4754252</v>
      </c>
      <c r="H76" s="427">
        <f>(INDEX('Diesel - DemandSupply'!$BO$12:$BT$38,MATCH($A76,'Diesel - DemandSupply'!$BO$12:$BO$38,0),MATCH(H$9,'Diesel - DemandSupply'!$BO$10:$BT$10,0)))*$B76</f>
        <v>1115679535.7981577</v>
      </c>
      <c r="I76" s="427">
        <f>(INDEX('Diesel - DemandSupply'!$BO$12:$BT$38,MATCH($A76,'Diesel - DemandSupply'!$BO$12:$BO$38,0),MATCH(I$9,'Diesel - DemandSupply'!$BO$10:$BT$10,0)))*$B76</f>
        <v>3108266022.4423995</v>
      </c>
      <c r="J76" s="436">
        <f t="shared" si="13"/>
        <v>2856903149.4754252</v>
      </c>
      <c r="K76" s="436">
        <f t="shared" si="14"/>
        <v>8008613046.2010431</v>
      </c>
      <c r="L76" s="436">
        <f t="shared" si="10"/>
        <v>10865516195.676468</v>
      </c>
      <c r="M76" s="437">
        <f t="shared" si="15"/>
        <v>15089461753.917025</v>
      </c>
      <c r="N76" s="427">
        <f>(INDEX('Diesel - DemandSupply'!$BX$12:$CC$38,MATCH($A76,'Diesel - DemandSupply'!$BW$12:$BW$38,0),MATCH(N$9,'Diesel - DemandSupply'!$BX$10:$CC$10,0)))*$C76</f>
        <v>3738021364.9195681</v>
      </c>
      <c r="O76" s="427">
        <f>(INDEX('Diesel - DemandSupply'!$BX$12:$CC$38,MATCH($A76,'Diesel - DemandSupply'!$BW$12:$BW$38,0),MATCH(O$9,'Diesel - DemandSupply'!$BX$10:$CC$10,0)))*$C76</f>
        <v>3261333862.5939507</v>
      </c>
      <c r="P76" s="427">
        <f>(INDEX('Diesel - DemandSupply'!$BX$12:$CC$38,MATCH($A76,'Diesel - DemandSupply'!$BW$12:$BW$38,0),MATCH(P$9,'Diesel - DemandSupply'!$BX$10:$CC$10,0)))*$C76</f>
        <v>2496871790.2116847</v>
      </c>
      <c r="Q76" s="427">
        <f>(INDEX('Diesel - DemandSupply'!$BX$12:$CC$38,MATCH($A76,'Diesel - DemandSupply'!$BW$12:$BW$38,0),MATCH(Q$9,'Diesel - DemandSupply'!$BX$10:$CC$10,0)))*$C76</f>
        <v>975079872.89047253</v>
      </c>
      <c r="R76" s="427">
        <f>(INDEX('Diesel - DemandSupply'!$BX$12:$CC$38,MATCH($A76,'Diesel - DemandSupply'!$BW$12:$BW$38,0),MATCH(R$9,'Diesel - DemandSupply'!$BX$10:$CC$10,0)))*$C76</f>
        <v>2716557524.6521554</v>
      </c>
      <c r="S76" s="436">
        <f t="shared" si="16"/>
        <v>2496871790.2116847</v>
      </c>
      <c r="T76" s="436">
        <f t="shared" si="12"/>
        <v>6999355227.5135193</v>
      </c>
      <c r="U76" s="436">
        <f>SUM(S76:T76)</f>
        <v>9496227017.7252045</v>
      </c>
      <c r="V76" s="437">
        <f t="shared" si="18"/>
        <v>13187864415.267832</v>
      </c>
    </row>
    <row r="78" spans="1:24" ht="14.65" thickBot="1" x14ac:dyDescent="0.5"/>
    <row r="79" spans="1:24" ht="14.65" thickBot="1" x14ac:dyDescent="0.5">
      <c r="A79" s="491" t="s">
        <v>363</v>
      </c>
      <c r="B79" s="492"/>
      <c r="C79" s="492"/>
      <c r="D79" s="492"/>
      <c r="E79" s="492"/>
      <c r="F79" s="492"/>
      <c r="G79" s="492"/>
      <c r="H79" s="492"/>
      <c r="I79" s="492"/>
      <c r="J79" s="492"/>
      <c r="K79" s="492"/>
      <c r="L79" s="492"/>
      <c r="M79" s="492"/>
      <c r="N79" s="492"/>
      <c r="O79" s="492"/>
      <c r="P79" s="492"/>
      <c r="Q79" s="492"/>
      <c r="R79" s="492"/>
      <c r="S79" s="492"/>
      <c r="T79" s="492"/>
      <c r="U79" s="492"/>
      <c r="V79" s="493"/>
    </row>
    <row r="80" spans="1:24" ht="14.65" thickBot="1" x14ac:dyDescent="0.5">
      <c r="A80" s="503"/>
      <c r="B80" s="504"/>
      <c r="C80" s="504"/>
      <c r="D80" s="504"/>
      <c r="E80" s="505" t="s">
        <v>354</v>
      </c>
      <c r="F80" s="506"/>
      <c r="G80" s="506"/>
      <c r="H80" s="506"/>
      <c r="I80" s="506"/>
      <c r="J80" s="506"/>
      <c r="K80" s="506"/>
      <c r="L80" s="506"/>
      <c r="M80" s="507"/>
      <c r="N80" s="508" t="s">
        <v>355</v>
      </c>
      <c r="O80" s="508"/>
      <c r="P80" s="508"/>
      <c r="Q80" s="508"/>
      <c r="R80" s="508"/>
      <c r="S80" s="508"/>
      <c r="T80" s="508"/>
      <c r="U80" s="508"/>
      <c r="V80" s="509"/>
    </row>
    <row r="81" spans="1:22" ht="31.5" x14ac:dyDescent="0.45">
      <c r="A81" s="412" t="s">
        <v>30</v>
      </c>
      <c r="B81" s="413" t="s">
        <v>356</v>
      </c>
      <c r="C81" s="413" t="s">
        <v>357</v>
      </c>
      <c r="D81" s="414" t="s">
        <v>358</v>
      </c>
      <c r="E81" s="419" t="s">
        <v>198</v>
      </c>
      <c r="F81" s="413" t="s">
        <v>199</v>
      </c>
      <c r="G81" s="413" t="s">
        <v>97</v>
      </c>
      <c r="H81" s="413" t="s">
        <v>200</v>
      </c>
      <c r="I81" s="413" t="s">
        <v>201</v>
      </c>
      <c r="J81" s="414" t="s">
        <v>359</v>
      </c>
      <c r="K81" s="414" t="s">
        <v>360</v>
      </c>
      <c r="L81" s="414" t="s">
        <v>182</v>
      </c>
      <c r="M81" s="418" t="s">
        <v>361</v>
      </c>
      <c r="N81" s="419" t="s">
        <v>198</v>
      </c>
      <c r="O81" s="413" t="s">
        <v>199</v>
      </c>
      <c r="P81" s="413" t="s">
        <v>97</v>
      </c>
      <c r="Q81" s="413" t="s">
        <v>200</v>
      </c>
      <c r="R81" s="413" t="s">
        <v>201</v>
      </c>
      <c r="S81" s="414" t="s">
        <v>359</v>
      </c>
      <c r="T81" s="414" t="s">
        <v>360</v>
      </c>
      <c r="U81" s="263" t="s">
        <v>182</v>
      </c>
      <c r="V81" s="420" t="s">
        <v>361</v>
      </c>
    </row>
    <row r="82" spans="1:22" ht="15.75" x14ac:dyDescent="0.6">
      <c r="A82" s="421">
        <v>2010</v>
      </c>
      <c r="B82" s="422">
        <f>VLOOKUP($A82,'Gasoline - DemandSupply'!$AI$9:$AM$48,4,0)</f>
        <v>0.17773621558440411</v>
      </c>
      <c r="C82" s="422">
        <f>VLOOKUP($A82,'Gasoline - DemandSupply'!AI10:AM48,5,0)</f>
        <v>0</v>
      </c>
      <c r="D82" s="423">
        <f>VLOOKUP(A82,'Gasoline - DemandSupply'!AI10:AM48,2,FALSE)</f>
        <v>2095196218.6666667</v>
      </c>
      <c r="E82" s="424">
        <f>(VLOOKUP($A82,'Gasoline - DemandSupply'!$C$10:$H$30, MATCH($E$81, 'Gasoline - DemandSupply'!$C$9:$H$9, 0),FALSE))*$B82</f>
        <v>395441433.18160313</v>
      </c>
      <c r="F82" s="425">
        <f>(VLOOKUP($A82,'Gasoline - DemandSupply'!$C$10:$H$30, MATCH($F$81, 'Gasoline - DemandSupply'!$C$9:$H$9, 0),FALSE))*$B82</f>
        <v>636097777.70788419</v>
      </c>
      <c r="G82" s="425">
        <f>(VLOOKUP($A82,'Gasoline - DemandSupply'!$C$10:$H$30, MATCH($G$81, 'Gasoline - DemandSupply'!$C$9:$H$9, 0),FALSE))*$B82</f>
        <v>276603915.18532151</v>
      </c>
      <c r="H82" s="425">
        <f>(VLOOKUP($A82,'Gasoline - DemandSupply'!$C$10:$H$30, MATCH($H$81, 'Gasoline - DemandSupply'!$C$9:$H$9, 0),FALSE))*$B82</f>
        <v>128158278.67756356</v>
      </c>
      <c r="I82" s="425">
        <f>(VLOOKUP($A82,'Gasoline - DemandSupply'!$C$10:$H$30, MATCH($I$81, 'Gasoline - DemandSupply'!$C$9:$H$9, 0),FALSE))*$B82</f>
        <v>293616970.24060392</v>
      </c>
      <c r="J82" s="425">
        <f>G82</f>
        <v>276603915.18532151</v>
      </c>
      <c r="K82" s="425">
        <f>F82+E82</f>
        <v>1031539210.8894873</v>
      </c>
      <c r="L82" s="425">
        <f>SUM(J82:K82)</f>
        <v>1308143126.0748088</v>
      </c>
      <c r="M82" s="426">
        <f t="shared" ref="M82:M95" si="19">SUM(E82:I82)</f>
        <v>1729918374.9929764</v>
      </c>
      <c r="N82" s="427"/>
      <c r="O82" s="427"/>
      <c r="P82" s="427"/>
      <c r="Q82" s="427"/>
      <c r="R82" s="427"/>
      <c r="S82" s="427"/>
      <c r="T82" s="427"/>
      <c r="U82" s="427"/>
      <c r="V82" s="404"/>
    </row>
    <row r="83" spans="1:22" ht="15.75" x14ac:dyDescent="0.6">
      <c r="A83" s="421">
        <v>2011</v>
      </c>
      <c r="B83" s="422">
        <f>VLOOKUP($A83,'Gasoline - DemandSupply'!$AI$9:$AM$48,4,0)</f>
        <v>0.19710300284834248</v>
      </c>
      <c r="C83" s="422">
        <f>VLOOKUP($A83,'Gasoline - DemandSupply'!AI11:AM49,5,0)</f>
        <v>0</v>
      </c>
      <c r="D83" s="423">
        <f>VLOOKUP(A83,'Gasoline - DemandSupply'!AI11:AM49,2,FALSE)</f>
        <v>2420092698.6666665</v>
      </c>
      <c r="E83" s="424">
        <f>(VLOOKUP($A83,'Gasoline - DemandSupply'!$C$10:$H$30, MATCH($E$81, 'Gasoline - DemandSupply'!$C$9:$H$9, 0),FALSE))*$B83</f>
        <v>577841655.73979425</v>
      </c>
      <c r="F83" s="425">
        <f>(VLOOKUP($A83,'Gasoline - DemandSupply'!$C$10:$H$30, MATCH($F$81, 'Gasoline - DemandSupply'!$C$9:$H$9, 0),FALSE))*$B83</f>
        <v>824013044.12953067</v>
      </c>
      <c r="G83" s="425">
        <f>(VLOOKUP($A83,'Gasoline - DemandSupply'!$C$10:$H$30, MATCH($G$81, 'Gasoline - DemandSupply'!$C$9:$H$9, 0),FALSE))*$B83</f>
        <v>375985025.16231692</v>
      </c>
      <c r="H83" s="425">
        <f>(VLOOKUP($A83,'Gasoline - DemandSupply'!$C$10:$H$30, MATCH($H$81, 'Gasoline - DemandSupply'!$C$9:$H$9, 0),FALSE))*$B83</f>
        <v>170934727.5339798</v>
      </c>
      <c r="I83" s="425">
        <f>(VLOOKUP($A83,'Gasoline - DemandSupply'!$C$10:$H$30, MATCH($I$81, 'Gasoline - DemandSupply'!$C$9:$H$9, 0),FALSE))*$B83</f>
        <v>409230052.59212697</v>
      </c>
      <c r="J83" s="425">
        <f t="shared" ref="J83:J95" si="20">G83</f>
        <v>375985025.16231692</v>
      </c>
      <c r="K83" s="425">
        <f t="shared" ref="K83:K97" si="21">F83+E83</f>
        <v>1401854699.8693249</v>
      </c>
      <c r="L83" s="425">
        <f t="shared" ref="L83:L112" si="22">SUM(J83:K83)</f>
        <v>1777839725.031642</v>
      </c>
      <c r="M83" s="426">
        <f t="shared" si="19"/>
        <v>2358004505.1577487</v>
      </c>
      <c r="N83" s="427"/>
      <c r="O83" s="427"/>
      <c r="P83" s="427"/>
      <c r="Q83" s="427"/>
      <c r="R83" s="427"/>
      <c r="S83" s="427"/>
      <c r="T83" s="427"/>
      <c r="U83" s="427"/>
      <c r="V83" s="404"/>
    </row>
    <row r="84" spans="1:22" ht="15.75" x14ac:dyDescent="0.6">
      <c r="A84" s="421">
        <v>2012</v>
      </c>
      <c r="B84" s="422">
        <f>VLOOKUP($A84,'Gasoline - DemandSupply'!$AI$9:$AM$48,4,0)</f>
        <v>0.15149840029505998</v>
      </c>
      <c r="C84" s="422">
        <f>VLOOKUP($A84,'Gasoline - DemandSupply'!AI12:AM50,5,0)</f>
        <v>0</v>
      </c>
      <c r="D84" s="423">
        <f>VLOOKUP(A84,'Gasoline - DemandSupply'!AI12:AM50,2,FALSE)</f>
        <v>1827120704</v>
      </c>
      <c r="E84" s="424">
        <f>(VLOOKUP($A84,'Gasoline - DemandSupply'!$C$10:$H$30, MATCH($E$81, 'Gasoline - DemandSupply'!$C$9:$H$9, 0),FALSE))*$B84</f>
        <v>409187670.85435772</v>
      </c>
      <c r="F84" s="425">
        <f>(VLOOKUP($A84,'Gasoline - DemandSupply'!$C$10:$H$30, MATCH($F$81, 'Gasoline - DemandSupply'!$C$9:$H$9, 0),FALSE))*$B84</f>
        <v>643323546.02213931</v>
      </c>
      <c r="G84" s="425">
        <f>(VLOOKUP($A84,'Gasoline - DemandSupply'!$C$10:$H$30, MATCH($G$81, 'Gasoline - DemandSupply'!$C$9:$H$9, 0),FALSE))*$B84</f>
        <v>292167876.28061426</v>
      </c>
      <c r="H84" s="425">
        <f>(VLOOKUP($A84,'Gasoline - DemandSupply'!$C$10:$H$30, MATCH($H$81, 'Gasoline - DemandSupply'!$C$9:$H$9, 0),FALSE))*$B84</f>
        <v>126694454.54088034</v>
      </c>
      <c r="I84" s="425">
        <f>(VLOOKUP($A84,'Gasoline - DemandSupply'!$C$10:$H$30, MATCH($I$81, 'Gasoline - DemandSupply'!$C$9:$H$9, 0),FALSE))*$B84</f>
        <v>306169402.67341655</v>
      </c>
      <c r="J84" s="425">
        <f t="shared" si="20"/>
        <v>292167876.28061426</v>
      </c>
      <c r="K84" s="425">
        <f t="shared" si="21"/>
        <v>1052511216.876497</v>
      </c>
      <c r="L84" s="425">
        <f t="shared" si="22"/>
        <v>1344679093.1571112</v>
      </c>
      <c r="M84" s="426">
        <f t="shared" si="19"/>
        <v>1777542950.3714082</v>
      </c>
      <c r="N84" s="427"/>
      <c r="O84" s="427"/>
      <c r="P84" s="427"/>
      <c r="Q84" s="427"/>
      <c r="R84" s="427"/>
      <c r="S84" s="427"/>
      <c r="T84" s="427"/>
      <c r="U84" s="427"/>
      <c r="V84" s="404"/>
    </row>
    <row r="85" spans="1:22" ht="15.75" x14ac:dyDescent="0.6">
      <c r="A85" s="421">
        <v>2013</v>
      </c>
      <c r="B85" s="422">
        <f>VLOOKUP($A85,'Gasoline - DemandSupply'!$AI$9:$AM$48,4,0)</f>
        <v>0.13186596611296239</v>
      </c>
      <c r="C85" s="422">
        <f>VLOOKUP($A85,'Gasoline - DemandSupply'!AI13:AM51,5,0)</f>
        <v>0</v>
      </c>
      <c r="D85" s="423">
        <f>VLOOKUP(A85,'Gasoline - DemandSupply'!AI13:AM51,2,FALSE)</f>
        <v>1508536793.3733332</v>
      </c>
      <c r="E85" s="424">
        <f>(VLOOKUP($A85,'Gasoline - DemandSupply'!$C$10:$H$30, MATCH($E$81, 'Gasoline - DemandSupply'!$C$9:$H$9, 0),FALSE))*$B85</f>
        <v>369976117.21472812</v>
      </c>
      <c r="F85" s="425">
        <f>(VLOOKUP($A85,'Gasoline - DemandSupply'!$C$10:$H$30, MATCH($F$81, 'Gasoline - DemandSupply'!$C$9:$H$9, 0),FALSE))*$B85</f>
        <v>553792934.79471684</v>
      </c>
      <c r="G85" s="425">
        <f>(VLOOKUP($A85,'Gasoline - DemandSupply'!$C$10:$H$30, MATCH($G$81, 'Gasoline - DemandSupply'!$C$9:$H$9, 0),FALSE))*$B85</f>
        <v>240115513.85816976</v>
      </c>
      <c r="H85" s="425">
        <f>(VLOOKUP($A85,'Gasoline - DemandSupply'!$C$10:$H$30, MATCH($H$81, 'Gasoline - DemandSupply'!$C$9:$H$9, 0),FALSE))*$B85</f>
        <v>104923216.618339</v>
      </c>
      <c r="I85" s="425">
        <f>(VLOOKUP($A85,'Gasoline - DemandSupply'!$C$10:$H$30, MATCH($I$81, 'Gasoline - DemandSupply'!$C$9:$H$9, 0),FALSE))*$B85</f>
        <v>239753906.39058599</v>
      </c>
      <c r="J85" s="425">
        <f t="shared" si="20"/>
        <v>240115513.85816976</v>
      </c>
      <c r="K85" s="425">
        <f t="shared" si="21"/>
        <v>923769052.00944495</v>
      </c>
      <c r="L85" s="425">
        <f t="shared" si="22"/>
        <v>1163884565.8676147</v>
      </c>
      <c r="M85" s="426">
        <f t="shared" si="19"/>
        <v>1508561688.8765397</v>
      </c>
      <c r="N85" s="427"/>
      <c r="O85" s="427"/>
      <c r="P85" s="427"/>
      <c r="Q85" s="427"/>
      <c r="R85" s="427"/>
      <c r="S85" s="427"/>
      <c r="T85" s="427"/>
      <c r="U85" s="427"/>
      <c r="V85" s="404"/>
    </row>
    <row r="86" spans="1:22" ht="15.75" x14ac:dyDescent="0.6">
      <c r="A86" s="421">
        <v>2014</v>
      </c>
      <c r="B86" s="422">
        <f>VLOOKUP($A86,'Gasoline - DemandSupply'!$AI$9:$AM$48,4,0)</f>
        <v>0.1056173450289625</v>
      </c>
      <c r="C86" s="422">
        <f>VLOOKUP($A86,'Gasoline - DemandSupply'!AI14:AM52,5,0)</f>
        <v>0</v>
      </c>
      <c r="D86" s="423">
        <f>VLOOKUP(A86,'Gasoline - DemandSupply'!AI14:AM52,2,FALSE)</f>
        <v>1150194821.8699999</v>
      </c>
      <c r="E86" s="424">
        <f>(VLOOKUP($A86,'Gasoline - DemandSupply'!$C$10:$H$30, MATCH($E$81, 'Gasoline - DemandSupply'!$C$9:$H$9, 0),FALSE))*$B86</f>
        <v>281786755.46054304</v>
      </c>
      <c r="F86" s="425">
        <f>(VLOOKUP($A86,'Gasoline - DemandSupply'!$C$10:$H$30, MATCH($F$81, 'Gasoline - DemandSupply'!$C$9:$H$9, 0),FALSE))*$B86</f>
        <v>422737611.73423952</v>
      </c>
      <c r="G86" s="425">
        <f>(VLOOKUP($A86,'Gasoline - DemandSupply'!$C$10:$H$30, MATCH($G$81, 'Gasoline - DemandSupply'!$C$9:$H$9, 0),FALSE))*$B86</f>
        <v>182533714.87791204</v>
      </c>
      <c r="H86" s="425">
        <f>(VLOOKUP($A86,'Gasoline - DemandSupply'!$C$10:$H$30, MATCH($H$81, 'Gasoline - DemandSupply'!$C$9:$H$9, 0),FALSE))*$B86</f>
        <v>85765400.599540055</v>
      </c>
      <c r="I86" s="425">
        <f>(VLOOKUP($A86,'Gasoline - DemandSupply'!$C$10:$H$30, MATCH($I$81, 'Gasoline - DemandSupply'!$C$9:$H$9, 0),FALSE))*$B86</f>
        <v>192206054.27332437</v>
      </c>
      <c r="J86" s="425">
        <f t="shared" si="20"/>
        <v>182533714.87791204</v>
      </c>
      <c r="K86" s="425">
        <f t="shared" si="21"/>
        <v>704524367.1947825</v>
      </c>
      <c r="L86" s="425">
        <f t="shared" si="22"/>
        <v>887058082.07269454</v>
      </c>
      <c r="M86" s="426">
        <f t="shared" si="19"/>
        <v>1165029536.945559</v>
      </c>
      <c r="N86" s="427"/>
      <c r="O86" s="427"/>
      <c r="P86" s="427"/>
      <c r="Q86" s="427"/>
      <c r="R86" s="427"/>
      <c r="S86" s="427"/>
      <c r="T86" s="427"/>
      <c r="U86" s="427"/>
      <c r="V86" s="404"/>
    </row>
    <row r="87" spans="1:22" ht="15.75" x14ac:dyDescent="0.6">
      <c r="A87" s="421">
        <v>2015</v>
      </c>
      <c r="B87" s="422">
        <f>VLOOKUP($A87,'Gasoline - DemandSupply'!$AI$9:$AM$48,4,0)</f>
        <v>0.16292197194811858</v>
      </c>
      <c r="C87" s="422">
        <f>VLOOKUP($A87,'Gasoline - DemandSupply'!AI15:AM53,5,0)</f>
        <v>0</v>
      </c>
      <c r="D87" s="423">
        <f>VLOOKUP(A87,'Gasoline - DemandSupply'!AI15:AM53,2,FALSE)</f>
        <v>1869645208.21</v>
      </c>
      <c r="E87" s="424">
        <f>(VLOOKUP($A87,'Gasoline - DemandSupply'!$C$10:$H$30, MATCH($E$81, 'Gasoline - DemandSupply'!$C$9:$H$9, 0),FALSE))*$B87</f>
        <v>458884345.64893013</v>
      </c>
      <c r="F87" s="425">
        <f>(VLOOKUP($A87,'Gasoline - DemandSupply'!$C$10:$H$30, MATCH($F$81, 'Gasoline - DemandSupply'!$C$9:$H$9, 0),FALSE))*$B87</f>
        <v>673872373.32271481</v>
      </c>
      <c r="G87" s="425">
        <f>(VLOOKUP($A87,'Gasoline - DemandSupply'!$C$10:$H$30, MATCH($G$81, 'Gasoline - DemandSupply'!$C$9:$H$9, 0),FALSE))*$B87</f>
        <v>292320543.18194342</v>
      </c>
      <c r="H87" s="425">
        <f>(VLOOKUP($A87,'Gasoline - DemandSupply'!$C$10:$H$30, MATCH($H$81, 'Gasoline - DemandSupply'!$C$9:$H$9, 0),FALSE))*$B87</f>
        <v>140632457.79112989</v>
      </c>
      <c r="I87" s="425">
        <f>(VLOOKUP($A87,'Gasoline - DemandSupply'!$C$10:$H$30, MATCH($I$81, 'Gasoline - DemandSupply'!$C$9:$H$9, 0),FALSE))*$B87</f>
        <v>302949004.19707853</v>
      </c>
      <c r="J87" s="425">
        <f t="shared" si="20"/>
        <v>292320543.18194342</v>
      </c>
      <c r="K87" s="425">
        <f t="shared" si="21"/>
        <v>1132756718.9716449</v>
      </c>
      <c r="L87" s="425">
        <f t="shared" si="22"/>
        <v>1425077262.1535883</v>
      </c>
      <c r="M87" s="426">
        <f t="shared" si="19"/>
        <v>1868658724.1417966</v>
      </c>
      <c r="N87" s="427"/>
      <c r="O87" s="427"/>
      <c r="P87" s="427"/>
      <c r="Q87" s="427"/>
      <c r="R87" s="427"/>
      <c r="S87" s="427"/>
      <c r="T87" s="427"/>
      <c r="U87" s="427"/>
      <c r="V87" s="404"/>
    </row>
    <row r="88" spans="1:22" ht="15.75" x14ac:dyDescent="0.6">
      <c r="A88" s="421">
        <v>2016</v>
      </c>
      <c r="B88" s="422">
        <f>VLOOKUP($A88,'Gasoline - DemandSupply'!$AI$9:$AM$48,4,0)</f>
        <v>0.12175953025969934</v>
      </c>
      <c r="C88" s="422">
        <f>VLOOKUP($A88,'Gasoline - DemandSupply'!AI16:AM54,5,0)</f>
        <v>0</v>
      </c>
      <c r="D88" s="423">
        <f>VLOOKUP(A88,'Gasoline - DemandSupply'!AI16:AM54,2,FALSE)</f>
        <v>1395638476.0999999</v>
      </c>
      <c r="E88" s="424">
        <f>(VLOOKUP($A88,'Gasoline - DemandSupply'!$C$10:$H$30, MATCH($E$81, 'Gasoline - DemandSupply'!$C$9:$H$9, 0),FALSE))*$B88</f>
        <v>330676715.00284988</v>
      </c>
      <c r="F88" s="425">
        <f>(VLOOKUP($A88,'Gasoline - DemandSupply'!$C$10:$H$30, MATCH($F$81, 'Gasoline - DemandSupply'!$C$9:$H$9, 0),FALSE))*$B88</f>
        <v>510653582.82201004</v>
      </c>
      <c r="G88" s="425">
        <f>(VLOOKUP($A88,'Gasoline - DemandSupply'!$C$10:$H$30, MATCH($G$81, 'Gasoline - DemandSupply'!$C$9:$H$9, 0),FALSE))*$B88</f>
        <v>215812326.34232882</v>
      </c>
      <c r="H88" s="425">
        <f>(VLOOKUP($A88,'Gasoline - DemandSupply'!$C$10:$H$30, MATCH($H$81, 'Gasoline - DemandSupply'!$C$9:$H$9, 0),FALSE))*$B88</f>
        <v>103613748.77993135</v>
      </c>
      <c r="I88" s="425">
        <f>(VLOOKUP($A88,'Gasoline - DemandSupply'!$C$10:$H$30, MATCH($I$81, 'Gasoline - DemandSupply'!$C$9:$H$9, 0),FALSE))*$B88</f>
        <v>234882103.11464655</v>
      </c>
      <c r="J88" s="425">
        <f t="shared" si="20"/>
        <v>215812326.34232882</v>
      </c>
      <c r="K88" s="425">
        <f t="shared" si="21"/>
        <v>841330297.82485986</v>
      </c>
      <c r="L88" s="425">
        <f t="shared" si="22"/>
        <v>1057142624.1671886</v>
      </c>
      <c r="M88" s="426">
        <f t="shared" si="19"/>
        <v>1395638476.0617666</v>
      </c>
      <c r="N88" s="427"/>
      <c r="O88" s="427"/>
      <c r="P88" s="427"/>
      <c r="Q88" s="427"/>
      <c r="R88" s="427"/>
      <c r="S88" s="427"/>
      <c r="T88" s="427"/>
      <c r="U88" s="427"/>
      <c r="V88" s="404"/>
    </row>
    <row r="89" spans="1:22" ht="15.75" x14ac:dyDescent="0.6">
      <c r="A89" s="421">
        <v>2017</v>
      </c>
      <c r="B89" s="422">
        <f>VLOOKUP($A89,'Gasoline - DemandSupply'!$AI$9:$AM$48,4,0)</f>
        <v>0.18920394302019009</v>
      </c>
      <c r="C89" s="422">
        <f>VLOOKUP($A89,'Gasoline - DemandSupply'!AI17:AM55,5,0)</f>
        <v>0</v>
      </c>
      <c r="D89" s="423">
        <f>VLOOKUP(A89,'Gasoline - DemandSupply'!AI17:AM55,2,FALSE)</f>
        <v>2114180559.6399996</v>
      </c>
      <c r="E89" s="424">
        <f>(VLOOKUP($A89,'Gasoline - DemandSupply'!$C$10:$H$30, MATCH($E$81, 'Gasoline - DemandSupply'!$C$9:$H$9, 0),FALSE))*$B89</f>
        <v>500763807.2771396</v>
      </c>
      <c r="F89" s="425">
        <f>(VLOOKUP($A89,'Gasoline - DemandSupply'!$C$10:$H$30, MATCH($F$81, 'Gasoline - DemandSupply'!$C$9:$H$9, 0),FALSE))*$B89</f>
        <v>776623229.84934545</v>
      </c>
      <c r="G89" s="425">
        <f>(VLOOKUP($A89,'Gasoline - DemandSupply'!$C$10:$H$30, MATCH($G$81, 'Gasoline - DemandSupply'!$C$9:$H$9, 0),FALSE))*$B89</f>
        <v>327724807.32246482</v>
      </c>
      <c r="H89" s="425">
        <f>(VLOOKUP($A89,'Gasoline - DemandSupply'!$C$10:$H$30, MATCH($H$81, 'Gasoline - DemandSupply'!$C$9:$H$9, 0),FALSE))*$B89</f>
        <v>156134786.13872567</v>
      </c>
      <c r="I89" s="425">
        <f>(VLOOKUP($A89,'Gasoline - DemandSupply'!$C$10:$H$30, MATCH($I$81, 'Gasoline - DemandSupply'!$C$9:$H$9, 0),FALSE))*$B89</f>
        <v>352882470.00151622</v>
      </c>
      <c r="J89" s="425">
        <f t="shared" si="20"/>
        <v>327724807.32246482</v>
      </c>
      <c r="K89" s="425">
        <f t="shared" si="21"/>
        <v>1277387037.1264851</v>
      </c>
      <c r="L89" s="425">
        <f t="shared" si="22"/>
        <v>1605111844.4489498</v>
      </c>
      <c r="M89" s="426">
        <f t="shared" si="19"/>
        <v>2114129100.5891919</v>
      </c>
      <c r="N89" s="427"/>
      <c r="O89" s="427"/>
      <c r="P89" s="427"/>
      <c r="Q89" s="427"/>
      <c r="R89" s="427"/>
      <c r="S89" s="427"/>
      <c r="T89" s="427"/>
      <c r="U89" s="427"/>
      <c r="V89" s="404"/>
    </row>
    <row r="90" spans="1:22" ht="15.75" x14ac:dyDescent="0.6">
      <c r="A90" s="421">
        <v>2018</v>
      </c>
      <c r="B90" s="422">
        <f>VLOOKUP($A90,'Gasoline - DemandSupply'!$AI$9:$AM$48,4,0)</f>
        <v>0.19703317626863265</v>
      </c>
      <c r="C90" s="422">
        <f>VLOOKUP($A90,'Gasoline - DemandSupply'!AI18:AM56,5,0)</f>
        <v>0</v>
      </c>
      <c r="D90" s="423">
        <f>VLOOKUP(A90,'Gasoline - DemandSupply'!AI18:AM56,2,FALSE)</f>
        <v>2195270855.29</v>
      </c>
      <c r="E90" s="424">
        <f>(VLOOKUP($A90,'Gasoline - DemandSupply'!$C$10:$H$30, MATCH($E$81, 'Gasoline - DemandSupply'!$C$9:$H$9, 0),FALSE))*$B90</f>
        <v>530975491.54123163</v>
      </c>
      <c r="F90" s="425">
        <f>(VLOOKUP($A90,'Gasoline - DemandSupply'!$C$10:$H$30, MATCH($F$81, 'Gasoline - DemandSupply'!$C$9:$H$9, 0),FALSE))*$B90</f>
        <v>790447927.21043169</v>
      </c>
      <c r="G90" s="425">
        <f>(VLOOKUP($A90,'Gasoline - DemandSupply'!$C$10:$H$30, MATCH($G$81, 'Gasoline - DemandSupply'!$C$9:$H$9, 0),FALSE))*$B90</f>
        <v>322617778.55893052</v>
      </c>
      <c r="H90" s="425">
        <f>(VLOOKUP($A90,'Gasoline - DemandSupply'!$C$10:$H$30, MATCH($H$81, 'Gasoline - DemandSupply'!$C$9:$H$9, 0),FALSE))*$B90</f>
        <v>158476950.7841365</v>
      </c>
      <c r="I90" s="425">
        <f>(VLOOKUP($A90,'Gasoline - DemandSupply'!$C$10:$H$30, MATCH($I$81, 'Gasoline - DemandSupply'!$C$9:$H$9, 0),FALSE))*$B90</f>
        <v>350857286.09252036</v>
      </c>
      <c r="J90" s="425">
        <f t="shared" si="20"/>
        <v>322617778.55893052</v>
      </c>
      <c r="K90" s="425">
        <f t="shared" si="21"/>
        <v>1321423418.7516632</v>
      </c>
      <c r="L90" s="425">
        <f t="shared" si="22"/>
        <v>1644041197.3105936</v>
      </c>
      <c r="M90" s="426">
        <f t="shared" si="19"/>
        <v>2153375434.1872506</v>
      </c>
      <c r="N90" s="427"/>
      <c r="O90" s="427"/>
      <c r="P90" s="427"/>
      <c r="Q90" s="427"/>
      <c r="R90" s="427"/>
      <c r="S90" s="427"/>
      <c r="T90" s="427"/>
      <c r="U90" s="427"/>
      <c r="V90" s="404"/>
    </row>
    <row r="91" spans="1:22" ht="15.75" x14ac:dyDescent="0.6">
      <c r="A91" s="421">
        <v>2019</v>
      </c>
      <c r="B91" s="422">
        <f>VLOOKUP($A91,'Gasoline - DemandSupply'!$AI$9:$AM$48,4,0)</f>
        <v>0.13713146837752085</v>
      </c>
      <c r="C91" s="422">
        <f>VLOOKUP($A91,'Gasoline - DemandSupply'!AI19:AM57,5,0)</f>
        <v>0</v>
      </c>
      <c r="D91" s="423">
        <f>VLOOKUP(A91,'Gasoline - DemandSupply'!AI19:AM57,2,FALSE)</f>
        <v>1477345841.0900002</v>
      </c>
      <c r="E91" s="424">
        <f>(VLOOKUP($A91,'Gasoline - DemandSupply'!$C$10:$H$30, MATCH($E$81, 'Gasoline - DemandSupply'!$C$9:$H$9, 0),FALSE))*$B91</f>
        <v>338060730.95493823</v>
      </c>
      <c r="F91" s="425">
        <f>(VLOOKUP($A91,'Gasoline - DemandSupply'!$C$10:$H$30, MATCH($F$81, 'Gasoline - DemandSupply'!$C$9:$H$9, 0),FALSE))*$B91</f>
        <v>560788162.82282138</v>
      </c>
      <c r="G91" s="425">
        <f>(VLOOKUP($A91,'Gasoline - DemandSupply'!$C$10:$H$30, MATCH($G$81, 'Gasoline - DemandSupply'!$C$9:$H$9, 0),FALSE))*$B91</f>
        <v>230658085.50343952</v>
      </c>
      <c r="H91" s="425">
        <f>(VLOOKUP($A91,'Gasoline - DemandSupply'!$C$10:$H$30, MATCH($H$81, 'Gasoline - DemandSupply'!$C$9:$H$9, 0),FALSE))*$B91</f>
        <v>108276894.79706462</v>
      </c>
      <c r="I91" s="425">
        <f>(VLOOKUP($A91,'Gasoline - DemandSupply'!$C$10:$H$30, MATCH($I$81, 'Gasoline - DemandSupply'!$C$9:$H$9, 0),FALSE))*$B91</f>
        <v>239561967.02023607</v>
      </c>
      <c r="J91" s="425">
        <f t="shared" si="20"/>
        <v>230658085.50343952</v>
      </c>
      <c r="K91" s="425">
        <f t="shared" si="21"/>
        <v>898848893.77775955</v>
      </c>
      <c r="L91" s="425">
        <f t="shared" si="22"/>
        <v>1129506979.281199</v>
      </c>
      <c r="M91" s="426">
        <f t="shared" si="19"/>
        <v>1477345841.0984995</v>
      </c>
      <c r="N91" s="427"/>
      <c r="O91" s="427"/>
      <c r="P91" s="427"/>
      <c r="Q91" s="427"/>
      <c r="R91" s="427"/>
      <c r="S91" s="427"/>
      <c r="T91" s="427"/>
      <c r="U91" s="427"/>
      <c r="V91" s="404"/>
    </row>
    <row r="92" spans="1:22" ht="15.75" x14ac:dyDescent="0.6">
      <c r="A92" s="421">
        <v>2020</v>
      </c>
      <c r="B92" s="422">
        <f>VLOOKUP($A92,'Gasoline - DemandSupply'!$AI$9:$AM$48,4,0)</f>
        <v>0.19627675211785708</v>
      </c>
      <c r="C92" s="422">
        <f>VLOOKUP($A92,'Gasoline - DemandSupply'!AI20:AM58,5,0)</f>
        <v>0</v>
      </c>
      <c r="D92" s="423">
        <f>VLOOKUP(A92,'Gasoline - DemandSupply'!AI20:AM58,2,FALSE)</f>
        <v>1719673064</v>
      </c>
      <c r="E92" s="424">
        <f>(VLOOKUP($A92,'Gasoline - DemandSupply'!$C$10:$H$30, MATCH($E$81, 'Gasoline - DemandSupply'!$C$9:$H$9, 0),FALSE))*$B92</f>
        <v>412750349.77546436</v>
      </c>
      <c r="F92" s="425">
        <f>(VLOOKUP($A92,'Gasoline - DemandSupply'!$C$10:$H$30, MATCH($F$81, 'Gasoline - DemandSupply'!$C$9:$H$9, 0),FALSE))*$B92</f>
        <v>617423749.87081814</v>
      </c>
      <c r="G92" s="425">
        <f>(VLOOKUP($A92,'Gasoline - DemandSupply'!$C$10:$H$30, MATCH($G$81, 'Gasoline - DemandSupply'!$C$9:$H$9, 0),FALSE))*$B92</f>
        <v>284731925.74255544</v>
      </c>
      <c r="H92" s="425">
        <f>(VLOOKUP($A92,'Gasoline - DemandSupply'!$C$10:$H$30, MATCH($H$81, 'Gasoline - DemandSupply'!$C$9:$H$9, 0),FALSE))*$B92</f>
        <v>132782459.31652762</v>
      </c>
      <c r="I92" s="425">
        <f>(VLOOKUP($A92,'Gasoline - DemandSupply'!$C$10:$H$30, MATCH($I$81, 'Gasoline - DemandSupply'!$C$9:$H$9, 0),FALSE))*$B92</f>
        <v>271984579.39198685</v>
      </c>
      <c r="J92" s="425">
        <f t="shared" si="20"/>
        <v>284731925.74255544</v>
      </c>
      <c r="K92" s="425">
        <f t="shared" si="21"/>
        <v>1030174099.6462824</v>
      </c>
      <c r="L92" s="425">
        <f t="shared" si="22"/>
        <v>1314906025.3888378</v>
      </c>
      <c r="M92" s="426">
        <f t="shared" si="19"/>
        <v>1719673064.0973523</v>
      </c>
      <c r="N92" s="427"/>
      <c r="O92" s="427"/>
      <c r="P92" s="427"/>
      <c r="Q92" s="427"/>
      <c r="R92" s="427"/>
      <c r="S92" s="427"/>
      <c r="T92" s="427"/>
      <c r="U92" s="427"/>
      <c r="V92" s="404"/>
    </row>
    <row r="93" spans="1:22" ht="15.75" x14ac:dyDescent="0.6">
      <c r="A93" s="421">
        <v>2021</v>
      </c>
      <c r="B93" s="422">
        <f>VLOOKUP($A93,'Gasoline - DemandSupply'!$AI$9:$AM$48,4,0)</f>
        <v>0.43096021766938947</v>
      </c>
      <c r="C93" s="422">
        <f>VLOOKUP($A93,'Gasoline - DemandSupply'!AI21:AM59,5,0)</f>
        <v>0</v>
      </c>
      <c r="D93" s="423">
        <f>VLOOKUP(A93,'Gasoline - DemandSupply'!AI21:AM59,2,FALSE)</f>
        <v>4008612764</v>
      </c>
      <c r="E93" s="424">
        <f>(VLOOKUP($A93,'Gasoline - DemandSupply'!$C$10:$H$30, MATCH($E$81, 'Gasoline - DemandSupply'!$C$9:$H$9, 0),FALSE))*$B93</f>
        <v>895514533.9932971</v>
      </c>
      <c r="F93" s="425">
        <f>(VLOOKUP($A93,'Gasoline - DemandSupply'!$C$10:$H$30, MATCH($F$81, 'Gasoline - DemandSupply'!$C$9:$H$9, 0),FALSE))*$B93</f>
        <v>1487826430.0813241</v>
      </c>
      <c r="G93" s="425">
        <f>(VLOOKUP($A93,'Gasoline - DemandSupply'!$C$10:$H$30, MATCH($G$81, 'Gasoline - DemandSupply'!$C$9:$H$9, 0),FALSE))*$B93</f>
        <v>668875631.49305511</v>
      </c>
      <c r="H93" s="425">
        <f>(VLOOKUP($A93,'Gasoline - DemandSupply'!$C$10:$H$30, MATCH($H$81, 'Gasoline - DemandSupply'!$C$9:$H$9, 0),FALSE))*$B93</f>
        <v>315744385.97904915</v>
      </c>
      <c r="I93" s="425">
        <f>(VLOOKUP($A93,'Gasoline - DemandSupply'!$C$10:$H$30, MATCH($I$81, 'Gasoline - DemandSupply'!$C$9:$H$9, 0),FALSE))*$B93</f>
        <v>640651785.78287244</v>
      </c>
      <c r="J93" s="425">
        <f t="shared" si="20"/>
        <v>668875631.49305511</v>
      </c>
      <c r="K93" s="425">
        <f t="shared" si="21"/>
        <v>2383340964.0746212</v>
      </c>
      <c r="L93" s="425">
        <f t="shared" si="22"/>
        <v>3052216595.5676765</v>
      </c>
      <c r="M93" s="426">
        <f t="shared" si="19"/>
        <v>4008612767.3295984</v>
      </c>
      <c r="N93" s="427"/>
      <c r="O93" s="427"/>
      <c r="P93" s="427"/>
      <c r="Q93" s="427"/>
      <c r="R93" s="427"/>
      <c r="S93" s="427"/>
      <c r="T93" s="427"/>
      <c r="U93" s="427"/>
      <c r="V93" s="404"/>
    </row>
    <row r="94" spans="1:22" ht="15.75" x14ac:dyDescent="0.6">
      <c r="A94" s="421">
        <v>2022</v>
      </c>
      <c r="B94" s="422">
        <f>VLOOKUP($A94,'Gasoline - DemandSupply'!$AI$9:$AM$48,4,0)</f>
        <v>0.59392608748544184</v>
      </c>
      <c r="C94" s="422">
        <f>VLOOKUP($A94,'Gasoline - DemandSupply'!AI22:AM60,5,0)</f>
        <v>0</v>
      </c>
      <c r="D94" s="423">
        <f>VLOOKUP(A94,'Gasoline - DemandSupply'!AI22:AM60,2,FALSE)</f>
        <v>5455133853</v>
      </c>
      <c r="E94" s="424">
        <f>(VLOOKUP($A94,'Gasoline - DemandSupply'!$C$10:$H$30, MATCH($E$81, 'Gasoline - DemandSupply'!$C$9:$H$9, 0),FALSE))*$B94</f>
        <v>1128103621.4129071</v>
      </c>
      <c r="F94" s="425">
        <f>(VLOOKUP($A94,'Gasoline - DemandSupply'!$C$10:$H$30, MATCH($F$81, 'Gasoline - DemandSupply'!$C$9:$H$9, 0),FALSE))*$B94</f>
        <v>2111607417.1794937</v>
      </c>
      <c r="G94" s="425">
        <f>(VLOOKUP($A94,'Gasoline - DemandSupply'!$C$10:$H$30, MATCH($G$81, 'Gasoline - DemandSupply'!$C$9:$H$9, 0),FALSE))*$B94</f>
        <v>893880408.41368973</v>
      </c>
      <c r="H94" s="425">
        <f>(VLOOKUP($A94,'Gasoline - DemandSupply'!$C$10:$H$30, MATCH($H$81, 'Gasoline - DemandSupply'!$C$9:$H$9, 0),FALSE))*$B94</f>
        <v>415940003.18618917</v>
      </c>
      <c r="I94" s="425">
        <f>(VLOOKUP($A94,'Gasoline - DemandSupply'!$C$10:$H$30, MATCH($I$81, 'Gasoline - DemandSupply'!$C$9:$H$9, 0),FALSE))*$B94</f>
        <v>905602402.80772018</v>
      </c>
      <c r="J94" s="425">
        <f t="shared" si="20"/>
        <v>893880408.41368973</v>
      </c>
      <c r="K94" s="425">
        <f t="shared" si="21"/>
        <v>3239711038.5924006</v>
      </c>
      <c r="L94" s="425">
        <f t="shared" si="22"/>
        <v>4133591447.0060902</v>
      </c>
      <c r="M94" s="426">
        <f t="shared" si="19"/>
        <v>5455133853</v>
      </c>
      <c r="N94" s="427"/>
      <c r="O94" s="427"/>
      <c r="P94" s="427"/>
      <c r="Q94" s="427"/>
      <c r="R94" s="427"/>
      <c r="S94" s="427"/>
      <c r="T94" s="427"/>
      <c r="U94" s="427"/>
      <c r="V94" s="404"/>
    </row>
    <row r="95" spans="1:22" ht="15.75" x14ac:dyDescent="0.6">
      <c r="A95" s="421">
        <v>2023</v>
      </c>
      <c r="B95" s="422">
        <f>VLOOKUP($A95,'Gasoline - DemandSupply'!$AI$9:$AM$48,4,0)</f>
        <v>0.44911523618162691</v>
      </c>
      <c r="C95" s="422">
        <f>VLOOKUP($A95,'Gasoline - DemandSupply'!AI23:AM61,5,0)</f>
        <v>0</v>
      </c>
      <c r="D95" s="423">
        <f>VLOOKUP(A95,'Gasoline - DemandSupply'!AI23:AM61,2,FALSE)</f>
        <v>4482774760.3800001</v>
      </c>
      <c r="E95" s="424">
        <f>(VLOOKUP($A95,'Gasoline - DemandSupply'!$C$10:$H$30, MATCH($E$81, 'Gasoline - DemandSupply'!$C$9:$H$9, 0),FALSE))*$B95</f>
        <v>925906768.61265516</v>
      </c>
      <c r="F95" s="425">
        <f>(VLOOKUP($A95,'Gasoline - DemandSupply'!$C$10:$H$30, MATCH($F$81, 'Gasoline - DemandSupply'!$C$9:$H$9, 0),FALSE))*$B95</f>
        <v>1737549804.9743729</v>
      </c>
      <c r="G95" s="425">
        <f>(VLOOKUP($A95,'Gasoline - DemandSupply'!$C$10:$H$30, MATCH($G$81, 'Gasoline - DemandSupply'!$C$9:$H$9, 0),FALSE))*$B95</f>
        <v>721116477.88104987</v>
      </c>
      <c r="H95" s="425">
        <f>(VLOOKUP($A95,'Gasoline - DemandSupply'!$C$10:$H$30, MATCH($H$81, 'Gasoline - DemandSupply'!$C$9:$H$9, 0),FALSE))*$B95</f>
        <v>335369076.14285481</v>
      </c>
      <c r="I95" s="425">
        <f>(VLOOKUP($A95,'Gasoline - DemandSupply'!$C$10:$H$30, MATCH($I$81, 'Gasoline - DemandSupply'!$C$9:$H$9, 0),FALSE))*$B95</f>
        <v>762832632.76906765</v>
      </c>
      <c r="J95" s="425">
        <f t="shared" si="20"/>
        <v>721116477.88104987</v>
      </c>
      <c r="K95" s="425">
        <f t="shared" si="21"/>
        <v>2663456573.587028</v>
      </c>
      <c r="L95" s="425">
        <f t="shared" si="22"/>
        <v>3384573051.4680777</v>
      </c>
      <c r="M95" s="426">
        <f t="shared" si="19"/>
        <v>4482774760.3800001</v>
      </c>
      <c r="N95" s="427">
        <f>(INDEX('[1]Gasoline - DemandSupply'!$BK$12:$BP$38,MATCH($A95,'[1]Gasoline - DemandSupply'!$BK$12:$BK$38,0),MATCH(N$9,'[1]Gasoline - DemandSupply'!$BK$10:$BP$10,0)))*$C95</f>
        <v>0</v>
      </c>
      <c r="O95" s="427">
        <f>(INDEX('[1]Gasoline - DemandSupply'!$BK$12:$BP$38,MATCH($A95,'[1]Gasoline - DemandSupply'!$BK$12:$BK$38,0),MATCH(O$9,'[1]Gasoline - DemandSupply'!$BK$10:$BP$10,0)))*$C95</f>
        <v>0</v>
      </c>
      <c r="P95" s="427">
        <f>(INDEX('[1]Gasoline - DemandSupply'!$BK$12:$BP$38,MATCH($A95,'[1]Gasoline - DemandSupply'!$BK$12:$BK$38,0),MATCH(P$9,'[1]Gasoline - DemandSupply'!$BK$10:$BP$10,0)))*$C95</f>
        <v>0</v>
      </c>
      <c r="Q95" s="427">
        <f>(INDEX('[1]Gasoline - DemandSupply'!$BK$12:$BP$38,MATCH($A95,'[1]Gasoline - DemandSupply'!$BK$12:$BK$38,0),MATCH(Q$9,'[1]Gasoline - DemandSupply'!$BK$10:$BP$10,0)))*$C95</f>
        <v>0</v>
      </c>
      <c r="R95" s="427">
        <f>(INDEX('[1]Gasoline - DemandSupply'!$BK$12:$BP$38,MATCH($A95,'[1]Gasoline - DemandSupply'!$BK$12:$BK$38,0),MATCH(R$9,'[1]Gasoline - DemandSupply'!$BK$10:$BP$10,0)))*$C95</f>
        <v>0</v>
      </c>
      <c r="S95" s="429">
        <f>P95</f>
        <v>0</v>
      </c>
      <c r="T95" s="429">
        <f>N95+O95</f>
        <v>0</v>
      </c>
      <c r="U95" s="429"/>
      <c r="V95" s="404"/>
    </row>
    <row r="96" spans="1:22" ht="15.75" x14ac:dyDescent="0.6">
      <c r="A96" s="421">
        <v>2024</v>
      </c>
      <c r="B96" s="422">
        <f>VLOOKUP($A96,'Gasoline - DemandSupply'!$AI$9:$AM$48,4,0)</f>
        <v>0.44220636397523999</v>
      </c>
      <c r="C96" s="422">
        <f>VLOOKUP($A96,'Gasoline - DemandSupply'!AI24:AM62,5,0)</f>
        <v>0</v>
      </c>
      <c r="D96" s="423">
        <f>VLOOKUP(A96,'Gasoline - DemandSupply'!AI24:AM62,2,FALSE)</f>
        <v>4000854433.4499998</v>
      </c>
      <c r="E96" s="424">
        <f>(VLOOKUP($A96,'Gasoline - DemandSupply'!$C$10:$H$30, MATCH($E$81, 'Gasoline - DemandSupply'!$C$9:$H$9, 0),FALSE))*$B96</f>
        <v>826367238.63665295</v>
      </c>
      <c r="F96" s="425">
        <f>(VLOOKUP($A96,'Gasoline - DemandSupply'!$C$10:$H$30, MATCH($F$81, 'Gasoline - DemandSupply'!$C$9:$H$9, 0),FALSE))*$B96</f>
        <v>1550754658.0329669</v>
      </c>
      <c r="G96" s="425">
        <f>(VLOOKUP($A96,'Gasoline - DemandSupply'!$C$10:$H$30, MATCH($G$81, 'Gasoline - DemandSupply'!$C$9:$H$9, 0),FALSE))*$B96</f>
        <v>643592911.03880525</v>
      </c>
      <c r="H96" s="425">
        <f>(VLOOKUP($A96,'Gasoline - DemandSupply'!$C$10:$H$30, MATCH($H$81, 'Gasoline - DemandSupply'!$C$9:$H$9, 0),FALSE))*$B96</f>
        <v>299315251.5685243</v>
      </c>
      <c r="I96" s="425">
        <f>(VLOOKUP($A96,'Gasoline - DemandSupply'!$C$10:$H$30, MATCH($I$81, 'Gasoline - DemandSupply'!$C$9:$H$9, 0),FALSE))*$B96</f>
        <v>680824374.1730504</v>
      </c>
      <c r="J96" s="425">
        <f>G96</f>
        <v>643592911.03880525</v>
      </c>
      <c r="K96" s="425">
        <f t="shared" si="21"/>
        <v>2377121896.6696196</v>
      </c>
      <c r="L96" s="425">
        <f t="shared" si="22"/>
        <v>3020714807.7084246</v>
      </c>
      <c r="M96" s="426">
        <f>SUM(E96:I96)</f>
        <v>4000854433.4499993</v>
      </c>
      <c r="N96" s="427">
        <f>(INDEX('[1]Gasoline - DemandSupply'!$BK$12:$BP$38,MATCH($A96,'[1]Gasoline - DemandSupply'!$BK$12:$BK$38,0),MATCH(N$9,'[1]Gasoline - DemandSupply'!$BK$10:$BP$10,0)))*$C96</f>
        <v>0</v>
      </c>
      <c r="O96" s="427">
        <f>(INDEX('[1]Gasoline - DemandSupply'!$BK$12:$BP$38,MATCH($A96,'[1]Gasoline - DemandSupply'!$BK$12:$BK$38,0),MATCH(O$9,'[1]Gasoline - DemandSupply'!$BK$10:$BP$10,0)))*$C96</f>
        <v>0</v>
      </c>
      <c r="P96" s="427">
        <f>(INDEX('[1]Gasoline - DemandSupply'!$BK$12:$BP$38,MATCH($A96,'[1]Gasoline - DemandSupply'!$BK$12:$BK$38,0),MATCH(P$9,'[1]Gasoline - DemandSupply'!$BK$10:$BP$10,0)))*$C96</f>
        <v>0</v>
      </c>
      <c r="Q96" s="427">
        <f>(INDEX('[1]Gasoline - DemandSupply'!$BK$12:$BP$38,MATCH($A96,'[1]Gasoline - DemandSupply'!$BK$12:$BK$38,0),MATCH(Q$9,'[1]Gasoline - DemandSupply'!$BK$10:$BP$10,0)))*$C96</f>
        <v>0</v>
      </c>
      <c r="R96" s="427">
        <f>(INDEX('[1]Gasoline - DemandSupply'!$BK$12:$BP$38,MATCH($A96,'[1]Gasoline - DemandSupply'!$BK$12:$BK$38,0),MATCH(R$9,'[1]Gasoline - DemandSupply'!$BK$10:$BP$10,0)))*$C96</f>
        <v>0</v>
      </c>
      <c r="S96" s="429">
        <f>P96</f>
        <v>0</v>
      </c>
      <c r="T96" s="429">
        <f>N96+O96</f>
        <v>0</v>
      </c>
      <c r="U96" s="429">
        <f>SUM(S96:T96)</f>
        <v>0</v>
      </c>
      <c r="V96" s="426">
        <f t="shared" ref="V96:V112" si="23">SUM(N96:R96)</f>
        <v>0</v>
      </c>
    </row>
    <row r="97" spans="1:25" ht="15.75" x14ac:dyDescent="0.6">
      <c r="A97" s="421">
        <v>2025</v>
      </c>
      <c r="B97" s="422">
        <f>VLOOKUP($A97,'Gasoline - DemandSupply'!$AI$9:$AM$48,4,0)</f>
        <v>0.43778960631036329</v>
      </c>
      <c r="C97" s="422">
        <f>VLOOKUP($A97,'Gasoline - DemandSupply'!AI25:AM63,5,0)</f>
        <v>0</v>
      </c>
      <c r="D97" s="423">
        <f>VLOOKUP(A97,'Gasoline - DemandSupply'!AI25:AM63,2,FALSE)</f>
        <v>4057336766.77</v>
      </c>
      <c r="E97" s="424">
        <f>(VLOOKUP($A97,'Gasoline - DemandSupply'!$C$10:$H$30, MATCH($E$81, 'Gasoline - DemandSupply'!$C$9:$H$9, 0),FALSE))*$B97</f>
        <v>838033534.07273936</v>
      </c>
      <c r="F97" s="425">
        <f>(VLOOKUP($A97,'Gasoline - DemandSupply'!$C$10:$H$30, MATCH($F$81, 'Gasoline - DemandSupply'!$C$9:$H$9, 0),FALSE))*$B97</f>
        <v>1572647541.9030333</v>
      </c>
      <c r="G97" s="425">
        <f>(VLOOKUP($A97,'Gasoline - DemandSupply'!$C$10:$H$30, MATCH($G$81, 'Gasoline - DemandSupply'!$C$9:$H$9, 0),FALSE))*$B97</f>
        <v>652678877.53130186</v>
      </c>
      <c r="H97" s="425">
        <f>(VLOOKUP($A97,'Gasoline - DemandSupply'!$C$10:$H$30, MATCH($H$81, 'Gasoline - DemandSupply'!$C$9:$H$9, 0),FALSE))*$B97</f>
        <v>303540854.89603025</v>
      </c>
      <c r="I97" s="425">
        <f>(VLOOKUP($A97,'Gasoline - DemandSupply'!$C$10:$H$30, MATCH($I$81, 'Gasoline - DemandSupply'!$C$9:$H$9, 0),FALSE))*$B97</f>
        <v>690435958.36689544</v>
      </c>
      <c r="J97" s="425">
        <f t="shared" ref="J97:J112" si="24">G97</f>
        <v>652678877.53130186</v>
      </c>
      <c r="K97" s="425">
        <f t="shared" si="21"/>
        <v>2410681075.9757729</v>
      </c>
      <c r="L97" s="425">
        <f t="shared" si="22"/>
        <v>3063359953.5070748</v>
      </c>
      <c r="M97" s="426">
        <f t="shared" ref="M97:M112" si="25">SUM(E97:I97)</f>
        <v>4057336766.7700005</v>
      </c>
      <c r="N97" s="427">
        <f>(INDEX('[1]Gasoline - DemandSupply'!$BK$12:$BP$38,MATCH($A97,'[1]Gasoline - DemandSupply'!$BK$12:$BK$38,0),MATCH(N$9,'[1]Gasoline - DemandSupply'!$BK$10:$BP$10,0)))*$C97</f>
        <v>0</v>
      </c>
      <c r="O97" s="427">
        <f>(INDEX('[1]Gasoline - DemandSupply'!$BK$12:$BP$38,MATCH($A97,'[1]Gasoline - DemandSupply'!$BK$12:$BK$38,0),MATCH(O$9,'[1]Gasoline - DemandSupply'!$BK$10:$BP$10,0)))*$C97</f>
        <v>0</v>
      </c>
      <c r="P97" s="427">
        <f>(INDEX('[1]Gasoline - DemandSupply'!$BK$12:$BP$38,MATCH($A97,'[1]Gasoline - DemandSupply'!$BK$12:$BK$38,0),MATCH(P$9,'[1]Gasoline - DemandSupply'!$BK$10:$BP$10,0)))*$C97</f>
        <v>0</v>
      </c>
      <c r="Q97" s="427">
        <f>(INDEX('[1]Gasoline - DemandSupply'!$BK$12:$BP$38,MATCH($A97,'[1]Gasoline - DemandSupply'!$BK$12:$BK$38,0),MATCH(Q$9,'[1]Gasoline - DemandSupply'!$BK$10:$BP$10,0)))*$C97</f>
        <v>0</v>
      </c>
      <c r="R97" s="427">
        <f>(INDEX('[1]Gasoline - DemandSupply'!$BK$12:$BP$38,MATCH($A97,'[1]Gasoline - DemandSupply'!$BK$12:$BK$38,0),MATCH(R$9,'[1]Gasoline - DemandSupply'!$BK$10:$BP$10,0)))*$C97</f>
        <v>0</v>
      </c>
      <c r="S97" s="429">
        <f t="shared" ref="S97:S112" si="26">P97</f>
        <v>0</v>
      </c>
      <c r="T97" s="429">
        <f t="shared" ref="T97:T112" si="27">N97+O97</f>
        <v>0</v>
      </c>
      <c r="U97" s="429">
        <f t="shared" ref="U97:U111" si="28">SUM(S97:T97)</f>
        <v>0</v>
      </c>
      <c r="V97" s="426">
        <f t="shared" si="23"/>
        <v>0</v>
      </c>
    </row>
    <row r="98" spans="1:25" ht="15.75" x14ac:dyDescent="0.6">
      <c r="A98" s="421">
        <v>2026</v>
      </c>
      <c r="B98" s="422">
        <f>VLOOKUP($A98,'Gasoline - DemandSupply'!$AI$9:$AM$48,4,0)</f>
        <v>0.21773783385190859</v>
      </c>
      <c r="C98" s="422">
        <f>VLOOKUP($A98,'[1]Gasoline - DemandSupply'!AI26:AM64,5,0)</f>
        <v>0.24775213063337798</v>
      </c>
      <c r="D98" s="403"/>
      <c r="E98" s="428">
        <f>(INDEX('Gasoline - DemandSupply'!$BC$12:$BH$38,MATCH($A98,'Gasoline - DemandSupply'!$BC$12:$BC$38,0),MATCH(E$9,'Gasoline - DemandSupply'!$BC$10:$BH$10,0)))*$B98</f>
        <v>454169258.63894761</v>
      </c>
      <c r="F98" s="427">
        <f>(INDEX('Gasoline - DemandSupply'!$BC$12:$BH$38,MATCH($A98,'Gasoline - DemandSupply'!$BC$12:$BC$38,0),MATCH(F$9,'Gasoline - DemandSupply'!$BC$10:$BH$10,0)))*$B98</f>
        <v>773292372.85588348</v>
      </c>
      <c r="G98" s="427">
        <f>(INDEX('Gasoline - DemandSupply'!$BC$12:$BH$38,MATCH($A98,'Gasoline - DemandSupply'!$BC$12:$BC$38,0),MATCH(G$9,'Gasoline - DemandSupply'!$BC$10:$BH$10,0)))*$B98</f>
        <v>334702460.54219174</v>
      </c>
      <c r="H98" s="427">
        <f>(INDEX('Gasoline - DemandSupply'!$BC$12:$BH$38,MATCH($A98,'Gasoline - DemandSupply'!$BC$12:$BC$38,0),MATCH(H$9,'Gasoline - DemandSupply'!$BC$10:$BH$10,0)))*$B98</f>
        <v>158630298.14213672</v>
      </c>
      <c r="I98" s="427">
        <f>(INDEX('Gasoline - DemandSupply'!$BC$12:$BH$38,MATCH($A98,'Gasoline - DemandSupply'!$BC$12:$BC$38,0),MATCH(I$9,'Gasoline - DemandSupply'!$BC$10:$BH$10,0)))*$B98</f>
        <v>353359903.0430311</v>
      </c>
      <c r="J98" s="429">
        <f t="shared" si="24"/>
        <v>334702460.54219174</v>
      </c>
      <c r="K98" s="429">
        <f t="shared" ref="K98:K112" si="29">E98+F98</f>
        <v>1227461631.4948311</v>
      </c>
      <c r="L98" s="429">
        <f t="shared" si="22"/>
        <v>1562164092.0370228</v>
      </c>
      <c r="M98" s="426">
        <f t="shared" si="25"/>
        <v>2074154293.2221909</v>
      </c>
      <c r="N98" s="427">
        <f>(INDEX('Gasoline - DemandSupply'!$BK$12:$BP$38,MATCH($A98,'Gasoline - DemandSupply'!$BK$12:$BK$38,0),MATCH(N$9,'Gasoline - DemandSupply'!$BK$10:$BP$10,0)))*$C98</f>
        <v>508138837.89086914</v>
      </c>
      <c r="O98" s="427">
        <f>(INDEX('Gasoline - DemandSupply'!$BK$12:$BP$38,MATCH($A98,'Gasoline - DemandSupply'!$BK$12:$BK$38,0),MATCH(O$9,'Gasoline - DemandSupply'!$BK$10:$BP$10,0)))*$C98</f>
        <v>865183805.85780239</v>
      </c>
      <c r="P98" s="427">
        <f>(INDEX('Gasoline - DemandSupply'!$BK$12:$BP$38,MATCH($A98,'Gasoline - DemandSupply'!$BK$12:$BK$38,0),MATCH(P$9,'Gasoline - DemandSupply'!$BK$10:$BP$10,0)))*$C98</f>
        <v>374475630.18422854</v>
      </c>
      <c r="Q98" s="427">
        <f>(INDEX('Gasoline - DemandSupply'!$BK$12:$BP$38,MATCH($A98,'Gasoline - DemandSupply'!$BK$12:$BK$38,0),MATCH(Q$9,'Gasoline - DemandSupply'!$BK$10:$BP$10,0)))*$C98</f>
        <v>177480562.18905655</v>
      </c>
      <c r="R98" s="427">
        <f>(INDEX('Gasoline - DemandSupply'!$BK$12:$BP$38,MATCH($A98,'Gasoline - DemandSupply'!$BK$12:$BK$38,0),MATCH(R$9,'Gasoline - DemandSupply'!$BK$10:$BP$10,0)))*$C98</f>
        <v>395350163.12554556</v>
      </c>
      <c r="S98" s="429">
        <f t="shared" si="26"/>
        <v>374475630.18422854</v>
      </c>
      <c r="T98" s="429">
        <f t="shared" si="27"/>
        <v>1373322643.7486715</v>
      </c>
      <c r="U98" s="429">
        <f t="shared" si="28"/>
        <v>1747798273.9329</v>
      </c>
      <c r="V98" s="426">
        <f t="shared" si="23"/>
        <v>2320628999.2475023</v>
      </c>
    </row>
    <row r="99" spans="1:25" ht="15.75" x14ac:dyDescent="0.6">
      <c r="A99" s="421">
        <v>2027</v>
      </c>
      <c r="B99" s="422">
        <f>VLOOKUP($A99,'Gasoline - DemandSupply'!$AI$9:$AM$48,4,0)</f>
        <v>0.22255423860020798</v>
      </c>
      <c r="C99" s="422">
        <f>VLOOKUP($A99,'[1]Gasoline - DemandSupply'!AI27:AM65,5,0)</f>
        <v>0.27168346674497712</v>
      </c>
      <c r="D99" s="403"/>
      <c r="E99" s="428">
        <f>(INDEX('Gasoline - DemandSupply'!$BC$12:$BH$38,MATCH($A99,'Gasoline - DemandSupply'!$BC$12:$BC$38,0),MATCH(E$9,'Gasoline - DemandSupply'!$BC$10:$BH$10,0)))*$B99</f>
        <v>469661468.50156426</v>
      </c>
      <c r="F99" s="427">
        <f>(INDEX('Gasoline - DemandSupply'!$BC$12:$BH$38,MATCH($A99,'Gasoline - DemandSupply'!$BC$12:$BC$38,0),MATCH(F$9,'Gasoline - DemandSupply'!$BC$10:$BH$10,0)))*$B99</f>
        <v>799670220.97652853</v>
      </c>
      <c r="G99" s="427">
        <f>(INDEX('Gasoline - DemandSupply'!$BC$12:$BH$38,MATCH($A99,'Gasoline - DemandSupply'!$BC$12:$BC$38,0),MATCH(G$9,'Gasoline - DemandSupply'!$BC$10:$BH$10,0)))*$B99</f>
        <v>346119527.33309036</v>
      </c>
      <c r="H99" s="427">
        <f>(INDEX('Gasoline - DemandSupply'!$BC$12:$BH$38,MATCH($A99,'Gasoline - DemandSupply'!$BC$12:$BC$38,0),MATCH(H$9,'Gasoline - DemandSupply'!$BC$10:$BH$10,0)))*$B99</f>
        <v>164041351.00985429</v>
      </c>
      <c r="I99" s="427">
        <f>(INDEX('Gasoline - DemandSupply'!$BC$12:$BH$38,MATCH($A99,'Gasoline - DemandSupply'!$BC$12:$BC$38,0),MATCH(I$9,'Gasoline - DemandSupply'!$BC$10:$BH$10,0)))*$B99</f>
        <v>365413395.59200269</v>
      </c>
      <c r="J99" s="429">
        <f t="shared" si="24"/>
        <v>346119527.33309036</v>
      </c>
      <c r="K99" s="429">
        <f t="shared" si="29"/>
        <v>1269331689.4780927</v>
      </c>
      <c r="L99" s="429">
        <f t="shared" si="22"/>
        <v>1615451216.811183</v>
      </c>
      <c r="M99" s="426">
        <f>SUM(E99:I99)</f>
        <v>2144905963.4130399</v>
      </c>
      <c r="N99" s="427">
        <f>(INDEX('Gasoline - DemandSupply'!$BK$12:$BP$38,MATCH($A99,'Gasoline - DemandSupply'!$BK$12:$BK$38,0),MATCH(N$9,'Gasoline - DemandSupply'!$BK$10:$BP$10,0)))*$C99</f>
        <v>554391909.71799278</v>
      </c>
      <c r="O99" s="427">
        <f>(INDEX('Gasoline - DemandSupply'!$BK$12:$BP$38,MATCH($A99,'Gasoline - DemandSupply'!$BK$12:$BK$38,0),MATCH(O$9,'Gasoline - DemandSupply'!$BK$10:$BP$10,0)))*$C99</f>
        <v>943936709.06454277</v>
      </c>
      <c r="P99" s="427">
        <f>(INDEX('Gasoline - DemandSupply'!$BK$12:$BP$38,MATCH($A99,'Gasoline - DemandSupply'!$BK$12:$BK$38,0),MATCH(P$9,'Gasoline - DemandSupply'!$BK$10:$BP$10,0)))*$C99</f>
        <v>408562078.47129762</v>
      </c>
      <c r="Q99" s="427">
        <f>(INDEX('Gasoline - DemandSupply'!$BK$12:$BP$38,MATCH($A99,'Gasoline - DemandSupply'!$BK$12:$BK$38,0),MATCH(Q$9,'Gasoline - DemandSupply'!$BK$10:$BP$10,0)))*$C99</f>
        <v>193635637.49273121</v>
      </c>
      <c r="R99" s="427">
        <f>(INDEX('Gasoline - DemandSupply'!$BK$12:$BP$38,MATCH($A99,'Gasoline - DemandSupply'!$BK$12:$BK$38,0),MATCH(R$9,'Gasoline - DemandSupply'!$BK$10:$BP$10,0)))*$C99</f>
        <v>431336704.85065997</v>
      </c>
      <c r="S99" s="429">
        <f t="shared" si="26"/>
        <v>408562078.47129762</v>
      </c>
      <c r="T99" s="429">
        <f t="shared" si="27"/>
        <v>1498328618.7825356</v>
      </c>
      <c r="U99" s="429">
        <f t="shared" si="28"/>
        <v>1906890697.2538333</v>
      </c>
      <c r="V99" s="426">
        <f t="shared" si="23"/>
        <v>2531863039.5972242</v>
      </c>
    </row>
    <row r="100" spans="1:25" ht="15.75" x14ac:dyDescent="0.6">
      <c r="A100" s="421">
        <v>2028</v>
      </c>
      <c r="B100" s="422">
        <f>VLOOKUP($A100,'Gasoline - DemandSupply'!$AI$9:$AM$48,4,0)</f>
        <v>0.22755096585656609</v>
      </c>
      <c r="C100" s="422">
        <f>VLOOKUP($A100,'[1]Gasoline - DemandSupply'!AI28:AM66,5,0)</f>
        <v>0.28169163450687712</v>
      </c>
      <c r="D100" s="403"/>
      <c r="E100" s="428">
        <f>(INDEX('Gasoline - DemandSupply'!$BC$12:$BH$38,MATCH($A100,'Gasoline - DemandSupply'!$BC$12:$BC$38,0),MATCH(E$9,'Gasoline - DemandSupply'!$BC$10:$BH$10,0)))*$B100</f>
        <v>485935680.67108506</v>
      </c>
      <c r="F100" s="427">
        <f>(INDEX('Gasoline - DemandSupply'!$BC$12:$BH$38,MATCH($A100,'Gasoline - DemandSupply'!$BC$12:$BC$38,0),MATCH(F$9,'Gasoline - DemandSupply'!$BC$10:$BH$10,0)))*$B100</f>
        <v>827379547.1925801</v>
      </c>
      <c r="G100" s="427">
        <f>(INDEX('Gasoline - DemandSupply'!$BC$12:$BH$38,MATCH($A100,'Gasoline - DemandSupply'!$BC$12:$BC$38,0),MATCH(G$9,'Gasoline - DemandSupply'!$BC$10:$BH$10,0)))*$B100</f>
        <v>358112894.9001686</v>
      </c>
      <c r="H100" s="427">
        <f>(INDEX('Gasoline - DemandSupply'!$BC$12:$BH$38,MATCH($A100,'Gasoline - DemandSupply'!$BC$12:$BC$38,0),MATCH(H$9,'Gasoline - DemandSupply'!$BC$10:$BH$10,0)))*$B100</f>
        <v>169725538.30208966</v>
      </c>
      <c r="I100" s="427">
        <f>(INDEX('Gasoline - DemandSupply'!$BC$12:$BH$38,MATCH($A100,'Gasoline - DemandSupply'!$BC$12:$BC$38,0),MATCH(I$9,'Gasoline - DemandSupply'!$BC$10:$BH$10,0)))*$B100</f>
        <v>378075313.8635236</v>
      </c>
      <c r="J100" s="429">
        <f t="shared" si="24"/>
        <v>358112894.9001686</v>
      </c>
      <c r="K100" s="429">
        <f t="shared" si="29"/>
        <v>1313315227.8636651</v>
      </c>
      <c r="L100" s="429">
        <f t="shared" si="22"/>
        <v>1671428122.7638338</v>
      </c>
      <c r="M100" s="426">
        <f t="shared" si="25"/>
        <v>2219228974.9294472</v>
      </c>
      <c r="N100" s="427">
        <f>(INDEX('Gasoline - DemandSupply'!$BK$12:$BP$38,MATCH($A100,'Gasoline - DemandSupply'!$BK$12:$BK$38,0),MATCH(N$9,'Gasoline - DemandSupply'!$BK$10:$BP$10,0)))*$C100</f>
        <v>572025409.68679273</v>
      </c>
      <c r="O100" s="427">
        <f>(INDEX('Gasoline - DemandSupply'!$BK$12:$BP$38,MATCH($A100,'Gasoline - DemandSupply'!$BK$12:$BK$38,0),MATCH(O$9,'Gasoline - DemandSupply'!$BK$10:$BP$10,0)))*$C100</f>
        <v>973960429.89824975</v>
      </c>
      <c r="P100" s="427">
        <f>(INDEX('Gasoline - DemandSupply'!$BK$12:$BP$38,MATCH($A100,'Gasoline - DemandSupply'!$BK$12:$BK$38,0),MATCH(P$9,'Gasoline - DemandSupply'!$BK$10:$BP$10,0)))*$C100</f>
        <v>421557180.44102365</v>
      </c>
      <c r="Q100" s="427">
        <f>(INDEX('Gasoline - DemandSupply'!$BK$12:$BP$38,MATCH($A100,'Gasoline - DemandSupply'!$BK$12:$BK$38,0),MATCH(Q$9,'Gasoline - DemandSupply'!$BK$10:$BP$10,0)))*$C100</f>
        <v>199794591.0197109</v>
      </c>
      <c r="R100" s="427">
        <f>(INDEX('Gasoline - DemandSupply'!$BK$12:$BP$38,MATCH($A100,'Gasoline - DemandSupply'!$BK$12:$BK$38,0),MATCH(R$9,'Gasoline - DemandSupply'!$BK$10:$BP$10,0)))*$C100</f>
        <v>445056197.57449019</v>
      </c>
      <c r="S100" s="429">
        <f t="shared" si="26"/>
        <v>421557180.44102365</v>
      </c>
      <c r="T100" s="429">
        <f t="shared" si="27"/>
        <v>1545985839.5850425</v>
      </c>
      <c r="U100" s="429">
        <f t="shared" si="28"/>
        <v>1967543020.0260661</v>
      </c>
      <c r="V100" s="426">
        <f t="shared" si="23"/>
        <v>2612393808.6202669</v>
      </c>
    </row>
    <row r="101" spans="1:25" ht="15.75" x14ac:dyDescent="0.6">
      <c r="A101" s="421">
        <v>2029</v>
      </c>
      <c r="B101" s="422">
        <f>VLOOKUP($A101,'Gasoline - DemandSupply'!$AI$9:$AM$48,4,0)</f>
        <v>0.24687515109428643</v>
      </c>
      <c r="C101" s="422">
        <f>VLOOKUP($A101,'[1]Gasoline - DemandSupply'!AI29:AM67,5,0)</f>
        <v>0.48116111976682402</v>
      </c>
      <c r="D101" s="403"/>
      <c r="E101" s="428">
        <f>(INDEX('Gasoline - DemandSupply'!$BC$12:$BH$38,MATCH($A101,'Gasoline - DemandSupply'!$BC$12:$BC$38,0),MATCH(E$9,'Gasoline - DemandSupply'!$BC$10:$BH$10,0)))*$B101</f>
        <v>533551998.102108</v>
      </c>
      <c r="F101" s="427">
        <f>(INDEX('Gasoline - DemandSupply'!$BC$12:$BH$38,MATCH($A101,'Gasoline - DemandSupply'!$BC$12:$BC$38,0),MATCH(F$9,'Gasoline - DemandSupply'!$BC$10:$BH$10,0)))*$B101</f>
        <v>908453583.78246427</v>
      </c>
      <c r="G101" s="427">
        <f>(INDEX('Gasoline - DemandSupply'!$BC$12:$BH$38,MATCH($A101,'Gasoline - DemandSupply'!$BC$12:$BC$38,0),MATCH(G$9,'Gasoline - DemandSupply'!$BC$10:$BH$10,0)))*$B101</f>
        <v>393203994.31513613</v>
      </c>
      <c r="H101" s="427">
        <f>(INDEX('Gasoline - DemandSupply'!$BC$12:$BH$38,MATCH($A101,'Gasoline - DemandSupply'!$BC$12:$BC$38,0),MATCH(H$9,'Gasoline - DemandSupply'!$BC$10:$BH$10,0)))*$B101</f>
        <v>186356762.20559594</v>
      </c>
      <c r="I101" s="427">
        <f>(INDEX('Gasoline - DemandSupply'!$BC$12:$BH$38,MATCH($A101,'Gasoline - DemandSupply'!$BC$12:$BC$38,0),MATCH(I$9,'Gasoline - DemandSupply'!$BC$10:$BH$10,0)))*$B101</f>
        <v>415122509.35428756</v>
      </c>
      <c r="J101" s="429">
        <f t="shared" si="24"/>
        <v>393203994.31513613</v>
      </c>
      <c r="K101" s="429">
        <f t="shared" si="29"/>
        <v>1442005581.8845723</v>
      </c>
      <c r="L101" s="429">
        <f t="shared" si="22"/>
        <v>1835209576.1997085</v>
      </c>
      <c r="M101" s="426">
        <f t="shared" si="25"/>
        <v>2436688847.7595921</v>
      </c>
      <c r="N101" s="427">
        <f>(INDEX('Gasoline - DemandSupply'!$BK$12:$BP$38,MATCH($A101,'Gasoline - DemandSupply'!$BK$12:$BK$38,0),MATCH(N$9,'Gasoline - DemandSupply'!$BK$10:$BP$10,0)))*$C101</f>
        <v>972364193.85396242</v>
      </c>
      <c r="O101" s="427">
        <f>(INDEX('Gasoline - DemandSupply'!$BK$12:$BP$38,MATCH($A101,'Gasoline - DemandSupply'!$BK$12:$BK$38,0),MATCH(O$9,'Gasoline - DemandSupply'!$BK$10:$BP$10,0)))*$C101</f>
        <v>1655598216.8383319</v>
      </c>
      <c r="P101" s="427">
        <f>(INDEX('Gasoline - DemandSupply'!$BK$12:$BP$38,MATCH($A101,'Gasoline - DemandSupply'!$BK$12:$BK$38,0),MATCH(P$9,'Gasoline - DemandSupply'!$BK$10:$BP$10,0)))*$C101</f>
        <v>716588985.35176313</v>
      </c>
      <c r="Q101" s="427">
        <f>(INDEX('Gasoline - DemandSupply'!$BK$12:$BP$38,MATCH($A101,'Gasoline - DemandSupply'!$BK$12:$BK$38,0),MATCH(Q$9,'Gasoline - DemandSupply'!$BK$10:$BP$10,0)))*$C101</f>
        <v>339623211.03818756</v>
      </c>
      <c r="R101" s="427">
        <f>(INDEX('Gasoline - DemandSupply'!$BK$12:$BP$38,MATCH($A101,'Gasoline - DemandSupply'!$BK$12:$BK$38,0),MATCH(R$9,'Gasoline - DemandSupply'!$BK$10:$BP$10,0)))*$C101</f>
        <v>756534069.02183068</v>
      </c>
      <c r="S101" s="429">
        <f t="shared" si="26"/>
        <v>716588985.35176313</v>
      </c>
      <c r="T101" s="429">
        <f t="shared" si="27"/>
        <v>2627962410.6922941</v>
      </c>
      <c r="U101" s="429">
        <f t="shared" si="28"/>
        <v>3344551396.0440574</v>
      </c>
      <c r="V101" s="426">
        <f t="shared" si="23"/>
        <v>4440708676.1040754</v>
      </c>
    </row>
    <row r="102" spans="1:25" ht="15.75" x14ac:dyDescent="0.6">
      <c r="A102" s="421">
        <v>2030</v>
      </c>
      <c r="B102" s="422">
        <f>VLOOKUP($A102,'Gasoline - DemandSupply'!$AI$9:$AM$48,4,0)</f>
        <v>0.25583669304210543</v>
      </c>
      <c r="C102" s="422">
        <f>VLOOKUP($A102,'[1]Gasoline - DemandSupply'!AI30:AM68,5,0)</f>
        <v>0.4778674552191578</v>
      </c>
      <c r="D102" s="403"/>
      <c r="E102" s="428">
        <f>(INDEX('Gasoline - DemandSupply'!$BC$12:$BH$38,MATCH($A102,'Gasoline - DemandSupply'!$BC$12:$BC$38,0),MATCH(E$9,'Gasoline - DemandSupply'!$BC$10:$BH$10,0)))*$B102</f>
        <v>559578383.81407452</v>
      </c>
      <c r="F102" s="427">
        <f>(INDEX('Gasoline - DemandSupply'!$BC$12:$BH$38,MATCH($A102,'Gasoline - DemandSupply'!$BC$12:$BC$38,0),MATCH(F$9,'Gasoline - DemandSupply'!$BC$10:$BH$10,0)))*$B102</f>
        <v>952767471.57042813</v>
      </c>
      <c r="G102" s="427">
        <f>(INDEX('Gasoline - DemandSupply'!$BC$12:$BH$38,MATCH($A102,'Gasoline - DemandSupply'!$BC$12:$BC$38,0),MATCH(G$9,'Gasoline - DemandSupply'!$BC$10:$BH$10,0)))*$B102</f>
        <v>412384278.25359708</v>
      </c>
      <c r="H102" s="427">
        <f>(INDEX('Gasoline - DemandSupply'!$BC$12:$BH$38,MATCH($A102,'Gasoline - DemandSupply'!$BC$12:$BC$38,0),MATCH(H$9,'Gasoline - DemandSupply'!$BC$10:$BH$10,0)))*$B102</f>
        <v>195447147.00491941</v>
      </c>
      <c r="I102" s="427">
        <f>(INDEX('Gasoline - DemandSupply'!$BC$12:$BH$38,MATCH($A102,'Gasoline - DemandSupply'!$BC$12:$BC$38,0),MATCH(I$9,'Gasoline - DemandSupply'!$BC$10:$BH$10,0)))*$B102</f>
        <v>435371966.92281961</v>
      </c>
      <c r="J102" s="429">
        <f>G102</f>
        <v>412384278.25359708</v>
      </c>
      <c r="K102" s="429">
        <f t="shared" si="29"/>
        <v>1512345855.3845026</v>
      </c>
      <c r="L102" s="429">
        <f>SUM(J102:K102)</f>
        <v>1924730133.6380997</v>
      </c>
      <c r="M102" s="426">
        <f t="shared" si="25"/>
        <v>2555549247.5658388</v>
      </c>
      <c r="N102" s="427">
        <f>(INDEX('Gasoline - DemandSupply'!$BK$12:$BP$38,MATCH($A102,'Gasoline - DemandSupply'!$BK$12:$BK$38,0),MATCH(N$9,'Gasoline - DemandSupply'!$BK$10:$BP$10,0)))*$C102</f>
        <v>960762605.19021761</v>
      </c>
      <c r="O102" s="427">
        <f>(INDEX('Gasoline - DemandSupply'!$BK$12:$BP$38,MATCH($A102,'Gasoline - DemandSupply'!$BK$12:$BK$38,0),MATCH(O$9,'Gasoline - DemandSupply'!$BK$10:$BP$10,0)))*$C102</f>
        <v>1635844744.1934183</v>
      </c>
      <c r="P102" s="427">
        <f>(INDEX('Gasoline - DemandSupply'!$BK$12:$BP$38,MATCH($A102,'Gasoline - DemandSupply'!$BK$12:$BK$38,0),MATCH(P$9,'Gasoline - DemandSupply'!$BK$10:$BP$10,0)))*$C102</f>
        <v>708039132.6303556</v>
      </c>
      <c r="Q102" s="427">
        <f>(INDEX('Gasoline - DemandSupply'!$BK$12:$BP$38,MATCH($A102,'Gasoline - DemandSupply'!$BK$12:$BK$38,0),MATCH(Q$9,'Gasoline - DemandSupply'!$BK$10:$BP$10,0)))*$C102</f>
        <v>335571057.71947223</v>
      </c>
      <c r="R102" s="427">
        <f>(INDEX('Gasoline - DemandSupply'!$BK$12:$BP$38,MATCH($A102,'Gasoline - DemandSupply'!$BK$12:$BK$38,0),MATCH(R$9,'Gasoline - DemandSupply'!$BK$10:$BP$10,0)))*$C102</f>
        <v>747507618.71198034</v>
      </c>
      <c r="S102" s="429">
        <f t="shared" si="26"/>
        <v>708039132.6303556</v>
      </c>
      <c r="T102" s="429">
        <f t="shared" si="27"/>
        <v>2596607349.383636</v>
      </c>
      <c r="U102" s="429">
        <f t="shared" si="28"/>
        <v>3304646482.0139914</v>
      </c>
      <c r="V102" s="426">
        <f t="shared" si="23"/>
        <v>4387725158.4454441</v>
      </c>
    </row>
    <row r="103" spans="1:25" ht="15.75" x14ac:dyDescent="0.6">
      <c r="A103" s="421">
        <v>2031</v>
      </c>
      <c r="B103" s="422">
        <f>VLOOKUP($A103,'Gasoline - DemandSupply'!$AI$9:$AM$48,4,0)</f>
        <v>0.25449844215877371</v>
      </c>
      <c r="C103" s="422">
        <f>VLOOKUP($A103,'[1]Gasoline - DemandSupply'!AI31:AM69,5,0)</f>
        <v>0.48937341957381397</v>
      </c>
      <c r="D103" s="403"/>
      <c r="E103" s="428">
        <f>(INDEX('Gasoline - DemandSupply'!$BC$12:$BH$38,MATCH($A103,'Gasoline - DemandSupply'!$BC$12:$BC$38,0),MATCH(E$9,'Gasoline - DemandSupply'!$BC$10:$BH$10,0)))*$B103</f>
        <v>563127210.6866343</v>
      </c>
      <c r="F103" s="427">
        <f>(INDEX('Gasoline - DemandSupply'!$BC$12:$BH$38,MATCH($A103,'Gasoline - DemandSupply'!$BC$12:$BC$38,0),MATCH(F$9,'Gasoline - DemandSupply'!$BC$10:$BH$10,0)))*$B103</f>
        <v>958809890.12020087</v>
      </c>
      <c r="G103" s="427">
        <f>(INDEX('Gasoline - DemandSupply'!$BC$12:$BH$38,MATCH($A103,'Gasoline - DemandSupply'!$BC$12:$BC$38,0),MATCH(G$9,'Gasoline - DemandSupply'!$BC$10:$BH$10,0)))*$B103</f>
        <v>414999605.16903746</v>
      </c>
      <c r="H103" s="427">
        <f>(INDEX('Gasoline - DemandSupply'!$BC$12:$BH$38,MATCH($A103,'Gasoline - DemandSupply'!$BC$12:$BC$38,0),MATCH(H$9,'Gasoline - DemandSupply'!$BC$10:$BH$10,0)))*$B103</f>
        <v>196686666.09200171</v>
      </c>
      <c r="I103" s="427">
        <f>(INDEX('Gasoline - DemandSupply'!$BC$12:$BH$38,MATCH($A103,'Gasoline - DemandSupply'!$BC$12:$BC$38,0),MATCH(I$9,'Gasoline - DemandSupply'!$BC$10:$BH$10,0)))*$B103</f>
        <v>438133080.96951282</v>
      </c>
      <c r="J103" s="429">
        <f t="shared" si="24"/>
        <v>414999605.16903746</v>
      </c>
      <c r="K103" s="429">
        <f t="shared" si="29"/>
        <v>1521937100.8068352</v>
      </c>
      <c r="L103" s="429">
        <f t="shared" si="22"/>
        <v>1936936705.9758725</v>
      </c>
      <c r="M103" s="426">
        <f t="shared" si="25"/>
        <v>2571756453.0373869</v>
      </c>
      <c r="N103" s="427">
        <f>(INDEX('Gasoline - DemandSupply'!$BK$12:$BP$38,MATCH($A103,'Gasoline - DemandSupply'!$BK$12:$BK$38,0),MATCH(N$9,'Gasoline - DemandSupply'!$BK$10:$BP$10,0)))*$C103</f>
        <v>977849869.69903052</v>
      </c>
      <c r="O103" s="427">
        <f>(INDEX('Gasoline - DemandSupply'!$BK$12:$BP$38,MATCH($A103,'Gasoline - DemandSupply'!$BK$12:$BK$38,0),MATCH(O$9,'Gasoline - DemandSupply'!$BK$10:$BP$10,0)))*$C103</f>
        <v>1664938415.9166744</v>
      </c>
      <c r="P103" s="427">
        <f>(INDEX('Gasoline - DemandSupply'!$BK$12:$BP$38,MATCH($A103,'Gasoline - DemandSupply'!$BK$12:$BK$38,0),MATCH(P$9,'Gasoline - DemandSupply'!$BK$10:$BP$10,0)))*$C103</f>
        <v>720631683.46079731</v>
      </c>
      <c r="Q103" s="427">
        <f>(INDEX('Gasoline - DemandSupply'!$BK$12:$BP$38,MATCH($A103,'Gasoline - DemandSupply'!$BK$12:$BK$38,0),MATCH(Q$9,'Gasoline - DemandSupply'!$BK$10:$BP$10,0)))*$C103</f>
        <v>341539224.45887142</v>
      </c>
      <c r="R103" s="427">
        <f>(INDEX('Gasoline - DemandSupply'!$BK$12:$BP$38,MATCH($A103,'Gasoline - DemandSupply'!$BK$12:$BK$38,0),MATCH(R$9,'Gasoline - DemandSupply'!$BK$10:$BP$10,0)))*$C103</f>
        <v>760802120.7401433</v>
      </c>
      <c r="S103" s="429">
        <f t="shared" si="26"/>
        <v>720631683.46079731</v>
      </c>
      <c r="T103" s="429">
        <f t="shared" si="27"/>
        <v>2642788285.615705</v>
      </c>
      <c r="U103" s="429">
        <f t="shared" si="28"/>
        <v>3363419969.0765023</v>
      </c>
      <c r="V103" s="426">
        <f t="shared" si="23"/>
        <v>4465761314.2755165</v>
      </c>
    </row>
    <row r="104" spans="1:25" ht="15.75" x14ac:dyDescent="0.6">
      <c r="A104" s="421">
        <v>2032</v>
      </c>
      <c r="B104" s="422">
        <f>VLOOKUP($A104,'Gasoline - DemandSupply'!$AI$9:$AM$48,4,0)</f>
        <v>0.26270022418467692</v>
      </c>
      <c r="C104" s="422">
        <f>VLOOKUP($A104,'[1]Gasoline - DemandSupply'!AI32:AM70,5,0)</f>
        <v>0.49630413401270329</v>
      </c>
      <c r="D104" s="403"/>
      <c r="E104" s="428">
        <f>(INDEX('Gasoline - DemandSupply'!$BC$12:$BH$38,MATCH($A104,'Gasoline - DemandSupply'!$BC$12:$BC$38,0),MATCH(E$9,'Gasoline - DemandSupply'!$BC$10:$BH$10,0)))*$B104</f>
        <v>587741398.28305066</v>
      </c>
      <c r="F104" s="427">
        <f>(INDEX('Gasoline - DemandSupply'!$BC$12:$BH$38,MATCH($A104,'Gasoline - DemandSupply'!$BC$12:$BC$38,0),MATCH(F$9,'Gasoline - DemandSupply'!$BC$10:$BH$10,0)))*$B104</f>
        <v>1000719295.4141514</v>
      </c>
      <c r="G104" s="427">
        <f>(INDEX('Gasoline - DemandSupply'!$BC$12:$BH$38,MATCH($A104,'Gasoline - DemandSupply'!$BC$12:$BC$38,0),MATCH(G$9,'Gasoline - DemandSupply'!$BC$10:$BH$10,0)))*$B104</f>
        <v>433139162.16471905</v>
      </c>
      <c r="H104" s="427">
        <f>(INDEX('Gasoline - DemandSupply'!$BC$12:$BH$38,MATCH($A104,'Gasoline - DemandSupply'!$BC$12:$BC$38,0),MATCH(H$9,'Gasoline - DemandSupply'!$BC$10:$BH$10,0)))*$B104</f>
        <v>205283804.36738205</v>
      </c>
      <c r="I104" s="427">
        <f>(INDEX('Gasoline - DemandSupply'!$BC$12:$BH$38,MATCH($A104,'Gasoline - DemandSupply'!$BC$12:$BC$38,0),MATCH(I$9,'Gasoline - DemandSupply'!$BC$10:$BH$10,0)))*$B104</f>
        <v>457283797.97008175</v>
      </c>
      <c r="J104" s="429">
        <f t="shared" si="24"/>
        <v>433139162.16471905</v>
      </c>
      <c r="K104" s="429">
        <f t="shared" si="29"/>
        <v>1588460693.6972022</v>
      </c>
      <c r="L104" s="429">
        <f t="shared" si="22"/>
        <v>2021599855.8619213</v>
      </c>
      <c r="M104" s="426">
        <f t="shared" si="25"/>
        <v>2684167458.1993852</v>
      </c>
      <c r="N104" s="427">
        <f>(INDEX('Gasoline - DemandSupply'!$BK$12:$BP$38,MATCH($A104,'Gasoline - DemandSupply'!$BK$12:$BK$38,0),MATCH(N$9,'Gasoline - DemandSupply'!$BK$10:$BP$10,0)))*$C104</f>
        <v>984027498.23517132</v>
      </c>
      <c r="O104" s="427">
        <f>(INDEX('Gasoline - DemandSupply'!$BK$12:$BP$38,MATCH($A104,'Gasoline - DemandSupply'!$BK$12:$BK$38,0),MATCH(O$9,'Gasoline - DemandSupply'!$BK$10:$BP$10,0)))*$C104</f>
        <v>1675456769.8969734</v>
      </c>
      <c r="P104" s="427">
        <f>(INDEX('Gasoline - DemandSupply'!$BK$12:$BP$38,MATCH($A104,'Gasoline - DemandSupply'!$BK$12:$BK$38,0),MATCH(P$9,'Gasoline - DemandSupply'!$BK$10:$BP$10,0)))*$C104</f>
        <v>725184319.8007344</v>
      </c>
      <c r="Q104" s="427">
        <f>(INDEX('Gasoline - DemandSupply'!$BK$12:$BP$38,MATCH($A104,'Gasoline - DemandSupply'!$BK$12:$BK$38,0),MATCH(Q$9,'Gasoline - DemandSupply'!$BK$10:$BP$10,0)))*$C104</f>
        <v>343696920.15900785</v>
      </c>
      <c r="R104" s="427">
        <f>(INDEX('Gasoline - DemandSupply'!$BK$12:$BP$38,MATCH($A104,'Gasoline - DemandSupply'!$BK$12:$BK$38,0),MATCH(R$9,'Gasoline - DemandSupply'!$BK$10:$BP$10,0)))*$C104</f>
        <v>765608536.36393166</v>
      </c>
      <c r="S104" s="429">
        <f t="shared" si="26"/>
        <v>725184319.8007344</v>
      </c>
      <c r="T104" s="429">
        <f t="shared" si="27"/>
        <v>2659484268.1321449</v>
      </c>
      <c r="U104" s="429">
        <f t="shared" si="28"/>
        <v>3384668587.9328794</v>
      </c>
      <c r="V104" s="426">
        <f t="shared" si="23"/>
        <v>4493974044.4558191</v>
      </c>
    </row>
    <row r="105" spans="1:25" ht="15.75" x14ac:dyDescent="0.6">
      <c r="A105" s="421">
        <v>2033</v>
      </c>
      <c r="B105" s="422">
        <f>VLOOKUP($A105,'Gasoline - DemandSupply'!$AI$9:$AM$48,4,0)</f>
        <v>0.27973990791094316</v>
      </c>
      <c r="C105" s="422">
        <f>VLOOKUP($A105,'[1]Gasoline - DemandSupply'!AI33:AM71,5,0)</f>
        <v>0.50209676771619982</v>
      </c>
      <c r="D105" s="403"/>
      <c r="E105" s="428">
        <f>(INDEX('Gasoline - DemandSupply'!$BC$12:$BH$38,MATCH($A105,'Gasoline - DemandSupply'!$BC$12:$BC$38,0),MATCH(E$9,'Gasoline - DemandSupply'!$BC$10:$BH$10,0)))*$B105</f>
        <v>632421557.28121614</v>
      </c>
      <c r="F105" s="427">
        <f>(INDEX('Gasoline - DemandSupply'!$BC$12:$BH$38,MATCH($A105,'Gasoline - DemandSupply'!$BC$12:$BC$38,0),MATCH(F$9,'Gasoline - DemandSupply'!$BC$10:$BH$10,0)))*$B105</f>
        <v>1076794074.8362796</v>
      </c>
      <c r="G105" s="427">
        <f>(INDEX('Gasoline - DemandSupply'!$BC$12:$BH$38,MATCH($A105,'Gasoline - DemandSupply'!$BC$12:$BC$38,0),MATCH(G$9,'Gasoline - DemandSupply'!$BC$10:$BH$10,0)))*$B105</f>
        <v>466066443.94270211</v>
      </c>
      <c r="H105" s="427">
        <f>(INDEX('Gasoline - DemandSupply'!$BC$12:$BH$38,MATCH($A105,'Gasoline - DemandSupply'!$BC$12:$BC$38,0),MATCH(H$9,'Gasoline - DemandSupply'!$BC$10:$BH$10,0)))*$B105</f>
        <v>220889499.39869529</v>
      </c>
      <c r="I105" s="427">
        <f>(INDEX('Gasoline - DemandSupply'!$BC$12:$BH$38,MATCH($A105,'Gasoline - DemandSupply'!$BC$12:$BC$38,0),MATCH(I$9,'Gasoline - DemandSupply'!$BC$10:$BH$10,0)))*$B105</f>
        <v>492046557.34057027</v>
      </c>
      <c r="J105" s="429">
        <f t="shared" si="24"/>
        <v>466066443.94270211</v>
      </c>
      <c r="K105" s="429">
        <f t="shared" si="29"/>
        <v>1709215632.1174958</v>
      </c>
      <c r="L105" s="429">
        <f t="shared" si="22"/>
        <v>2175282076.0601978</v>
      </c>
      <c r="M105" s="426">
        <f t="shared" si="25"/>
        <v>2888218132.7994637</v>
      </c>
      <c r="N105" s="427">
        <f>(INDEX('Gasoline - DemandSupply'!$BK$12:$BP$38,MATCH($A105,'Gasoline - DemandSupply'!$BK$12:$BK$38,0),MATCH(N$9,'Gasoline - DemandSupply'!$BK$10:$BP$10,0)))*$C105</f>
        <v>985472285.44932377</v>
      </c>
      <c r="O105" s="427">
        <f>(INDEX('Gasoline - DemandSupply'!$BK$12:$BP$38,MATCH($A105,'Gasoline - DemandSupply'!$BK$12:$BK$38,0),MATCH(O$9,'Gasoline - DemandSupply'!$BK$10:$BP$10,0)))*$C105</f>
        <v>1677916740.2975504</v>
      </c>
      <c r="P105" s="427">
        <f>(INDEX('Gasoline - DemandSupply'!$BK$12:$BP$38,MATCH($A105,'Gasoline - DemandSupply'!$BK$12:$BK$38,0),MATCH(P$9,'Gasoline - DemandSupply'!$BK$10:$BP$10,0)))*$C105</f>
        <v>726249063.45376337</v>
      </c>
      <c r="Q105" s="427">
        <f>(INDEX('Gasoline - DemandSupply'!$BK$12:$BP$38,MATCH($A105,'Gasoline - DemandSupply'!$BK$12:$BK$38,0),MATCH(Q$9,'Gasoline - DemandSupply'!$BK$10:$BP$10,0)))*$C105</f>
        <v>344201549.26406825</v>
      </c>
      <c r="R105" s="427">
        <f>(INDEX('Gasoline - DemandSupply'!$BK$12:$BP$38,MATCH($A105,'Gasoline - DemandSupply'!$BK$12:$BK$38,0),MATCH(R$9,'Gasoline - DemandSupply'!$BK$10:$BP$10,0)))*$C105</f>
        <v>766732632.4144671</v>
      </c>
      <c r="S105" s="429">
        <f t="shared" si="26"/>
        <v>726249063.45376337</v>
      </c>
      <c r="T105" s="429">
        <f t="shared" si="27"/>
        <v>2663389025.7468743</v>
      </c>
      <c r="U105" s="429">
        <f t="shared" si="28"/>
        <v>3389638089.2006378</v>
      </c>
      <c r="V105" s="426">
        <f t="shared" si="23"/>
        <v>4500572270.8791733</v>
      </c>
    </row>
    <row r="106" spans="1:25" ht="15.75" x14ac:dyDescent="0.6">
      <c r="A106" s="421">
        <v>2034</v>
      </c>
      <c r="B106" s="422">
        <f>VLOOKUP($A106,'Gasoline - DemandSupply'!$AI$9:$AM$48,4,0)</f>
        <v>0.2907162419775543</v>
      </c>
      <c r="C106" s="422">
        <f>VLOOKUP($A106,'[1]Gasoline - DemandSupply'!AI34:AM72,5,0)</f>
        <v>0.50629086808834367</v>
      </c>
      <c r="D106" s="403"/>
      <c r="E106" s="428">
        <f>(INDEX('Gasoline - DemandSupply'!$BC$12:$BH$38,MATCH($A106,'Gasoline - DemandSupply'!$BC$12:$BC$38,0),MATCH(E$9,'Gasoline - DemandSupply'!$BC$10:$BH$10,0)))*$B106</f>
        <v>658701450.27096701</v>
      </c>
      <c r="F106" s="427">
        <f>(INDEX('Gasoline - DemandSupply'!$BC$12:$BH$38,MATCH($A106,'Gasoline - DemandSupply'!$BC$12:$BC$38,0),MATCH(F$9,'Gasoline - DemandSupply'!$BC$10:$BH$10,0)))*$B106</f>
        <v>1121539597.3961821</v>
      </c>
      <c r="G106" s="427">
        <f>(INDEX('Gasoline - DemandSupply'!$BC$12:$BH$38,MATCH($A106,'Gasoline - DemandSupply'!$BC$12:$BC$38,0),MATCH(G$9,'Gasoline - DemandSupply'!$BC$10:$BH$10,0)))*$B106</f>
        <v>485433551.42332464</v>
      </c>
      <c r="H106" s="427">
        <f>(INDEX('Gasoline - DemandSupply'!$BC$12:$BH$38,MATCH($A106,'Gasoline - DemandSupply'!$BC$12:$BC$38,0),MATCH(H$9,'Gasoline - DemandSupply'!$BC$10:$BH$10,0)))*$B106</f>
        <v>230068428.13685042</v>
      </c>
      <c r="I106" s="427">
        <f>(INDEX('Gasoline - DemandSupply'!$BC$12:$BH$38,MATCH($A106,'Gasoline - DemandSupply'!$BC$12:$BC$38,0),MATCH(I$9,'Gasoline - DemandSupply'!$BC$10:$BH$10,0)))*$B106</f>
        <v>512493252.62476605</v>
      </c>
      <c r="J106" s="429">
        <f t="shared" si="24"/>
        <v>485433551.42332464</v>
      </c>
      <c r="K106" s="429">
        <f t="shared" si="29"/>
        <v>1780241047.6671491</v>
      </c>
      <c r="L106" s="429">
        <f t="shared" si="22"/>
        <v>2265674599.0904737</v>
      </c>
      <c r="M106" s="426">
        <f t="shared" si="25"/>
        <v>3008236279.8520899</v>
      </c>
      <c r="N106" s="427">
        <f>(INDEX('Gasoline - DemandSupply'!$BK$12:$BP$38,MATCH($A106,'Gasoline - DemandSupply'!$BK$12:$BK$38,0),MATCH(N$9,'Gasoline - DemandSupply'!$BK$10:$BP$10,0)))*$C106</f>
        <v>980449729.11595488</v>
      </c>
      <c r="O106" s="427">
        <f>(INDEX('Gasoline - DemandSupply'!$BK$12:$BP$38,MATCH($A106,'Gasoline - DemandSupply'!$BK$12:$BK$38,0),MATCH(O$9,'Gasoline - DemandSupply'!$BK$10:$BP$10,0)))*$C106</f>
        <v>1669365072.7618117</v>
      </c>
      <c r="P106" s="427">
        <f>(INDEX('Gasoline - DemandSupply'!$BK$12:$BP$38,MATCH($A106,'Gasoline - DemandSupply'!$BK$12:$BK$38,0),MATCH(P$9,'Gasoline - DemandSupply'!$BK$10:$BP$10,0)))*$C106</f>
        <v>722547663.74206102</v>
      </c>
      <c r="Q106" s="427">
        <f>(INDEX('Gasoline - DemandSupply'!$BK$12:$BP$38,MATCH($A106,'Gasoline - DemandSupply'!$BK$12:$BK$38,0),MATCH(Q$9,'Gasoline - DemandSupply'!$BK$10:$BP$10,0)))*$C106</f>
        <v>342447292.24767393</v>
      </c>
      <c r="R106" s="427">
        <f>(INDEX('Gasoline - DemandSupply'!$BK$12:$BP$38,MATCH($A106,'Gasoline - DemandSupply'!$BK$12:$BK$38,0),MATCH(R$9,'Gasoline - DemandSupply'!$BK$10:$BP$10,0)))*$C106</f>
        <v>762824904.2157203</v>
      </c>
      <c r="S106" s="429">
        <f t="shared" si="26"/>
        <v>722547663.74206102</v>
      </c>
      <c r="T106" s="429">
        <f t="shared" si="27"/>
        <v>2649814801.8777666</v>
      </c>
      <c r="U106" s="429">
        <f t="shared" si="28"/>
        <v>3372362465.6198277</v>
      </c>
      <c r="V106" s="426">
        <f t="shared" si="23"/>
        <v>4477634662.0832224</v>
      </c>
    </row>
    <row r="107" spans="1:25" ht="15.75" x14ac:dyDescent="0.6">
      <c r="A107" s="421">
        <v>2035</v>
      </c>
      <c r="B107" s="422">
        <f>VLOOKUP($A107,'Gasoline - DemandSupply'!$AI$9:$AM$48,4,0)</f>
        <v>0.30115166771759172</v>
      </c>
      <c r="C107" s="422">
        <f>VLOOKUP($A107,'[1]Gasoline - DemandSupply'!AI35:AM73,5,0)</f>
        <v>0.49618861676094245</v>
      </c>
      <c r="D107" s="403"/>
      <c r="E107" s="428">
        <f>(INDEX('Gasoline - DemandSupply'!$BC$12:$BH$38,MATCH($A107,'Gasoline - DemandSupply'!$BC$12:$BC$38,0),MATCH(E$9,'Gasoline - DemandSupply'!$BC$10:$BH$10,0)))*$B107</f>
        <v>683350584.63545859</v>
      </c>
      <c r="F107" s="427">
        <f>(INDEX('Gasoline - DemandSupply'!$BC$12:$BH$38,MATCH($A107,'Gasoline - DemandSupply'!$BC$12:$BC$38,0),MATCH(F$9,'Gasoline - DemandSupply'!$BC$10:$BH$10,0)))*$B107</f>
        <v>1163508504.8882546</v>
      </c>
      <c r="G107" s="427">
        <f>(INDEX('Gasoline - DemandSupply'!$BC$12:$BH$38,MATCH($A107,'Gasoline - DemandSupply'!$BC$12:$BC$38,0),MATCH(G$9,'Gasoline - DemandSupply'!$BC$10:$BH$10,0)))*$B107</f>
        <v>503598862.62636453</v>
      </c>
      <c r="H107" s="427">
        <f>(INDEX('Gasoline - DemandSupply'!$BC$12:$BH$38,MATCH($A107,'Gasoline - DemandSupply'!$BC$12:$BC$38,0),MATCH(H$9,'Gasoline - DemandSupply'!$BC$10:$BH$10,0)))*$B107</f>
        <v>238677772.47006807</v>
      </c>
      <c r="I107" s="427">
        <f>(INDEX('Gasoline - DemandSupply'!$BC$12:$BH$38,MATCH($A107,'Gasoline - DemandSupply'!$BC$12:$BC$38,0),MATCH(I$9,'Gasoline - DemandSupply'!$BC$10:$BH$10,0)))*$B107</f>
        <v>531671159.45895714</v>
      </c>
      <c r="J107" s="429">
        <f t="shared" si="24"/>
        <v>503598862.62636453</v>
      </c>
      <c r="K107" s="429">
        <f t="shared" si="29"/>
        <v>1846859089.5237131</v>
      </c>
      <c r="L107" s="429">
        <f t="shared" si="22"/>
        <v>2350457952.1500778</v>
      </c>
      <c r="M107" s="426">
        <f t="shared" si="25"/>
        <v>3120806884.079103</v>
      </c>
      <c r="N107" s="427">
        <f>(INDEX('Gasoline - DemandSupply'!$BK$12:$BP$38,MATCH($A107,'Gasoline - DemandSupply'!$BK$12:$BK$38,0),MATCH(N$9,'Gasoline - DemandSupply'!$BK$10:$BP$10,0)))*$C107</f>
        <v>944092796.09864604</v>
      </c>
      <c r="O107" s="427">
        <f>(INDEX('Gasoline - DemandSupply'!$BK$12:$BP$38,MATCH($A107,'Gasoline - DemandSupply'!$BK$12:$BK$38,0),MATCH(O$9,'Gasoline - DemandSupply'!$BK$10:$BP$10,0)))*$C107</f>
        <v>1607461853.9332838</v>
      </c>
      <c r="P107" s="427">
        <f>(INDEX('Gasoline - DemandSupply'!$BK$12:$BP$38,MATCH($A107,'Gasoline - DemandSupply'!$BK$12:$BK$38,0),MATCH(P$9,'Gasoline - DemandSupply'!$BK$10:$BP$10,0)))*$C107</f>
        <v>695754227.7989763</v>
      </c>
      <c r="Q107" s="427">
        <f>(INDEX('Gasoline - DemandSupply'!$BK$12:$BP$38,MATCH($A107,'Gasoline - DemandSupply'!$BK$12:$BK$38,0),MATCH(Q$9,'Gasoline - DemandSupply'!$BK$10:$BP$10,0)))*$C107</f>
        <v>329748698.02455801</v>
      </c>
      <c r="R107" s="427">
        <f>(INDEX('Gasoline - DemandSupply'!$BK$12:$BP$38,MATCH($A107,'Gasoline - DemandSupply'!$BK$12:$BK$38,0),MATCH(R$9,'Gasoline - DemandSupply'!$BK$10:$BP$10,0)))*$C107</f>
        <v>734537911.90708566</v>
      </c>
      <c r="S107" s="429">
        <f t="shared" si="26"/>
        <v>695754227.7989763</v>
      </c>
      <c r="T107" s="429">
        <f t="shared" si="27"/>
        <v>2551554650.03193</v>
      </c>
      <c r="U107" s="429">
        <f t="shared" si="28"/>
        <v>3247308877.8309064</v>
      </c>
      <c r="V107" s="426">
        <f t="shared" si="23"/>
        <v>4311595487.7625504</v>
      </c>
    </row>
    <row r="108" spans="1:25" ht="15.75" x14ac:dyDescent="0.6">
      <c r="A108" s="421">
        <v>2036</v>
      </c>
      <c r="B108" s="422">
        <f>VLOOKUP($A108,'Gasoline - DemandSupply'!$AI$9:$AM$48,4,0)</f>
        <v>0.33180667001081698</v>
      </c>
      <c r="C108" s="422">
        <f>VLOOKUP($A108,'[1]Gasoline - DemandSupply'!AI36:AM74,5,0)</f>
        <v>0.48305867677669828</v>
      </c>
      <c r="D108" s="403"/>
      <c r="E108" s="428">
        <f>(INDEX('Gasoline - DemandSupply'!$BC$12:$BH$38,MATCH($A108,'Gasoline - DemandSupply'!$BC$12:$BC$38,0),MATCH(E$9,'Gasoline - DemandSupply'!$BC$10:$BH$10,0)))*$B108</f>
        <v>753273372.51283491</v>
      </c>
      <c r="F108" s="427">
        <f>(INDEX('Gasoline - DemandSupply'!$BC$12:$BH$38,MATCH($A108,'Gasoline - DemandSupply'!$BC$12:$BC$38,0),MATCH(F$9,'Gasoline - DemandSupply'!$BC$10:$BH$10,0)))*$B108</f>
        <v>1282562706.6553094</v>
      </c>
      <c r="G108" s="427">
        <f>(INDEX('Gasoline - DemandSupply'!$BC$12:$BH$38,MATCH($A108,'Gasoline - DemandSupply'!$BC$12:$BC$38,0),MATCH(G$9,'Gasoline - DemandSupply'!$BC$10:$BH$10,0)))*$B108</f>
        <v>555128834.55943322</v>
      </c>
      <c r="H108" s="427">
        <f>(INDEX('Gasoline - DemandSupply'!$BC$12:$BH$38,MATCH($A108,'Gasoline - DemandSupply'!$BC$12:$BC$38,0),MATCH(H$9,'Gasoline - DemandSupply'!$BC$10:$BH$10,0)))*$B108</f>
        <v>263100105.06289408</v>
      </c>
      <c r="I108" s="427">
        <f>(INDEX('Gasoline - DemandSupply'!$BC$12:$BH$38,MATCH($A108,'Gasoline - DemandSupply'!$BC$12:$BC$38,0),MATCH(I$9,'Gasoline - DemandSupply'!$BC$10:$BH$10,0)))*$B108</f>
        <v>586073585.59165645</v>
      </c>
      <c r="J108" s="429">
        <f t="shared" si="24"/>
        <v>555128834.55943322</v>
      </c>
      <c r="K108" s="429">
        <f t="shared" si="29"/>
        <v>2035836079.1681442</v>
      </c>
      <c r="L108" s="429">
        <f t="shared" si="22"/>
        <v>2590964913.7275772</v>
      </c>
      <c r="M108" s="426">
        <f t="shared" si="25"/>
        <v>3440138604.3821278</v>
      </c>
      <c r="N108" s="427">
        <f>(INDEX('Gasoline - DemandSupply'!$BK$12:$BP$38,MATCH($A108,'Gasoline - DemandSupply'!$BK$12:$BK$38,0),MATCH(N$9,'Gasoline - DemandSupply'!$BK$10:$BP$10,0)))*$C108</f>
        <v>898671872.90596473</v>
      </c>
      <c r="O108" s="427">
        <f>(INDEX('Gasoline - DemandSupply'!$BK$12:$BP$38,MATCH($A108,'Gasoline - DemandSupply'!$BK$12:$BK$38,0),MATCH(O$9,'Gasoline - DemandSupply'!$BK$10:$BP$10,0)))*$C108</f>
        <v>1530125810.5862906</v>
      </c>
      <c r="P108" s="427">
        <f>(INDEX('Gasoline - DemandSupply'!$BK$12:$BP$38,MATCH($A108,'Gasoline - DemandSupply'!$BK$12:$BK$38,0),MATCH(P$9,'Gasoline - DemandSupply'!$BK$10:$BP$10,0)))*$C108</f>
        <v>662281035.8919611</v>
      </c>
      <c r="Q108" s="427">
        <f>(INDEX('Gasoline - DemandSupply'!$BK$12:$BP$38,MATCH($A108,'Gasoline - DemandSupply'!$BK$12:$BK$38,0),MATCH(Q$9,'Gasoline - DemandSupply'!$BK$10:$BP$10,0)))*$C108</f>
        <v>313884272.04042506</v>
      </c>
      <c r="R108" s="427">
        <f>(INDEX('Gasoline - DemandSupply'!$BK$12:$BP$38,MATCH($A108,'Gasoline - DemandSupply'!$BK$12:$BK$38,0),MATCH(R$9,'Gasoline - DemandSupply'!$BK$10:$BP$10,0)))*$C108</f>
        <v>699198811.53822947</v>
      </c>
      <c r="S108" s="429">
        <f t="shared" si="26"/>
        <v>662281035.8919611</v>
      </c>
      <c r="T108" s="429">
        <f t="shared" si="27"/>
        <v>2428797683.4922552</v>
      </c>
      <c r="U108" s="429">
        <f t="shared" si="28"/>
        <v>3091078719.3842163</v>
      </c>
      <c r="V108" s="426">
        <f t="shared" si="23"/>
        <v>4104161802.9628711</v>
      </c>
    </row>
    <row r="109" spans="1:25" ht="15.75" x14ac:dyDescent="0.6">
      <c r="A109" s="421">
        <v>2037</v>
      </c>
      <c r="B109" s="422">
        <f>VLOOKUP($A109,'Gasoline - DemandSupply'!$AI$9:$AM$48,4,0)</f>
        <v>0.33129465922052076</v>
      </c>
      <c r="C109" s="422">
        <f>VLOOKUP($A109,'[1]Gasoline - DemandSupply'!AI37:AM75,5,0)</f>
        <v>0.46654364732758424</v>
      </c>
      <c r="D109" s="403"/>
      <c r="E109" s="428">
        <f>(INDEX('Gasoline - DemandSupply'!$BC$12:$BH$38,MATCH($A109,'Gasoline - DemandSupply'!$BC$12:$BC$38,0),MATCH(E$9,'Gasoline - DemandSupply'!$BC$10:$BH$10,0)))*$B109</f>
        <v>751535124.16392314</v>
      </c>
      <c r="F109" s="427">
        <f>(INDEX('Gasoline - DemandSupply'!$BC$12:$BH$38,MATCH($A109,'Gasoline - DemandSupply'!$BC$12:$BC$38,0),MATCH(F$9,'Gasoline - DemandSupply'!$BC$10:$BH$10,0)))*$B109</f>
        <v>1279603073.9527988</v>
      </c>
      <c r="G109" s="427">
        <f>(INDEX('Gasoline - DemandSupply'!$BC$12:$BH$38,MATCH($A109,'Gasoline - DemandSupply'!$BC$12:$BC$38,0),MATCH(G$9,'Gasoline - DemandSupply'!$BC$10:$BH$10,0)))*$B109</f>
        <v>553847823.15598047</v>
      </c>
      <c r="H109" s="427">
        <f>(INDEX('Gasoline - DemandSupply'!$BC$12:$BH$38,MATCH($A109,'Gasoline - DemandSupply'!$BC$12:$BC$38,0),MATCH(H$9,'Gasoline - DemandSupply'!$BC$10:$BH$10,0)))*$B109</f>
        <v>262492977.10654739</v>
      </c>
      <c r="I109" s="427">
        <f>(INDEX('Gasoline - DemandSupply'!$BC$12:$BH$38,MATCH($A109,'Gasoline - DemandSupply'!$BC$12:$BC$38,0),MATCH(I$9,'Gasoline - DemandSupply'!$BC$10:$BH$10,0)))*$B109</f>
        <v>584721166.29785192</v>
      </c>
      <c r="J109" s="429">
        <f t="shared" si="24"/>
        <v>553847823.15598047</v>
      </c>
      <c r="K109" s="429">
        <f t="shared" si="29"/>
        <v>2031138198.1167221</v>
      </c>
      <c r="L109" s="429">
        <f t="shared" si="22"/>
        <v>2584986021.2727027</v>
      </c>
      <c r="M109" s="426">
        <f t="shared" si="25"/>
        <v>3432200164.6771021</v>
      </c>
      <c r="N109" s="427">
        <f>(INDEX('Gasoline - DemandSupply'!$BK$12:$BP$38,MATCH($A109,'Gasoline - DemandSupply'!$BK$12:$BK$38,0),MATCH(N$9,'Gasoline - DemandSupply'!$BK$10:$BP$10,0)))*$C109</f>
        <v>844386179.44925606</v>
      </c>
      <c r="O109" s="427">
        <f>(INDEX('Gasoline - DemandSupply'!$BK$12:$BP$38,MATCH($A109,'Gasoline - DemandSupply'!$BK$12:$BK$38,0),MATCH(O$9,'Gasoline - DemandSupply'!$BK$10:$BP$10,0)))*$C109</f>
        <v>1437696144.9786558</v>
      </c>
      <c r="P109" s="427">
        <f>(INDEX('Gasoline - DemandSupply'!$BK$12:$BP$38,MATCH($A109,'Gasoline - DemandSupply'!$BK$12:$BK$38,0),MATCH(P$9,'Gasoline - DemandSupply'!$BK$10:$BP$10,0)))*$C109</f>
        <v>622274904.19856989</v>
      </c>
      <c r="Q109" s="427">
        <f>(INDEX('Gasoline - DemandSupply'!$BK$12:$BP$38,MATCH($A109,'Gasoline - DemandSupply'!$BK$12:$BK$38,0),MATCH(Q$9,'Gasoline - DemandSupply'!$BK$10:$BP$10,0)))*$C109</f>
        <v>294923596.97470874</v>
      </c>
      <c r="R109" s="427">
        <f>(INDEX('Gasoline - DemandSupply'!$BK$12:$BP$38,MATCH($A109,'Gasoline - DemandSupply'!$BK$12:$BK$38,0),MATCH(R$9,'Gasoline - DemandSupply'!$BK$10:$BP$10,0)))*$C109</f>
        <v>656962603.31495154</v>
      </c>
      <c r="S109" s="429">
        <f t="shared" si="26"/>
        <v>622274904.19856989</v>
      </c>
      <c r="T109" s="429">
        <f t="shared" si="27"/>
        <v>2282082324.4279118</v>
      </c>
      <c r="U109" s="429">
        <f t="shared" si="28"/>
        <v>2904357228.6264815</v>
      </c>
      <c r="V109" s="426">
        <f t="shared" si="23"/>
        <v>3856243428.9161415</v>
      </c>
      <c r="X109" s="440">
        <v>3051302693.5327625</v>
      </c>
      <c r="Y109" s="54">
        <f>O109</f>
        <v>1437696144.9786558</v>
      </c>
    </row>
    <row r="110" spans="1:25" ht="15.75" x14ac:dyDescent="0.6">
      <c r="A110" s="421">
        <v>2038</v>
      </c>
      <c r="B110" s="422">
        <f>VLOOKUP($A110,'Gasoline - DemandSupply'!$AI$9:$AM$48,4,0)</f>
        <v>0.32977222415028917</v>
      </c>
      <c r="C110" s="422">
        <f>VLOOKUP($A110,'[1]Gasoline - DemandSupply'!AI38:AM76,5,0)</f>
        <v>0.4465114687907436</v>
      </c>
      <c r="D110" s="403"/>
      <c r="E110" s="428">
        <f>(INDEX('Gasoline - DemandSupply'!$BC$12:$BH$38,MATCH($A110,'Gasoline - DemandSupply'!$BC$12:$BC$38,0),MATCH(E$9,'Gasoline - DemandSupply'!$BC$10:$BH$10,0)))*$B110</f>
        <v>746382230.19975209</v>
      </c>
      <c r="F110" s="427">
        <f>(INDEX('Gasoline - DemandSupply'!$BC$12:$BH$38,MATCH($A110,'Gasoline - DemandSupply'!$BC$12:$BC$38,0),MATCH(F$9,'Gasoline - DemandSupply'!$BC$10:$BH$10,0)))*$B110</f>
        <v>1270829486.7387061</v>
      </c>
      <c r="G110" s="427">
        <f>(INDEX('Gasoline - DemandSupply'!$BC$12:$BH$38,MATCH($A110,'Gasoline - DemandSupply'!$BC$12:$BC$38,0),MATCH(G$9,'Gasoline - DemandSupply'!$BC$10:$BH$10,0)))*$B110</f>
        <v>550050370.4312197</v>
      </c>
      <c r="H110" s="427">
        <f>(INDEX('Gasoline - DemandSupply'!$BC$12:$BH$38,MATCH($A110,'Gasoline - DemandSupply'!$BC$12:$BC$38,0),MATCH(H$9,'Gasoline - DemandSupply'!$BC$10:$BH$10,0)))*$B110</f>
        <v>260693196.31935611</v>
      </c>
      <c r="I110" s="427">
        <f>(INDEX('Gasoline - DemandSupply'!$BC$12:$BH$38,MATCH($A110,'Gasoline - DemandSupply'!$BC$12:$BC$38,0),MATCH(I$9,'Gasoline - DemandSupply'!$BC$10:$BH$10,0)))*$B110</f>
        <v>580712030.76757157</v>
      </c>
      <c r="J110" s="429">
        <f t="shared" si="24"/>
        <v>550050370.4312197</v>
      </c>
      <c r="K110" s="429">
        <f t="shared" si="29"/>
        <v>2017211716.9384582</v>
      </c>
      <c r="L110" s="429">
        <f t="shared" si="22"/>
        <v>2567262087.369678</v>
      </c>
      <c r="M110" s="426">
        <f t="shared" si="25"/>
        <v>3408667314.4566054</v>
      </c>
      <c r="N110" s="427">
        <f>(INDEX('Gasoline - DemandSupply'!$BK$12:$BP$38,MATCH($A110,'Gasoline - DemandSupply'!$BK$12:$BK$38,0),MATCH(N$9,'Gasoline - DemandSupply'!$BK$10:$BP$10,0)))*$C110</f>
        <v>782503559.96029294</v>
      </c>
      <c r="O110" s="427">
        <f>(INDEX('Gasoline - DemandSupply'!$BK$12:$BP$38,MATCH($A110,'Gasoline - DemandSupply'!$BK$12:$BK$38,0),MATCH(O$9,'Gasoline - DemandSupply'!$BK$10:$BP$10,0)))*$C110</f>
        <v>1332331555.1194375</v>
      </c>
      <c r="P110" s="427">
        <f>(INDEX('Gasoline - DemandSupply'!$BK$12:$BP$38,MATCH($A110,'Gasoline - DemandSupply'!$BK$12:$BK$38,0),MATCH(P$9,'Gasoline - DemandSupply'!$BK$10:$BP$10,0)))*$C110</f>
        <v>576670177.2960434</v>
      </c>
      <c r="Q110" s="427">
        <f>(INDEX('Gasoline - DemandSupply'!$BK$12:$BP$38,MATCH($A110,'Gasoline - DemandSupply'!$BK$12:$BK$38,0),MATCH(Q$9,'Gasoline - DemandSupply'!$BK$10:$BP$10,0)))*$C110</f>
        <v>273309500.04360306</v>
      </c>
      <c r="R110" s="427">
        <f>(INDEX('Gasoline - DemandSupply'!$BK$12:$BP$38,MATCH($A110,'Gasoline - DemandSupply'!$BK$12:$BK$38,0),MATCH(R$9,'Gasoline - DemandSupply'!$BK$10:$BP$10,0)))*$C110</f>
        <v>608815715.32830274</v>
      </c>
      <c r="S110" s="429">
        <f t="shared" si="26"/>
        <v>576670177.2960434</v>
      </c>
      <c r="T110" s="429">
        <f t="shared" si="27"/>
        <v>2114835115.0797305</v>
      </c>
      <c r="U110" s="429">
        <f t="shared" si="28"/>
        <v>2691505292.3757739</v>
      </c>
      <c r="V110" s="426">
        <f t="shared" si="23"/>
        <v>3573630507.7476797</v>
      </c>
    </row>
    <row r="111" spans="1:25" ht="15.75" x14ac:dyDescent="0.6">
      <c r="A111" s="421">
        <v>2039</v>
      </c>
      <c r="B111" s="422">
        <f>VLOOKUP($A111,'Gasoline - DemandSupply'!$AI$9:$AM$48,4,0)</f>
        <v>0.32707617524433186</v>
      </c>
      <c r="C111" s="422">
        <f>VLOOKUP($A111,'[1]Gasoline - DemandSupply'!AI39:AM77,5,0)</f>
        <v>0.42299410155568123</v>
      </c>
      <c r="D111" s="403"/>
      <c r="E111" s="428">
        <f>(INDEX('Gasoline - DemandSupply'!$BC$12:$BH$38,MATCH($A111,'Gasoline - DemandSupply'!$BC$12:$BC$38,0),MATCH(E$9,'Gasoline - DemandSupply'!$BC$10:$BH$10,0)))*$B111</f>
        <v>737314280.98609495</v>
      </c>
      <c r="F111" s="427">
        <f>(INDEX('Gasoline - DemandSupply'!$BC$12:$BH$38,MATCH($A111,'Gasoline - DemandSupply'!$BC$12:$BC$38,0),MATCH(F$9,'Gasoline - DemandSupply'!$BC$10:$BH$10,0)))*$B111</f>
        <v>1255389921.3542514</v>
      </c>
      <c r="G111" s="427">
        <f>(INDEX('Gasoline - DemandSupply'!$BC$12:$BH$38,MATCH($A111,'Gasoline - DemandSupply'!$BC$12:$BC$38,0),MATCH(G$9,'Gasoline - DemandSupply'!$BC$10:$BH$10,0)))*$B111</f>
        <v>543367696.832883</v>
      </c>
      <c r="H111" s="427">
        <f>(INDEX('Gasoline - DemandSupply'!$BC$12:$BH$38,MATCH($A111,'Gasoline - DemandSupply'!$BC$12:$BC$38,0),MATCH(H$9,'Gasoline - DemandSupply'!$BC$10:$BH$10,0)))*$B111</f>
        <v>257525981.76236275</v>
      </c>
      <c r="I111" s="427">
        <f>(INDEX('Gasoline - DemandSupply'!$BC$12:$BH$38,MATCH($A111,'Gasoline - DemandSupply'!$BC$12:$BC$38,0),MATCH(I$9,'Gasoline - DemandSupply'!$BC$10:$BH$10,0)))*$B111</f>
        <v>573656842.43417478</v>
      </c>
      <c r="J111" s="429">
        <f t="shared" si="24"/>
        <v>543367696.832883</v>
      </c>
      <c r="K111" s="429">
        <f t="shared" si="29"/>
        <v>1992704202.3403463</v>
      </c>
      <c r="L111" s="429">
        <f t="shared" si="22"/>
        <v>2536071899.1732292</v>
      </c>
      <c r="M111" s="426">
        <f t="shared" si="25"/>
        <v>3367254723.3697672</v>
      </c>
      <c r="N111" s="427">
        <f>(INDEX('Gasoline - DemandSupply'!$BK$12:$BP$38,MATCH($A111,'Gasoline - DemandSupply'!$BK$12:$BK$38,0),MATCH(N$9,'Gasoline - DemandSupply'!$BK$10:$BP$10,0)))*$C111</f>
        <v>714884773.54401553</v>
      </c>
      <c r="O111" s="427">
        <f>(INDEX('Gasoline - DemandSupply'!$BK$12:$BP$38,MATCH($A111,'Gasoline - DemandSupply'!$BK$12:$BK$38,0),MATCH(O$9,'Gasoline - DemandSupply'!$BK$10:$BP$10,0)))*$C111</f>
        <v>1217200266.9424744</v>
      </c>
      <c r="P111" s="427">
        <f>(INDEX('Gasoline - DemandSupply'!$BK$12:$BP$38,MATCH($A111,'Gasoline - DemandSupply'!$BK$12:$BK$38,0),MATCH(P$9,'Gasoline - DemandSupply'!$BK$10:$BP$10,0)))*$C111</f>
        <v>526838151.54373032</v>
      </c>
      <c r="Q111" s="427">
        <f>(INDEX('Gasoline - DemandSupply'!$BK$12:$BP$38,MATCH($A111,'Gasoline - DemandSupply'!$BK$12:$BK$38,0),MATCH(Q$9,'Gasoline - DemandSupply'!$BK$10:$BP$10,0)))*$C111</f>
        <v>249691899.23687229</v>
      </c>
      <c r="R111" s="427">
        <f>(INDEX('Gasoline - DemandSupply'!$BK$12:$BP$38,MATCH($A111,'Gasoline - DemandSupply'!$BK$12:$BK$38,0),MATCH(R$9,'Gasoline - DemandSupply'!$BK$10:$BP$10,0)))*$C111</f>
        <v>556205884.61552405</v>
      </c>
      <c r="S111" s="429">
        <f t="shared" si="26"/>
        <v>526838151.54373032</v>
      </c>
      <c r="T111" s="429">
        <f t="shared" si="27"/>
        <v>1932085040.4864898</v>
      </c>
      <c r="U111" s="429">
        <f t="shared" si="28"/>
        <v>2458923192.03022</v>
      </c>
      <c r="V111" s="426">
        <f t="shared" si="23"/>
        <v>3264820975.882616</v>
      </c>
    </row>
    <row r="112" spans="1:25" ht="16.149999999999999" thickBot="1" x14ac:dyDescent="0.65">
      <c r="A112" s="431">
        <v>2040</v>
      </c>
      <c r="B112" s="422">
        <f>VLOOKUP($A112,'Gasoline - DemandSupply'!$AI$9:$AM$48,4,0)</f>
        <v>0.32307643447162065</v>
      </c>
      <c r="C112" s="422">
        <f>VLOOKUP($A112,'[1]Gasoline - DemandSupply'!AI40:AM78,5,0)</f>
        <v>0.3960772608409675</v>
      </c>
      <c r="D112" s="433"/>
      <c r="E112" s="428">
        <f>(INDEX('Gasoline - DemandSupply'!$BC$12:$BH$38,MATCH($A112,'Gasoline - DemandSupply'!$BC$12:$BC$38,0),MATCH(E$9,'Gasoline - DemandSupply'!$BC$10:$BH$10,0)))*$B112</f>
        <v>723994534.86575687</v>
      </c>
      <c r="F112" s="427">
        <f>(INDEX('Gasoline - DemandSupply'!$BC$12:$BH$38,MATCH($A112,'Gasoline - DemandSupply'!$BC$12:$BC$38,0),MATCH(F$9,'Gasoline - DemandSupply'!$BC$10:$BH$10,0)))*$B112</f>
        <v>1232711023.8126135</v>
      </c>
      <c r="G112" s="427">
        <f>(INDEX('Gasoline - DemandSupply'!$BC$12:$BH$38,MATCH($A112,'Gasoline - DemandSupply'!$BC$12:$BC$38,0),MATCH(G$9,'Gasoline - DemandSupply'!$BC$10:$BH$10,0)))*$B112</f>
        <v>533551638.79840785</v>
      </c>
      <c r="H112" s="427">
        <f>(INDEX('Gasoline - DemandSupply'!$BC$12:$BH$38,MATCH($A112,'Gasoline - DemandSupply'!$BC$12:$BC$38,0),MATCH(H$9,'Gasoline - DemandSupply'!$BC$10:$BH$10,0)))*$B112</f>
        <v>252873717.748328</v>
      </c>
      <c r="I112" s="427">
        <f>(INDEX('Gasoline - DemandSupply'!$BC$12:$BH$38,MATCH($A112,'Gasoline - DemandSupply'!$BC$12:$BC$38,0),MATCH(I$9,'Gasoline - DemandSupply'!$BC$10:$BH$10,0)))*$B112</f>
        <v>563293604.26225317</v>
      </c>
      <c r="J112" s="436">
        <f t="shared" si="24"/>
        <v>533551638.79840785</v>
      </c>
      <c r="K112" s="436">
        <f t="shared" si="29"/>
        <v>1956705558.6783705</v>
      </c>
      <c r="L112" s="436">
        <f t="shared" si="22"/>
        <v>2490257197.4767785</v>
      </c>
      <c r="M112" s="437">
        <f t="shared" si="25"/>
        <v>3306424519.48736</v>
      </c>
      <c r="N112" s="427">
        <f>(INDEX('Gasoline - DemandSupply'!$BK$12:$BP$38,MATCH($A112,'Gasoline - DemandSupply'!$BK$12:$BK$38,0),MATCH(N$9,'Gasoline - DemandSupply'!$BK$10:$BP$10,0)))*$C112</f>
        <v>643421452.97021985</v>
      </c>
      <c r="O112" s="427">
        <f>(INDEX('Gasoline - DemandSupply'!$BK$12:$BP$38,MATCH($A112,'Gasoline - DemandSupply'!$BK$12:$BK$38,0),MATCH(O$9,'Gasoline - DemandSupply'!$BK$10:$BP$10,0)))*$C112</f>
        <v>1095523073.5008042</v>
      </c>
      <c r="P112" s="427">
        <f>(INDEX('Gasoline - DemandSupply'!$BK$12:$BP$38,MATCH($A112,'Gasoline - DemandSupply'!$BK$12:$BK$38,0),MATCH(P$9,'Gasoline - DemandSupply'!$BK$10:$BP$10,0)))*$C112</f>
        <v>474172875.81316888</v>
      </c>
      <c r="Q112" s="427">
        <f>(INDEX('Gasoline - DemandSupply'!$BK$12:$BP$38,MATCH($A112,'Gasoline - DemandSupply'!$BK$12:$BK$38,0),MATCH(Q$9,'Gasoline - DemandSupply'!$BK$10:$BP$10,0)))*$C112</f>
        <v>224731495.96602848</v>
      </c>
      <c r="R112" s="427">
        <f>(INDEX('Gasoline - DemandSupply'!$BK$12:$BP$38,MATCH($A112,'Gasoline - DemandSupply'!$BK$12:$BK$38,0),MATCH(R$9,'Gasoline - DemandSupply'!$BK$10:$BP$10,0)))*$C112</f>
        <v>500604869.02771121</v>
      </c>
      <c r="S112" s="436">
        <f t="shared" si="26"/>
        <v>474172875.81316888</v>
      </c>
      <c r="T112" s="436">
        <f t="shared" si="27"/>
        <v>1738944526.471024</v>
      </c>
      <c r="U112" s="436"/>
      <c r="V112" s="437">
        <f t="shared" si="23"/>
        <v>2938453767.2779331</v>
      </c>
    </row>
    <row r="115" spans="6:10" x14ac:dyDescent="0.45">
      <c r="F115" t="s">
        <v>364</v>
      </c>
      <c r="G115" s="397">
        <v>9036950114</v>
      </c>
      <c r="J115" s="397">
        <f>9036950114*B95</f>
        <v>4058631984.8106904</v>
      </c>
    </row>
    <row r="116" spans="6:10" x14ac:dyDescent="0.45">
      <c r="F116" t="s">
        <v>365</v>
      </c>
      <c r="G116" s="397">
        <v>4482774760.3800001</v>
      </c>
    </row>
    <row r="117" spans="6:10" x14ac:dyDescent="0.45">
      <c r="F117" t="s">
        <v>366</v>
      </c>
      <c r="G117" s="397">
        <f>G115-G116</f>
        <v>4554175353.6199999</v>
      </c>
    </row>
    <row r="118" spans="6:10" x14ac:dyDescent="0.45">
      <c r="F118" t="s">
        <v>367</v>
      </c>
      <c r="G118" s="397">
        <v>12153341171</v>
      </c>
    </row>
  </sheetData>
  <mergeCells count="13">
    <mergeCell ref="A44:D44"/>
    <mergeCell ref="E44:M44"/>
    <mergeCell ref="N44:V44"/>
    <mergeCell ref="A79:V79"/>
    <mergeCell ref="A80:D80"/>
    <mergeCell ref="E80:M80"/>
    <mergeCell ref="N80:V80"/>
    <mergeCell ref="A43:V43"/>
    <mergeCell ref="B1:V3"/>
    <mergeCell ref="A7:V7"/>
    <mergeCell ref="A8:D8"/>
    <mergeCell ref="E8:M8"/>
    <mergeCell ref="N8:V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74A1-DA5E-46FF-BEC9-37FC8C92519F}">
  <dimension ref="A1:AM150"/>
  <sheetViews>
    <sheetView zoomScale="52" zoomScaleNormal="52" workbookViewId="0">
      <selection activeCell="C52" sqref="C52"/>
    </sheetView>
  </sheetViews>
  <sheetFormatPr defaultRowHeight="14.25" x14ac:dyDescent="0.45"/>
  <cols>
    <col min="1" max="1" width="33.3984375" bestFit="1" customWidth="1"/>
    <col min="2" max="2" width="15.86328125" customWidth="1"/>
    <col min="3" max="3" width="16.1328125" bestFit="1" customWidth="1"/>
    <col min="4" max="4" width="25.59765625" bestFit="1" customWidth="1"/>
    <col min="5" max="5" width="21.3984375" customWidth="1"/>
    <col min="6" max="6" width="47.1328125" customWidth="1"/>
    <col min="7" max="7" width="15.59765625" customWidth="1"/>
    <col min="8" max="8" width="20.265625" customWidth="1"/>
    <col min="9" max="9" width="17.1328125" bestFit="1" customWidth="1"/>
    <col min="10" max="10" width="8.59765625" bestFit="1" customWidth="1"/>
    <col min="11" max="11" width="17.3984375" bestFit="1" customWidth="1"/>
    <col min="12" max="12" width="14.3984375" customWidth="1"/>
    <col min="13" max="13" width="11.1328125" customWidth="1"/>
    <col min="14" max="14" width="11.3984375" bestFit="1" customWidth="1"/>
    <col min="15" max="15" width="15.86328125" customWidth="1"/>
    <col min="19" max="19" width="11.59765625" customWidth="1"/>
    <col min="21" max="21" width="17.1328125" customWidth="1"/>
    <col min="22" max="22" width="26.73046875" customWidth="1"/>
  </cols>
  <sheetData>
    <row r="1" spans="1:39" ht="21" x14ac:dyDescent="0.65">
      <c r="A1" s="242"/>
      <c r="B1" s="242"/>
      <c r="C1" s="242"/>
      <c r="D1" s="242" t="s">
        <v>368</v>
      </c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 t="s">
        <v>369</v>
      </c>
      <c r="AL1" s="242" t="s">
        <v>369</v>
      </c>
      <c r="AM1" s="242" t="s">
        <v>369</v>
      </c>
    </row>
    <row r="3" spans="1:39" x14ac:dyDescent="0.45">
      <c r="A3" s="449"/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 t="s">
        <v>369</v>
      </c>
      <c r="AL3" s="449" t="s">
        <v>369</v>
      </c>
      <c r="AM3" s="449" t="s">
        <v>369</v>
      </c>
    </row>
    <row r="4" spans="1:39" x14ac:dyDescent="0.45">
      <c r="A4" t="s">
        <v>370</v>
      </c>
      <c r="B4" s="450">
        <v>2023</v>
      </c>
      <c r="C4" s="450">
        <v>2024</v>
      </c>
    </row>
    <row r="5" spans="1:39" x14ac:dyDescent="0.45">
      <c r="A5" t="s">
        <v>112</v>
      </c>
      <c r="B5" s="202">
        <v>230000</v>
      </c>
      <c r="C5" s="202">
        <f>251667</f>
        <v>251667</v>
      </c>
      <c r="D5" s="54">
        <f>SUM(C5:C6)</f>
        <v>327667</v>
      </c>
      <c r="E5" s="451"/>
    </row>
    <row r="6" spans="1:39" x14ac:dyDescent="0.45">
      <c r="A6" t="s">
        <v>111</v>
      </c>
      <c r="B6" s="202">
        <v>83000</v>
      </c>
      <c r="C6" s="202">
        <f>76000</f>
        <v>76000</v>
      </c>
      <c r="E6" s="54"/>
      <c r="F6" s="54"/>
    </row>
    <row r="7" spans="1:39" x14ac:dyDescent="0.45">
      <c r="A7" t="s">
        <v>371</v>
      </c>
      <c r="B7">
        <v>1.1000000000000001</v>
      </c>
      <c r="E7" s="162"/>
    </row>
    <row r="8" spans="1:39" x14ac:dyDescent="0.45">
      <c r="A8" s="449" t="s">
        <v>372</v>
      </c>
      <c r="B8" s="449"/>
      <c r="C8" s="449" t="s">
        <v>373</v>
      </c>
      <c r="D8" s="449" t="s">
        <v>373</v>
      </c>
      <c r="E8" s="449"/>
      <c r="F8" s="449"/>
      <c r="G8" s="449"/>
      <c r="H8" s="449" t="s">
        <v>374</v>
      </c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449"/>
      <c r="W8" s="449"/>
      <c r="X8" s="449"/>
      <c r="Y8" s="449"/>
      <c r="Z8" s="449"/>
      <c r="AA8" s="449"/>
      <c r="AB8" s="449"/>
      <c r="AC8" s="449"/>
      <c r="AD8" s="449"/>
      <c r="AE8" s="449"/>
      <c r="AF8" s="449"/>
      <c r="AG8" s="449"/>
      <c r="AH8" s="449"/>
      <c r="AI8" s="449"/>
      <c r="AJ8" s="449"/>
      <c r="AK8" s="449" t="s">
        <v>369</v>
      </c>
      <c r="AL8" s="449" t="s">
        <v>369</v>
      </c>
      <c r="AM8" s="449" t="s">
        <v>369</v>
      </c>
    </row>
    <row r="9" spans="1:39" x14ac:dyDescent="0.45">
      <c r="F9" t="s">
        <v>375</v>
      </c>
      <c r="G9" s="452" t="s">
        <v>376</v>
      </c>
      <c r="M9" s="453" t="s">
        <v>377</v>
      </c>
      <c r="N9" s="453"/>
      <c r="O9" s="453"/>
      <c r="S9" s="573" t="s">
        <v>378</v>
      </c>
      <c r="T9" s="573"/>
      <c r="U9" s="573"/>
      <c r="V9" s="573"/>
      <c r="W9" s="573"/>
      <c r="X9" s="573"/>
    </row>
    <row r="10" spans="1:39" ht="42.75" x14ac:dyDescent="0.45">
      <c r="B10" t="s">
        <v>296</v>
      </c>
      <c r="C10" t="s">
        <v>379</v>
      </c>
      <c r="D10" t="s">
        <v>380</v>
      </c>
      <c r="E10" s="312" t="s">
        <v>381</v>
      </c>
      <c r="F10" s="312" t="s">
        <v>382</v>
      </c>
      <c r="G10" s="312" t="s">
        <v>383</v>
      </c>
      <c r="H10" s="312" t="s">
        <v>384</v>
      </c>
      <c r="I10" s="312" t="s">
        <v>385</v>
      </c>
      <c r="J10" s="312" t="s">
        <v>386</v>
      </c>
      <c r="K10" s="312" t="s">
        <v>387</v>
      </c>
      <c r="L10" s="312" t="s">
        <v>388</v>
      </c>
      <c r="M10" t="s">
        <v>389</v>
      </c>
      <c r="N10" t="s">
        <v>390</v>
      </c>
      <c r="O10" t="s">
        <v>391</v>
      </c>
      <c r="S10" t="s">
        <v>389</v>
      </c>
      <c r="U10" t="s">
        <v>391</v>
      </c>
      <c r="V10" t="s">
        <v>392</v>
      </c>
      <c r="W10" t="s">
        <v>392</v>
      </c>
      <c r="X10" t="s">
        <v>392</v>
      </c>
    </row>
    <row r="11" spans="1:39" x14ac:dyDescent="0.45">
      <c r="A11">
        <v>2012</v>
      </c>
      <c r="B11" s="1">
        <f>VLOOKUP(A11,fImports!$A$81:$V$112,12,FALSE)</f>
        <v>1344679093.1571112</v>
      </c>
      <c r="E11" s="202">
        <v>48846</v>
      </c>
      <c r="F11" s="54">
        <f>E11*1000</f>
        <v>48846000</v>
      </c>
      <c r="G11" s="454">
        <f>F11/B11</f>
        <v>3.6325395589602488E-2</v>
      </c>
    </row>
    <row r="12" spans="1:39" x14ac:dyDescent="0.45">
      <c r="A12">
        <v>2013</v>
      </c>
      <c r="B12" s="1">
        <f>VLOOKUP(A12,fImports!$A$81:$V$112,12,FALSE)</f>
        <v>1163884565.8676147</v>
      </c>
      <c r="E12" s="202">
        <v>32704</v>
      </c>
      <c r="F12" s="54">
        <f t="shared" ref="F12:F24" si="0">E12*1000</f>
        <v>32704000</v>
      </c>
      <c r="G12" s="454">
        <f>F12/B12</f>
        <v>2.8099006515840245E-2</v>
      </c>
    </row>
    <row r="13" spans="1:39" x14ac:dyDescent="0.45">
      <c r="A13">
        <v>2014</v>
      </c>
      <c r="B13" s="1">
        <f>VLOOKUP(A13,fImports!$A$81:$V$112,12,FALSE)</f>
        <v>887058082.07269454</v>
      </c>
      <c r="E13" s="202">
        <v>32705</v>
      </c>
      <c r="F13" s="54">
        <f t="shared" si="0"/>
        <v>32705000</v>
      </c>
      <c r="G13" s="454">
        <f>F13/B13</f>
        <v>3.6869062647602167E-2</v>
      </c>
    </row>
    <row r="14" spans="1:39" x14ac:dyDescent="0.45">
      <c r="A14">
        <v>2015</v>
      </c>
      <c r="B14" s="1">
        <f>VLOOKUP(A14,fImports!$A$81:$V$112,12,FALSE)</f>
        <v>1425077262.1535883</v>
      </c>
      <c r="E14" s="202">
        <v>17000</v>
      </c>
      <c r="F14" s="54">
        <f>E14*1000</f>
        <v>17000000</v>
      </c>
      <c r="G14" s="454">
        <f>F14/B14</f>
        <v>1.1929177772655963E-2</v>
      </c>
    </row>
    <row r="15" spans="1:39" x14ac:dyDescent="0.45">
      <c r="A15">
        <v>2016</v>
      </c>
      <c r="B15" s="1">
        <f>VLOOKUP(A15,fImports!$A$81:$V$112,12,FALSE)</f>
        <v>1057142624.1671886</v>
      </c>
      <c r="E15" s="202">
        <v>118517</v>
      </c>
      <c r="F15" s="54">
        <f t="shared" si="0"/>
        <v>118517000</v>
      </c>
      <c r="G15" s="454">
        <f t="shared" ref="G15:G18" si="1">F15/B15</f>
        <v>0.11211070038289968</v>
      </c>
      <c r="S15">
        <v>0</v>
      </c>
    </row>
    <row r="16" spans="1:39" x14ac:dyDescent="0.45">
      <c r="A16">
        <v>2017</v>
      </c>
      <c r="B16" s="1">
        <f>VLOOKUP(A16,fImports!$A$81:$V$112,12,FALSE)</f>
        <v>1605111844.4489498</v>
      </c>
      <c r="E16" s="202">
        <v>435283</v>
      </c>
      <c r="F16" s="54">
        <f t="shared" si="0"/>
        <v>435283000</v>
      </c>
      <c r="G16" s="454">
        <f t="shared" si="1"/>
        <v>0.27118546380762443</v>
      </c>
      <c r="S16" t="s">
        <v>393</v>
      </c>
      <c r="T16" t="s">
        <v>394</v>
      </c>
      <c r="U16" t="s">
        <v>393</v>
      </c>
      <c r="V16" t="s">
        <v>395</v>
      </c>
    </row>
    <row r="17" spans="1:39" x14ac:dyDescent="0.45">
      <c r="A17">
        <v>2018</v>
      </c>
      <c r="B17" s="1">
        <f>VLOOKUP(A17,fImports!$A$81:$V$112,12,FALSE)</f>
        <v>1644041197.3105936</v>
      </c>
      <c r="E17" s="202">
        <v>468646</v>
      </c>
      <c r="F17" s="54">
        <f t="shared" si="0"/>
        <v>468646000</v>
      </c>
      <c r="G17" s="454">
        <f>F17/B17</f>
        <v>0.28505733357937441</v>
      </c>
      <c r="R17">
        <v>2021</v>
      </c>
      <c r="S17">
        <v>0.75048798763725633</v>
      </c>
      <c r="T17">
        <f t="shared" ref="T17:T29" si="2">1-S17</f>
        <v>0.24951201236274367</v>
      </c>
      <c r="U17">
        <v>0.75048798763725633</v>
      </c>
      <c r="V17">
        <f t="shared" ref="V17:V19" si="3">1-U17</f>
        <v>0.24951201236274367</v>
      </c>
    </row>
    <row r="18" spans="1:39" x14ac:dyDescent="0.45">
      <c r="A18">
        <v>2019</v>
      </c>
      <c r="B18" s="1">
        <f>VLOOKUP(A18,fImports!$A$81:$V$112,12,FALSE)</f>
        <v>1129506979.281199</v>
      </c>
      <c r="E18" s="202">
        <v>479372</v>
      </c>
      <c r="F18" s="54">
        <f t="shared" si="0"/>
        <v>479372000</v>
      </c>
      <c r="G18" s="454">
        <f t="shared" si="1"/>
        <v>0.42440817878351228</v>
      </c>
      <c r="I18" s="455">
        <f>E6*(1.2-0.8)</f>
        <v>0</v>
      </c>
      <c r="R18">
        <v>2022</v>
      </c>
      <c r="S18">
        <v>0.76702647393706203</v>
      </c>
      <c r="T18">
        <f t="shared" si="2"/>
        <v>0.23297352606293797</v>
      </c>
      <c r="U18">
        <v>0.76702647393706203</v>
      </c>
      <c r="V18">
        <f t="shared" si="3"/>
        <v>0.23297352606293797</v>
      </c>
    </row>
    <row r="19" spans="1:39" x14ac:dyDescent="0.45">
      <c r="A19">
        <v>2020</v>
      </c>
      <c r="B19" s="1">
        <f>VLOOKUP(A19,fImports!$A$81:$V$112,12,FALSE)</f>
        <v>1314906025.3888378</v>
      </c>
      <c r="E19" s="202">
        <v>512814</v>
      </c>
      <c r="F19" s="54">
        <f t="shared" si="0"/>
        <v>512814000</v>
      </c>
      <c r="G19" s="454">
        <f>F19/B19</f>
        <v>0.39000049440670337</v>
      </c>
      <c r="R19">
        <v>2023</v>
      </c>
      <c r="S19">
        <v>0.92279288344290955</v>
      </c>
      <c r="T19">
        <f t="shared" si="2"/>
        <v>7.7207116557090449E-2</v>
      </c>
      <c r="U19">
        <v>0.92279288344290955</v>
      </c>
      <c r="V19">
        <f t="shared" si="3"/>
        <v>7.7207116557090449E-2</v>
      </c>
    </row>
    <row r="20" spans="1:39" x14ac:dyDescent="0.45">
      <c r="A20">
        <v>2021</v>
      </c>
      <c r="B20" s="1">
        <f>VLOOKUP(A20,fImports!$A$81:$V$112,12,FALSE)</f>
        <v>3052216595.5676765</v>
      </c>
      <c r="C20" s="1"/>
      <c r="E20" s="456">
        <v>738945.49549999973</v>
      </c>
      <c r="F20" s="54">
        <f t="shared" si="0"/>
        <v>738945495.49999976</v>
      </c>
      <c r="G20" s="454">
        <f>F20/B20</f>
        <v>0.24210126390540923</v>
      </c>
      <c r="H20" s="457">
        <v>0.8</v>
      </c>
      <c r="I20" s="1"/>
      <c r="P20" s="248"/>
      <c r="Q20" s="248"/>
      <c r="R20">
        <v>2024</v>
      </c>
      <c r="S20">
        <v>0.75048798763725633</v>
      </c>
      <c r="T20">
        <f t="shared" si="2"/>
        <v>0.24951201236274367</v>
      </c>
      <c r="U20">
        <v>0.75048798763725633</v>
      </c>
      <c r="V20">
        <f>1-U20</f>
        <v>0.24951201236274367</v>
      </c>
    </row>
    <row r="21" spans="1:39" x14ac:dyDescent="0.45">
      <c r="A21">
        <v>2022</v>
      </c>
      <c r="B21" s="1">
        <f>VLOOKUP(A21,fImports!$A$81:$V$112,12,FALSE)</f>
        <v>4133591447.0060902</v>
      </c>
      <c r="C21" s="1"/>
      <c r="D21" s="1"/>
      <c r="E21" s="456">
        <v>1003168.629</v>
      </c>
      <c r="F21" s="54">
        <f t="shared" si="0"/>
        <v>1003168629</v>
      </c>
      <c r="G21" s="454">
        <f>F21/B21</f>
        <v>0.24268693262527985</v>
      </c>
      <c r="H21" s="457">
        <v>1.06</v>
      </c>
      <c r="I21" s="1"/>
      <c r="P21" s="248"/>
      <c r="Q21" s="248"/>
      <c r="R21">
        <v>2025</v>
      </c>
      <c r="S21">
        <v>0.76702647393706203</v>
      </c>
      <c r="T21">
        <f t="shared" si="2"/>
        <v>0.23297352606293797</v>
      </c>
      <c r="U21">
        <v>0.76702647393706203</v>
      </c>
      <c r="V21">
        <f t="shared" ref="V21:V29" si="4">1-U21</f>
        <v>0.23297352606293797</v>
      </c>
    </row>
    <row r="22" spans="1:39" x14ac:dyDescent="0.45">
      <c r="A22">
        <v>2023</v>
      </c>
      <c r="B22" s="1">
        <f>VLOOKUP(A22,fImports!$A$81:$V$112,12,FALSE)</f>
        <v>3384573051.4680777</v>
      </c>
      <c r="C22" s="1"/>
      <c r="D22" s="1"/>
      <c r="E22" s="456">
        <v>969500.02550000011</v>
      </c>
      <c r="F22" s="54">
        <f t="shared" si="0"/>
        <v>969500025.50000012</v>
      </c>
      <c r="G22" s="454">
        <f>F22/B22</f>
        <v>0.28644677209123143</v>
      </c>
      <c r="H22" s="457">
        <v>1.06</v>
      </c>
      <c r="I22" s="1"/>
      <c r="P22" s="248"/>
      <c r="Q22" s="248"/>
      <c r="R22">
        <v>2026</v>
      </c>
      <c r="S22">
        <v>0.92279288344290955</v>
      </c>
      <c r="T22">
        <f t="shared" si="2"/>
        <v>7.7207116557090449E-2</v>
      </c>
      <c r="U22">
        <v>0.92279288344290955</v>
      </c>
      <c r="V22">
        <f t="shared" si="4"/>
        <v>7.7207116557090449E-2</v>
      </c>
    </row>
    <row r="23" spans="1:39" x14ac:dyDescent="0.45">
      <c r="A23">
        <v>2024</v>
      </c>
      <c r="B23" s="1">
        <f>VLOOKUP(A23,fImports!$A$81:$V$112,12,FALSE)</f>
        <v>3020714807.7084246</v>
      </c>
      <c r="C23" s="1"/>
      <c r="D23" s="1"/>
      <c r="E23" s="456">
        <v>823560.3539999997</v>
      </c>
      <c r="F23" s="54">
        <f t="shared" si="0"/>
        <v>823560353.99999964</v>
      </c>
      <c r="G23" s="454">
        <f t="shared" ref="G23:G24" si="5">F23/B23</f>
        <v>0.27263757303350633</v>
      </c>
      <c r="H23" s="457">
        <v>1.06</v>
      </c>
      <c r="I23" s="1"/>
      <c r="P23" s="248"/>
      <c r="Q23" s="248"/>
      <c r="R23">
        <v>2027</v>
      </c>
      <c r="S23">
        <v>0.51599362852547426</v>
      </c>
      <c r="T23">
        <f t="shared" si="2"/>
        <v>0.48400637147452574</v>
      </c>
      <c r="U23">
        <v>0.51599362852547426</v>
      </c>
      <c r="V23">
        <f t="shared" si="4"/>
        <v>0.48400637147452574</v>
      </c>
      <c r="AD23" s="248">
        <v>0.78</v>
      </c>
    </row>
    <row r="24" spans="1:39" x14ac:dyDescent="0.45">
      <c r="A24">
        <v>2025</v>
      </c>
      <c r="B24" s="1">
        <f>VLOOKUP(A24,fImports!$A$81:$V$112,12,FALSE)</f>
        <v>3063359953.5070748</v>
      </c>
      <c r="C24" s="1">
        <v>3063359953.5070748</v>
      </c>
      <c r="D24" s="1">
        <v>3063359953.5070748</v>
      </c>
      <c r="E24" s="456">
        <v>760154</v>
      </c>
      <c r="F24" s="54">
        <f t="shared" si="0"/>
        <v>760154000</v>
      </c>
      <c r="G24" s="454">
        <f t="shared" si="5"/>
        <v>0.24814387193700202</v>
      </c>
      <c r="H24" s="457">
        <v>1.06</v>
      </c>
      <c r="I24" s="1"/>
      <c r="M24" s="468">
        <v>0.24814387193700202</v>
      </c>
      <c r="N24" s="468">
        <v>0.24814387193700202</v>
      </c>
      <c r="O24" s="468">
        <v>0.24814387193700202</v>
      </c>
      <c r="P24" s="248"/>
      <c r="Q24" s="248"/>
      <c r="R24">
        <v>2028</v>
      </c>
      <c r="S24">
        <v>0.51370973681744203</v>
      </c>
      <c r="T24">
        <f t="shared" si="2"/>
        <v>0.48629026318255797</v>
      </c>
      <c r="U24">
        <v>0.51370973681744203</v>
      </c>
      <c r="V24">
        <f t="shared" si="4"/>
        <v>0.48629026318255797</v>
      </c>
      <c r="AC24" t="s">
        <v>396</v>
      </c>
      <c r="AD24" s="248">
        <v>0.25</v>
      </c>
    </row>
    <row r="25" spans="1:39" s="469" customFormat="1" x14ac:dyDescent="0.45">
      <c r="A25" s="469">
        <v>2026</v>
      </c>
      <c r="B25" s="470"/>
      <c r="C25" s="470">
        <f>'Deficit Manual '!N34</f>
        <v>1717660454.8333664</v>
      </c>
      <c r="D25" s="470">
        <f>'Deficit Manual '!M34</f>
        <v>1313890748.0061569</v>
      </c>
      <c r="E25" s="470"/>
      <c r="F25" s="470"/>
      <c r="H25" s="471">
        <v>1.3</v>
      </c>
      <c r="I25" s="470">
        <f t="shared" ref="I25:I29" si="6">H25*$C$6*1000*12</f>
        <v>1185600000</v>
      </c>
      <c r="J25" s="472">
        <f t="shared" ref="J25:J29" si="7">H25</f>
        <v>1.3</v>
      </c>
      <c r="K25" s="470">
        <f t="shared" ref="K25:K29" si="8">J25*$C$6*1000*12</f>
        <v>1185600000</v>
      </c>
      <c r="L25" s="473">
        <f>AVERAGE(K25,I25)</f>
        <v>1185600000</v>
      </c>
      <c r="M25" s="474">
        <f>I25/C25</f>
        <v>0.6902411921190893</v>
      </c>
      <c r="N25" s="475">
        <f t="shared" ref="N25" si="9">K25/D25</f>
        <v>0.90235813122145847</v>
      </c>
      <c r="O25" s="476">
        <f>L25/AVERAGE(C25:C25)</f>
        <v>0.6902411921190893</v>
      </c>
      <c r="P25" s="477"/>
      <c r="Q25" s="477"/>
      <c r="R25" s="469">
        <v>2029</v>
      </c>
      <c r="S25" s="469">
        <v>0.52789588809899157</v>
      </c>
      <c r="T25" s="469">
        <f t="shared" si="2"/>
        <v>0.47210411190100843</v>
      </c>
      <c r="U25" s="469">
        <v>0.52789588809899157</v>
      </c>
      <c r="V25" s="469">
        <f t="shared" si="4"/>
        <v>0.47210411190100843</v>
      </c>
    </row>
    <row r="26" spans="1:39" x14ac:dyDescent="0.45">
      <c r="A26">
        <v>2027</v>
      </c>
      <c r="B26" s="1"/>
      <c r="C26" s="1">
        <f>'Deficit Manual '!N35</f>
        <v>1657659306.1997452</v>
      </c>
      <c r="D26" s="1">
        <f>'Deficit Manual '!M35</f>
        <v>1353009883.8357153</v>
      </c>
      <c r="E26" s="1"/>
      <c r="F26" s="1"/>
      <c r="H26" s="471">
        <v>1.3</v>
      </c>
      <c r="I26" s="460">
        <f t="shared" si="6"/>
        <v>1185600000</v>
      </c>
      <c r="J26" s="458">
        <f t="shared" si="7"/>
        <v>1.3</v>
      </c>
      <c r="K26" s="461">
        <f t="shared" si="8"/>
        <v>1185600000</v>
      </c>
      <c r="L26" s="54">
        <f t="shared" ref="L26:L29" si="10">AVERAGE(K26,I26)</f>
        <v>1185600000</v>
      </c>
      <c r="M26" s="462">
        <f>I26/C26</f>
        <v>0.71522537566421818</v>
      </c>
      <c r="N26" s="454">
        <f>K26/D26</f>
        <v>0.87626854331535509</v>
      </c>
      <c r="O26" s="162">
        <f>L26/AVERAGE(C26:C26)</f>
        <v>0.71522537566421818</v>
      </c>
      <c r="P26" s="248"/>
      <c r="Q26" s="248"/>
      <c r="R26">
        <v>2030</v>
      </c>
      <c r="S26">
        <v>1</v>
      </c>
      <c r="T26">
        <f t="shared" si="2"/>
        <v>0</v>
      </c>
      <c r="U26">
        <v>0.484489839803737</v>
      </c>
      <c r="V26">
        <f t="shared" si="4"/>
        <v>0.51551016019626306</v>
      </c>
    </row>
    <row r="27" spans="1:39" x14ac:dyDescent="0.45">
      <c r="A27">
        <v>2028</v>
      </c>
      <c r="B27" s="1"/>
      <c r="C27" s="1">
        <f>'Deficit Manual '!N36</f>
        <v>1599798654.0014124</v>
      </c>
      <c r="D27" s="1">
        <f>'Deficit Manual '!M36</f>
        <v>1394933987.7457523</v>
      </c>
      <c r="E27" s="1"/>
      <c r="F27" s="1"/>
      <c r="H27" s="471">
        <v>1.3</v>
      </c>
      <c r="I27" s="460">
        <f t="shared" si="6"/>
        <v>1185600000</v>
      </c>
      <c r="J27" s="458">
        <f t="shared" si="7"/>
        <v>1.3</v>
      </c>
      <c r="K27" s="461">
        <f t="shared" si="8"/>
        <v>1185600000</v>
      </c>
      <c r="L27" s="54">
        <f t="shared" si="10"/>
        <v>1185600000</v>
      </c>
      <c r="M27" s="462">
        <f t="shared" ref="M27:M29" si="11">I27/C27</f>
        <v>0.74109326010156351</v>
      </c>
      <c r="N27" s="454">
        <f t="shared" ref="N27:N29" si="12">K27/D27</f>
        <v>0.84993269245375458</v>
      </c>
      <c r="O27" s="162">
        <f t="shared" ref="O27:O29" si="13">L27/AVERAGE(C27:C27)</f>
        <v>0.74109326010156351</v>
      </c>
      <c r="P27" s="248"/>
      <c r="Q27" s="248"/>
      <c r="R27">
        <v>2031</v>
      </c>
      <c r="S27">
        <v>1</v>
      </c>
      <c r="T27">
        <f t="shared" si="2"/>
        <v>0</v>
      </c>
      <c r="U27">
        <v>0.38999947893369702</v>
      </c>
      <c r="V27">
        <f t="shared" si="4"/>
        <v>0.61000052106630298</v>
      </c>
    </row>
    <row r="28" spans="1:39" x14ac:dyDescent="0.45">
      <c r="A28">
        <v>2029</v>
      </c>
      <c r="B28" s="1"/>
      <c r="C28" s="1">
        <f>'Deficit Manual '!N37</f>
        <v>1771521483.7122993</v>
      </c>
      <c r="D28" s="1">
        <f>'Deficit Manual '!M37</f>
        <v>1593271511.7782183</v>
      </c>
      <c r="E28" s="1"/>
      <c r="F28" s="1"/>
      <c r="H28" s="471">
        <v>1.3</v>
      </c>
      <c r="I28" s="460">
        <f t="shared" si="6"/>
        <v>1185600000</v>
      </c>
      <c r="J28" s="458">
        <f t="shared" si="7"/>
        <v>1.3</v>
      </c>
      <c r="K28" s="461">
        <f t="shared" si="8"/>
        <v>1185600000</v>
      </c>
      <c r="L28" s="54">
        <f t="shared" si="10"/>
        <v>1185600000</v>
      </c>
      <c r="M28" s="462">
        <f t="shared" si="11"/>
        <v>0.66925521982128278</v>
      </c>
      <c r="N28" s="454">
        <f t="shared" si="12"/>
        <v>0.74412929073010015</v>
      </c>
      <c r="O28" s="162">
        <f t="shared" si="13"/>
        <v>0.66925521982128278</v>
      </c>
      <c r="P28" s="248"/>
      <c r="Q28" s="248"/>
      <c r="R28">
        <v>2032</v>
      </c>
      <c r="S28">
        <v>1</v>
      </c>
      <c r="T28">
        <f t="shared" si="2"/>
        <v>0</v>
      </c>
      <c r="U28">
        <v>0.2769075499404543</v>
      </c>
      <c r="V28">
        <f t="shared" si="4"/>
        <v>0.7230924500595457</v>
      </c>
    </row>
    <row r="29" spans="1:39" x14ac:dyDescent="0.45">
      <c r="A29">
        <v>2030</v>
      </c>
      <c r="B29" s="1"/>
      <c r="C29" s="1">
        <f>'Deficit Manual '!N38</f>
        <v>1735924481.9167747</v>
      </c>
      <c r="D29" s="1">
        <f>'Deficit Manual '!M38</f>
        <v>1682792069.216608</v>
      </c>
      <c r="E29" s="1"/>
      <c r="F29" s="1"/>
      <c r="H29" s="471">
        <v>1.3</v>
      </c>
      <c r="I29" s="460">
        <f t="shared" si="6"/>
        <v>1185600000</v>
      </c>
      <c r="J29" s="458">
        <f t="shared" si="7"/>
        <v>1.3</v>
      </c>
      <c r="K29" s="461">
        <f t="shared" si="8"/>
        <v>1185600000</v>
      </c>
      <c r="L29" s="54">
        <f t="shared" si="10"/>
        <v>1185600000</v>
      </c>
      <c r="M29" s="462">
        <f t="shared" si="11"/>
        <v>0.68297901916267867</v>
      </c>
      <c r="N29" s="454">
        <f t="shared" si="12"/>
        <v>0.70454337270078393</v>
      </c>
      <c r="O29" s="162">
        <f t="shared" si="13"/>
        <v>0.68297901916267867</v>
      </c>
      <c r="P29" s="248"/>
      <c r="Q29" s="248"/>
      <c r="R29">
        <v>2033</v>
      </c>
      <c r="S29">
        <v>1</v>
      </c>
      <c r="T29">
        <f t="shared" si="2"/>
        <v>0</v>
      </c>
      <c r="U29">
        <v>0.28058607902856852</v>
      </c>
      <c r="V29">
        <f t="shared" si="4"/>
        <v>0.71941392097143142</v>
      </c>
    </row>
    <row r="30" spans="1:39" x14ac:dyDescent="0.45">
      <c r="E30" s="1"/>
      <c r="F30" s="1"/>
    </row>
    <row r="31" spans="1:39" x14ac:dyDescent="0.45">
      <c r="A31" s="449" t="s">
        <v>397</v>
      </c>
      <c r="B31" s="449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49"/>
      <c r="AE31" s="449"/>
      <c r="AF31" s="449"/>
      <c r="AG31" s="449"/>
      <c r="AH31" s="449"/>
      <c r="AI31" s="449"/>
      <c r="AJ31" s="449"/>
      <c r="AK31" s="449" t="s">
        <v>369</v>
      </c>
      <c r="AL31" s="449" t="s">
        <v>369</v>
      </c>
      <c r="AM31" s="449" t="s">
        <v>369</v>
      </c>
    </row>
    <row r="32" spans="1:39" x14ac:dyDescent="0.45">
      <c r="M32" s="453" t="s">
        <v>377</v>
      </c>
      <c r="N32" s="453"/>
      <c r="O32" s="453"/>
    </row>
    <row r="33" spans="1:16" ht="42.75" x14ac:dyDescent="0.45">
      <c r="B33" t="s">
        <v>398</v>
      </c>
      <c r="C33" t="s">
        <v>379</v>
      </c>
      <c r="D33" t="s">
        <v>399</v>
      </c>
      <c r="E33" s="312" t="s">
        <v>381</v>
      </c>
      <c r="F33" s="312" t="s">
        <v>382</v>
      </c>
      <c r="G33" s="312" t="s">
        <v>383</v>
      </c>
      <c r="H33" s="312" t="s">
        <v>384</v>
      </c>
      <c r="I33" s="312" t="s">
        <v>385</v>
      </c>
      <c r="J33" s="312" t="s">
        <v>386</v>
      </c>
      <c r="K33" s="312" t="s">
        <v>387</v>
      </c>
      <c r="L33" s="312" t="s">
        <v>388</v>
      </c>
      <c r="M33" t="s">
        <v>389</v>
      </c>
      <c r="N33" t="s">
        <v>390</v>
      </c>
      <c r="O33" t="s">
        <v>391</v>
      </c>
    </row>
    <row r="34" spans="1:16" x14ac:dyDescent="0.45">
      <c r="A34">
        <v>2012</v>
      </c>
      <c r="B34" s="1">
        <f>fImports!L48</f>
        <v>2165185587.0706043</v>
      </c>
      <c r="C34" s="1"/>
      <c r="D34" s="1"/>
      <c r="E34" s="202">
        <v>68621</v>
      </c>
      <c r="F34" s="54">
        <f>E34*1000</f>
        <v>68621000</v>
      </c>
      <c r="G34" s="454">
        <f>F34/B34</f>
        <v>3.1692895246379797E-2</v>
      </c>
    </row>
    <row r="35" spans="1:16" x14ac:dyDescent="0.45">
      <c r="A35">
        <v>2013</v>
      </c>
      <c r="B35" s="1">
        <f>fImports!L49</f>
        <v>2760741946.7655087</v>
      </c>
      <c r="C35" s="1"/>
      <c r="D35" s="1"/>
      <c r="E35" s="202">
        <v>83529</v>
      </c>
      <c r="F35" s="54">
        <f t="shared" ref="F35:F44" si="14">E35*1000</f>
        <v>83529000</v>
      </c>
      <c r="G35" s="454">
        <f t="shared" ref="G35:G42" si="15">F35/B35</f>
        <v>3.0255996978588585E-2</v>
      </c>
    </row>
    <row r="36" spans="1:16" x14ac:dyDescent="0.45">
      <c r="A36">
        <v>2014</v>
      </c>
      <c r="B36" s="1">
        <f>fImports!L50</f>
        <v>3216958588.0176687</v>
      </c>
      <c r="C36" s="1"/>
      <c r="D36" s="1"/>
      <c r="E36" s="202">
        <v>106777</v>
      </c>
      <c r="F36" s="54">
        <f t="shared" si="14"/>
        <v>106777000</v>
      </c>
      <c r="G36" s="454">
        <f t="shared" si="15"/>
        <v>3.3191910022627107E-2</v>
      </c>
    </row>
    <row r="37" spans="1:16" x14ac:dyDescent="0.45">
      <c r="A37">
        <v>2015</v>
      </c>
      <c r="B37" s="1">
        <f>fImports!L51</f>
        <v>3872927297.9814301</v>
      </c>
      <c r="C37" s="1"/>
      <c r="D37" s="1"/>
      <c r="E37" s="202">
        <v>258830</v>
      </c>
      <c r="F37" s="54">
        <f t="shared" si="14"/>
        <v>258830000</v>
      </c>
      <c r="G37" s="454">
        <f t="shared" si="15"/>
        <v>6.6830585778075977E-2</v>
      </c>
    </row>
    <row r="38" spans="1:16" x14ac:dyDescent="0.45">
      <c r="A38">
        <v>2016</v>
      </c>
      <c r="B38" s="1">
        <f>fImports!L52</f>
        <v>2807202439.4594846</v>
      </c>
      <c r="C38" s="1"/>
      <c r="D38" s="1"/>
      <c r="E38" s="202">
        <v>258830</v>
      </c>
      <c r="F38" s="54">
        <f t="shared" si="14"/>
        <v>258830000</v>
      </c>
      <c r="G38" s="454">
        <f t="shared" si="15"/>
        <v>9.220211423364133E-2</v>
      </c>
    </row>
    <row r="39" spans="1:16" x14ac:dyDescent="0.45">
      <c r="A39">
        <v>2017</v>
      </c>
      <c r="B39" s="1">
        <f>fImports!L53</f>
        <v>3873409236.7635546</v>
      </c>
      <c r="C39" s="1"/>
      <c r="D39" s="1"/>
      <c r="E39" s="202">
        <v>1674222</v>
      </c>
      <c r="F39" s="54">
        <f t="shared" si="14"/>
        <v>1674222000</v>
      </c>
      <c r="G39" s="454">
        <f t="shared" si="15"/>
        <v>0.43223473112768845</v>
      </c>
    </row>
    <row r="40" spans="1:16" x14ac:dyDescent="0.45">
      <c r="A40">
        <v>2018</v>
      </c>
      <c r="B40" s="1">
        <f>fImports!L54</f>
        <v>3865729884.0216031</v>
      </c>
      <c r="C40" s="1"/>
      <c r="D40" s="1"/>
      <c r="E40" s="202">
        <v>1294405</v>
      </c>
      <c r="F40" s="54">
        <f>E40*1000</f>
        <v>1294405000</v>
      </c>
      <c r="G40" s="454">
        <f t="shared" si="15"/>
        <v>0.33484103619092037</v>
      </c>
    </row>
    <row r="41" spans="1:16" x14ac:dyDescent="0.45">
      <c r="A41">
        <v>2019</v>
      </c>
      <c r="B41" s="1">
        <f>fImports!L55</f>
        <v>3762091651.509264</v>
      </c>
      <c r="C41" s="1"/>
      <c r="D41" s="1"/>
      <c r="E41" s="202">
        <v>1112000</v>
      </c>
      <c r="F41" s="54">
        <f t="shared" si="14"/>
        <v>1112000000</v>
      </c>
      <c r="G41" s="454">
        <f t="shared" si="15"/>
        <v>0.295580252425241</v>
      </c>
    </row>
    <row r="42" spans="1:16" x14ac:dyDescent="0.45">
      <c r="A42">
        <v>2020</v>
      </c>
      <c r="B42" s="1">
        <f>fImports!L56</f>
        <v>4630485410.0340328</v>
      </c>
      <c r="C42" s="1"/>
      <c r="D42" s="1"/>
      <c r="E42" s="202">
        <v>1289000</v>
      </c>
      <c r="F42" s="54">
        <f t="shared" si="14"/>
        <v>1289000000</v>
      </c>
      <c r="G42" s="454">
        <f t="shared" si="15"/>
        <v>0.2783725432341933</v>
      </c>
    </row>
    <row r="43" spans="1:16" x14ac:dyDescent="0.45">
      <c r="A43">
        <v>2021</v>
      </c>
      <c r="B43" s="1">
        <f>fImports!L57</f>
        <v>6316075075.5235729</v>
      </c>
      <c r="C43" s="1"/>
      <c r="D43" s="1"/>
      <c r="E43" s="456">
        <v>2158415.8170000003</v>
      </c>
      <c r="F43" s="54">
        <f t="shared" si="14"/>
        <v>2158415817.0000005</v>
      </c>
      <c r="G43" s="454">
        <f>F43/B43</f>
        <v>0.34173371772676053</v>
      </c>
      <c r="H43" s="457">
        <f>H20</f>
        <v>0.8</v>
      </c>
      <c r="P43" s="248"/>
    </row>
    <row r="44" spans="1:16" x14ac:dyDescent="0.45">
      <c r="A44">
        <v>2022</v>
      </c>
      <c r="B44" s="1">
        <f>fImports!L58</f>
        <v>7210814183.1640472</v>
      </c>
      <c r="C44" s="1"/>
      <c r="D44" s="1"/>
      <c r="E44" s="456">
        <v>2813606.8709999993</v>
      </c>
      <c r="F44" s="54">
        <f t="shared" si="14"/>
        <v>2813606870.9999995</v>
      </c>
      <c r="G44" s="454">
        <f>F44/B44</f>
        <v>0.39019267443741168</v>
      </c>
      <c r="H44" s="457">
        <f t="shared" ref="H44:H52" si="16">H21</f>
        <v>1.06</v>
      </c>
      <c r="P44" s="248"/>
    </row>
    <row r="45" spans="1:16" x14ac:dyDescent="0.45">
      <c r="A45">
        <v>2023</v>
      </c>
      <c r="B45" s="1">
        <f>fImports!L59</f>
        <v>7996500175.481019</v>
      </c>
      <c r="C45" s="1"/>
      <c r="D45" s="1"/>
      <c r="E45" s="456">
        <v>3068273.6530000004</v>
      </c>
      <c r="F45" s="54">
        <f>E45*1000</f>
        <v>3068273653.0000005</v>
      </c>
      <c r="G45" s="454">
        <f>F45/B45</f>
        <v>0.38370206786313643</v>
      </c>
      <c r="H45" s="457">
        <f t="shared" si="16"/>
        <v>1.06</v>
      </c>
      <c r="P45" s="248"/>
    </row>
    <row r="46" spans="1:16" x14ac:dyDescent="0.45">
      <c r="A46">
        <v>2024</v>
      </c>
      <c r="B46" s="1">
        <f>fImports!L60</f>
        <v>6691862157.0900211</v>
      </c>
      <c r="C46" s="1"/>
      <c r="D46" s="1"/>
      <c r="E46" s="456">
        <v>2912827.755499999</v>
      </c>
      <c r="F46" s="54">
        <f>E46*1000</f>
        <v>2912827755.499999</v>
      </c>
      <c r="G46" s="454">
        <f t="shared" ref="G46:G47" si="17">F46/B46</f>
        <v>0.43527910275525639</v>
      </c>
      <c r="H46" s="457">
        <f>H23</f>
        <v>1.06</v>
      </c>
      <c r="P46" s="248"/>
    </row>
    <row r="47" spans="1:16" x14ac:dyDescent="0.45">
      <c r="A47">
        <v>2025</v>
      </c>
      <c r="B47" s="1">
        <f>fImports!L61</f>
        <v>7178949818.7351646</v>
      </c>
      <c r="C47" s="1">
        <v>7178949818.7351646</v>
      </c>
      <c r="D47" s="1">
        <v>7178949818.7351646</v>
      </c>
      <c r="E47" s="456">
        <v>3335148</v>
      </c>
      <c r="F47" s="54">
        <f>E47*1000</f>
        <v>3335148000</v>
      </c>
      <c r="G47" s="454">
        <f t="shared" si="17"/>
        <v>0.46457324319166349</v>
      </c>
      <c r="H47" s="457">
        <f t="shared" si="16"/>
        <v>1.06</v>
      </c>
      <c r="P47" s="248"/>
    </row>
    <row r="48" spans="1:16" s="469" customFormat="1" x14ac:dyDescent="0.45">
      <c r="A48" s="469">
        <v>2026</v>
      </c>
      <c r="B48" s="470"/>
      <c r="C48" s="470">
        <f>'Deficit Manual '!P34</f>
        <v>6693823526.8571157</v>
      </c>
      <c r="D48" s="470">
        <f>'Deficit Manual '!O34</f>
        <v>7757484327.3659</v>
      </c>
      <c r="E48" s="470"/>
      <c r="H48" s="471">
        <f t="shared" si="16"/>
        <v>1.3</v>
      </c>
      <c r="I48" s="470">
        <f t="shared" ref="I48:I52" si="18">H48*$C$5*1000*12</f>
        <v>3926005200.000001</v>
      </c>
      <c r="J48" s="472">
        <f t="shared" ref="J48:J52" si="19">H48</f>
        <v>1.3</v>
      </c>
      <c r="K48" s="470">
        <f t="shared" ref="K48:K52" si="20">J48*$C$5*1000*12</f>
        <v>3926005200.000001</v>
      </c>
      <c r="L48" s="473">
        <f t="shared" ref="L48:L52" si="21">AVERAGE(K48,I48)</f>
        <v>3926005200.000001</v>
      </c>
      <c r="M48" s="475">
        <f t="shared" ref="M48:M52" si="22">I48/C48</f>
        <v>0.58651160793946699</v>
      </c>
      <c r="N48" s="475">
        <f t="shared" ref="N48:N52" si="23">K48/D48</f>
        <v>0.50609257258185136</v>
      </c>
      <c r="O48" s="476">
        <f t="shared" ref="O48:O52" si="24">L48/AVERAGE(C48:D48)</f>
        <v>0.54334254582400709</v>
      </c>
      <c r="P48" s="477"/>
    </row>
    <row r="49" spans="1:39" x14ac:dyDescent="0.45">
      <c r="A49">
        <v>2027</v>
      </c>
      <c r="B49" s="1"/>
      <c r="C49" s="1">
        <f>'Deficit Manual '!P35</f>
        <v>6915531810.518569</v>
      </c>
      <c r="D49" s="1">
        <f>'Deficit Manual '!O35</f>
        <v>7940028141.6508503</v>
      </c>
      <c r="E49" s="1"/>
      <c r="H49" s="457">
        <f t="shared" si="16"/>
        <v>1.3</v>
      </c>
      <c r="I49" s="463">
        <f t="shared" si="18"/>
        <v>3926005200.000001</v>
      </c>
      <c r="J49" s="458">
        <f t="shared" si="19"/>
        <v>1.3</v>
      </c>
      <c r="K49" s="463">
        <f t="shared" si="20"/>
        <v>3926005200.000001</v>
      </c>
      <c r="L49" s="54">
        <f t="shared" si="21"/>
        <v>3926005200.000001</v>
      </c>
      <c r="M49" s="454">
        <f t="shared" si="22"/>
        <v>0.56770835672081232</v>
      </c>
      <c r="N49" s="454">
        <f t="shared" si="23"/>
        <v>0.49445734069951619</v>
      </c>
      <c r="O49" s="162">
        <f t="shared" si="24"/>
        <v>0.52855701335265659</v>
      </c>
      <c r="P49" s="248"/>
    </row>
    <row r="50" spans="1:39" x14ac:dyDescent="0.45">
      <c r="A50">
        <v>2028</v>
      </c>
      <c r="B50" s="1"/>
      <c r="C50" s="1">
        <f>'Deficit Manual '!P36</f>
        <v>6983066175.8710022</v>
      </c>
      <c r="D50" s="1">
        <f>'Deficit Manual '!O36</f>
        <v>8126014926.9088087</v>
      </c>
      <c r="E50" s="1"/>
      <c r="H50" s="457">
        <f t="shared" si="16"/>
        <v>1.3</v>
      </c>
      <c r="I50" s="463">
        <f t="shared" si="18"/>
        <v>3926005200.000001</v>
      </c>
      <c r="J50" s="458">
        <f t="shared" si="19"/>
        <v>1.3</v>
      </c>
      <c r="K50" s="463">
        <f t="shared" si="20"/>
        <v>3926005200.000001</v>
      </c>
      <c r="L50" s="54">
        <f t="shared" si="21"/>
        <v>3926005200.000001</v>
      </c>
      <c r="M50" s="454">
        <f t="shared" si="22"/>
        <v>0.56221795714406331</v>
      </c>
      <c r="N50" s="454">
        <f t="shared" si="23"/>
        <v>0.48314028897476813</v>
      </c>
      <c r="O50" s="162">
        <f t="shared" si="24"/>
        <v>0.519688149569557</v>
      </c>
      <c r="P50" s="248"/>
    </row>
    <row r="51" spans="1:39" x14ac:dyDescent="0.45">
      <c r="A51">
        <v>2029</v>
      </c>
      <c r="B51" s="1"/>
      <c r="C51" s="1">
        <f>'Deficit Manual '!P37</f>
        <v>7045080531.5760565</v>
      </c>
      <c r="D51" s="1">
        <f>'Deficit Manual '!O37</f>
        <v>8342706818.0825615</v>
      </c>
      <c r="E51" s="1"/>
      <c r="H51" s="457">
        <f t="shared" si="16"/>
        <v>1.3</v>
      </c>
      <c r="I51" s="463">
        <f t="shared" si="18"/>
        <v>3926005200.000001</v>
      </c>
      <c r="J51" s="458">
        <f t="shared" si="19"/>
        <v>1.3</v>
      </c>
      <c r="K51" s="463">
        <f t="shared" si="20"/>
        <v>3926005200.000001</v>
      </c>
      <c r="L51" s="54">
        <f t="shared" si="21"/>
        <v>3926005200.000001</v>
      </c>
      <c r="M51" s="454">
        <f t="shared" si="22"/>
        <v>0.5572690308369993</v>
      </c>
      <c r="N51" s="454">
        <f t="shared" si="23"/>
        <v>0.47059129436150204</v>
      </c>
      <c r="O51" s="162">
        <f t="shared" si="24"/>
        <v>0.51027546856333439</v>
      </c>
      <c r="P51" s="248"/>
    </row>
    <row r="52" spans="1:39" x14ac:dyDescent="0.45">
      <c r="A52">
        <v>2030</v>
      </c>
      <c r="B52" s="1"/>
      <c r="C52" s="1">
        <f>'Deficit Manual '!P38</f>
        <v>7072450755.8253317</v>
      </c>
      <c r="D52" s="1">
        <f>'Deficit Manual '!O38</f>
        <v>8543493339.1887875</v>
      </c>
      <c r="E52" s="1"/>
      <c r="H52" s="457">
        <f t="shared" si="16"/>
        <v>1.3</v>
      </c>
      <c r="I52" s="463">
        <f t="shared" si="18"/>
        <v>3926005200.000001</v>
      </c>
      <c r="J52" s="458">
        <f t="shared" si="19"/>
        <v>1.3</v>
      </c>
      <c r="K52" s="463">
        <f t="shared" si="20"/>
        <v>3926005200.000001</v>
      </c>
      <c r="L52" s="54">
        <f t="shared" si="21"/>
        <v>3926005200.000001</v>
      </c>
      <c r="M52" s="454">
        <f t="shared" si="22"/>
        <v>0.55511241230860275</v>
      </c>
      <c r="N52" s="454">
        <f t="shared" si="23"/>
        <v>0.45953160424337369</v>
      </c>
      <c r="O52" s="162">
        <f t="shared" si="24"/>
        <v>0.50282008902087472</v>
      </c>
      <c r="P52" s="248"/>
    </row>
    <row r="54" spans="1:39" x14ac:dyDescent="0.45">
      <c r="A54" s="449" t="s">
        <v>400</v>
      </c>
      <c r="B54" s="449"/>
      <c r="C54" s="449"/>
      <c r="D54" s="449"/>
      <c r="E54" s="449"/>
      <c r="F54" s="449"/>
      <c r="G54" s="449"/>
      <c r="H54" s="449"/>
      <c r="I54" s="449"/>
      <c r="J54" s="449"/>
      <c r="K54" s="449"/>
      <c r="L54" s="449"/>
      <c r="M54" s="449"/>
      <c r="N54" s="449"/>
      <c r="O54" s="449"/>
      <c r="P54" s="449"/>
      <c r="Q54" s="449"/>
      <c r="R54" s="449"/>
      <c r="S54" s="449"/>
      <c r="T54" s="449"/>
      <c r="U54" s="449"/>
      <c r="V54" s="449"/>
      <c r="W54" s="449"/>
      <c r="X54" s="449"/>
      <c r="Y54" s="449"/>
      <c r="Z54" s="449"/>
      <c r="AA54" s="449"/>
      <c r="AB54" s="449"/>
      <c r="AC54" s="449"/>
      <c r="AD54" s="449"/>
      <c r="AE54" s="449"/>
      <c r="AF54" s="449"/>
      <c r="AG54" s="449"/>
      <c r="AH54" s="449"/>
      <c r="AI54" s="449"/>
      <c r="AJ54" s="449"/>
      <c r="AK54" s="449" t="s">
        <v>369</v>
      </c>
      <c r="AL54" s="449" t="s">
        <v>369</v>
      </c>
      <c r="AM54" s="449" t="s">
        <v>369</v>
      </c>
    </row>
    <row r="55" spans="1:39" x14ac:dyDescent="0.45">
      <c r="K55" s="453" t="s">
        <v>377</v>
      </c>
      <c r="L55" s="453"/>
      <c r="M55" s="453"/>
    </row>
    <row r="56" spans="1:39" ht="42.75" x14ac:dyDescent="0.45">
      <c r="B56" t="s">
        <v>398</v>
      </c>
      <c r="C56" t="s">
        <v>379</v>
      </c>
      <c r="D56" t="s">
        <v>399</v>
      </c>
      <c r="E56" s="312" t="s">
        <v>381</v>
      </c>
      <c r="F56" s="312" t="s">
        <v>382</v>
      </c>
      <c r="G56" s="312" t="s">
        <v>385</v>
      </c>
      <c r="H56" s="312" t="s">
        <v>387</v>
      </c>
      <c r="I56" t="s">
        <v>389</v>
      </c>
      <c r="J56" t="s">
        <v>390</v>
      </c>
    </row>
    <row r="57" spans="1:39" x14ac:dyDescent="0.45">
      <c r="A57">
        <v>2012</v>
      </c>
      <c r="B57" s="1">
        <f>B11+B34</f>
        <v>3509864680.2277155</v>
      </c>
      <c r="C57" s="1"/>
      <c r="D57" s="1"/>
      <c r="E57" s="1">
        <f>E11+E34</f>
        <v>117467</v>
      </c>
      <c r="F57" s="54">
        <f>F11+F34</f>
        <v>117467000</v>
      </c>
      <c r="I57" s="454">
        <f>F57/B57</f>
        <v>3.3467672033549424E-2</v>
      </c>
    </row>
    <row r="58" spans="1:39" x14ac:dyDescent="0.45">
      <c r="A58">
        <v>2013</v>
      </c>
      <c r="B58" s="1">
        <f t="shared" ref="B58:E67" si="25">B12+B35</f>
        <v>3924626512.6331234</v>
      </c>
      <c r="C58" s="1"/>
      <c r="D58" s="1"/>
      <c r="E58" s="1">
        <f t="shared" ref="E58:F66" si="26">E12+E35</f>
        <v>116233</v>
      </c>
      <c r="F58" s="54">
        <f t="shared" si="26"/>
        <v>116233000</v>
      </c>
      <c r="I58" s="454">
        <f t="shared" ref="I58:I67" si="27">F58/B58</f>
        <v>2.9616321355892938E-2</v>
      </c>
    </row>
    <row r="59" spans="1:39" x14ac:dyDescent="0.45">
      <c r="A59">
        <v>2014</v>
      </c>
      <c r="B59" s="1">
        <f t="shared" si="25"/>
        <v>4104016670.0903635</v>
      </c>
      <c r="C59" s="1"/>
      <c r="D59" s="1"/>
      <c r="E59" s="1">
        <f t="shared" si="26"/>
        <v>139482</v>
      </c>
      <c r="F59" s="54">
        <f t="shared" si="26"/>
        <v>139482000</v>
      </c>
      <c r="I59" s="454">
        <f t="shared" si="27"/>
        <v>3.3986704054233007E-2</v>
      </c>
    </row>
    <row r="60" spans="1:39" x14ac:dyDescent="0.45">
      <c r="A60">
        <v>2015</v>
      </c>
      <c r="B60" s="1">
        <f t="shared" si="25"/>
        <v>5298004560.1350183</v>
      </c>
      <c r="C60" s="1"/>
      <c r="D60" s="1"/>
      <c r="E60" s="1">
        <f t="shared" si="26"/>
        <v>275830</v>
      </c>
      <c r="F60" s="54">
        <f t="shared" si="26"/>
        <v>275830000</v>
      </c>
      <c r="I60" s="454">
        <f t="shared" si="27"/>
        <v>5.2062997845545557E-2</v>
      </c>
    </row>
    <row r="61" spans="1:39" x14ac:dyDescent="0.45">
      <c r="A61">
        <v>2016</v>
      </c>
      <c r="B61" s="1">
        <f t="shared" si="25"/>
        <v>3864345063.6266732</v>
      </c>
      <c r="C61" s="1"/>
      <c r="D61" s="1"/>
      <c r="E61" s="1">
        <f t="shared" si="26"/>
        <v>377347</v>
      </c>
      <c r="F61" s="54">
        <f t="shared" si="26"/>
        <v>377347000</v>
      </c>
      <c r="I61" s="454">
        <f t="shared" si="27"/>
        <v>9.7648370884835342E-2</v>
      </c>
    </row>
    <row r="62" spans="1:39" x14ac:dyDescent="0.45">
      <c r="A62">
        <v>2017</v>
      </c>
      <c r="B62" s="1">
        <f t="shared" si="25"/>
        <v>5478521081.2125044</v>
      </c>
      <c r="C62" s="1"/>
      <c r="D62" s="1"/>
      <c r="E62" s="464">
        <f t="shared" si="26"/>
        <v>2109505</v>
      </c>
      <c r="F62" s="54">
        <f t="shared" si="26"/>
        <v>2109505000</v>
      </c>
      <c r="I62" s="454">
        <f t="shared" si="27"/>
        <v>0.38505008354063414</v>
      </c>
    </row>
    <row r="63" spans="1:39" x14ac:dyDescent="0.45">
      <c r="A63">
        <v>2018</v>
      </c>
      <c r="B63" s="1">
        <f t="shared" si="25"/>
        <v>5509771081.3321972</v>
      </c>
      <c r="C63" s="1"/>
      <c r="D63" s="1"/>
      <c r="E63" s="464">
        <f t="shared" si="26"/>
        <v>1763051</v>
      </c>
      <c r="F63" s="54">
        <f t="shared" si="26"/>
        <v>1763051000</v>
      </c>
      <c r="I63" s="454">
        <f t="shared" si="27"/>
        <v>0.31998625241862411</v>
      </c>
    </row>
    <row r="64" spans="1:39" x14ac:dyDescent="0.45">
      <c r="A64">
        <v>2019</v>
      </c>
      <c r="B64" s="1">
        <f t="shared" si="25"/>
        <v>4891598630.7904625</v>
      </c>
      <c r="C64" s="1"/>
      <c r="D64" s="1"/>
      <c r="E64" s="464">
        <f t="shared" si="26"/>
        <v>1591372</v>
      </c>
      <c r="F64" s="54">
        <f t="shared" si="26"/>
        <v>1591372000</v>
      </c>
      <c r="I64" s="454">
        <f t="shared" si="27"/>
        <v>0.32532759126699662</v>
      </c>
    </row>
    <row r="65" spans="1:39" x14ac:dyDescent="0.45">
      <c r="A65">
        <v>2020</v>
      </c>
      <c r="B65" s="1">
        <f t="shared" si="25"/>
        <v>5945391435.4228706</v>
      </c>
      <c r="C65" s="1"/>
      <c r="D65" s="1"/>
      <c r="E65" s="464">
        <f t="shared" si="26"/>
        <v>1801814</v>
      </c>
      <c r="F65" s="54">
        <f>F19+F42</f>
        <v>1801814000</v>
      </c>
      <c r="I65" s="454">
        <f t="shared" si="27"/>
        <v>0.30306061755071717</v>
      </c>
    </row>
    <row r="66" spans="1:39" x14ac:dyDescent="0.45">
      <c r="A66">
        <v>2021</v>
      </c>
      <c r="B66" s="1">
        <f t="shared" si="25"/>
        <v>9368291671.0912495</v>
      </c>
      <c r="C66" s="1"/>
      <c r="D66" s="1"/>
      <c r="E66" s="464">
        <f>E20+E43</f>
        <v>2897361.3125</v>
      </c>
      <c r="F66" s="54">
        <f t="shared" si="26"/>
        <v>2897361312.5</v>
      </c>
      <c r="I66" s="454">
        <f t="shared" si="27"/>
        <v>0.30927317532615911</v>
      </c>
      <c r="J66" s="459"/>
      <c r="K66" s="459"/>
    </row>
    <row r="67" spans="1:39" x14ac:dyDescent="0.45">
      <c r="A67">
        <v>2022</v>
      </c>
      <c r="B67" s="1">
        <f t="shared" si="25"/>
        <v>11344405630.170137</v>
      </c>
      <c r="C67" s="1"/>
      <c r="D67" s="1"/>
      <c r="E67" s="464">
        <f t="shared" si="25"/>
        <v>3816775.4999999991</v>
      </c>
      <c r="F67" s="54">
        <f>F21+F44</f>
        <v>3816775499.9999995</v>
      </c>
      <c r="G67" s="1">
        <f>F67</f>
        <v>3816775499.9999995</v>
      </c>
      <c r="H67" s="1"/>
      <c r="I67" s="454">
        <f t="shared" si="27"/>
        <v>0.33644561243908533</v>
      </c>
      <c r="J67" s="459"/>
      <c r="K67" s="459"/>
    </row>
    <row r="68" spans="1:39" x14ac:dyDescent="0.45">
      <c r="A68">
        <v>2023</v>
      </c>
      <c r="B68" s="1">
        <f>B22+B45</f>
        <v>11381073226.949097</v>
      </c>
      <c r="C68" s="1">
        <f>C22+C45</f>
        <v>0</v>
      </c>
      <c r="D68" s="1">
        <f>D22+D45</f>
        <v>0</v>
      </c>
      <c r="E68" s="464">
        <f>E22+E45</f>
        <v>4037773.6785000004</v>
      </c>
      <c r="F68" s="54">
        <f>F22+F45</f>
        <v>4037773678.5000005</v>
      </c>
      <c r="G68" s="1">
        <f>F68</f>
        <v>4037773678.5000005</v>
      </c>
      <c r="H68" s="1">
        <f>G68</f>
        <v>4037773678.5000005</v>
      </c>
      <c r="I68" s="454" t="e">
        <f t="shared" ref="I68:J75" si="28">G68/C68</f>
        <v>#DIV/0!</v>
      </c>
      <c r="J68" s="454" t="e">
        <f t="shared" si="28"/>
        <v>#DIV/0!</v>
      </c>
      <c r="K68" s="459"/>
    </row>
    <row r="69" spans="1:39" x14ac:dyDescent="0.45">
      <c r="A69">
        <v>2024</v>
      </c>
      <c r="B69" s="1"/>
      <c r="C69" s="1">
        <f>C23+C46</f>
        <v>0</v>
      </c>
      <c r="D69" s="1">
        <f>D23+D46</f>
        <v>0</v>
      </c>
      <c r="E69" s="1"/>
      <c r="G69" s="1">
        <f t="shared" ref="G69:G74" si="29">I46+I24</f>
        <v>0</v>
      </c>
      <c r="H69" s="1">
        <f>K46+K23</f>
        <v>0</v>
      </c>
      <c r="I69" s="454" t="e">
        <f t="shared" si="28"/>
        <v>#DIV/0!</v>
      </c>
      <c r="J69" s="454" t="e">
        <f t="shared" si="28"/>
        <v>#DIV/0!</v>
      </c>
      <c r="K69" s="454"/>
    </row>
    <row r="70" spans="1:39" x14ac:dyDescent="0.45">
      <c r="A70">
        <v>2025</v>
      </c>
      <c r="B70" s="1"/>
      <c r="C70" s="1">
        <f t="shared" ref="C70:D75" si="30">C24+C47</f>
        <v>10242309772.242239</v>
      </c>
      <c r="D70" s="1">
        <f t="shared" si="30"/>
        <v>10242309772.242239</v>
      </c>
      <c r="E70" s="1"/>
      <c r="G70" s="1">
        <f t="shared" si="29"/>
        <v>1185600000</v>
      </c>
      <c r="H70" s="1">
        <f t="shared" ref="H70:H75" si="31">K47+K24</f>
        <v>0</v>
      </c>
      <c r="I70" s="454">
        <f t="shared" si="28"/>
        <v>0.11575513984288031</v>
      </c>
      <c r="J70" s="454">
        <f t="shared" si="28"/>
        <v>0</v>
      </c>
      <c r="K70" s="454"/>
    </row>
    <row r="71" spans="1:39" x14ac:dyDescent="0.45">
      <c r="A71">
        <v>2026</v>
      </c>
      <c r="B71" s="1"/>
      <c r="C71" s="1">
        <f>C25+C48</f>
        <v>8411483981.6904821</v>
      </c>
      <c r="D71" s="1">
        <f t="shared" si="30"/>
        <v>9071375075.372057</v>
      </c>
      <c r="E71" s="1"/>
      <c r="G71" s="1">
        <f t="shared" si="29"/>
        <v>5111605200.000001</v>
      </c>
      <c r="H71" s="1">
        <f t="shared" si="31"/>
        <v>5111605200.000001</v>
      </c>
      <c r="I71" s="454">
        <f t="shared" si="28"/>
        <v>0.60769362589604625</v>
      </c>
      <c r="J71" s="454">
        <f t="shared" si="28"/>
        <v>0.56348736079467554</v>
      </c>
      <c r="K71" s="454"/>
    </row>
    <row r="72" spans="1:39" x14ac:dyDescent="0.45">
      <c r="A72">
        <v>2027</v>
      </c>
      <c r="B72" s="1"/>
      <c r="C72" s="1">
        <f>C26+C49</f>
        <v>8573191116.7183142</v>
      </c>
      <c r="D72" s="1">
        <f t="shared" si="30"/>
        <v>9293038025.4865646</v>
      </c>
      <c r="E72" s="1"/>
      <c r="G72" s="1">
        <f t="shared" si="29"/>
        <v>5111605200.000001</v>
      </c>
      <c r="H72" s="1">
        <f t="shared" si="31"/>
        <v>5111605200.000001</v>
      </c>
      <c r="I72" s="454">
        <f t="shared" si="28"/>
        <v>0.59623133678100537</v>
      </c>
      <c r="J72" s="454">
        <f t="shared" si="28"/>
        <v>0.55004673240130941</v>
      </c>
      <c r="K72" s="454"/>
    </row>
    <row r="73" spans="1:39" x14ac:dyDescent="0.45">
      <c r="A73">
        <v>2028</v>
      </c>
      <c r="B73" s="1"/>
      <c r="C73" s="1">
        <f t="shared" si="30"/>
        <v>8582864829.8724146</v>
      </c>
      <c r="D73" s="1">
        <f t="shared" si="30"/>
        <v>9520948914.6545601</v>
      </c>
      <c r="E73" s="1"/>
      <c r="G73" s="1">
        <f t="shared" si="29"/>
        <v>5111605200.000001</v>
      </c>
      <c r="H73" s="1">
        <f t="shared" si="31"/>
        <v>5111605200.000001</v>
      </c>
      <c r="I73" s="454">
        <f t="shared" si="28"/>
        <v>0.59555932678902335</v>
      </c>
      <c r="J73" s="454">
        <f t="shared" si="28"/>
        <v>0.53687980534506008</v>
      </c>
      <c r="K73" s="454"/>
    </row>
    <row r="74" spans="1:39" x14ac:dyDescent="0.45">
      <c r="A74">
        <v>2029</v>
      </c>
      <c r="B74" s="1"/>
      <c r="C74" s="1">
        <f t="shared" si="30"/>
        <v>8816602015.2883568</v>
      </c>
      <c r="D74" s="1">
        <f t="shared" si="30"/>
        <v>9935978329.8607788</v>
      </c>
      <c r="E74" s="1"/>
      <c r="G74" s="1">
        <f t="shared" si="29"/>
        <v>5111605200.000001</v>
      </c>
      <c r="H74" s="1">
        <f t="shared" si="31"/>
        <v>5111605200.000001</v>
      </c>
      <c r="I74" s="454">
        <f t="shared" si="28"/>
        <v>0.57977043663037797</v>
      </c>
      <c r="J74" s="454">
        <f t="shared" si="28"/>
        <v>0.51445414133382317</v>
      </c>
      <c r="K74" s="454"/>
    </row>
    <row r="75" spans="1:39" x14ac:dyDescent="0.45">
      <c r="A75">
        <v>2030</v>
      </c>
      <c r="B75" s="1"/>
      <c r="C75" s="1">
        <f t="shared" si="30"/>
        <v>8808375237.7421074</v>
      </c>
      <c r="D75" s="1">
        <f t="shared" si="30"/>
        <v>10226285408.405396</v>
      </c>
      <c r="E75" s="1"/>
      <c r="G75" s="1">
        <f>I52+I29</f>
        <v>5111605200.000001</v>
      </c>
      <c r="H75" s="1">
        <f t="shared" si="31"/>
        <v>5111605200.000001</v>
      </c>
      <c r="I75" s="454">
        <f t="shared" si="28"/>
        <v>0.58031192609708604</v>
      </c>
      <c r="J75" s="454">
        <f t="shared" si="28"/>
        <v>0.49984965174143947</v>
      </c>
      <c r="K75" s="454"/>
    </row>
    <row r="77" spans="1:39" x14ac:dyDescent="0.45">
      <c r="A77" s="449" t="s">
        <v>360</v>
      </c>
      <c r="B77" s="449"/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49"/>
      <c r="V77" s="449"/>
      <c r="W77" s="449"/>
      <c r="X77" s="449"/>
      <c r="Y77" s="449"/>
      <c r="Z77" s="449"/>
      <c r="AA77" s="449"/>
      <c r="AB77" s="449"/>
      <c r="AC77" s="449"/>
      <c r="AD77" s="449"/>
      <c r="AE77" s="449"/>
      <c r="AF77" s="449"/>
      <c r="AG77" s="449"/>
      <c r="AH77" s="449"/>
      <c r="AI77" s="449"/>
      <c r="AJ77" s="449"/>
      <c r="AK77" s="449" t="s">
        <v>369</v>
      </c>
      <c r="AL77" s="449" t="s">
        <v>369</v>
      </c>
      <c r="AM77" s="449" t="s">
        <v>369</v>
      </c>
    </row>
    <row r="78" spans="1:39" x14ac:dyDescent="0.45">
      <c r="A78" t="s">
        <v>370</v>
      </c>
      <c r="B78" s="450">
        <v>2023</v>
      </c>
      <c r="C78" s="450">
        <v>2026</v>
      </c>
    </row>
    <row r="79" spans="1:39" x14ac:dyDescent="0.45">
      <c r="A79" t="s">
        <v>112</v>
      </c>
      <c r="B79" s="202">
        <v>60000</v>
      </c>
      <c r="C79" s="202">
        <v>100000</v>
      </c>
    </row>
    <row r="80" spans="1:39" x14ac:dyDescent="0.45">
      <c r="A80" t="s">
        <v>111</v>
      </c>
      <c r="B80" s="202">
        <v>40000</v>
      </c>
      <c r="C80" s="202">
        <v>40000</v>
      </c>
    </row>
    <row r="82" spans="1:39" x14ac:dyDescent="0.45">
      <c r="A82" s="449" t="s">
        <v>401</v>
      </c>
      <c r="B82" s="449"/>
      <c r="C82" s="449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49"/>
      <c r="V82" s="449"/>
      <c r="W82" s="449"/>
      <c r="X82" s="449"/>
      <c r="Y82" s="449"/>
      <c r="Z82" s="449"/>
      <c r="AA82" s="449"/>
      <c r="AB82" s="449"/>
      <c r="AC82" s="449"/>
      <c r="AD82" s="449"/>
      <c r="AE82" s="449"/>
      <c r="AF82" s="449"/>
      <c r="AG82" s="449"/>
      <c r="AH82" s="449"/>
      <c r="AI82" s="449"/>
      <c r="AJ82" s="449"/>
      <c r="AK82" s="449" t="s">
        <v>369</v>
      </c>
      <c r="AL82" s="449" t="s">
        <v>369</v>
      </c>
      <c r="AM82" s="449" t="s">
        <v>369</v>
      </c>
    </row>
    <row r="83" spans="1:39" x14ac:dyDescent="0.45">
      <c r="M83" s="453" t="s">
        <v>377</v>
      </c>
      <c r="N83" s="453"/>
      <c r="O83" s="453"/>
    </row>
    <row r="84" spans="1:39" ht="42.75" x14ac:dyDescent="0.45">
      <c r="B84" s="312" t="s">
        <v>402</v>
      </c>
      <c r="C84" s="312" t="s">
        <v>403</v>
      </c>
      <c r="D84" s="312" t="s">
        <v>404</v>
      </c>
      <c r="E84" s="312" t="s">
        <v>399</v>
      </c>
      <c r="F84" s="312" t="s">
        <v>381</v>
      </c>
      <c r="G84" s="312" t="s">
        <v>382</v>
      </c>
      <c r="H84" s="312" t="s">
        <v>384</v>
      </c>
      <c r="I84" s="312" t="s">
        <v>385</v>
      </c>
      <c r="J84" s="312" t="s">
        <v>386</v>
      </c>
      <c r="K84" s="312" t="s">
        <v>387</v>
      </c>
      <c r="L84" s="312" t="s">
        <v>388</v>
      </c>
      <c r="M84" s="312" t="s">
        <v>389</v>
      </c>
      <c r="N84" s="312" t="s">
        <v>390</v>
      </c>
      <c r="O84" s="312" t="s">
        <v>391</v>
      </c>
      <c r="R84" s="312" t="s">
        <v>405</v>
      </c>
    </row>
    <row r="85" spans="1:39" x14ac:dyDescent="0.45">
      <c r="A85">
        <v>2012</v>
      </c>
      <c r="B85" s="202">
        <f>B34</f>
        <v>2165185587.0706043</v>
      </c>
      <c r="C85" s="1">
        <f>B85-VLOOKUP(A85,fImports!A45:V76,10,FALSE)</f>
        <v>1626033653.57775</v>
      </c>
    </row>
    <row r="86" spans="1:39" x14ac:dyDescent="0.45">
      <c r="A86">
        <v>2013</v>
      </c>
      <c r="B86" s="202">
        <f t="shared" ref="B86:B98" si="32">B35</f>
        <v>2760741946.7655087</v>
      </c>
      <c r="C86" s="1">
        <f>B86-VLOOKUP(A86,fImports!A46:V77,10,FALSE)</f>
        <v>2063438579.3537004</v>
      </c>
    </row>
    <row r="87" spans="1:39" x14ac:dyDescent="0.45">
      <c r="A87">
        <v>2014</v>
      </c>
      <c r="B87" s="202">
        <f t="shared" si="32"/>
        <v>3216958588.0176687</v>
      </c>
      <c r="C87" s="1">
        <f>B87-VLOOKUP(A87,fImports!A47:V78,10,FALSE)</f>
        <v>2460912108.832551</v>
      </c>
    </row>
    <row r="88" spans="1:39" x14ac:dyDescent="0.45">
      <c r="A88">
        <v>2015</v>
      </c>
      <c r="B88" s="202">
        <f t="shared" si="32"/>
        <v>3872927297.9814301</v>
      </c>
      <c r="C88" s="1">
        <f>B88-VLOOKUP(A88,fImports!A48:V79,10,FALSE)</f>
        <v>2966323067.5350757</v>
      </c>
    </row>
    <row r="89" spans="1:39" x14ac:dyDescent="0.45">
      <c r="A89">
        <v>2016</v>
      </c>
      <c r="B89" s="202">
        <f t="shared" si="32"/>
        <v>2807202439.4594846</v>
      </c>
      <c r="C89" s="1">
        <f>B89-VLOOKUP(A89,fImports!A49:V80,10,FALSE)</f>
        <v>2116506821.1802664</v>
      </c>
    </row>
    <row r="90" spans="1:39" x14ac:dyDescent="0.45">
      <c r="A90">
        <v>2017</v>
      </c>
      <c r="B90" s="202">
        <f t="shared" si="32"/>
        <v>3873409236.7635546</v>
      </c>
      <c r="C90" s="1">
        <f>B90-VLOOKUP(A90,fImports!A50:V81,10,FALSE)</f>
        <v>2805943680.7730293</v>
      </c>
    </row>
    <row r="91" spans="1:39" x14ac:dyDescent="0.45">
      <c r="A91">
        <v>2018</v>
      </c>
      <c r="B91" s="202">
        <f t="shared" si="32"/>
        <v>3865729884.0216031</v>
      </c>
      <c r="C91" s="1">
        <f>B91-VLOOKUP(A91,fImports!A51:V82,10,FALSE)</f>
        <v>2855928043.9429646</v>
      </c>
    </row>
    <row r="92" spans="1:39" x14ac:dyDescent="0.45">
      <c r="A92">
        <v>2019</v>
      </c>
      <c r="B92" s="202">
        <f t="shared" si="32"/>
        <v>3762091651.509264</v>
      </c>
      <c r="C92" s="1">
        <f>B92-VLOOKUP(A92,fImports!A52:V83,10,FALSE)</f>
        <v>2734215141.3544621</v>
      </c>
    </row>
    <row r="93" spans="1:39" x14ac:dyDescent="0.45">
      <c r="A93">
        <v>2020</v>
      </c>
      <c r="B93" s="202">
        <f t="shared" si="32"/>
        <v>4630485410.0340328</v>
      </c>
      <c r="C93" s="1">
        <f>B93-VLOOKUP(A93,fImports!A53:V84,10,FALSE)</f>
        <v>3218060773.5178385</v>
      </c>
      <c r="F93" s="202">
        <v>2725</v>
      </c>
      <c r="G93" s="54">
        <f>F93*1000</f>
        <v>2725000</v>
      </c>
      <c r="N93" s="162"/>
      <c r="R93" s="454">
        <f>G93/C93</f>
        <v>8.4678326227542104E-4</v>
      </c>
    </row>
    <row r="94" spans="1:39" x14ac:dyDescent="0.45">
      <c r="A94">
        <v>2021</v>
      </c>
      <c r="B94" s="202">
        <f t="shared" si="32"/>
        <v>6316075075.5235729</v>
      </c>
      <c r="C94" s="1">
        <f>B94-VLOOKUP(A94,fImports!A54:V85,10,FALSE)</f>
        <v>4393078678.8592472</v>
      </c>
      <c r="F94" s="456">
        <v>69101.166500000007</v>
      </c>
      <c r="G94" s="54">
        <f>F94*1000</f>
        <v>69101166.5</v>
      </c>
      <c r="N94" s="162"/>
      <c r="R94" s="454">
        <f t="shared" ref="R94:R98" si="33">G94/C94</f>
        <v>1.5729553589043283E-2</v>
      </c>
    </row>
    <row r="95" spans="1:39" x14ac:dyDescent="0.45">
      <c r="A95">
        <v>2022</v>
      </c>
      <c r="B95" s="202">
        <f t="shared" si="32"/>
        <v>7210814183.1640472</v>
      </c>
      <c r="C95" s="1">
        <f>B95-VLOOKUP(A95,fImports!A55:V86,10,FALSE)</f>
        <v>4898078882.051281</v>
      </c>
      <c r="F95" s="456">
        <v>174164.3425</v>
      </c>
      <c r="G95" s="54">
        <f>F95*1000</f>
        <v>174164342.5</v>
      </c>
      <c r="N95" s="162"/>
      <c r="R95" s="454">
        <f t="shared" si="33"/>
        <v>3.5557684286836394E-2</v>
      </c>
    </row>
    <row r="96" spans="1:39" x14ac:dyDescent="0.45">
      <c r="A96">
        <v>2023</v>
      </c>
      <c r="B96" s="202">
        <f t="shared" si="32"/>
        <v>7996500175.481019</v>
      </c>
      <c r="C96" s="1">
        <f>B96-VLOOKUP(A96,fImports!A56:V87,10,FALSE)</f>
        <v>5605514167.4141636</v>
      </c>
      <c r="F96" s="456">
        <v>375678.29499999998</v>
      </c>
      <c r="G96" s="54">
        <f t="shared" ref="G96:G98" si="34">F96*1000</f>
        <v>375678295</v>
      </c>
      <c r="N96" s="162"/>
      <c r="R96" s="454">
        <f t="shared" si="33"/>
        <v>6.7019417627000893E-2</v>
      </c>
    </row>
    <row r="97" spans="1:39" x14ac:dyDescent="0.45">
      <c r="A97">
        <v>2024</v>
      </c>
      <c r="B97" s="202">
        <f t="shared" si="32"/>
        <v>6691862157.0900211</v>
      </c>
      <c r="C97" s="1">
        <f>B97-VLOOKUP(A97,fImports!A57:V88,10,FALSE)</f>
        <v>4690968211.6894817</v>
      </c>
      <c r="F97" s="456">
        <v>379616.18999999989</v>
      </c>
      <c r="G97" s="54">
        <f t="shared" si="34"/>
        <v>379616189.99999988</v>
      </c>
      <c r="N97" s="162"/>
      <c r="R97" s="454">
        <f t="shared" si="33"/>
        <v>8.0924912058459406E-2</v>
      </c>
    </row>
    <row r="98" spans="1:39" x14ac:dyDescent="0.45">
      <c r="A98">
        <v>2025</v>
      </c>
      <c r="B98" s="202">
        <f t="shared" si="32"/>
        <v>7178949818.7351646</v>
      </c>
      <c r="C98" s="1">
        <f>B98-VLOOKUP(A98,fImports!A58:V89,10,FALSE)</f>
        <v>5032414685.5476837</v>
      </c>
      <c r="D98" s="54">
        <v>5032414685.5476837</v>
      </c>
      <c r="E98" s="54">
        <v>5032414685.5476837</v>
      </c>
      <c r="F98" s="456">
        <v>388414</v>
      </c>
      <c r="G98" s="54">
        <f t="shared" si="34"/>
        <v>388414000</v>
      </c>
      <c r="M98" s="454">
        <f t="shared" ref="M98" si="35">G98/C98</f>
        <v>7.7182431152874764E-2</v>
      </c>
      <c r="N98" s="454">
        <v>7.7182431152874764E-2</v>
      </c>
      <c r="O98" s="454">
        <v>7.7182431152874764E-2</v>
      </c>
      <c r="R98" s="454">
        <f t="shared" si="33"/>
        <v>7.7182431152874764E-2</v>
      </c>
    </row>
    <row r="99" spans="1:39" s="469" customFormat="1" x14ac:dyDescent="0.45">
      <c r="A99" s="469">
        <v>2026</v>
      </c>
      <c r="B99" s="478"/>
      <c r="C99" s="479"/>
      <c r="D99" s="473">
        <f>fImports!T62</f>
        <v>4971671578.1668377</v>
      </c>
      <c r="E99" s="473">
        <f>D47-VLOOKUP(A99,fImports!A47:V78,10,FALSE)</f>
        <v>5189505544.4889412</v>
      </c>
      <c r="H99" s="480">
        <v>0.4</v>
      </c>
      <c r="I99" s="470">
        <f t="shared" ref="I99:I103" si="36">H99*$C$79*1000*12</f>
        <v>480000000</v>
      </c>
      <c r="J99" s="471">
        <v>0.4</v>
      </c>
      <c r="K99" s="470">
        <f t="shared" ref="K99:K103" si="37">J99*$C$79*1000*12</f>
        <v>480000000</v>
      </c>
      <c r="L99" s="473">
        <f>AVERAGE(I99,K99)</f>
        <v>480000000</v>
      </c>
      <c r="M99" s="475">
        <f t="shared" ref="M99:M103" si="38">I99/D99</f>
        <v>9.6547004856058161E-2</v>
      </c>
      <c r="N99" s="475">
        <f t="shared" ref="N99:N103" si="39">K99/E99</f>
        <v>9.2494361145782356E-2</v>
      </c>
      <c r="O99" s="475">
        <f t="shared" ref="O99:O103" si="40">L99/AVERAGE(D99:E99)</f>
        <v>9.4477242981971493E-2</v>
      </c>
    </row>
    <row r="100" spans="1:39" x14ac:dyDescent="0.45">
      <c r="A100">
        <v>2027</v>
      </c>
      <c r="B100" s="465"/>
      <c r="C100" s="246"/>
      <c r="D100" s="54">
        <f>C48-VLOOKUP(A100,fImports!A48:V79,19,FALSE)</f>
        <v>4902581759.4023943</v>
      </c>
      <c r="E100" s="54">
        <f>D48-VLOOKUP(A100,fImports!A48:V79,10,FALSE)</f>
        <v>5719330598.2945337</v>
      </c>
      <c r="H100" s="466">
        <v>0.5</v>
      </c>
      <c r="I100" s="1">
        <f t="shared" si="36"/>
        <v>600000000</v>
      </c>
      <c r="J100" s="457">
        <v>0.5</v>
      </c>
      <c r="K100" s="1">
        <f t="shared" si="37"/>
        <v>600000000</v>
      </c>
      <c r="L100" s="54">
        <f t="shared" ref="L100:L103" si="41">AVERAGE(I100,K100)</f>
        <v>600000000</v>
      </c>
      <c r="M100" s="454">
        <f t="shared" si="38"/>
        <v>0.12238449646439709</v>
      </c>
      <c r="N100" s="454">
        <f t="shared" si="39"/>
        <v>0.10490738202455302</v>
      </c>
      <c r="O100" s="454">
        <f t="shared" si="40"/>
        <v>0.11297400690097459</v>
      </c>
    </row>
    <row r="101" spans="1:39" x14ac:dyDescent="0.45">
      <c r="A101">
        <v>2028</v>
      </c>
      <c r="B101" s="465"/>
      <c r="C101" s="246"/>
      <c r="D101" s="54">
        <f>C49-VLOOKUP(A101,fImports!A49:V80,19,FALSE)</f>
        <v>5106156420.7345686</v>
      </c>
      <c r="E101" s="54">
        <f>D49-VLOOKUP(A101,fImports!A49:V80,10,FALSE)</f>
        <v>5852265480.8962069</v>
      </c>
      <c r="H101" s="466">
        <v>0.5</v>
      </c>
      <c r="I101" s="1">
        <f t="shared" si="36"/>
        <v>600000000</v>
      </c>
      <c r="J101" s="457">
        <v>0.5</v>
      </c>
      <c r="K101" s="1">
        <f t="shared" si="37"/>
        <v>600000000</v>
      </c>
      <c r="L101" s="54">
        <f t="shared" si="41"/>
        <v>600000000</v>
      </c>
      <c r="M101" s="454">
        <f t="shared" si="38"/>
        <v>0.11750521342502945</v>
      </c>
      <c r="N101" s="454">
        <f t="shared" si="39"/>
        <v>0.10252439879199003</v>
      </c>
      <c r="O101" s="454">
        <f t="shared" si="40"/>
        <v>0.10950481837365855</v>
      </c>
    </row>
    <row r="102" spans="1:39" x14ac:dyDescent="0.45">
      <c r="A102">
        <v>2029</v>
      </c>
      <c r="B102" s="465"/>
      <c r="D102" s="54">
        <f>C50-VLOOKUP(A102,fImports!A50:V81,19,FALSE)</f>
        <v>5160635568.718174</v>
      </c>
      <c r="E102" s="54">
        <f>D50-VLOOKUP(A102,fImports!A50:V81,10,FALSE)</f>
        <v>5983014994.2603874</v>
      </c>
      <c r="H102" s="466">
        <v>0.6</v>
      </c>
      <c r="I102" s="1">
        <f t="shared" si="36"/>
        <v>720000000</v>
      </c>
      <c r="J102" s="457">
        <v>0.6</v>
      </c>
      <c r="K102" s="1">
        <f t="shared" si="37"/>
        <v>720000000</v>
      </c>
      <c r="L102" s="54">
        <f t="shared" si="41"/>
        <v>720000000</v>
      </c>
      <c r="M102" s="454">
        <f t="shared" si="38"/>
        <v>0.13951769901451061</v>
      </c>
      <c r="N102" s="454">
        <f t="shared" si="39"/>
        <v>0.12034066447948213</v>
      </c>
      <c r="O102" s="454">
        <f t="shared" si="40"/>
        <v>0.12922156809043961</v>
      </c>
    </row>
    <row r="103" spans="1:39" x14ac:dyDescent="0.45">
      <c r="A103">
        <v>2030</v>
      </c>
      <c r="B103" s="465"/>
      <c r="D103" s="54">
        <f>C51-VLOOKUP(A103,fImports!A51:V82,19,FALSE)</f>
        <v>5215453388.294488</v>
      </c>
      <c r="E103" s="54">
        <f>D51-VLOOKUP(A103,fImports!A51:V82,10,FALSE)</f>
        <v>6146913476.0654392</v>
      </c>
      <c r="H103" s="466">
        <v>0.6</v>
      </c>
      <c r="I103" s="1">
        <f t="shared" si="36"/>
        <v>720000000</v>
      </c>
      <c r="J103" s="457">
        <v>0.6</v>
      </c>
      <c r="K103" s="1">
        <f t="shared" si="37"/>
        <v>720000000</v>
      </c>
      <c r="L103" s="54">
        <f t="shared" si="41"/>
        <v>720000000</v>
      </c>
      <c r="M103" s="454">
        <f t="shared" si="38"/>
        <v>0.13805127692559976</v>
      </c>
      <c r="N103" s="454">
        <f t="shared" si="39"/>
        <v>0.11713195619289289</v>
      </c>
      <c r="O103" s="454">
        <f t="shared" si="40"/>
        <v>0.12673415822515066</v>
      </c>
    </row>
    <row r="106" spans="1:39" x14ac:dyDescent="0.45">
      <c r="A106" s="449" t="s">
        <v>406</v>
      </c>
      <c r="B106" s="449"/>
      <c r="C106" s="449"/>
      <c r="D106" s="449"/>
      <c r="E106" s="449"/>
      <c r="F106" s="449"/>
      <c r="G106" s="449"/>
      <c r="H106" s="449"/>
      <c r="I106" s="449"/>
      <c r="J106" s="449"/>
      <c r="K106" s="449"/>
      <c r="L106" s="449"/>
      <c r="M106" s="449"/>
      <c r="N106" s="449"/>
      <c r="O106" s="449"/>
      <c r="P106" s="449"/>
      <c r="Q106" s="449"/>
      <c r="R106" s="449"/>
      <c r="S106" s="449"/>
      <c r="T106" s="449"/>
      <c r="U106" s="449"/>
      <c r="V106" s="449"/>
      <c r="W106" s="449"/>
      <c r="X106" s="449"/>
      <c r="Y106" s="449"/>
      <c r="Z106" s="449"/>
      <c r="AA106" s="449"/>
      <c r="AB106" s="449"/>
      <c r="AC106" s="449"/>
      <c r="AD106" s="449"/>
      <c r="AE106" s="449"/>
      <c r="AF106" s="449"/>
      <c r="AG106" s="449"/>
      <c r="AH106" s="449"/>
      <c r="AI106" s="449"/>
      <c r="AJ106" s="449"/>
      <c r="AK106" s="449" t="s">
        <v>369</v>
      </c>
      <c r="AL106" s="449" t="s">
        <v>369</v>
      </c>
      <c r="AM106" s="449" t="s">
        <v>369</v>
      </c>
    </row>
    <row r="107" spans="1:39" x14ac:dyDescent="0.45">
      <c r="M107" s="453" t="s">
        <v>377</v>
      </c>
      <c r="N107" s="453"/>
      <c r="O107" s="453"/>
    </row>
    <row r="108" spans="1:39" ht="42.75" x14ac:dyDescent="0.45">
      <c r="B108" s="312" t="s">
        <v>407</v>
      </c>
      <c r="C108" s="312" t="s">
        <v>403</v>
      </c>
      <c r="D108" s="312" t="s">
        <v>408</v>
      </c>
      <c r="E108" s="312" t="s">
        <v>409</v>
      </c>
      <c r="F108" s="312" t="s">
        <v>381</v>
      </c>
      <c r="G108" s="312" t="s">
        <v>382</v>
      </c>
      <c r="H108" s="312" t="s">
        <v>384</v>
      </c>
      <c r="I108" s="312" t="s">
        <v>385</v>
      </c>
      <c r="J108" s="312" t="s">
        <v>386</v>
      </c>
      <c r="K108" s="312" t="s">
        <v>387</v>
      </c>
      <c r="L108" s="312" t="s">
        <v>388</v>
      </c>
      <c r="M108" s="312" t="s">
        <v>389</v>
      </c>
      <c r="N108" s="312" t="s">
        <v>390</v>
      </c>
      <c r="O108" s="312" t="s">
        <v>391</v>
      </c>
      <c r="R108" s="312" t="s">
        <v>377</v>
      </c>
    </row>
    <row r="109" spans="1:39" x14ac:dyDescent="0.45">
      <c r="A109">
        <v>2012</v>
      </c>
      <c r="B109" s="202">
        <f>B11</f>
        <v>1344679093.1571112</v>
      </c>
      <c r="C109" s="54">
        <f>B109-VLOOKUP(A109,fImports!A81:V112,10,FALSE)</f>
        <v>1052511216.8764969</v>
      </c>
    </row>
    <row r="110" spans="1:39" x14ac:dyDescent="0.45">
      <c r="A110">
        <v>2013</v>
      </c>
      <c r="B110" s="202">
        <f t="shared" ref="B110:B122" si="42">B12</f>
        <v>1163884565.8676147</v>
      </c>
      <c r="C110" s="54">
        <f>B110-VLOOKUP(A110,fImports!A82:V113,10,FALSE)</f>
        <v>923769052.00944495</v>
      </c>
    </row>
    <row r="111" spans="1:39" x14ac:dyDescent="0.45">
      <c r="A111">
        <v>2014</v>
      </c>
      <c r="B111" s="202">
        <f t="shared" si="42"/>
        <v>887058082.07269454</v>
      </c>
      <c r="C111" s="54">
        <f>B111-VLOOKUP(A111,fImports!A83:V114,10,FALSE)</f>
        <v>704524367.1947825</v>
      </c>
    </row>
    <row r="112" spans="1:39" x14ac:dyDescent="0.45">
      <c r="A112">
        <v>2015</v>
      </c>
      <c r="B112" s="202">
        <f t="shared" si="42"/>
        <v>1425077262.1535883</v>
      </c>
      <c r="C112" s="54">
        <f>B112-VLOOKUP(A112,fImports!A84:V115,10,FALSE)</f>
        <v>1132756718.9716449</v>
      </c>
    </row>
    <row r="113" spans="1:18" x14ac:dyDescent="0.45">
      <c r="A113">
        <v>2016</v>
      </c>
      <c r="B113" s="202">
        <f t="shared" si="42"/>
        <v>1057142624.1671886</v>
      </c>
      <c r="C113" s="54">
        <f>B113-VLOOKUP(A113,fImports!A85:V116,10,FALSE)</f>
        <v>841330297.82485986</v>
      </c>
    </row>
    <row r="114" spans="1:18" x14ac:dyDescent="0.45">
      <c r="A114">
        <v>2017</v>
      </c>
      <c r="B114" s="202">
        <f t="shared" si="42"/>
        <v>1605111844.4489498</v>
      </c>
      <c r="C114" s="54">
        <f>B114-VLOOKUP(A114,fImports!A86:V117,10,FALSE)</f>
        <v>1277387037.1264849</v>
      </c>
    </row>
    <row r="115" spans="1:18" x14ac:dyDescent="0.45">
      <c r="A115">
        <v>2018</v>
      </c>
      <c r="B115" s="202">
        <f t="shared" si="42"/>
        <v>1644041197.3105936</v>
      </c>
      <c r="C115" s="54">
        <f>B115-VLOOKUP(A115,fImports!A87:V118,10,FALSE)</f>
        <v>1321423418.7516632</v>
      </c>
    </row>
    <row r="116" spans="1:18" x14ac:dyDescent="0.45">
      <c r="A116">
        <v>2019</v>
      </c>
      <c r="B116" s="202">
        <f t="shared" si="42"/>
        <v>1129506979.281199</v>
      </c>
      <c r="C116" s="54">
        <f>B116-VLOOKUP(A116,fImports!A88:V119,10,FALSE)</f>
        <v>898848893.77775943</v>
      </c>
    </row>
    <row r="117" spans="1:18" x14ac:dyDescent="0.45">
      <c r="A117">
        <v>2020</v>
      </c>
      <c r="B117" s="202">
        <f t="shared" si="42"/>
        <v>1314906025.3888378</v>
      </c>
      <c r="C117" s="54">
        <f>B117-VLOOKUP(A117,fImports!A89:V120,10,FALSE)</f>
        <v>1030174099.6462824</v>
      </c>
      <c r="F117" s="202">
        <v>4558</v>
      </c>
      <c r="G117" s="54">
        <f t="shared" ref="G117:G122" si="43">F117*1000</f>
        <v>4558000</v>
      </c>
      <c r="R117" s="454">
        <f>G117/C117</f>
        <v>4.4244948514673603E-3</v>
      </c>
    </row>
    <row r="118" spans="1:18" x14ac:dyDescent="0.45">
      <c r="A118">
        <v>2021</v>
      </c>
      <c r="B118" s="202">
        <f t="shared" si="42"/>
        <v>3052216595.5676765</v>
      </c>
      <c r="C118" s="54">
        <f>B118-VLOOKUP(A118,fImports!A90:V121,10,FALSE)</f>
        <v>2383340964.0746212</v>
      </c>
      <c r="F118" s="456">
        <v>92575.255500000014</v>
      </c>
      <c r="G118" s="54">
        <f t="shared" si="43"/>
        <v>92575255.500000015</v>
      </c>
      <c r="R118" s="454">
        <f t="shared" ref="R118:R122" si="44">G118/C118</f>
        <v>3.8842640182599378E-2</v>
      </c>
    </row>
    <row r="119" spans="1:18" x14ac:dyDescent="0.45">
      <c r="A119">
        <v>2022</v>
      </c>
      <c r="B119" s="202">
        <f t="shared" si="42"/>
        <v>4133591447.0060902</v>
      </c>
      <c r="C119" s="54">
        <f>B119-VLOOKUP(A119,fImports!A91:V122,10,FALSE)</f>
        <v>3239711038.5924006</v>
      </c>
      <c r="F119" s="456">
        <v>159884.76849999998</v>
      </c>
      <c r="G119" s="54">
        <f t="shared" si="43"/>
        <v>159884768.49999997</v>
      </c>
      <c r="R119" s="454">
        <f t="shared" si="44"/>
        <v>4.9351552220369375E-2</v>
      </c>
    </row>
    <row r="120" spans="1:18" x14ac:dyDescent="0.45">
      <c r="A120">
        <v>2023</v>
      </c>
      <c r="B120" s="202">
        <f t="shared" si="42"/>
        <v>3384573051.4680777</v>
      </c>
      <c r="C120" s="54">
        <f>B120-VLOOKUP(A120,fImports!A92:V123,10,FALSE)</f>
        <v>2663456573.5870275</v>
      </c>
      <c r="F120" s="456">
        <v>157878.47700000004</v>
      </c>
      <c r="G120" s="54">
        <f t="shared" si="43"/>
        <v>157878477.00000003</v>
      </c>
      <c r="R120" s="454">
        <f t="shared" si="44"/>
        <v>5.9275784169206917E-2</v>
      </c>
    </row>
    <row r="121" spans="1:18" x14ac:dyDescent="0.45">
      <c r="A121">
        <v>2024</v>
      </c>
      <c r="B121" s="202">
        <f t="shared" si="42"/>
        <v>3020714807.7084246</v>
      </c>
      <c r="C121" s="54">
        <f>B121-VLOOKUP(A121,fImports!A93:V124,10,FALSE)</f>
        <v>2377121896.6696196</v>
      </c>
      <c r="F121" s="456">
        <v>143167.05100000001</v>
      </c>
      <c r="G121" s="54">
        <f t="shared" si="43"/>
        <v>143167051</v>
      </c>
      <c r="R121" s="454">
        <f t="shared" si="44"/>
        <v>6.0227054910637526E-2</v>
      </c>
    </row>
    <row r="122" spans="1:18" x14ac:dyDescent="0.45">
      <c r="A122">
        <v>2025</v>
      </c>
      <c r="B122" s="202">
        <f t="shared" si="42"/>
        <v>3063359953.5070748</v>
      </c>
      <c r="C122" s="54">
        <f>B122-VLOOKUP(A122,fImports!A94:V125,10,FALSE)</f>
        <v>2410681075.9757729</v>
      </c>
      <c r="D122" s="1">
        <v>2410681075.9757729</v>
      </c>
      <c r="E122" s="1">
        <v>2410681075.9757729</v>
      </c>
      <c r="F122" s="456">
        <v>127224.68449999999</v>
      </c>
      <c r="G122" s="54">
        <f t="shared" si="43"/>
        <v>127224684.49999999</v>
      </c>
      <c r="R122" s="454">
        <f t="shared" si="44"/>
        <v>5.2775410969077764E-2</v>
      </c>
    </row>
    <row r="123" spans="1:18" s="469" customFormat="1" ht="14.1" customHeight="1" x14ac:dyDescent="0.45">
      <c r="A123" s="469">
        <v>2026</v>
      </c>
      <c r="D123" s="470">
        <f>C25-VLOOKUP(A123,fImports!A83:V114,19,FALSE)</f>
        <v>1343184824.649138</v>
      </c>
      <c r="E123" s="470">
        <f>D25-VLOOKUP(A123,fImports!A83:V114,10,FALSE)</f>
        <v>979188287.46396518</v>
      </c>
      <c r="H123" s="471">
        <v>0.4</v>
      </c>
      <c r="I123" s="470">
        <f t="shared" ref="I123:I127" si="45">H123*$C$80*1000*12</f>
        <v>192000000</v>
      </c>
      <c r="J123" s="471">
        <v>0.4</v>
      </c>
      <c r="K123" s="470">
        <f t="shared" ref="K123:K127" si="46">J123*$C$80*1000*12</f>
        <v>192000000</v>
      </c>
      <c r="L123" s="473">
        <f>AVERAGE(I123,K123)</f>
        <v>192000000</v>
      </c>
      <c r="M123" s="475">
        <f t="shared" ref="M123:M127" si="47">I123/D123</f>
        <v>0.14294384248284936</v>
      </c>
      <c r="N123" s="475">
        <f t="shared" ref="N123:N127" si="48">K123/E123</f>
        <v>0.19608077675976668</v>
      </c>
      <c r="O123" s="475">
        <f t="shared" ref="O123:O127" si="49">L123/AVERAGE(D123:E123)</f>
        <v>0.16534810793197757</v>
      </c>
    </row>
    <row r="124" spans="1:18" x14ac:dyDescent="0.45">
      <c r="A124">
        <v>2027</v>
      </c>
      <c r="D124" s="1">
        <f>C26-VLOOKUP(A124,fImports!A84:V115,19,FALSE)</f>
        <v>1249097227.7284474</v>
      </c>
      <c r="E124" s="1">
        <f>D26-VLOOKUP(A124,fImports!A84:V115,10,FALSE)</f>
        <v>1006890356.502625</v>
      </c>
      <c r="H124" s="457">
        <v>0.5</v>
      </c>
      <c r="I124" s="1">
        <f t="shared" si="45"/>
        <v>240000000</v>
      </c>
      <c r="J124" s="457">
        <v>0.5</v>
      </c>
      <c r="K124" s="1">
        <f t="shared" si="46"/>
        <v>240000000</v>
      </c>
      <c r="L124" s="54">
        <f t="shared" ref="L124:L127" si="50">AVERAGE(I124,K124)</f>
        <v>240000000</v>
      </c>
      <c r="M124" s="454">
        <f t="shared" si="47"/>
        <v>0.19213876604021715</v>
      </c>
      <c r="N124" s="454">
        <f t="shared" si="48"/>
        <v>0.23835763094764958</v>
      </c>
      <c r="O124" s="454">
        <f t="shared" si="49"/>
        <v>0.21276712839871523</v>
      </c>
    </row>
    <row r="125" spans="1:18" x14ac:dyDescent="0.45">
      <c r="A125">
        <v>2028</v>
      </c>
      <c r="D125" s="1">
        <f>C27-VLOOKUP(A125,fImports!A85:V116,19,FALSE)</f>
        <v>1178241473.5603888</v>
      </c>
      <c r="E125" s="1">
        <f>D27-VLOOKUP(A125,fImports!A85:V116,10,FALSE)</f>
        <v>1036821092.8455837</v>
      </c>
      <c r="H125" s="457">
        <v>0.5</v>
      </c>
      <c r="I125" s="1">
        <f t="shared" si="45"/>
        <v>240000000</v>
      </c>
      <c r="J125" s="457">
        <v>0.5</v>
      </c>
      <c r="K125" s="1">
        <f t="shared" si="46"/>
        <v>240000000</v>
      </c>
      <c r="L125" s="54">
        <f t="shared" si="50"/>
        <v>240000000</v>
      </c>
      <c r="M125" s="454">
        <f t="shared" si="47"/>
        <v>0.20369339001009049</v>
      </c>
      <c r="N125" s="454">
        <f t="shared" si="48"/>
        <v>0.23147677227641414</v>
      </c>
      <c r="O125" s="454">
        <f t="shared" si="49"/>
        <v>0.21669816793428964</v>
      </c>
    </row>
    <row r="126" spans="1:18" x14ac:dyDescent="0.45">
      <c r="A126">
        <v>2029</v>
      </c>
      <c r="D126" s="1">
        <f>C28-VLOOKUP(A126,fImports!A86:V117,19,FALSE)</f>
        <v>1054932498.3605362</v>
      </c>
      <c r="E126" s="1">
        <f>D28-VLOOKUP(A126,fImports!A86:V117,10,FALSE)</f>
        <v>1200067517.4630821</v>
      </c>
      <c r="H126" s="457">
        <v>0.6</v>
      </c>
      <c r="I126" s="1">
        <f t="shared" si="45"/>
        <v>288000000</v>
      </c>
      <c r="J126" s="457">
        <v>0.6</v>
      </c>
      <c r="K126" s="1">
        <f t="shared" si="46"/>
        <v>288000000</v>
      </c>
      <c r="L126" s="54">
        <f t="shared" si="50"/>
        <v>288000000</v>
      </c>
      <c r="M126" s="454">
        <f t="shared" si="47"/>
        <v>0.27300324944731436</v>
      </c>
      <c r="N126" s="454">
        <f t="shared" si="48"/>
        <v>0.2399864972671088</v>
      </c>
      <c r="O126" s="454">
        <f t="shared" si="49"/>
        <v>0.25543237071314218</v>
      </c>
    </row>
    <row r="127" spans="1:18" x14ac:dyDescent="0.45">
      <c r="A127">
        <v>2030</v>
      </c>
      <c r="D127" s="1">
        <f>C29-VLOOKUP(A127,fImports!A87:V118,19,FALSE)</f>
        <v>1027885349.2864192</v>
      </c>
      <c r="E127" s="1">
        <f>D29-VLOOKUP(A127,fImports!A87:V118,10,FALSE)</f>
        <v>1270407790.963011</v>
      </c>
      <c r="H127" s="457">
        <v>0.6</v>
      </c>
      <c r="I127" s="1">
        <f t="shared" si="45"/>
        <v>288000000</v>
      </c>
      <c r="J127" s="457">
        <v>0.6</v>
      </c>
      <c r="K127" s="1">
        <f t="shared" si="46"/>
        <v>288000000</v>
      </c>
      <c r="L127" s="54">
        <f t="shared" si="50"/>
        <v>288000000</v>
      </c>
      <c r="M127" s="454">
        <f t="shared" si="47"/>
        <v>0.28018689068769781</v>
      </c>
      <c r="N127" s="454">
        <f t="shared" si="48"/>
        <v>0.22669886161646294</v>
      </c>
      <c r="O127" s="454">
        <f t="shared" si="49"/>
        <v>0.25062077152503165</v>
      </c>
    </row>
    <row r="129" spans="1:39" x14ac:dyDescent="0.45">
      <c r="A129" s="449" t="s">
        <v>410</v>
      </c>
      <c r="B129" s="449"/>
      <c r="C129" s="449"/>
      <c r="D129" s="449"/>
      <c r="E129" s="449"/>
      <c r="F129" s="449"/>
      <c r="G129" s="449"/>
      <c r="H129" s="449"/>
      <c r="I129" s="449"/>
      <c r="J129" s="449"/>
      <c r="K129" s="449"/>
      <c r="L129" s="449"/>
      <c r="M129" s="449"/>
      <c r="N129" s="449"/>
      <c r="O129" s="449"/>
      <c r="P129" s="449" t="e">
        <f>#REF!</f>
        <v>#REF!</v>
      </c>
      <c r="Q129" s="449"/>
      <c r="R129" s="449"/>
      <c r="S129" s="449"/>
      <c r="T129" s="449"/>
      <c r="U129" s="449"/>
      <c r="V129" s="449"/>
      <c r="W129" s="449"/>
      <c r="X129" s="449"/>
      <c r="Y129" s="449"/>
      <c r="Z129" s="449"/>
      <c r="AA129" s="449"/>
      <c r="AB129" s="449"/>
      <c r="AC129" s="449"/>
      <c r="AD129" s="449"/>
      <c r="AE129" s="449"/>
      <c r="AF129" s="449"/>
      <c r="AG129" s="449"/>
      <c r="AH129" s="449"/>
      <c r="AI129" s="449"/>
      <c r="AJ129" s="449"/>
      <c r="AK129" s="449" t="s">
        <v>369</v>
      </c>
      <c r="AL129" s="449" t="s">
        <v>369</v>
      </c>
      <c r="AM129" s="449" t="s">
        <v>369</v>
      </c>
    </row>
    <row r="130" spans="1:39" x14ac:dyDescent="0.45">
      <c r="M130" s="453" t="s">
        <v>377</v>
      </c>
      <c r="N130" s="453"/>
      <c r="O130" s="453"/>
      <c r="W130" s="453"/>
      <c r="X130" s="453"/>
      <c r="Y130" s="453"/>
    </row>
    <row r="131" spans="1:39" ht="42.75" x14ac:dyDescent="0.45">
      <c r="B131" s="312" t="s">
        <v>407</v>
      </c>
      <c r="C131" s="312" t="s">
        <v>403</v>
      </c>
      <c r="D131" s="312" t="s">
        <v>408</v>
      </c>
      <c r="E131" s="312" t="s">
        <v>409</v>
      </c>
      <c r="F131" s="312" t="s">
        <v>381</v>
      </c>
      <c r="G131" s="312" t="s">
        <v>382</v>
      </c>
      <c r="H131" s="312" t="s">
        <v>384</v>
      </c>
      <c r="I131" s="312" t="s">
        <v>385</v>
      </c>
      <c r="J131" s="312" t="s">
        <v>386</v>
      </c>
      <c r="K131" s="312" t="s">
        <v>387</v>
      </c>
      <c r="L131" s="312" t="s">
        <v>388</v>
      </c>
      <c r="M131" s="312" t="s">
        <v>389</v>
      </c>
      <c r="N131" s="312" t="s">
        <v>390</v>
      </c>
      <c r="O131" s="312" t="s">
        <v>391</v>
      </c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spans="1:39" x14ac:dyDescent="0.45">
      <c r="A132">
        <v>2012</v>
      </c>
      <c r="B132" s="202">
        <f>SUM(B85,B109)</f>
        <v>3509864680.2277155</v>
      </c>
      <c r="C132" s="54">
        <f>C85+C109</f>
        <v>2678544870.454247</v>
      </c>
    </row>
    <row r="133" spans="1:39" x14ac:dyDescent="0.45">
      <c r="A133">
        <v>2013</v>
      </c>
      <c r="B133" s="202">
        <f t="shared" ref="B133:B143" si="51">SUM(B86,B110)</f>
        <v>3924626512.6331234</v>
      </c>
      <c r="C133" s="54">
        <f t="shared" ref="C133:C143" si="52">C86+C110</f>
        <v>2987207631.3631454</v>
      </c>
    </row>
    <row r="134" spans="1:39" x14ac:dyDescent="0.45">
      <c r="A134">
        <v>2014</v>
      </c>
      <c r="B134" s="202">
        <f t="shared" si="51"/>
        <v>4104016670.0903635</v>
      </c>
      <c r="C134" s="54">
        <f t="shared" si="52"/>
        <v>3165436476.0273333</v>
      </c>
    </row>
    <row r="135" spans="1:39" x14ac:dyDescent="0.45">
      <c r="A135">
        <v>2015</v>
      </c>
      <c r="B135" s="202">
        <f t="shared" si="51"/>
        <v>5298004560.1350183</v>
      </c>
      <c r="C135" s="54">
        <f t="shared" si="52"/>
        <v>4099079786.5067205</v>
      </c>
    </row>
    <row r="136" spans="1:39" x14ac:dyDescent="0.45">
      <c r="A136">
        <v>2016</v>
      </c>
      <c r="B136" s="202">
        <f t="shared" si="51"/>
        <v>3864345063.6266732</v>
      </c>
      <c r="C136" s="54">
        <f t="shared" si="52"/>
        <v>2957837119.005126</v>
      </c>
      <c r="R136" s="457"/>
      <c r="S136" s="1"/>
      <c r="T136" s="457"/>
      <c r="U136" s="1"/>
      <c r="V136" s="54"/>
      <c r="W136" s="454"/>
      <c r="X136" s="454"/>
      <c r="Y136" s="454"/>
    </row>
    <row r="137" spans="1:39" x14ac:dyDescent="0.45">
      <c r="A137">
        <v>2017</v>
      </c>
      <c r="B137" s="202">
        <f t="shared" si="51"/>
        <v>5478521081.2125044</v>
      </c>
      <c r="C137" s="54">
        <f t="shared" si="52"/>
        <v>4083330717.8995142</v>
      </c>
      <c r="R137" s="457"/>
      <c r="S137" s="1"/>
      <c r="T137" s="457"/>
      <c r="U137" s="1"/>
      <c r="V137" s="54"/>
      <c r="W137" s="454"/>
      <c r="X137" s="454"/>
      <c r="Y137" s="454"/>
    </row>
    <row r="138" spans="1:39" x14ac:dyDescent="0.45">
      <c r="A138">
        <v>2018</v>
      </c>
      <c r="B138" s="202">
        <f t="shared" si="51"/>
        <v>5509771081.3321972</v>
      </c>
      <c r="C138" s="54">
        <f t="shared" si="52"/>
        <v>4177351462.6946278</v>
      </c>
      <c r="P138" s="313"/>
      <c r="R138" s="457"/>
      <c r="S138" s="1"/>
      <c r="T138" s="457"/>
      <c r="U138" s="1"/>
      <c r="V138" s="54"/>
      <c r="W138" s="454"/>
      <c r="X138" s="454"/>
      <c r="Y138" s="454"/>
    </row>
    <row r="139" spans="1:39" x14ac:dyDescent="0.45">
      <c r="A139">
        <v>2019</v>
      </c>
      <c r="B139" s="202">
        <f t="shared" si="51"/>
        <v>4891598630.7904625</v>
      </c>
      <c r="C139" s="54">
        <f t="shared" si="52"/>
        <v>3633064035.1322217</v>
      </c>
      <c r="P139" s="313"/>
      <c r="R139" s="457"/>
      <c r="S139" s="1"/>
      <c r="T139" s="457"/>
      <c r="U139" s="1"/>
      <c r="V139" s="54"/>
      <c r="W139" s="454"/>
      <c r="X139" s="454"/>
      <c r="Y139" s="454"/>
    </row>
    <row r="140" spans="1:39" x14ac:dyDescent="0.45">
      <c r="A140">
        <v>2020</v>
      </c>
      <c r="B140" s="202">
        <f t="shared" si="51"/>
        <v>5945391435.4228706</v>
      </c>
      <c r="C140" s="54">
        <f t="shared" si="52"/>
        <v>4248234873.1641207</v>
      </c>
      <c r="F140" s="202">
        <f>SUM(F117,F93)</f>
        <v>7283</v>
      </c>
      <c r="G140" s="54">
        <f>F140*1000</f>
        <v>7283000</v>
      </c>
      <c r="M140" s="454">
        <f>G140/C140</f>
        <v>1.7143590732250549E-3</v>
      </c>
      <c r="N140" s="162">
        <f>G140/C140</f>
        <v>1.7143590732250549E-3</v>
      </c>
      <c r="P140" s="313"/>
      <c r="R140" s="457"/>
      <c r="S140" s="1"/>
      <c r="T140" s="457"/>
      <c r="U140" s="1"/>
      <c r="V140" s="54"/>
      <c r="W140" s="454"/>
      <c r="X140" s="454"/>
      <c r="Y140" s="454"/>
    </row>
    <row r="141" spans="1:39" x14ac:dyDescent="0.45">
      <c r="A141">
        <v>2021</v>
      </c>
      <c r="B141" s="202">
        <f t="shared" si="51"/>
        <v>9368291671.0912495</v>
      </c>
      <c r="C141" s="54">
        <f t="shared" si="52"/>
        <v>6776419642.9338684</v>
      </c>
      <c r="F141" s="202">
        <f t="shared" ref="F141:F144" si="53">SUM(F118,F94)</f>
        <v>161676.42200000002</v>
      </c>
      <c r="G141" s="54">
        <f>F141*1000</f>
        <v>161676422.00000003</v>
      </c>
      <c r="M141" s="454">
        <f t="shared" ref="M141" si="54">G141/C141</f>
        <v>2.3858679143135504E-2</v>
      </c>
      <c r="N141" s="162">
        <f t="shared" ref="N141:N143" si="55">G141/C141</f>
        <v>2.3858679143135504E-2</v>
      </c>
      <c r="R141" s="457"/>
      <c r="S141" s="1"/>
      <c r="T141" s="457"/>
      <c r="U141" s="1"/>
      <c r="V141" s="54"/>
      <c r="W141" s="454"/>
      <c r="X141" s="454"/>
      <c r="Y141" s="454"/>
    </row>
    <row r="142" spans="1:39" x14ac:dyDescent="0.45">
      <c r="A142">
        <v>2022</v>
      </c>
      <c r="B142" s="202">
        <f t="shared" si="51"/>
        <v>11344405630.170137</v>
      </c>
      <c r="C142" s="54">
        <f t="shared" si="52"/>
        <v>8137789920.6436815</v>
      </c>
      <c r="F142" s="202">
        <f t="shared" si="53"/>
        <v>334049.11099999998</v>
      </c>
      <c r="G142" s="54">
        <f>F142*1000</f>
        <v>334049111</v>
      </c>
      <c r="H142" s="457">
        <v>0</v>
      </c>
      <c r="I142" s="1">
        <f>H142*$C$79*1000*12</f>
        <v>0</v>
      </c>
      <c r="J142" s="457">
        <v>0</v>
      </c>
      <c r="K142" s="1">
        <f>J142*$C$79*1000*12</f>
        <v>0</v>
      </c>
      <c r="L142" s="54">
        <f>AVERAGE(I142,K142)</f>
        <v>0</v>
      </c>
      <c r="M142" s="454">
        <f>G142/C142</f>
        <v>4.1049119510027536E-2</v>
      </c>
      <c r="N142" s="162">
        <f t="shared" si="55"/>
        <v>4.1049119510027536E-2</v>
      </c>
      <c r="O142" s="454" t="e">
        <f>L142/AVERAGE(D142:E142)</f>
        <v>#DIV/0!</v>
      </c>
      <c r="R142" s="457"/>
      <c r="S142" s="1"/>
      <c r="T142" s="457"/>
      <c r="U142" s="1"/>
      <c r="V142" s="54"/>
      <c r="W142" s="454"/>
      <c r="X142" s="454"/>
      <c r="Y142" s="454"/>
    </row>
    <row r="143" spans="1:39" x14ac:dyDescent="0.45">
      <c r="A143">
        <v>2023</v>
      </c>
      <c r="B143" s="202">
        <f t="shared" si="51"/>
        <v>11381073226.949097</v>
      </c>
      <c r="C143" s="54">
        <f t="shared" si="52"/>
        <v>8268970741.0011911</v>
      </c>
      <c r="D143" s="1">
        <f>SUM(D120,D96)</f>
        <v>0</v>
      </c>
      <c r="E143" s="246">
        <f>SUM(E120,E96)</f>
        <v>0</v>
      </c>
      <c r="F143" s="202">
        <f t="shared" si="53"/>
        <v>533556.772</v>
      </c>
      <c r="G143" s="54">
        <f>F143*1000</f>
        <v>533556772</v>
      </c>
      <c r="H143" s="457">
        <v>0</v>
      </c>
      <c r="I143" s="1">
        <f t="shared" ref="I143" si="56">H143*$C$79*1000*12</f>
        <v>0</v>
      </c>
      <c r="J143" s="457">
        <v>0</v>
      </c>
      <c r="K143" s="1">
        <f t="shared" ref="K143" si="57">J143*$C$79*1000*12</f>
        <v>0</v>
      </c>
      <c r="L143" s="54">
        <f t="shared" ref="L143:L145" si="58">AVERAGE(I143,K143)</f>
        <v>0</v>
      </c>
      <c r="M143" s="454">
        <f>G143/C143</f>
        <v>6.4525173532709576E-2</v>
      </c>
      <c r="N143" s="162">
        <f t="shared" si="55"/>
        <v>6.4525173532709576E-2</v>
      </c>
      <c r="O143" s="454" t="e">
        <f t="shared" ref="O143:O150" si="59">L143/AVERAGE(D143:E143)</f>
        <v>#DIV/0!</v>
      </c>
      <c r="R143" s="457"/>
      <c r="S143" s="1"/>
      <c r="T143" s="457"/>
      <c r="U143" s="1"/>
      <c r="V143" s="54"/>
      <c r="W143" s="454"/>
      <c r="X143" s="454"/>
      <c r="Y143" s="454"/>
    </row>
    <row r="144" spans="1:39" x14ac:dyDescent="0.45">
      <c r="A144">
        <v>2024</v>
      </c>
      <c r="C144" s="54"/>
      <c r="D144" s="1">
        <f t="shared" ref="D144:E150" si="60">SUM(D121,D97)</f>
        <v>0</v>
      </c>
      <c r="E144" s="246">
        <f t="shared" si="60"/>
        <v>0</v>
      </c>
      <c r="F144" s="202">
        <f t="shared" si="53"/>
        <v>522783.24099999992</v>
      </c>
      <c r="G144" s="54">
        <f>F144*1000</f>
        <v>522783240.99999994</v>
      </c>
      <c r="H144" s="457">
        <v>1.06</v>
      </c>
      <c r="I144" s="1">
        <f>H144*$C$80*1000*12</f>
        <v>508800000</v>
      </c>
      <c r="J144" s="457">
        <v>1.06</v>
      </c>
      <c r="K144" s="1">
        <f>J144*$C$80*1000*12</f>
        <v>508800000</v>
      </c>
      <c r="L144" s="54">
        <f t="shared" si="58"/>
        <v>508800000</v>
      </c>
      <c r="M144" s="454" t="e">
        <f>I144/D144</f>
        <v>#DIV/0!</v>
      </c>
      <c r="N144" s="454" t="e">
        <f t="shared" ref="N144:N150" si="61">K144/E144</f>
        <v>#DIV/0!</v>
      </c>
      <c r="O144" s="454" t="e">
        <f t="shared" si="59"/>
        <v>#DIV/0!</v>
      </c>
    </row>
    <row r="145" spans="1:15" x14ac:dyDescent="0.45">
      <c r="A145">
        <v>2025</v>
      </c>
      <c r="C145" s="54"/>
      <c r="D145" s="1">
        <f t="shared" si="60"/>
        <v>7443095761.5234566</v>
      </c>
      <c r="E145" s="246">
        <f t="shared" si="60"/>
        <v>7443095761.5234566</v>
      </c>
      <c r="H145" s="457">
        <v>1.06</v>
      </c>
      <c r="I145" s="1">
        <f t="shared" ref="I145:I150" si="62">H145*$C$80*1000*12</f>
        <v>508800000</v>
      </c>
      <c r="J145" s="457">
        <v>1.06</v>
      </c>
      <c r="K145" s="1">
        <f t="shared" ref="K145:K150" si="63">J145*$C$80*1000*12</f>
        <v>508800000</v>
      </c>
      <c r="L145" s="54">
        <f t="shared" si="58"/>
        <v>508800000</v>
      </c>
      <c r="M145" s="454">
        <f t="shared" ref="M145:M150" si="64">I145/D145</f>
        <v>6.8358652945217327E-2</v>
      </c>
      <c r="N145" s="454">
        <f t="shared" si="61"/>
        <v>6.8358652945217327E-2</v>
      </c>
      <c r="O145" s="454">
        <f t="shared" si="59"/>
        <v>6.8358652945217327E-2</v>
      </c>
    </row>
    <row r="146" spans="1:15" x14ac:dyDescent="0.45">
      <c r="A146">
        <v>2026</v>
      </c>
      <c r="C146" s="54"/>
      <c r="D146" s="1">
        <f t="shared" si="60"/>
        <v>6314856402.8159752</v>
      </c>
      <c r="E146" s="246">
        <f t="shared" si="60"/>
        <v>6168693831.9529066</v>
      </c>
      <c r="H146" s="457">
        <v>1.06</v>
      </c>
      <c r="I146" s="1">
        <f t="shared" si="62"/>
        <v>508800000</v>
      </c>
      <c r="J146" s="457">
        <v>1.06</v>
      </c>
      <c r="K146" s="1">
        <f t="shared" si="63"/>
        <v>508800000</v>
      </c>
      <c r="L146" s="54">
        <f>AVERAGE(I146,K146)</f>
        <v>508800000</v>
      </c>
      <c r="M146" s="454">
        <f t="shared" si="64"/>
        <v>8.05719033885096E-2</v>
      </c>
      <c r="N146" s="454">
        <f t="shared" si="61"/>
        <v>8.2480994171649835E-2</v>
      </c>
      <c r="O146" s="454">
        <f t="shared" si="59"/>
        <v>8.1515272567719163E-2</v>
      </c>
    </row>
    <row r="147" spans="1:15" x14ac:dyDescent="0.45">
      <c r="A147">
        <v>2027</v>
      </c>
      <c r="C147" s="54"/>
      <c r="D147" s="1">
        <f t="shared" si="60"/>
        <v>6151678987.1308422</v>
      </c>
      <c r="E147" s="246">
        <f t="shared" si="60"/>
        <v>6726220954.7971592</v>
      </c>
      <c r="H147" s="457">
        <v>1.06</v>
      </c>
      <c r="I147" s="1">
        <f t="shared" si="62"/>
        <v>508800000</v>
      </c>
      <c r="J147" s="457">
        <v>1.06</v>
      </c>
      <c r="K147" s="1">
        <f t="shared" si="63"/>
        <v>508800000</v>
      </c>
      <c r="L147" s="54">
        <f t="shared" ref="L147:L150" si="65">AVERAGE(I147,K147)</f>
        <v>508800000</v>
      </c>
      <c r="M147" s="454">
        <f t="shared" si="64"/>
        <v>8.2709127225981199E-2</v>
      </c>
      <c r="N147" s="454">
        <f t="shared" si="61"/>
        <v>7.5644259000609018E-2</v>
      </c>
      <c r="O147" s="454">
        <f t="shared" si="59"/>
        <v>7.901909508450887E-2</v>
      </c>
    </row>
    <row r="148" spans="1:15" x14ac:dyDescent="0.45">
      <c r="A148">
        <v>2028</v>
      </c>
      <c r="C148" s="54"/>
      <c r="D148" s="1">
        <f t="shared" si="60"/>
        <v>6284397894.2949572</v>
      </c>
      <c r="E148" s="246">
        <f t="shared" si="60"/>
        <v>6889086573.7417908</v>
      </c>
      <c r="H148" s="457">
        <v>1.06</v>
      </c>
      <c r="I148" s="1">
        <f t="shared" si="62"/>
        <v>508800000</v>
      </c>
      <c r="J148" s="457">
        <v>1.06</v>
      </c>
      <c r="K148" s="1">
        <f t="shared" si="63"/>
        <v>508800000</v>
      </c>
      <c r="L148" s="54">
        <f t="shared" si="65"/>
        <v>508800000</v>
      </c>
      <c r="M148" s="454">
        <f t="shared" si="64"/>
        <v>8.0962410171687885E-2</v>
      </c>
      <c r="N148" s="454">
        <f t="shared" si="61"/>
        <v>7.3855945132018638E-2</v>
      </c>
      <c r="O148" s="454">
        <f t="shared" si="59"/>
        <v>7.724607733580556E-2</v>
      </c>
    </row>
    <row r="149" spans="1:15" x14ac:dyDescent="0.45">
      <c r="A149">
        <v>2029</v>
      </c>
      <c r="C149" s="54"/>
      <c r="D149" s="1">
        <f t="shared" si="60"/>
        <v>6215568067.0787106</v>
      </c>
      <c r="E149" s="246">
        <f t="shared" si="60"/>
        <v>7183082511.7234697</v>
      </c>
      <c r="H149" s="457">
        <v>1.06</v>
      </c>
      <c r="I149" s="1">
        <f t="shared" si="62"/>
        <v>508800000</v>
      </c>
      <c r="J149" s="457">
        <v>1.06</v>
      </c>
      <c r="K149" s="1">
        <f t="shared" si="63"/>
        <v>508800000</v>
      </c>
      <c r="L149" s="54">
        <f t="shared" si="65"/>
        <v>508800000</v>
      </c>
      <c r="M149" s="454">
        <f t="shared" si="64"/>
        <v>8.1858970010304108E-2</v>
      </c>
      <c r="N149" s="454">
        <f t="shared" si="61"/>
        <v>7.0833099740896799E-2</v>
      </c>
      <c r="O149" s="454">
        <f t="shared" si="59"/>
        <v>7.5947946699194524E-2</v>
      </c>
    </row>
    <row r="150" spans="1:15" x14ac:dyDescent="0.45">
      <c r="A150">
        <v>2030</v>
      </c>
      <c r="C150" s="54"/>
      <c r="D150" s="1">
        <f t="shared" si="60"/>
        <v>6243338737.5809069</v>
      </c>
      <c r="E150" s="246">
        <f t="shared" si="60"/>
        <v>7417321267.02845</v>
      </c>
      <c r="H150" s="457">
        <v>1.06</v>
      </c>
      <c r="I150" s="1">
        <f t="shared" si="62"/>
        <v>508800000</v>
      </c>
      <c r="J150" s="457">
        <v>1.06</v>
      </c>
      <c r="K150" s="1">
        <f t="shared" si="63"/>
        <v>508800000</v>
      </c>
      <c r="L150" s="54">
        <f t="shared" si="65"/>
        <v>508800000</v>
      </c>
      <c r="M150" s="454">
        <f t="shared" si="64"/>
        <v>8.1494857380931346E-2</v>
      </c>
      <c r="N150" s="454">
        <f t="shared" si="61"/>
        <v>6.859619284144032E-2</v>
      </c>
      <c r="O150" s="454">
        <f t="shared" si="59"/>
        <v>7.4491276384643437E-2</v>
      </c>
    </row>
  </sheetData>
  <mergeCells count="1">
    <mergeCell ref="S9:X9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4FC4-13EB-4557-9190-4A6D9CA17539}">
  <sheetPr codeName="Sheet12">
    <tabColor rgb="FF7030A0"/>
  </sheetPr>
  <dimension ref="B2:AG50"/>
  <sheetViews>
    <sheetView showGridLines="0" topLeftCell="A13" zoomScale="72" zoomScaleNormal="72" workbookViewId="0">
      <selection activeCell="D26" sqref="D26"/>
    </sheetView>
  </sheetViews>
  <sheetFormatPr defaultColWidth="8.86328125" defaultRowHeight="15.75" x14ac:dyDescent="0.6"/>
  <cols>
    <col min="1" max="1" width="3.86328125" style="75" customWidth="1"/>
    <col min="2" max="2" width="8.86328125" style="75"/>
    <col min="3" max="3" width="17.1328125" style="75" bestFit="1" customWidth="1"/>
    <col min="4" max="4" width="17.1328125" style="75" customWidth="1"/>
    <col min="5" max="5" width="19.1328125" style="75" customWidth="1"/>
    <col min="6" max="6" width="14.1328125" style="75" bestFit="1" customWidth="1"/>
    <col min="7" max="7" width="4.86328125" style="75" bestFit="1" customWidth="1"/>
    <col min="8" max="8" width="13.59765625" style="75" bestFit="1" customWidth="1"/>
    <col min="9" max="9" width="13.86328125" style="75" customWidth="1"/>
    <col min="10" max="10" width="12.59765625" style="75" customWidth="1"/>
    <col min="11" max="11" width="15.1328125" style="75" bestFit="1" customWidth="1"/>
    <col min="12" max="12" width="7.3984375" style="77" bestFit="1" customWidth="1"/>
    <col min="13" max="13" width="14.1328125" style="77" bestFit="1" customWidth="1"/>
    <col min="14" max="14" width="5.1328125" style="77" bestFit="1" customWidth="1"/>
    <col min="15" max="15" width="13.59765625" style="77" bestFit="1" customWidth="1"/>
    <col min="16" max="16" width="14.59765625" style="75" customWidth="1"/>
    <col min="17" max="17" width="13.1328125" style="75" customWidth="1"/>
    <col min="18" max="18" width="14.59765625" style="75" bestFit="1" customWidth="1"/>
    <col min="19" max="19" width="8.86328125" style="77" bestFit="1" customWidth="1"/>
    <col min="20" max="20" width="15.59765625" style="75" customWidth="1"/>
    <col min="21" max="21" width="14.86328125" style="75" customWidth="1"/>
    <col min="22" max="22" width="14.3984375" style="75" customWidth="1"/>
    <col min="23" max="16384" width="8.86328125" style="75"/>
  </cols>
  <sheetData>
    <row r="2" spans="2:33" x14ac:dyDescent="0.6">
      <c r="D2" s="106" t="s">
        <v>411</v>
      </c>
      <c r="E2" s="113">
        <f>RegEV!B18</f>
        <v>37.314875980676256</v>
      </c>
      <c r="F2" s="116"/>
      <c r="G2" s="76">
        <v>2</v>
      </c>
      <c r="H2" s="106" t="s">
        <v>167</v>
      </c>
      <c r="I2" s="204" cm="1">
        <f t="array" ref="I2">INDEX(EV_Low_Penetration,$G2,1)</f>
        <v>0.3</v>
      </c>
      <c r="Q2" s="106" t="s">
        <v>167</v>
      </c>
      <c r="R2" s="204" cm="1">
        <f t="array" ref="R2">INDEX(EV_High_Penetration,$G2,1)</f>
        <v>0.9</v>
      </c>
      <c r="V2">
        <v>2021</v>
      </c>
      <c r="W2" s="87" t="s">
        <v>412</v>
      </c>
      <c r="X2"/>
      <c r="Y2"/>
      <c r="Z2"/>
      <c r="AA2"/>
      <c r="AB2"/>
      <c r="AC2"/>
      <c r="AD2"/>
      <c r="AE2"/>
    </row>
    <row r="3" spans="2:33" x14ac:dyDescent="0.6">
      <c r="D3" s="106" t="s">
        <v>300</v>
      </c>
      <c r="E3" s="113">
        <f>RegEV!B17</f>
        <v>-2387743.5582517069</v>
      </c>
      <c r="F3" s="116"/>
      <c r="G3" s="76">
        <v>3</v>
      </c>
      <c r="H3" s="106" t="s">
        <v>168</v>
      </c>
      <c r="I3" s="205" cm="1">
        <f t="array" ref="I3">INDEX(EV_Low_Penetration,$G3,1)</f>
        <v>2040</v>
      </c>
      <c r="Q3" s="106" t="s">
        <v>168</v>
      </c>
      <c r="R3" s="205" cm="1">
        <f t="array" ref="R3">INDEX(EV_High_Penetration,$G3,1)</f>
        <v>2036</v>
      </c>
      <c r="V3">
        <v>2023</v>
      </c>
      <c r="W3" s="87" t="s">
        <v>413</v>
      </c>
      <c r="X3"/>
      <c r="Y3"/>
      <c r="Z3"/>
      <c r="AA3"/>
      <c r="AB3"/>
      <c r="AC3"/>
      <c r="AD3"/>
    </row>
    <row r="4" spans="2:33" x14ac:dyDescent="0.6">
      <c r="F4" s="116"/>
      <c r="G4" s="76">
        <v>4</v>
      </c>
      <c r="H4" s="106" t="s">
        <v>169</v>
      </c>
      <c r="I4" s="205" cm="1">
        <f t="array" ref="I4">INDEX(EV_Low_Penetration,$G4,1)</f>
        <v>3</v>
      </c>
      <c r="Q4" s="106" t="s">
        <v>169</v>
      </c>
      <c r="R4" s="205" cm="1">
        <f t="array" ref="R4">INDEX(EV_High_Penetration,$G4,1)</f>
        <v>2</v>
      </c>
      <c r="V4" s="215" t="s">
        <v>414</v>
      </c>
      <c r="W4" t="s">
        <v>415</v>
      </c>
      <c r="X4"/>
      <c r="Y4"/>
      <c r="Z4"/>
      <c r="AA4"/>
      <c r="AB4"/>
      <c r="AC4"/>
      <c r="AD4"/>
      <c r="AE4"/>
      <c r="AF4"/>
      <c r="AG4"/>
    </row>
    <row r="5" spans="2:33" x14ac:dyDescent="0.6">
      <c r="V5" s="216" t="s">
        <v>416</v>
      </c>
      <c r="W5" t="s">
        <v>417</v>
      </c>
      <c r="X5"/>
      <c r="Y5"/>
      <c r="Z5"/>
      <c r="AA5"/>
      <c r="AB5"/>
      <c r="AC5"/>
      <c r="AD5"/>
      <c r="AE5"/>
      <c r="AF5"/>
      <c r="AG5"/>
    </row>
    <row r="6" spans="2:33" x14ac:dyDescent="0.6">
      <c r="F6" s="587" t="s">
        <v>418</v>
      </c>
      <c r="G6" s="588"/>
      <c r="H6" s="588"/>
      <c r="I6" s="588"/>
      <c r="J6" s="588"/>
      <c r="K6" s="588"/>
      <c r="P6" s="585" t="s">
        <v>419</v>
      </c>
      <c r="Q6" s="586"/>
      <c r="R6" s="586"/>
      <c r="V6" s="215"/>
      <c r="W6" t="s">
        <v>420</v>
      </c>
      <c r="X6"/>
      <c r="Y6"/>
      <c r="Z6"/>
      <c r="AA6"/>
      <c r="AB6"/>
      <c r="AC6"/>
      <c r="AD6"/>
      <c r="AE6"/>
      <c r="AF6"/>
      <c r="AG6"/>
    </row>
    <row r="8" spans="2:33" x14ac:dyDescent="0.6">
      <c r="E8" s="75">
        <v>5</v>
      </c>
      <c r="F8" s="589" t="s">
        <v>196</v>
      </c>
      <c r="G8" s="590"/>
      <c r="H8" s="590"/>
      <c r="I8" s="590"/>
      <c r="J8" s="582"/>
      <c r="K8" s="582"/>
      <c r="L8" s="582"/>
      <c r="M8" s="581" t="s">
        <v>197</v>
      </c>
      <c r="N8" s="529"/>
      <c r="O8" s="529"/>
      <c r="P8" s="529"/>
      <c r="Q8" s="529"/>
      <c r="R8" s="529"/>
      <c r="S8" s="529"/>
    </row>
    <row r="9" spans="2:33" ht="47.25" x14ac:dyDescent="0.6">
      <c r="B9" s="112" t="s">
        <v>30</v>
      </c>
      <c r="C9" s="112" t="s">
        <v>421</v>
      </c>
      <c r="D9" s="112" t="s">
        <v>422</v>
      </c>
      <c r="E9" s="112" t="s">
        <v>41</v>
      </c>
      <c r="F9" s="125" t="s">
        <v>423</v>
      </c>
      <c r="G9" s="125"/>
      <c r="H9" s="125" t="s">
        <v>424</v>
      </c>
      <c r="I9" s="125" t="s">
        <v>44</v>
      </c>
      <c r="J9" s="125" t="s">
        <v>425</v>
      </c>
      <c r="K9" s="125" t="s">
        <v>426</v>
      </c>
      <c r="L9" s="126" t="s">
        <v>307</v>
      </c>
      <c r="M9" s="125" t="s">
        <v>423</v>
      </c>
      <c r="N9" s="125"/>
      <c r="O9" s="125" t="s">
        <v>427</v>
      </c>
      <c r="P9" s="125" t="s">
        <v>45</v>
      </c>
      <c r="Q9" s="125" t="s">
        <v>425</v>
      </c>
      <c r="R9" s="125" t="s">
        <v>428</v>
      </c>
      <c r="S9" s="126" t="s">
        <v>307</v>
      </c>
      <c r="T9" s="125" t="s">
        <v>429</v>
      </c>
      <c r="U9" s="125" t="s">
        <v>430</v>
      </c>
    </row>
    <row r="10" spans="2:33" x14ac:dyDescent="0.6">
      <c r="B10" s="76">
        <v>2010</v>
      </c>
      <c r="C10" s="202">
        <v>319674</v>
      </c>
      <c r="D10" s="202">
        <v>0</v>
      </c>
      <c r="E10" s="203">
        <f t="shared" ref="E10:E50" si="0">(INDEX(GDP,MATCH($B10,Macros_year,0),MATCH($E$9,Macros_header,0)))</f>
        <v>77587.601064139468</v>
      </c>
      <c r="F10" s="206">
        <f t="shared" ref="F10:F37" si="1">(1/(1+EXP(($I$3-$B10)/$I$4)))</f>
        <v>4.5397868702434395E-5</v>
      </c>
      <c r="G10" s="207">
        <f>F10*$I$2</f>
        <v>1.3619360610730317E-5</v>
      </c>
      <c r="H10" s="207">
        <f>$I$2/$G$50*G10</f>
        <v>1.410521759055134E-5</v>
      </c>
      <c r="I10" s="106"/>
      <c r="J10" s="106"/>
      <c r="K10" s="106"/>
      <c r="L10" s="127"/>
      <c r="M10" s="206">
        <f>(1/(1+EXP(($R$3-$B10)/$R$4)))</f>
        <v>2.2603242979035746E-6</v>
      </c>
      <c r="N10" s="207">
        <f>M10*$R$2</f>
        <v>2.0342918681132173E-6</v>
      </c>
      <c r="O10" s="207">
        <f>$R$2/$N$50*N10</f>
        <v>2.0361469021804239E-6</v>
      </c>
      <c r="P10" s="106"/>
      <c r="Q10" s="106"/>
      <c r="R10" s="106"/>
      <c r="S10" s="127"/>
      <c r="T10" s="214"/>
      <c r="U10" s="214"/>
    </row>
    <row r="11" spans="2:33" x14ac:dyDescent="0.6">
      <c r="B11" s="76">
        <v>2011</v>
      </c>
      <c r="C11" s="202">
        <v>380517</v>
      </c>
      <c r="D11" s="202">
        <v>0</v>
      </c>
      <c r="E11" s="203">
        <f t="shared" si="0"/>
        <v>78834.950056658563</v>
      </c>
      <c r="F11" s="206">
        <f t="shared" si="1"/>
        <v>6.3356691749835833E-5</v>
      </c>
      <c r="G11" s="207">
        <f t="shared" ref="G11:G50" si="2">F11*$I$2</f>
        <v>1.9007007524950748E-5</v>
      </c>
      <c r="H11" s="207">
        <f t="shared" ref="H11:H50" si="3">$I$2/$G$50*G11</f>
        <v>1.9685063384947016E-5</v>
      </c>
      <c r="I11" s="106"/>
      <c r="J11" s="106"/>
      <c r="K11" s="106"/>
      <c r="L11" s="127"/>
      <c r="M11" s="206">
        <f t="shared" ref="M11:M50" si="4">(1/(1+EXP(($R$3-$B11)/$R$4)))</f>
        <v>3.7266392841865609E-6</v>
      </c>
      <c r="N11" s="207">
        <f t="shared" ref="N11:N50" si="5">M11*$R$2</f>
        <v>3.3539753557679049E-6</v>
      </c>
      <c r="O11" s="207">
        <f t="shared" ref="O11:O50" si="6">$R$2/$N$50*N11</f>
        <v>3.3570337854077437E-6</v>
      </c>
      <c r="P11" s="106"/>
      <c r="Q11" s="106"/>
      <c r="R11" s="106"/>
      <c r="S11" s="127"/>
      <c r="T11" s="214"/>
      <c r="U11" s="214"/>
    </row>
    <row r="12" spans="2:33" x14ac:dyDescent="0.6">
      <c r="B12" s="76">
        <v>2012</v>
      </c>
      <c r="C12" s="202">
        <v>630542</v>
      </c>
      <c r="D12" s="202">
        <v>0</v>
      </c>
      <c r="E12" s="203">
        <f t="shared" si="0"/>
        <v>79457.526677078029</v>
      </c>
      <c r="F12" s="206">
        <f t="shared" si="1"/>
        <v>8.841917001893843E-5</v>
      </c>
      <c r="G12" s="207">
        <f t="shared" si="2"/>
        <v>2.652575100568153E-5</v>
      </c>
      <c r="H12" s="207">
        <f t="shared" si="3"/>
        <v>2.7472030470589082E-5</v>
      </c>
      <c r="I12" s="106"/>
      <c r="J12" s="106"/>
      <c r="K12" s="106"/>
      <c r="L12" s="127"/>
      <c r="M12" s="206">
        <f t="shared" si="4"/>
        <v>6.1441746022147182E-6</v>
      </c>
      <c r="N12" s="207">
        <f t="shared" si="5"/>
        <v>5.5297571419932463E-6</v>
      </c>
      <c r="O12" s="207">
        <f t="shared" si="6"/>
        <v>5.5347996278049256E-6</v>
      </c>
      <c r="P12" s="106"/>
      <c r="Q12" s="106"/>
      <c r="R12" s="106"/>
      <c r="S12" s="127"/>
      <c r="T12" s="214"/>
      <c r="U12" s="214"/>
    </row>
    <row r="13" spans="2:33" x14ac:dyDescent="0.6">
      <c r="B13" s="76">
        <v>2013</v>
      </c>
      <c r="C13" s="202">
        <v>649216</v>
      </c>
      <c r="D13" s="202">
        <v>34</v>
      </c>
      <c r="E13" s="203">
        <f t="shared" si="0"/>
        <v>80136.367446443459</v>
      </c>
      <c r="F13" s="206">
        <f t="shared" si="1"/>
        <v>1.2339457598623172E-4</v>
      </c>
      <c r="G13" s="207">
        <f t="shared" si="2"/>
        <v>3.7018372795869516E-5</v>
      </c>
      <c r="H13" s="207">
        <f t="shared" si="3"/>
        <v>3.8338965980715473E-5</v>
      </c>
      <c r="I13" s="106"/>
      <c r="J13" s="106"/>
      <c r="K13" s="106"/>
      <c r="L13" s="127"/>
      <c r="M13" s="206">
        <f t="shared" si="4"/>
        <v>1.0129990980873921E-5</v>
      </c>
      <c r="N13" s="207">
        <f t="shared" si="5"/>
        <v>9.1169918827865295E-6</v>
      </c>
      <c r="O13" s="207">
        <f t="shared" si="6"/>
        <v>9.1253055032645486E-6</v>
      </c>
      <c r="P13" s="106"/>
      <c r="Q13" s="106"/>
      <c r="R13" s="106"/>
      <c r="S13" s="127"/>
      <c r="T13" s="214"/>
      <c r="U13" s="214"/>
    </row>
    <row r="14" spans="2:33" x14ac:dyDescent="0.6">
      <c r="B14" s="76">
        <v>2014</v>
      </c>
      <c r="C14" s="202">
        <v>644257</v>
      </c>
      <c r="D14" s="202">
        <v>14</v>
      </c>
      <c r="E14" s="203">
        <f t="shared" si="0"/>
        <v>79992.361913427827</v>
      </c>
      <c r="F14" s="206">
        <f t="shared" si="1"/>
        <v>1.7220259711902601E-4</v>
      </c>
      <c r="G14" s="207">
        <f t="shared" si="2"/>
        <v>5.1660779135707798E-5</v>
      </c>
      <c r="H14" s="207">
        <f t="shared" si="3"/>
        <v>5.3503725426908911E-5</v>
      </c>
      <c r="I14" s="106"/>
      <c r="J14" s="106"/>
      <c r="K14" s="106"/>
      <c r="L14" s="127"/>
      <c r="M14" s="206">
        <f t="shared" si="4"/>
        <v>1.6701421848095181E-5</v>
      </c>
      <c r="N14" s="207">
        <f t="shared" si="5"/>
        <v>1.5031279663285664E-5</v>
      </c>
      <c r="O14" s="207">
        <f t="shared" si="6"/>
        <v>1.504498641612982E-5</v>
      </c>
      <c r="P14" s="106"/>
      <c r="Q14" s="106"/>
      <c r="R14" s="106"/>
      <c r="S14" s="127"/>
      <c r="T14" s="214"/>
      <c r="U14" s="214"/>
    </row>
    <row r="15" spans="2:33" x14ac:dyDescent="0.6">
      <c r="B15" s="76">
        <v>2015</v>
      </c>
      <c r="C15" s="202">
        <v>651651</v>
      </c>
      <c r="D15" s="202">
        <v>117</v>
      </c>
      <c r="E15" s="203">
        <f t="shared" si="0"/>
        <v>79117.199555191779</v>
      </c>
      <c r="F15" s="206">
        <f t="shared" si="1"/>
        <v>2.4031171281892628E-4</v>
      </c>
      <c r="G15" s="207">
        <f t="shared" si="2"/>
        <v>7.2093513845677883E-5</v>
      </c>
      <c r="H15" s="207">
        <f t="shared" si="3"/>
        <v>7.4665377378988631E-5</v>
      </c>
      <c r="I15" s="106"/>
      <c r="J15" s="106"/>
      <c r="K15" s="106"/>
      <c r="L15" s="127"/>
      <c r="M15" s="206">
        <f t="shared" si="4"/>
        <v>2.7535691114583473E-5</v>
      </c>
      <c r="N15" s="207">
        <f t="shared" si="5"/>
        <v>2.4782122003125126E-5</v>
      </c>
      <c r="O15" s="207">
        <f t="shared" si="6"/>
        <v>2.4804720373247946E-5</v>
      </c>
      <c r="P15" s="106"/>
      <c r="Q15" s="106"/>
      <c r="R15" s="106"/>
      <c r="S15" s="127"/>
      <c r="T15" s="214"/>
      <c r="U15" s="214"/>
    </row>
    <row r="16" spans="2:33" x14ac:dyDescent="0.6">
      <c r="B16" s="76">
        <v>2016</v>
      </c>
      <c r="C16" s="202">
        <v>617651</v>
      </c>
      <c r="D16" s="202">
        <v>100</v>
      </c>
      <c r="E16" s="203">
        <f t="shared" si="0"/>
        <v>78872.591985826642</v>
      </c>
      <c r="F16" s="206">
        <f t="shared" si="1"/>
        <v>3.3535013046647811E-4</v>
      </c>
      <c r="G16" s="207">
        <f t="shared" si="2"/>
        <v>1.0060503913994343E-4</v>
      </c>
      <c r="H16" s="207">
        <f t="shared" si="3"/>
        <v>1.0419402263692184E-4</v>
      </c>
      <c r="I16" s="106"/>
      <c r="J16" s="106"/>
      <c r="K16" s="106"/>
      <c r="L16" s="127"/>
      <c r="M16" s="206">
        <f t="shared" si="4"/>
        <v>4.5397868702434395E-5</v>
      </c>
      <c r="N16" s="207">
        <f t="shared" si="5"/>
        <v>4.0858081832190954E-5</v>
      </c>
      <c r="O16" s="207">
        <f t="shared" si="6"/>
        <v>4.089533958016088E-5</v>
      </c>
      <c r="P16" s="106"/>
      <c r="Q16" s="106"/>
      <c r="R16" s="106"/>
      <c r="S16" s="127"/>
      <c r="T16" s="214"/>
      <c r="U16" s="214"/>
    </row>
    <row r="17" spans="2:21" x14ac:dyDescent="0.6">
      <c r="B17" s="76">
        <v>2017</v>
      </c>
      <c r="C17" s="202">
        <v>547552</v>
      </c>
      <c r="D17" s="202">
        <v>68</v>
      </c>
      <c r="E17" s="203">
        <f t="shared" si="0"/>
        <v>79477.49731131857</v>
      </c>
      <c r="F17" s="206">
        <f t="shared" si="1"/>
        <v>4.6795672563293525E-4</v>
      </c>
      <c r="G17" s="207">
        <f t="shared" si="2"/>
        <v>1.4038701768988058E-4</v>
      </c>
      <c r="H17" s="207">
        <f t="shared" si="3"/>
        <v>1.4539518322498996E-4</v>
      </c>
      <c r="I17" s="106"/>
      <c r="J17" s="106"/>
      <c r="K17" s="106"/>
      <c r="L17" s="127"/>
      <c r="M17" s="206">
        <f t="shared" si="4"/>
        <v>7.4846227510611229E-5</v>
      </c>
      <c r="N17" s="207">
        <f t="shared" si="5"/>
        <v>6.7361604759550104E-5</v>
      </c>
      <c r="O17" s="207">
        <f t="shared" si="6"/>
        <v>6.742303059210114E-5</v>
      </c>
      <c r="P17" s="106"/>
      <c r="R17" s="106"/>
      <c r="S17" s="127"/>
      <c r="T17" s="214"/>
      <c r="U17" s="214"/>
    </row>
    <row r="18" spans="2:21" x14ac:dyDescent="0.6">
      <c r="B18" s="76">
        <v>2018</v>
      </c>
      <c r="C18" s="202">
        <v>552227</v>
      </c>
      <c r="D18" s="202">
        <v>58</v>
      </c>
      <c r="E18" s="203">
        <f t="shared" si="0"/>
        <v>79677.342047662736</v>
      </c>
      <c r="F18" s="206">
        <f t="shared" si="1"/>
        <v>6.5296533755269232E-4</v>
      </c>
      <c r="G18" s="207">
        <f t="shared" si="2"/>
        <v>1.9588960126580769E-4</v>
      </c>
      <c r="H18" s="207">
        <f t="shared" si="3"/>
        <v>2.0287776559816003E-4</v>
      </c>
      <c r="I18" s="106"/>
      <c r="J18" s="106"/>
      <c r="K18" s="106"/>
      <c r="L18" s="127"/>
      <c r="M18" s="206">
        <f t="shared" si="4"/>
        <v>1.2339457598623172E-4</v>
      </c>
      <c r="N18" s="207">
        <f t="shared" si="5"/>
        <v>1.1105511838760855E-4</v>
      </c>
      <c r="O18" s="207">
        <f t="shared" si="6"/>
        <v>1.1115638754724873E-4</v>
      </c>
      <c r="P18" s="106"/>
      <c r="Q18" s="106"/>
      <c r="R18" s="106"/>
      <c r="S18" s="127"/>
      <c r="T18" s="214"/>
      <c r="U18" s="214"/>
    </row>
    <row r="19" spans="2:21" x14ac:dyDescent="0.6">
      <c r="B19" s="76">
        <v>2019</v>
      </c>
      <c r="C19" s="202">
        <v>536612</v>
      </c>
      <c r="D19" s="202">
        <v>154</v>
      </c>
      <c r="E19" s="203">
        <f t="shared" si="0"/>
        <v>78741.033795211013</v>
      </c>
      <c r="F19" s="206">
        <f t="shared" si="1"/>
        <v>9.1105119440064539E-4</v>
      </c>
      <c r="G19" s="207">
        <f t="shared" si="2"/>
        <v>2.7331535832019361E-4</v>
      </c>
      <c r="H19" s="207">
        <f t="shared" si="3"/>
        <v>2.8306560859461008E-4</v>
      </c>
      <c r="I19" s="106"/>
      <c r="J19" s="106"/>
      <c r="K19" s="106"/>
      <c r="L19" s="127"/>
      <c r="M19" s="206">
        <f t="shared" si="4"/>
        <v>2.0342697805520653E-4</v>
      </c>
      <c r="N19" s="207">
        <f t="shared" si="5"/>
        <v>1.8308428024968587E-4</v>
      </c>
      <c r="O19" s="207">
        <f t="shared" si="6"/>
        <v>1.8325123150302207E-4</v>
      </c>
      <c r="P19" s="106"/>
      <c r="Q19" s="106"/>
      <c r="R19" s="106"/>
      <c r="S19" s="127"/>
      <c r="T19" s="214"/>
      <c r="U19" s="214"/>
    </row>
    <row r="20" spans="2:21" x14ac:dyDescent="0.6">
      <c r="B20" s="76">
        <v>2020</v>
      </c>
      <c r="C20" s="202">
        <v>380207</v>
      </c>
      <c r="D20" s="202">
        <v>184</v>
      </c>
      <c r="E20" s="203">
        <f t="shared" si="0"/>
        <v>72780.724692688324</v>
      </c>
      <c r="F20" s="206">
        <f t="shared" si="1"/>
        <v>1.2710162630813579E-3</v>
      </c>
      <c r="G20" s="207">
        <f t="shared" si="2"/>
        <v>3.8130487892440738E-4</v>
      </c>
      <c r="H20" s="207">
        <f t="shared" si="3"/>
        <v>3.9490754663843152E-4</v>
      </c>
      <c r="I20" s="106"/>
      <c r="J20" s="106"/>
      <c r="K20" s="106"/>
      <c r="L20" s="127"/>
      <c r="M20" s="206">
        <f t="shared" si="4"/>
        <v>3.3535013046647811E-4</v>
      </c>
      <c r="N20" s="207">
        <f t="shared" si="5"/>
        <v>3.018151174198303E-4</v>
      </c>
      <c r="O20" s="207">
        <f t="shared" si="6"/>
        <v>3.0209033718233715E-4</v>
      </c>
      <c r="P20" s="106"/>
      <c r="Q20" s="106"/>
      <c r="R20" s="106"/>
      <c r="S20" s="127"/>
      <c r="T20" s="214"/>
      <c r="U20" s="214"/>
    </row>
    <row r="21" spans="2:21" x14ac:dyDescent="0.6">
      <c r="B21" s="76">
        <v>2021</v>
      </c>
      <c r="C21" s="202">
        <v>464493</v>
      </c>
      <c r="D21" s="202">
        <v>218</v>
      </c>
      <c r="E21" s="203">
        <f t="shared" si="0"/>
        <v>75987.078108010232</v>
      </c>
      <c r="F21" s="206">
        <f t="shared" si="1"/>
        <v>1.7729545947921428E-3</v>
      </c>
      <c r="G21" s="207">
        <f t="shared" si="2"/>
        <v>5.3188637843764285E-4</v>
      </c>
      <c r="H21" s="207">
        <f t="shared" si="3"/>
        <v>5.5086088956352139E-4</v>
      </c>
      <c r="I21" s="122">
        <f>$E21</f>
        <v>75987.078108010232</v>
      </c>
      <c r="J21" s="122">
        <f>$C21</f>
        <v>464493</v>
      </c>
      <c r="K21" s="131">
        <f>D21</f>
        <v>218</v>
      </c>
      <c r="L21" s="127"/>
      <c r="M21" s="206">
        <f t="shared" si="4"/>
        <v>5.5277863692359955E-4</v>
      </c>
      <c r="N21" s="207">
        <f t="shared" si="5"/>
        <v>4.9750077323123957E-4</v>
      </c>
      <c r="O21" s="207">
        <f t="shared" si="6"/>
        <v>4.9795443521419855E-4</v>
      </c>
      <c r="P21" s="122">
        <f>$E21</f>
        <v>75987.078108010232</v>
      </c>
      <c r="Q21" s="122">
        <f>$C21</f>
        <v>464493</v>
      </c>
      <c r="R21" s="122">
        <f>$D21</f>
        <v>218</v>
      </c>
      <c r="S21" s="127"/>
      <c r="T21" s="214"/>
      <c r="U21" s="214"/>
    </row>
    <row r="22" spans="2:21" x14ac:dyDescent="0.6">
      <c r="B22" s="76">
        <v>2022</v>
      </c>
      <c r="C22" s="202">
        <v>363092</v>
      </c>
      <c r="D22" s="202">
        <v>502</v>
      </c>
      <c r="E22" s="203">
        <f>(INDEX(GDP,MATCH($B22,Macros_year,0),MATCH($E$9,Macros_header,0)))</f>
        <v>76790.165012245096</v>
      </c>
      <c r="F22" s="206">
        <f t="shared" si="1"/>
        <v>2.4726231566347743E-3</v>
      </c>
      <c r="G22" s="207">
        <f t="shared" si="2"/>
        <v>7.4178694699043228E-4</v>
      </c>
      <c r="H22" s="207">
        <f t="shared" si="3"/>
        <v>7.6824944960244754E-4</v>
      </c>
      <c r="I22" s="122">
        <f>$E22</f>
        <v>76790.165012245096</v>
      </c>
      <c r="J22" s="122">
        <f t="shared" ref="J22:J25" si="7">$C22</f>
        <v>363092</v>
      </c>
      <c r="K22" s="122">
        <f>$D22</f>
        <v>502</v>
      </c>
      <c r="L22" s="127"/>
      <c r="M22" s="206">
        <f t="shared" si="4"/>
        <v>9.1105119440064539E-4</v>
      </c>
      <c r="N22" s="207">
        <f t="shared" si="5"/>
        <v>8.1994607496058082E-4</v>
      </c>
      <c r="O22" s="207">
        <f t="shared" si="6"/>
        <v>8.2069376899906457E-4</v>
      </c>
      <c r="P22" s="122">
        <f>$E22</f>
        <v>76790.165012245096</v>
      </c>
      <c r="Q22" s="122">
        <f t="shared" ref="Q22:Q25" si="8">$C22</f>
        <v>363092</v>
      </c>
      <c r="R22" s="122">
        <f>$D22</f>
        <v>502</v>
      </c>
      <c r="S22" s="127"/>
      <c r="T22" s="214">
        <v>2.0342058252875899E-3</v>
      </c>
      <c r="U22" s="214">
        <v>8.4632062963456867E-3</v>
      </c>
    </row>
    <row r="23" spans="2:21" x14ac:dyDescent="0.6">
      <c r="B23" s="76">
        <v>2023</v>
      </c>
      <c r="C23" s="202">
        <v>347366</v>
      </c>
      <c r="D23" s="202">
        <v>929</v>
      </c>
      <c r="E23" s="203">
        <f t="shared" si="0"/>
        <v>76777.92621036293</v>
      </c>
      <c r="F23" s="206">
        <f t="shared" si="1"/>
        <v>3.4474513015635634E-3</v>
      </c>
      <c r="G23" s="207">
        <f t="shared" si="2"/>
        <v>1.0342353904690691E-3</v>
      </c>
      <c r="H23" s="207">
        <f t="shared" si="3"/>
        <v>1.0711306969081555E-3</v>
      </c>
      <c r="I23" s="122">
        <f>$E23</f>
        <v>76777.92621036293</v>
      </c>
      <c r="J23" s="122">
        <f t="shared" si="7"/>
        <v>347366</v>
      </c>
      <c r="K23" s="122">
        <f t="shared" ref="K23:K25" si="9">$D23</f>
        <v>929</v>
      </c>
      <c r="L23" s="128">
        <f>K23/K22-1</f>
        <v>0.8505976095617529</v>
      </c>
      <c r="M23" s="206">
        <f t="shared" si="4"/>
        <v>1.5011822567369917E-3</v>
      </c>
      <c r="N23" s="207">
        <f t="shared" si="5"/>
        <v>1.3510640310632925E-3</v>
      </c>
      <c r="O23" s="207">
        <f t="shared" si="6"/>
        <v>1.3522960419875285E-3</v>
      </c>
      <c r="P23" s="122">
        <f>$E23</f>
        <v>76777.92621036293</v>
      </c>
      <c r="Q23" s="122">
        <f t="shared" si="8"/>
        <v>347366</v>
      </c>
      <c r="R23" s="122">
        <f t="shared" ref="R23:R25" si="10">$D23</f>
        <v>929</v>
      </c>
      <c r="S23" s="128">
        <f>R23/R22-1</f>
        <v>0.8505976095617529</v>
      </c>
      <c r="T23" s="214">
        <v>2.8314658405307136E-3</v>
      </c>
      <c r="U23" s="214">
        <v>1.1767984846025216E-2</v>
      </c>
    </row>
    <row r="24" spans="2:21" x14ac:dyDescent="0.6">
      <c r="B24" s="76">
        <v>2024</v>
      </c>
      <c r="C24" s="202">
        <v>351551</v>
      </c>
      <c r="D24" s="202">
        <v>1100</v>
      </c>
      <c r="E24" s="203">
        <f t="shared" si="0"/>
        <v>76356.557279594257</v>
      </c>
      <c r="F24" s="206">
        <f t="shared" si="1"/>
        <v>4.8047528871595184E-3</v>
      </c>
      <c r="G24" s="207">
        <f t="shared" si="2"/>
        <v>1.4414258661478556E-3</v>
      </c>
      <c r="H24" s="207">
        <f t="shared" si="3"/>
        <v>1.4928472829073716E-3</v>
      </c>
      <c r="I24" s="122">
        <f t="shared" ref="I24:I25" si="11">$E24</f>
        <v>76356.557279594257</v>
      </c>
      <c r="J24" s="122">
        <f t="shared" si="7"/>
        <v>351551</v>
      </c>
      <c r="K24" s="122">
        <f t="shared" si="9"/>
        <v>1100</v>
      </c>
      <c r="L24" s="128">
        <f t="shared" ref="L24:L37" si="12">K24/K23-1</f>
        <v>0.18406889128094717</v>
      </c>
      <c r="M24" s="206">
        <f t="shared" si="4"/>
        <v>2.4726231566347743E-3</v>
      </c>
      <c r="N24" s="207">
        <f t="shared" si="5"/>
        <v>2.225360840971297E-3</v>
      </c>
      <c r="O24" s="207">
        <f t="shared" si="6"/>
        <v>2.2273901073890296E-3</v>
      </c>
      <c r="P24" s="122">
        <f t="shared" ref="P24:P25" si="13">$E24</f>
        <v>76356.557279594257</v>
      </c>
      <c r="Q24" s="122">
        <f t="shared" si="8"/>
        <v>351551</v>
      </c>
      <c r="R24" s="122">
        <f t="shared" si="10"/>
        <v>1100</v>
      </c>
      <c r="S24" s="128">
        <f t="shared" ref="S24:S37" si="14">R24/R23-1</f>
        <v>0.18406889128094717</v>
      </c>
      <c r="T24" s="214">
        <v>3.9371186210822905E-3</v>
      </c>
      <c r="U24" s="214">
        <v>1.6339809971280973E-2</v>
      </c>
    </row>
    <row r="25" spans="2:21" x14ac:dyDescent="0.6">
      <c r="B25" s="76">
        <v>2025</v>
      </c>
      <c r="C25" s="202">
        <v>429000</v>
      </c>
      <c r="D25" s="202">
        <v>1150</v>
      </c>
      <c r="E25" s="203">
        <f t="shared" si="0"/>
        <v>75873.540353853896</v>
      </c>
      <c r="F25" s="206">
        <f t="shared" si="1"/>
        <v>6.6928509242848554E-3</v>
      </c>
      <c r="G25" s="207">
        <f t="shared" si="2"/>
        <v>2.0078552772854565E-3</v>
      </c>
      <c r="H25" s="207">
        <f t="shared" si="3"/>
        <v>2.0794834930895835E-3</v>
      </c>
      <c r="I25" s="122">
        <f t="shared" si="11"/>
        <v>75873.540353853896</v>
      </c>
      <c r="J25" s="122">
        <f t="shared" si="7"/>
        <v>429000</v>
      </c>
      <c r="K25" s="122">
        <f t="shared" si="9"/>
        <v>1150</v>
      </c>
      <c r="L25" s="128">
        <f t="shared" si="12"/>
        <v>4.5454545454545414E-2</v>
      </c>
      <c r="M25" s="206">
        <f t="shared" si="4"/>
        <v>4.0701377158961277E-3</v>
      </c>
      <c r="N25" s="207">
        <f t="shared" si="5"/>
        <v>3.6631239443065148E-3</v>
      </c>
      <c r="O25" s="207">
        <f t="shared" si="6"/>
        <v>3.6664642809689186E-3</v>
      </c>
      <c r="P25" s="122">
        <f t="shared" si="13"/>
        <v>75873.540353853896</v>
      </c>
      <c r="Q25" s="122">
        <f t="shared" si="8"/>
        <v>429000</v>
      </c>
      <c r="R25" s="122">
        <f t="shared" si="10"/>
        <v>1150</v>
      </c>
      <c r="S25" s="128">
        <f t="shared" si="14"/>
        <v>4.5454545454545414E-2</v>
      </c>
      <c r="T25" s="214">
        <v>5.4666768307919146E-3</v>
      </c>
      <c r="U25" s="214">
        <v>2.2642924546935297E-2</v>
      </c>
    </row>
    <row r="26" spans="2:21" x14ac:dyDescent="0.6">
      <c r="B26" s="76">
        <v>2026</v>
      </c>
      <c r="C26" s="202"/>
      <c r="D26" s="202"/>
      <c r="E26" s="203">
        <f t="shared" si="0"/>
        <v>76305.620802195466</v>
      </c>
      <c r="F26" s="206">
        <f t="shared" si="1"/>
        <v>9.3159593450666857E-3</v>
      </c>
      <c r="G26" s="207">
        <f t="shared" si="2"/>
        <v>2.7947878035200057E-3</v>
      </c>
      <c r="H26" s="207">
        <f t="shared" si="3"/>
        <v>2.8944890450297604E-3</v>
      </c>
      <c r="I26" s="129">
        <f t="shared" ref="I26:I50" si="15">I25*(VLOOKUP($B26,PaxHighScenario,2,0)+1)</f>
        <v>76305.620802195466</v>
      </c>
      <c r="J26" s="130">
        <f t="shared" ref="J26:J50" si="16">($I26*$E$2)+$E$3</f>
        <v>459591.21861072723</v>
      </c>
      <c r="K26" s="130">
        <f t="shared" ref="K26:K50" si="17">$K25+($J26*$H26)</f>
        <v>2480.2817474606277</v>
      </c>
      <c r="L26" s="128">
        <f t="shared" si="12"/>
        <v>1.1567667369222852</v>
      </c>
      <c r="M26" s="206">
        <f t="shared" si="4"/>
        <v>6.6928509242848554E-3</v>
      </c>
      <c r="N26" s="207">
        <f t="shared" si="5"/>
        <v>6.0235658318563701E-3</v>
      </c>
      <c r="O26" s="207">
        <f t="shared" si="6"/>
        <v>6.0290586129067699E-3</v>
      </c>
      <c r="P26" s="129">
        <f t="shared" ref="P26:P50" si="18">P25*(VLOOKUP($B26,PaxLowScenario,2,0)+1)</f>
        <v>75854.997057300614</v>
      </c>
      <c r="Q26" s="130">
        <f t="shared" ref="Q26:Q50" si="19">($P26*$E$2)+$E$3</f>
        <v>442776.24945602799</v>
      </c>
      <c r="R26" s="130">
        <f t="shared" ref="R26:R50" si="20">$R25+($Q26*$O26)</f>
        <v>3819.5239603734221</v>
      </c>
      <c r="S26" s="128">
        <f t="shared" si="14"/>
        <v>2.3213251829334105</v>
      </c>
      <c r="T26" s="214">
        <v>7.5754584184063636E-3</v>
      </c>
      <c r="U26" s="214">
        <v>3.129219289643119E-2</v>
      </c>
    </row>
    <row r="27" spans="2:21" x14ac:dyDescent="0.6">
      <c r="B27" s="76">
        <v>2027</v>
      </c>
      <c r="C27" s="202"/>
      <c r="D27" s="202"/>
      <c r="E27" s="203">
        <f t="shared" si="0"/>
        <v>76770.112741293895</v>
      </c>
      <c r="F27" s="206">
        <f t="shared" si="1"/>
        <v>1.2953727530695871E-2</v>
      </c>
      <c r="G27" s="207">
        <f t="shared" si="2"/>
        <v>3.8861182592087613E-3</v>
      </c>
      <c r="H27" s="207">
        <f t="shared" si="3"/>
        <v>4.02475161613441E-3</v>
      </c>
      <c r="I27" s="129">
        <f t="shared" si="15"/>
        <v>76770.112741293895</v>
      </c>
      <c r="J27" s="130">
        <f t="shared" si="16"/>
        <v>476923.67771220906</v>
      </c>
      <c r="K27" s="130">
        <f t="shared" si="17"/>
        <v>4399.7810901056073</v>
      </c>
      <c r="L27" s="128">
        <f t="shared" si="12"/>
        <v>0.7739037488826459</v>
      </c>
      <c r="M27" s="206">
        <f t="shared" si="4"/>
        <v>1.098694263059318E-2</v>
      </c>
      <c r="N27" s="207">
        <f t="shared" si="5"/>
        <v>9.8882483675338615E-3</v>
      </c>
      <c r="O27" s="207">
        <f t="shared" si="6"/>
        <v>9.8972652828911399E-3</v>
      </c>
      <c r="P27" s="129">
        <f t="shared" si="18"/>
        <v>75866.056489275812</v>
      </c>
      <c r="Q27" s="130">
        <f t="shared" si="19"/>
        <v>443188.93078859895</v>
      </c>
      <c r="R27" s="130">
        <f t="shared" si="20"/>
        <v>8205.8823788290665</v>
      </c>
      <c r="S27" s="128">
        <f t="shared" si="14"/>
        <v>1.1484044776163165</v>
      </c>
      <c r="T27" s="214">
        <v>1.0469173521127613E-2</v>
      </c>
      <c r="U27" s="214">
        <v>4.3084660808296184E-2</v>
      </c>
    </row>
    <row r="28" spans="2:21" x14ac:dyDescent="0.6">
      <c r="B28" s="76">
        <v>2028</v>
      </c>
      <c r="C28" s="202"/>
      <c r="D28" s="202"/>
      <c r="E28" s="203">
        <f t="shared" si="0"/>
        <v>77267.030311881841</v>
      </c>
      <c r="F28" s="206">
        <f t="shared" si="1"/>
        <v>1.7986209962091559E-2</v>
      </c>
      <c r="G28" s="207">
        <f t="shared" si="2"/>
        <v>5.3958629886274676E-3</v>
      </c>
      <c r="H28" s="207">
        <f t="shared" si="3"/>
        <v>5.5883549689864486E-3</v>
      </c>
      <c r="I28" s="129">
        <f t="shared" si="15"/>
        <v>77267.030311881841</v>
      </c>
      <c r="J28" s="130">
        <f t="shared" si="16"/>
        <v>495466.09523131698</v>
      </c>
      <c r="K28" s="130">
        <f t="shared" si="17"/>
        <v>7168.6215053558499</v>
      </c>
      <c r="L28" s="128">
        <f t="shared" si="12"/>
        <v>0.62931322230483566</v>
      </c>
      <c r="M28" s="206">
        <f t="shared" si="4"/>
        <v>1.7986209962091559E-2</v>
      </c>
      <c r="N28" s="207">
        <f t="shared" si="5"/>
        <v>1.6187588965882405E-2</v>
      </c>
      <c r="O28" s="207">
        <f t="shared" si="6"/>
        <v>1.6202350136326201E-2</v>
      </c>
      <c r="P28" s="129">
        <f t="shared" si="18"/>
        <v>75906.194397226005</v>
      </c>
      <c r="Q28" s="130">
        <f t="shared" si="19"/>
        <v>444686.67184588453</v>
      </c>
      <c r="R28" s="130">
        <f t="shared" si="20"/>
        <v>15410.851537033679</v>
      </c>
      <c r="S28" s="128">
        <f t="shared" si="14"/>
        <v>0.87802491256677273</v>
      </c>
      <c r="T28" s="214">
        <v>1.441448324167852E-2</v>
      </c>
      <c r="U28" s="214">
        <v>5.9022099697035722E-2</v>
      </c>
    </row>
    <row r="29" spans="2:21" x14ac:dyDescent="0.6">
      <c r="B29" s="76">
        <v>2029</v>
      </c>
      <c r="C29" s="202"/>
      <c r="D29" s="202"/>
      <c r="E29" s="203">
        <f t="shared" si="0"/>
        <v>77793.850145885241</v>
      </c>
      <c r="F29" s="206">
        <f t="shared" si="1"/>
        <v>2.4924426647114039E-2</v>
      </c>
      <c r="G29" s="207">
        <f t="shared" si="2"/>
        <v>7.4773279941342113E-3</v>
      </c>
      <c r="H29" s="207">
        <f t="shared" si="3"/>
        <v>7.7440741432521784E-3</v>
      </c>
      <c r="I29" s="129">
        <f t="shared" si="15"/>
        <v>77793.850145885255</v>
      </c>
      <c r="J29" s="130">
        <f t="shared" si="16"/>
        <v>515124.31200131495</v>
      </c>
      <c r="K29" s="130">
        <f t="shared" si="17"/>
        <v>11157.7823704858</v>
      </c>
      <c r="L29" s="128">
        <f t="shared" si="12"/>
        <v>0.55647530869771145</v>
      </c>
      <c r="M29" s="206">
        <f t="shared" si="4"/>
        <v>2.9312230751356319E-2</v>
      </c>
      <c r="N29" s="207">
        <f t="shared" si="5"/>
        <v>2.6381007676220689E-2</v>
      </c>
      <c r="O29" s="207">
        <f t="shared" si="6"/>
        <v>2.6405064041353787E-2</v>
      </c>
      <c r="P29" s="129">
        <f t="shared" si="18"/>
        <v>75972.414544585263</v>
      </c>
      <c r="Q29" s="130">
        <f t="shared" si="19"/>
        <v>447157.66843201732</v>
      </c>
      <c r="R29" s="130">
        <f t="shared" si="20"/>
        <v>27218.078408563539</v>
      </c>
      <c r="S29" s="128">
        <f t="shared" si="14"/>
        <v>0.76616317035797921</v>
      </c>
      <c r="T29" s="214">
        <v>1.9746542064171931E-2</v>
      </c>
      <c r="U29" s="214">
        <v>8.0307854191086284E-2</v>
      </c>
    </row>
    <row r="30" spans="2:21" s="77" customFormat="1" x14ac:dyDescent="0.6">
      <c r="B30" s="81">
        <v>2030</v>
      </c>
      <c r="C30" s="254"/>
      <c r="D30" s="254"/>
      <c r="E30" s="255">
        <f t="shared" si="0"/>
        <v>78347.236624239842</v>
      </c>
      <c r="F30" s="256">
        <f t="shared" si="1"/>
        <v>3.4445195666211167E-2</v>
      </c>
      <c r="G30" s="257">
        <f t="shared" si="2"/>
        <v>1.0333558699863349E-2</v>
      </c>
      <c r="H30" s="257">
        <f t="shared" si="3"/>
        <v>1.0702198004175715E-2</v>
      </c>
      <c r="I30" s="241">
        <f t="shared" si="15"/>
        <v>78347.236624239842</v>
      </c>
      <c r="J30" s="132">
        <f t="shared" si="16"/>
        <v>535773.85981049947</v>
      </c>
      <c r="K30" s="132">
        <f>$K29+($J30*$H30)</f>
        <v>16891.740303639246</v>
      </c>
      <c r="L30" s="217">
        <f t="shared" si="12"/>
        <v>0.51389763151508694</v>
      </c>
      <c r="M30" s="256">
        <f t="shared" si="4"/>
        <v>4.7425873177566781E-2</v>
      </c>
      <c r="N30" s="257">
        <f t="shared" si="5"/>
        <v>4.2683285859810106E-2</v>
      </c>
      <c r="O30" s="257">
        <f t="shared" si="6"/>
        <v>4.2722207978416277E-2</v>
      </c>
      <c r="P30" s="241">
        <f t="shared" si="18"/>
        <v>76060.996737168723</v>
      </c>
      <c r="Q30" s="132">
        <f t="shared" si="19"/>
        <v>450463.10196236521</v>
      </c>
      <c r="R30" s="132">
        <f t="shared" si="20"/>
        <v>46462.856737202237</v>
      </c>
      <c r="S30" s="217">
        <f t="shared" si="14"/>
        <v>0.70705867033521996</v>
      </c>
      <c r="T30" s="258">
        <v>2.6867943177347097E-2</v>
      </c>
      <c r="U30" s="258">
        <v>0.10829146874010619</v>
      </c>
    </row>
    <row r="31" spans="2:21" x14ac:dyDescent="0.6">
      <c r="B31" s="76">
        <v>2031</v>
      </c>
      <c r="C31" s="202"/>
      <c r="D31" s="202"/>
      <c r="E31" s="203">
        <f t="shared" si="0"/>
        <v>78904.559616777144</v>
      </c>
      <c r="F31" s="206">
        <f t="shared" si="1"/>
        <v>4.7425873177566781E-2</v>
      </c>
      <c r="G31" s="207">
        <f t="shared" si="2"/>
        <v>1.4227761953270034E-2</v>
      </c>
      <c r="H31" s="207">
        <f t="shared" si="3"/>
        <v>1.4735323038537279E-2</v>
      </c>
      <c r="I31" s="129">
        <f t="shared" si="15"/>
        <v>78904.559616777129</v>
      </c>
      <c r="J31" s="130">
        <f t="shared" si="16"/>
        <v>556570.29815820744</v>
      </c>
      <c r="K31" s="130">
        <f t="shared" si="17"/>
        <v>25092.983440655444</v>
      </c>
      <c r="L31" s="128">
        <f t="shared" si="12"/>
        <v>0.48551795076137161</v>
      </c>
      <c r="M31" s="206">
        <f t="shared" si="4"/>
        <v>7.5858180021243546E-2</v>
      </c>
      <c r="N31" s="207">
        <f t="shared" si="5"/>
        <v>6.8272362019119195E-2</v>
      </c>
      <c r="O31" s="207">
        <f t="shared" si="6"/>
        <v>6.8334618354790239E-2</v>
      </c>
      <c r="P31" s="129">
        <f t="shared" si="18"/>
        <v>76149.682214673288</v>
      </c>
      <c r="Q31" s="130">
        <f t="shared" si="19"/>
        <v>453772.38955673529</v>
      </c>
      <c r="R31" s="130">
        <f t="shared" si="20"/>
        <v>77471.219797502941</v>
      </c>
      <c r="S31" s="128">
        <f t="shared" si="14"/>
        <v>0.66737960680477681</v>
      </c>
      <c r="T31" s="214">
        <v>3.6230192650615958E-2</v>
      </c>
      <c r="U31" s="214">
        <v>0.14432673640154661</v>
      </c>
    </row>
    <row r="32" spans="2:21" x14ac:dyDescent="0.6">
      <c r="B32" s="76">
        <v>2032</v>
      </c>
      <c r="C32" s="202"/>
      <c r="D32" s="202"/>
      <c r="E32" s="203">
        <f t="shared" si="0"/>
        <v>79465.847125886998</v>
      </c>
      <c r="F32" s="206">
        <f t="shared" si="1"/>
        <v>6.4969169128664073E-2</v>
      </c>
      <c r="G32" s="207">
        <f t="shared" si="2"/>
        <v>1.9490750738599221E-2</v>
      </c>
      <c r="H32" s="207">
        <f t="shared" si="3"/>
        <v>2.0186063650780961E-2</v>
      </c>
      <c r="I32" s="129">
        <f t="shared" si="15"/>
        <v>79465.847125886969</v>
      </c>
      <c r="J32" s="130">
        <f t="shared" si="16"/>
        <v>577514.67195014423</v>
      </c>
      <c r="K32" s="130">
        <f t="shared" si="17"/>
        <v>36750.731367900938</v>
      </c>
      <c r="L32" s="128">
        <f t="shared" si="12"/>
        <v>0.46458197985169458</v>
      </c>
      <c r="M32" s="206">
        <f t="shared" si="4"/>
        <v>0.11920292202211755</v>
      </c>
      <c r="N32" s="207">
        <f t="shared" si="5"/>
        <v>0.1072826298199058</v>
      </c>
      <c r="O32" s="207">
        <f t="shared" si="6"/>
        <v>0.10738045891525583</v>
      </c>
      <c r="P32" s="129">
        <f t="shared" si="18"/>
        <v>76238.471097526955</v>
      </c>
      <c r="Q32" s="130">
        <f t="shared" si="19"/>
        <v>457085.53570888285</v>
      </c>
      <c r="R32" s="130">
        <f t="shared" si="20"/>
        <v>126553.27438544834</v>
      </c>
      <c r="S32" s="128">
        <f t="shared" si="14"/>
        <v>0.63355210768899517</v>
      </c>
      <c r="T32" s="214">
        <v>4.8286217975415872E-2</v>
      </c>
      <c r="U32" s="214">
        <v>0.18951317159537764</v>
      </c>
    </row>
    <row r="33" spans="2:24" x14ac:dyDescent="0.6">
      <c r="B33" s="76">
        <v>2033</v>
      </c>
      <c r="C33" s="202"/>
      <c r="D33" s="202"/>
      <c r="E33" s="203">
        <f t="shared" si="0"/>
        <v>80031.127353154239</v>
      </c>
      <c r="F33" s="206">
        <f t="shared" si="1"/>
        <v>8.8399677207058408E-2</v>
      </c>
      <c r="G33" s="207">
        <f t="shared" si="2"/>
        <v>2.6519903162117522E-2</v>
      </c>
      <c r="H33" s="207">
        <f t="shared" si="3"/>
        <v>2.7465974011092676E-2</v>
      </c>
      <c r="I33" s="129">
        <f t="shared" si="15"/>
        <v>80031.127353154196</v>
      </c>
      <c r="J33" s="130">
        <f t="shared" si="16"/>
        <v>598608.0335249491</v>
      </c>
      <c r="K33" s="130">
        <f t="shared" si="17"/>
        <v>53192.084059528483</v>
      </c>
      <c r="L33" s="128">
        <f t="shared" si="12"/>
        <v>0.44737484342931633</v>
      </c>
      <c r="M33" s="206">
        <f t="shared" si="4"/>
        <v>0.18242552380635635</v>
      </c>
      <c r="N33" s="207">
        <f t="shared" si="5"/>
        <v>0.16418297142572072</v>
      </c>
      <c r="O33" s="207">
        <f t="shared" si="6"/>
        <v>0.16433268691641498</v>
      </c>
      <c r="P33" s="129">
        <f t="shared" si="18"/>
        <v>76327.363506298119</v>
      </c>
      <c r="Q33" s="130">
        <f t="shared" si="19"/>
        <v>460402.54491780233</v>
      </c>
      <c r="R33" s="130">
        <f t="shared" si="20"/>
        <v>202212.46165494624</v>
      </c>
      <c r="S33" s="128">
        <f t="shared" si="14"/>
        <v>0.59784456496210203</v>
      </c>
      <c r="T33" s="214">
        <v>6.3403874715265415E-2</v>
      </c>
      <c r="U33" s="214">
        <v>0.2443233859636823</v>
      </c>
      <c r="W33" s="77"/>
      <c r="X33" s="77"/>
    </row>
    <row r="34" spans="2:24" x14ac:dyDescent="0.6">
      <c r="B34" s="76">
        <v>2034</v>
      </c>
      <c r="C34" s="202"/>
      <c r="D34" s="202"/>
      <c r="E34" s="203">
        <f t="shared" si="0"/>
        <v>80600.42870077565</v>
      </c>
      <c r="F34" s="206">
        <f t="shared" si="1"/>
        <v>0.11920292202211755</v>
      </c>
      <c r="G34" s="207">
        <f t="shared" si="2"/>
        <v>3.576087660663526E-2</v>
      </c>
      <c r="H34" s="207">
        <f t="shared" si="3"/>
        <v>3.7036609880792278E-2</v>
      </c>
      <c r="I34" s="129">
        <f t="shared" si="15"/>
        <v>80600.428700775592</v>
      </c>
      <c r="J34" s="130">
        <f t="shared" si="16"/>
        <v>619851.44270707341</v>
      </c>
      <c r="K34" s="130">
        <f t="shared" si="17"/>
        <v>76149.280127116624</v>
      </c>
      <c r="L34" s="128">
        <f t="shared" si="12"/>
        <v>0.43159046075157015</v>
      </c>
      <c r="M34" s="206">
        <f t="shared" si="4"/>
        <v>0.2689414213699951</v>
      </c>
      <c r="N34" s="207">
        <f t="shared" si="5"/>
        <v>0.2420472792329956</v>
      </c>
      <c r="O34" s="207">
        <f t="shared" si="6"/>
        <v>0.24226799778173969</v>
      </c>
      <c r="P34" s="129">
        <f t="shared" si="18"/>
        <v>76416.359561695761</v>
      </c>
      <c r="Q34" s="130">
        <f t="shared" si="19"/>
        <v>463723.42168773478</v>
      </c>
      <c r="R34" s="130">
        <f t="shared" si="20"/>
        <v>314557.80655173108</v>
      </c>
      <c r="S34" s="128">
        <f t="shared" si="14"/>
        <v>0.55558071929557951</v>
      </c>
      <c r="T34" s="214">
        <v>8.1741280689054674E-2</v>
      </c>
      <c r="U34" s="214">
        <v>0.30819035694662084</v>
      </c>
    </row>
    <row r="35" spans="2:24" x14ac:dyDescent="0.6">
      <c r="B35" s="76">
        <v>2035</v>
      </c>
      <c r="C35" s="202"/>
      <c r="D35" s="202"/>
      <c r="E35" s="203">
        <f t="shared" si="0"/>
        <v>81173.779772987022</v>
      </c>
      <c r="F35" s="206">
        <f t="shared" si="1"/>
        <v>0.15886910488091516</v>
      </c>
      <c r="G35" s="207">
        <f t="shared" si="2"/>
        <v>4.7660731464274547E-2</v>
      </c>
      <c r="H35" s="207">
        <f t="shared" si="3"/>
        <v>4.9360980081456257E-2</v>
      </c>
      <c r="I35" s="129">
        <f t="shared" si="15"/>
        <v>81173.779772986949</v>
      </c>
      <c r="J35" s="130">
        <f t="shared" si="16"/>
        <v>641245.96686002798</v>
      </c>
      <c r="K35" s="130">
        <f t="shared" si="17"/>
        <v>107801.80952460863</v>
      </c>
      <c r="L35" s="128">
        <f t="shared" si="12"/>
        <v>0.41566419728005544</v>
      </c>
      <c r="M35" s="206">
        <f t="shared" si="4"/>
        <v>0.37754066879814541</v>
      </c>
      <c r="N35" s="207">
        <f t="shared" si="5"/>
        <v>0.33978660191833088</v>
      </c>
      <c r="O35" s="207">
        <f t="shared" si="6"/>
        <v>0.34009644719275722</v>
      </c>
      <c r="P35" s="129">
        <f t="shared" si="18"/>
        <v>76505.459384569607</v>
      </c>
      <c r="Q35" s="130">
        <f t="shared" si="19"/>
        <v>467048.17052817252</v>
      </c>
      <c r="R35" s="130">
        <f t="shared" si="20"/>
        <v>473399.23001623957</v>
      </c>
      <c r="S35" s="128">
        <f t="shared" si="14"/>
        <v>0.50496735466772136</v>
      </c>
      <c r="T35" s="214">
        <v>0.10310873178787053</v>
      </c>
      <c r="U35" s="214">
        <v>0.37921960864086718</v>
      </c>
    </row>
    <row r="36" spans="2:24" x14ac:dyDescent="0.6">
      <c r="B36" s="76">
        <v>2036</v>
      </c>
      <c r="C36" s="202"/>
      <c r="D36" s="202"/>
      <c r="E36" s="203">
        <f t="shared" si="0"/>
        <v>81751.209377500316</v>
      </c>
      <c r="F36" s="206">
        <f t="shared" si="1"/>
        <v>0.20860852732604496</v>
      </c>
      <c r="G36" s="207">
        <f t="shared" si="2"/>
        <v>6.2582558197813484E-2</v>
      </c>
      <c r="H36" s="207">
        <f t="shared" si="3"/>
        <v>6.4815127962616306E-2</v>
      </c>
      <c r="I36" s="129">
        <f t="shared" si="15"/>
        <v>81751.209377500243</v>
      </c>
      <c r="J36" s="130">
        <f t="shared" si="16"/>
        <v>662792.68094001245</v>
      </c>
      <c r="K36" s="130">
        <f t="shared" si="17"/>
        <v>150760.80195242105</v>
      </c>
      <c r="L36" s="128">
        <f t="shared" si="12"/>
        <v>0.39849973406991746</v>
      </c>
      <c r="M36" s="206">
        <f t="shared" si="4"/>
        <v>0.5</v>
      </c>
      <c r="N36" s="207">
        <f t="shared" si="5"/>
        <v>0.45</v>
      </c>
      <c r="O36" s="207">
        <f t="shared" si="6"/>
        <v>0.45041034688449955</v>
      </c>
      <c r="P36" s="129">
        <f t="shared" si="18"/>
        <v>76594.663095910291</v>
      </c>
      <c r="Q36" s="130">
        <f t="shared" si="19"/>
        <v>470376.79595386609</v>
      </c>
      <c r="R36" s="130">
        <f t="shared" si="20"/>
        <v>685261.80584823992</v>
      </c>
      <c r="S36" s="128">
        <f t="shared" si="14"/>
        <v>0.44753468615640246</v>
      </c>
      <c r="T36" s="214">
        <v>0.12687240867443736</v>
      </c>
      <c r="U36" s="214">
        <v>0.45423160314817285</v>
      </c>
    </row>
    <row r="37" spans="2:24" x14ac:dyDescent="0.6">
      <c r="B37" s="76">
        <v>2037</v>
      </c>
      <c r="C37" s="202"/>
      <c r="D37" s="202"/>
      <c r="E37" s="203">
        <f t="shared" si="0"/>
        <v>82332.746526951159</v>
      </c>
      <c r="F37" s="206">
        <f t="shared" si="1"/>
        <v>0.2689414213699951</v>
      </c>
      <c r="G37" s="207">
        <f t="shared" si="2"/>
        <v>8.0682426410998528E-2</v>
      </c>
      <c r="H37" s="207">
        <f t="shared" si="3"/>
        <v>8.3560690754024669E-2</v>
      </c>
      <c r="I37" s="129">
        <f t="shared" si="15"/>
        <v>82332.746526951087</v>
      </c>
      <c r="J37" s="130">
        <f t="shared" si="16"/>
        <v>684492.66754992679</v>
      </c>
      <c r="K37" s="130">
        <f t="shared" si="17"/>
        <v>207957.48206895791</v>
      </c>
      <c r="L37" s="128">
        <f t="shared" si="12"/>
        <v>0.37938694525243832</v>
      </c>
      <c r="M37" s="206">
        <f t="shared" si="4"/>
        <v>0.62245933120185459</v>
      </c>
      <c r="N37" s="207">
        <f t="shared" si="5"/>
        <v>0.56021339808166914</v>
      </c>
      <c r="O37" s="207">
        <f t="shared" si="6"/>
        <v>0.56072424657624176</v>
      </c>
      <c r="P37" s="129">
        <f t="shared" si="18"/>
        <v>76683.970816849513</v>
      </c>
      <c r="Q37" s="130">
        <f t="shared" si="19"/>
        <v>473709.30248482991</v>
      </c>
      <c r="R37" s="130">
        <f t="shared" si="20"/>
        <v>950882.0975802032</v>
      </c>
      <c r="S37" s="128">
        <f t="shared" si="14"/>
        <v>0.38761870202756987</v>
      </c>
      <c r="T37" s="214">
        <v>0.15196855931054115</v>
      </c>
      <c r="U37" s="214">
        <v>0.52924359765547846</v>
      </c>
    </row>
    <row r="38" spans="2:24" x14ac:dyDescent="0.6">
      <c r="B38" s="76">
        <v>2038</v>
      </c>
      <c r="C38" s="202"/>
      <c r="D38" s="202"/>
      <c r="E38" s="203">
        <f t="shared" si="0"/>
        <v>82918.420440356524</v>
      </c>
      <c r="F38" s="206">
        <f t="shared" ref="F38:F50" si="21">(1/(1+EXP(($I$3-$B38)/$I$4)))</f>
        <v>0.33924363123418283</v>
      </c>
      <c r="G38" s="207">
        <f t="shared" si="2"/>
        <v>0.10177308937025485</v>
      </c>
      <c r="H38" s="207">
        <f t="shared" si="3"/>
        <v>0.10540374188337864</v>
      </c>
      <c r="I38" s="129">
        <f t="shared" si="15"/>
        <v>82918.420440356451</v>
      </c>
      <c r="J38" s="130">
        <f t="shared" si="16"/>
        <v>706347.01699376525</v>
      </c>
      <c r="K38" s="130">
        <f t="shared" si="17"/>
        <v>282409.10072826321</v>
      </c>
      <c r="L38" s="128">
        <f t="shared" ref="L38:L50" si="22">K38/K37-1</f>
        <v>0.35801365701580012</v>
      </c>
      <c r="M38" s="206">
        <f t="shared" si="4"/>
        <v>0.7310585786300049</v>
      </c>
      <c r="N38" s="207">
        <f t="shared" si="5"/>
        <v>0.6579527207670044</v>
      </c>
      <c r="O38" s="207">
        <f t="shared" si="6"/>
        <v>0.6585526959872593</v>
      </c>
      <c r="P38" s="129">
        <f t="shared" si="18"/>
        <v>76773.382668660226</v>
      </c>
      <c r="Q38" s="130">
        <f t="shared" si="19"/>
        <v>477045.69464634918</v>
      </c>
      <c r="R38" s="130">
        <f t="shared" si="20"/>
        <v>1265041.8258986713</v>
      </c>
      <c r="S38" s="128">
        <f t="shared" ref="S38:S50" si="23">R38/R37-1</f>
        <v>0.33038767804961222</v>
      </c>
      <c r="T38" s="214">
        <v>0.17706470994664494</v>
      </c>
      <c r="U38" s="214">
        <v>0.60027284934972491</v>
      </c>
    </row>
    <row r="39" spans="2:24" x14ac:dyDescent="0.6">
      <c r="B39" s="76">
        <v>2039</v>
      </c>
      <c r="C39" s="202"/>
      <c r="D39" s="202"/>
      <c r="E39" s="203">
        <f t="shared" si="0"/>
        <v>83508.260544582838</v>
      </c>
      <c r="F39" s="206">
        <f t="shared" si="21"/>
        <v>0.41742979353768528</v>
      </c>
      <c r="G39" s="207">
        <f t="shared" si="2"/>
        <v>0.12522893806130558</v>
      </c>
      <c r="H39" s="207">
        <f t="shared" si="3"/>
        <v>0.12969635436458807</v>
      </c>
      <c r="I39" s="129">
        <f t="shared" si="15"/>
        <v>83508.26054458275</v>
      </c>
      <c r="J39" s="130">
        <f t="shared" si="16"/>
        <v>728356.82733139861</v>
      </c>
      <c r="K39" s="130">
        <f t="shared" si="17"/>
        <v>376874.32590970339</v>
      </c>
      <c r="L39" s="128">
        <f t="shared" si="22"/>
        <v>0.33449780810121821</v>
      </c>
      <c r="M39" s="206">
        <f t="shared" si="4"/>
        <v>0.81757447619364365</v>
      </c>
      <c r="N39" s="207">
        <f t="shared" si="5"/>
        <v>0.73581702857427933</v>
      </c>
      <c r="O39" s="207">
        <f t="shared" si="6"/>
        <v>0.73648800685258409</v>
      </c>
      <c r="P39" s="129">
        <f t="shared" si="18"/>
        <v>76862.898772756773</v>
      </c>
      <c r="Q39" s="130">
        <f t="shared" si="19"/>
        <v>480385.97696898505</v>
      </c>
      <c r="R39" s="130">
        <f t="shared" si="20"/>
        <v>1618840.3365964903</v>
      </c>
      <c r="S39" s="128">
        <f t="shared" si="23"/>
        <v>0.27967337004567794</v>
      </c>
      <c r="T39" s="214">
        <v>0.20082838683321177</v>
      </c>
      <c r="U39" s="214">
        <v>0.66413982033266339</v>
      </c>
    </row>
    <row r="40" spans="2:24" x14ac:dyDescent="0.6">
      <c r="B40" s="76">
        <v>2040</v>
      </c>
      <c r="C40" s="202"/>
      <c r="D40" s="202"/>
      <c r="E40" s="203">
        <f t="shared" si="0"/>
        <v>84102.296475824507</v>
      </c>
      <c r="F40" s="206">
        <f t="shared" si="21"/>
        <v>0.5</v>
      </c>
      <c r="G40" s="207">
        <f t="shared" si="2"/>
        <v>0.15</v>
      </c>
      <c r="H40" s="207">
        <f t="shared" si="3"/>
        <v>0.15535109900208785</v>
      </c>
      <c r="I40" s="129">
        <f t="shared" si="15"/>
        <v>84102.296475824405</v>
      </c>
      <c r="J40" s="130">
        <f t="shared" si="16"/>
        <v>750523.20443374664</v>
      </c>
      <c r="K40" s="130">
        <f t="shared" si="17"/>
        <v>493468.93054505461</v>
      </c>
      <c r="L40" s="128">
        <f t="shared" si="22"/>
        <v>0.30937263862141284</v>
      </c>
      <c r="M40" s="206">
        <f t="shared" si="4"/>
        <v>0.88079707797788231</v>
      </c>
      <c r="N40" s="207">
        <f t="shared" si="5"/>
        <v>0.79271737018009414</v>
      </c>
      <c r="O40" s="207">
        <f t="shared" si="6"/>
        <v>0.79344023485374315</v>
      </c>
      <c r="P40" s="129">
        <f t="shared" si="18"/>
        <v>76952.519250695055</v>
      </c>
      <c r="Q40" s="130">
        <f t="shared" si="19"/>
        <v>483730.15398858115</v>
      </c>
      <c r="R40" s="130">
        <f t="shared" si="20"/>
        <v>2002651.3035830276</v>
      </c>
      <c r="S40" s="128">
        <f t="shared" si="23"/>
        <v>0.23709006892765938</v>
      </c>
      <c r="T40" s="214">
        <v>0.22219583793202763</v>
      </c>
      <c r="U40" s="214">
        <v>0.71895003470096808</v>
      </c>
    </row>
    <row r="41" spans="2:24" x14ac:dyDescent="0.6">
      <c r="B41" s="76">
        <v>2041</v>
      </c>
      <c r="C41" s="202"/>
      <c r="D41" s="202"/>
      <c r="E41" s="203">
        <f t="shared" si="0"/>
        <v>84700.558081092968</v>
      </c>
      <c r="F41" s="206">
        <f t="shared" si="21"/>
        <v>0.58257020646231472</v>
      </c>
      <c r="G41" s="207">
        <f t="shared" si="2"/>
        <v>0.17477106193869441</v>
      </c>
      <c r="H41" s="207">
        <f t="shared" si="3"/>
        <v>0.1810058436395876</v>
      </c>
      <c r="I41" s="129">
        <f t="shared" si="15"/>
        <v>84700.558081092851</v>
      </c>
      <c r="J41" s="130">
        <f t="shared" si="16"/>
        <v>772847.26203833893</v>
      </c>
      <c r="K41" s="130">
        <f t="shared" si="17"/>
        <v>633358.80121484958</v>
      </c>
      <c r="L41" s="128">
        <f t="shared" si="22"/>
        <v>0.28348263084219183</v>
      </c>
      <c r="M41" s="206">
        <f t="shared" si="4"/>
        <v>0.92414181997875655</v>
      </c>
      <c r="N41" s="207">
        <f t="shared" si="5"/>
        <v>0.8317276379808809</v>
      </c>
      <c r="O41" s="207">
        <f t="shared" si="6"/>
        <v>0.83248607541420883</v>
      </c>
      <c r="P41" s="129">
        <f t="shared" si="18"/>
        <v>77042.244224172726</v>
      </c>
      <c r="Q41" s="130">
        <f t="shared" si="19"/>
        <v>487078.23024627008</v>
      </c>
      <c r="R41" s="130">
        <f t="shared" si="20"/>
        <v>2408137.1479004435</v>
      </c>
      <c r="S41" s="128">
        <f t="shared" si="23"/>
        <v>0.2024745114598554</v>
      </c>
      <c r="T41" s="214">
        <v>0.24053324390581687</v>
      </c>
      <c r="U41" s="214">
        <v>0.76413646989479922</v>
      </c>
    </row>
    <row r="42" spans="2:24" x14ac:dyDescent="0.6">
      <c r="B42" s="76">
        <v>2042</v>
      </c>
      <c r="C42" s="202"/>
      <c r="D42" s="202"/>
      <c r="E42" s="203">
        <f t="shared" si="0"/>
        <v>85303.075419716348</v>
      </c>
      <c r="F42" s="206">
        <f t="shared" si="21"/>
        <v>0.66075636876581723</v>
      </c>
      <c r="G42" s="207">
        <f t="shared" si="2"/>
        <v>0.19822691062974515</v>
      </c>
      <c r="H42" s="207">
        <f t="shared" si="3"/>
        <v>0.20529845612079706</v>
      </c>
      <c r="I42" s="129">
        <f t="shared" si="15"/>
        <v>85303.075419716231</v>
      </c>
      <c r="J42" s="130">
        <f t="shared" si="16"/>
        <v>795330.12180527719</v>
      </c>
      <c r="K42" s="130">
        <f t="shared" si="17"/>
        <v>796638.84732783842</v>
      </c>
      <c r="L42" s="128">
        <f t="shared" si="22"/>
        <v>0.25780023234823668</v>
      </c>
      <c r="M42" s="206">
        <f t="shared" si="4"/>
        <v>0.95257412682243336</v>
      </c>
      <c r="N42" s="207">
        <f t="shared" si="5"/>
        <v>0.85731671414019006</v>
      </c>
      <c r="O42" s="207">
        <f t="shared" si="6"/>
        <v>0.8580984857905829</v>
      </c>
      <c r="P42" s="129">
        <f t="shared" si="18"/>
        <v>77132.073815029318</v>
      </c>
      <c r="Q42" s="130">
        <f t="shared" si="19"/>
        <v>490430.21028847853</v>
      </c>
      <c r="R42" s="130">
        <f t="shared" si="20"/>
        <v>2828974.5687349439</v>
      </c>
      <c r="S42" s="128">
        <f t="shared" si="23"/>
        <v>0.1747564175077867</v>
      </c>
      <c r="T42" s="214">
        <v>0.25565090064566642</v>
      </c>
      <c r="U42" s="214">
        <v>0.80017173755623949</v>
      </c>
    </row>
    <row r="43" spans="2:24" x14ac:dyDescent="0.6">
      <c r="B43" s="76">
        <v>2043</v>
      </c>
      <c r="C43" s="202"/>
      <c r="D43" s="202"/>
      <c r="E43" s="203">
        <f t="shared" si="0"/>
        <v>85909.878764849811</v>
      </c>
      <c r="F43" s="206">
        <f t="shared" si="21"/>
        <v>0.7310585786300049</v>
      </c>
      <c r="G43" s="207">
        <f t="shared" si="2"/>
        <v>0.21931757358900147</v>
      </c>
      <c r="H43" s="207">
        <f t="shared" si="3"/>
        <v>0.22714150725015103</v>
      </c>
      <c r="I43" s="129">
        <f t="shared" si="15"/>
        <v>85909.87876484968</v>
      </c>
      <c r="J43" s="130">
        <f t="shared" si="16"/>
        <v>817972.91337359138</v>
      </c>
      <c r="K43" s="130">
        <f t="shared" si="17"/>
        <v>982434.44776131317</v>
      </c>
      <c r="L43" s="128">
        <f t="shared" si="22"/>
        <v>0.23322437897258963</v>
      </c>
      <c r="M43" s="206">
        <f t="shared" si="4"/>
        <v>0.97068776924864364</v>
      </c>
      <c r="N43" s="207">
        <f t="shared" si="5"/>
        <v>0.87361899232377926</v>
      </c>
      <c r="O43" s="207">
        <f t="shared" si="6"/>
        <v>0.87441562972764519</v>
      </c>
      <c r="P43" s="129">
        <f t="shared" si="18"/>
        <v>77222.008145246436</v>
      </c>
      <c r="Q43" s="130">
        <f t="shared" si="19"/>
        <v>493786.09866693569</v>
      </c>
      <c r="R43" s="130">
        <f t="shared" si="20"/>
        <v>3260748.8511515497</v>
      </c>
      <c r="S43" s="128">
        <f t="shared" si="23"/>
        <v>0.15262572070758695</v>
      </c>
      <c r="T43" s="214">
        <v>0.2677069259704663</v>
      </c>
      <c r="U43" s="214">
        <v>0.82815535210525948</v>
      </c>
    </row>
    <row r="44" spans="2:24" x14ac:dyDescent="0.6">
      <c r="B44" s="76">
        <v>2044</v>
      </c>
      <c r="C44" s="202"/>
      <c r="D44" s="202"/>
      <c r="E44" s="203">
        <f t="shared" si="0"/>
        <v>86520.998604996537</v>
      </c>
      <c r="F44" s="206">
        <f t="shared" si="21"/>
        <v>0.79139147267395504</v>
      </c>
      <c r="G44" s="207">
        <f t="shared" si="2"/>
        <v>0.23741744180218649</v>
      </c>
      <c r="H44" s="207">
        <f t="shared" si="3"/>
        <v>0.24588707004155935</v>
      </c>
      <c r="I44" s="129">
        <f t="shared" si="15"/>
        <v>86520.998604996392</v>
      </c>
      <c r="J44" s="130">
        <f t="shared" si="16"/>
        <v>840776.77441799687</v>
      </c>
      <c r="K44" s="130">
        <f t="shared" si="17"/>
        <v>1189170.5853819475</v>
      </c>
      <c r="L44" s="128">
        <f t="shared" si="22"/>
        <v>0.21043250070447628</v>
      </c>
      <c r="M44" s="206">
        <f t="shared" si="4"/>
        <v>0.98201379003790845</v>
      </c>
      <c r="N44" s="207">
        <f t="shared" si="5"/>
        <v>0.88381241103411767</v>
      </c>
      <c r="O44" s="207">
        <f t="shared" si="6"/>
        <v>0.88461834363267289</v>
      </c>
      <c r="P44" s="129">
        <f t="shared" si="18"/>
        <v>77312.0473369479</v>
      </c>
      <c r="Q44" s="130">
        <f t="shared" si="19"/>
        <v>497145.89993867604</v>
      </c>
      <c r="R44" s="130">
        <f t="shared" si="20"/>
        <v>3700533.2336990759</v>
      </c>
      <c r="S44" s="128">
        <f t="shared" si="23"/>
        <v>0.13487220347933704</v>
      </c>
      <c r="T44" s="214">
        <v>0.27706917544373522</v>
      </c>
      <c r="U44" s="214">
        <v>0.84944110659931005</v>
      </c>
    </row>
    <row r="45" spans="2:24" x14ac:dyDescent="0.6">
      <c r="B45" s="76">
        <v>2045</v>
      </c>
      <c r="C45" s="202"/>
      <c r="D45" s="202"/>
      <c r="E45" s="203">
        <f t="shared" si="0"/>
        <v>87136.465645539647</v>
      </c>
      <c r="F45" s="206">
        <f t="shared" si="21"/>
        <v>0.8411308951190849</v>
      </c>
      <c r="G45" s="207">
        <f t="shared" si="2"/>
        <v>0.25233926853572547</v>
      </c>
      <c r="H45" s="207">
        <f t="shared" si="3"/>
        <v>0.26134121792271947</v>
      </c>
      <c r="I45" s="129">
        <f t="shared" si="15"/>
        <v>87136.465645539502</v>
      </c>
      <c r="J45" s="130">
        <f t="shared" si="16"/>
        <v>863742.85070605669</v>
      </c>
      <c r="K45" s="130">
        <f t="shared" si="17"/>
        <v>1414902.1939575099</v>
      </c>
      <c r="L45" s="128">
        <f t="shared" si="22"/>
        <v>0.18982273136453354</v>
      </c>
      <c r="M45" s="206">
        <f t="shared" si="4"/>
        <v>0.98901305736940681</v>
      </c>
      <c r="N45" s="207">
        <f t="shared" si="5"/>
        <v>0.89011175163246614</v>
      </c>
      <c r="O45" s="207">
        <f t="shared" si="6"/>
        <v>0.89092342848610784</v>
      </c>
      <c r="P45" s="129">
        <f t="shared" si="18"/>
        <v>77402.19151239995</v>
      </c>
      <c r="Q45" s="130">
        <f t="shared" si="19"/>
        <v>500509.61866604956</v>
      </c>
      <c r="R45" s="130">
        <f t="shared" si="20"/>
        <v>4146448.9791513071</v>
      </c>
      <c r="S45" s="128">
        <f t="shared" si="23"/>
        <v>0.12050040285856078</v>
      </c>
      <c r="T45" s="214">
        <v>0.28419057655691038</v>
      </c>
      <c r="U45" s="214">
        <v>0.86537854548804971</v>
      </c>
    </row>
    <row r="46" spans="2:24" x14ac:dyDescent="0.6">
      <c r="B46" s="76">
        <v>2046</v>
      </c>
      <c r="C46" s="202"/>
      <c r="D46" s="202"/>
      <c r="E46" s="203">
        <f t="shared" si="0"/>
        <v>87756.310810284995</v>
      </c>
      <c r="F46" s="206">
        <f t="shared" si="21"/>
        <v>0.88079707797788231</v>
      </c>
      <c r="G46" s="207">
        <f t="shared" si="2"/>
        <v>0.26423912339336469</v>
      </c>
      <c r="H46" s="207">
        <f t="shared" si="3"/>
        <v>0.27366558812338337</v>
      </c>
      <c r="I46" s="129">
        <f t="shared" si="15"/>
        <v>87756.310810284849</v>
      </c>
      <c r="J46" s="130">
        <f t="shared" si="16"/>
        <v>886872.29615575122</v>
      </c>
      <c r="K46" s="130">
        <f t="shared" si="17"/>
        <v>1657608.6224753091</v>
      </c>
      <c r="L46" s="128">
        <f t="shared" si="22"/>
        <v>0.17153583445859555</v>
      </c>
      <c r="M46" s="206">
        <f t="shared" si="4"/>
        <v>0.99330714907571527</v>
      </c>
      <c r="N46" s="207">
        <f t="shared" si="5"/>
        <v>0.89397643416814376</v>
      </c>
      <c r="O46" s="207">
        <f t="shared" si="6"/>
        <v>0.89479163515609239</v>
      </c>
      <c r="P46" s="129">
        <f t="shared" si="18"/>
        <v>77492.44079401136</v>
      </c>
      <c r="Q46" s="130">
        <f t="shared" si="19"/>
        <v>503877.25941672456</v>
      </c>
      <c r="R46" s="130">
        <f t="shared" si="20"/>
        <v>4597314.1360227689</v>
      </c>
      <c r="S46" s="128">
        <f t="shared" si="23"/>
        <v>0.10873524771158394</v>
      </c>
      <c r="T46" s="214">
        <v>0.28952263537940381</v>
      </c>
      <c r="U46" s="214">
        <v>0.87717101339991455</v>
      </c>
    </row>
    <row r="47" spans="2:24" x14ac:dyDescent="0.6">
      <c r="B47" s="76">
        <v>2047</v>
      </c>
      <c r="C47" s="202"/>
      <c r="D47" s="202"/>
      <c r="E47" s="203">
        <f t="shared" si="0"/>
        <v>88380.565243014906</v>
      </c>
      <c r="F47" s="206">
        <f t="shared" si="21"/>
        <v>0.91160032279294168</v>
      </c>
      <c r="G47" s="207">
        <f t="shared" si="2"/>
        <v>0.27348009683788249</v>
      </c>
      <c r="H47" s="207">
        <f t="shared" si="3"/>
        <v>0.28323622399308301</v>
      </c>
      <c r="I47" s="129">
        <f t="shared" si="15"/>
        <v>88380.565243014746</v>
      </c>
      <c r="J47" s="130">
        <f t="shared" si="16"/>
        <v>910166.27289345488</v>
      </c>
      <c r="K47" s="130">
        <f t="shared" si="17"/>
        <v>1915400.6808155091</v>
      </c>
      <c r="L47" s="128">
        <f t="shared" si="22"/>
        <v>0.15552046173314338</v>
      </c>
      <c r="M47" s="206">
        <f t="shared" si="4"/>
        <v>0.99592986228410396</v>
      </c>
      <c r="N47" s="207">
        <f t="shared" si="5"/>
        <v>0.89633687605569357</v>
      </c>
      <c r="O47" s="207">
        <f t="shared" si="6"/>
        <v>0.89715422948803014</v>
      </c>
      <c r="P47" s="129">
        <f t="shared" si="18"/>
        <v>77582.795304333646</v>
      </c>
      <c r="Q47" s="130">
        <f t="shared" si="19"/>
        <v>507248.82676369511</v>
      </c>
      <c r="R47" s="130">
        <f t="shared" si="20"/>
        <v>5052394.5663566589</v>
      </c>
      <c r="S47" s="128">
        <f t="shared" si="23"/>
        <v>9.8988325981045344E-2</v>
      </c>
      <c r="T47" s="214">
        <v>0.29346794509995472</v>
      </c>
      <c r="U47" s="214">
        <v>0.88582028174941041</v>
      </c>
    </row>
    <row r="48" spans="2:24" x14ac:dyDescent="0.6">
      <c r="B48" s="76">
        <v>2048</v>
      </c>
      <c r="C48" s="202"/>
      <c r="D48" s="202"/>
      <c r="E48" s="203">
        <f t="shared" si="0"/>
        <v>89009.260309052959</v>
      </c>
      <c r="F48" s="206">
        <f t="shared" si="21"/>
        <v>0.93503083087133598</v>
      </c>
      <c r="G48" s="207">
        <f t="shared" si="2"/>
        <v>0.28050924926140081</v>
      </c>
      <c r="H48" s="207">
        <f t="shared" si="3"/>
        <v>0.29051613435339474</v>
      </c>
      <c r="I48" s="129">
        <f t="shared" si="15"/>
        <v>89009.260309052785</v>
      </c>
      <c r="J48" s="130">
        <f t="shared" si="16"/>
        <v>933625.95131232729</v>
      </c>
      <c r="K48" s="130">
        <f t="shared" si="17"/>
        <v>2186634.0831227773</v>
      </c>
      <c r="L48" s="128">
        <f t="shared" si="22"/>
        <v>0.14160661266539121</v>
      </c>
      <c r="M48" s="206">
        <f t="shared" si="4"/>
        <v>0.99752737684336534</v>
      </c>
      <c r="N48" s="207">
        <f t="shared" si="5"/>
        <v>0.89777463915902878</v>
      </c>
      <c r="O48" s="207">
        <f t="shared" si="6"/>
        <v>0.89859330366161005</v>
      </c>
      <c r="P48" s="129">
        <f t="shared" si="18"/>
        <v>77673.255166061193</v>
      </c>
      <c r="Q48" s="130">
        <f t="shared" si="19"/>
        <v>510624.32528528804</v>
      </c>
      <c r="R48" s="130">
        <f t="shared" si="20"/>
        <v>5511238.1657447461</v>
      </c>
      <c r="S48" s="128">
        <f t="shared" si="23"/>
        <v>9.0817055826058368E-2</v>
      </c>
      <c r="T48" s="214">
        <v>0.29636166020267596</v>
      </c>
      <c r="U48" s="214">
        <v>0.89212339632506477</v>
      </c>
    </row>
    <row r="49" spans="2:21" x14ac:dyDescent="0.6">
      <c r="B49" s="76">
        <v>2049</v>
      </c>
      <c r="C49" s="202"/>
      <c r="D49" s="202"/>
      <c r="E49" s="203">
        <f t="shared" si="0"/>
        <v>89642.427596839916</v>
      </c>
      <c r="F49" s="206">
        <f t="shared" si="21"/>
        <v>0.95257412682243336</v>
      </c>
      <c r="G49" s="207">
        <f t="shared" si="2"/>
        <v>0.28577223804673002</v>
      </c>
      <c r="H49" s="207">
        <f t="shared" si="3"/>
        <v>0.29596687496563845</v>
      </c>
      <c r="I49" s="129">
        <f t="shared" si="15"/>
        <v>89642.427596839727</v>
      </c>
      <c r="J49" s="130">
        <f t="shared" si="16"/>
        <v>957252.51013111835</v>
      </c>
      <c r="K49" s="130">
        <f t="shared" si="17"/>
        <v>2469949.1170992977</v>
      </c>
      <c r="L49" s="128">
        <f t="shared" si="22"/>
        <v>0.12956673279870978</v>
      </c>
      <c r="M49" s="206">
        <f t="shared" si="4"/>
        <v>0.99849881774326299</v>
      </c>
      <c r="N49" s="207">
        <f t="shared" si="5"/>
        <v>0.89864893596893669</v>
      </c>
      <c r="O49" s="207">
        <f t="shared" si="6"/>
        <v>0.89946839772701148</v>
      </c>
      <c r="P49" s="129">
        <f t="shared" si="18"/>
        <v>77763.820502031478</v>
      </c>
      <c r="Q49" s="130">
        <f t="shared" si="19"/>
        <v>514003.75956516713</v>
      </c>
      <c r="R49" s="130">
        <f t="shared" si="20"/>
        <v>5973568.3037864873</v>
      </c>
      <c r="S49" s="128">
        <f t="shared" si="23"/>
        <v>8.3888615250810039E-2</v>
      </c>
      <c r="T49" s="214">
        <v>0.29847044179029036</v>
      </c>
      <c r="U49" s="214">
        <v>0.89669522145032043</v>
      </c>
    </row>
    <row r="50" spans="2:21" x14ac:dyDescent="0.6">
      <c r="B50" s="76">
        <v>2050</v>
      </c>
      <c r="C50" s="202"/>
      <c r="D50" s="202"/>
      <c r="E50" s="203">
        <f t="shared" si="0"/>
        <v>90280.098919520897</v>
      </c>
      <c r="F50" s="206">
        <f t="shared" si="21"/>
        <v>0.96555480433378893</v>
      </c>
      <c r="G50" s="207">
        <f t="shared" si="2"/>
        <v>0.28966644130013669</v>
      </c>
      <c r="H50" s="207">
        <f t="shared" si="3"/>
        <v>0.3</v>
      </c>
      <c r="I50" s="129">
        <f t="shared" si="15"/>
        <v>90280.098919520693</v>
      </c>
      <c r="J50" s="130">
        <f t="shared" si="16"/>
        <v>981047.13645339198</v>
      </c>
      <c r="K50" s="130">
        <f t="shared" si="17"/>
        <v>2764263.2580353152</v>
      </c>
      <c r="L50" s="128">
        <f t="shared" si="22"/>
        <v>0.11915797734394595</v>
      </c>
      <c r="M50" s="206">
        <f t="shared" si="4"/>
        <v>0.9990889488055994</v>
      </c>
      <c r="N50" s="207">
        <f t="shared" si="5"/>
        <v>0.89918005392503952</v>
      </c>
      <c r="O50" s="207">
        <f t="shared" si="6"/>
        <v>0.9</v>
      </c>
      <c r="P50" s="129">
        <f t="shared" si="18"/>
        <v>77854.49143522518</v>
      </c>
      <c r="Q50" s="130">
        <f t="shared" si="19"/>
        <v>517387.1341923424</v>
      </c>
      <c r="R50" s="130">
        <f t="shared" si="20"/>
        <v>6439216.7245595958</v>
      </c>
      <c r="S50" s="128">
        <f t="shared" si="23"/>
        <v>7.7951468384139133E-2</v>
      </c>
      <c r="T50" s="214">
        <v>0.3</v>
      </c>
      <c r="U50" s="214">
        <v>0.9</v>
      </c>
    </row>
  </sheetData>
  <autoFilter ref="B9:U50" xr:uid="{85444FC4-13EB-4557-9190-4A6D9CA17539}"/>
  <mergeCells count="4">
    <mergeCell ref="P6:R6"/>
    <mergeCell ref="F6:K6"/>
    <mergeCell ref="F8:L8"/>
    <mergeCell ref="M8:S8"/>
  </mergeCells>
  <hyperlinks>
    <hyperlink ref="W2" r:id="rId1" xr:uid="{3BC6BBBA-A65A-4E65-B137-0BF6290ED1B9}"/>
    <hyperlink ref="W3" r:id="rId2" xr:uid="{9A5291B0-44E8-4EB2-9B5B-8C6781676B57}"/>
  </hyperlinks>
  <pageMargins left="0.7" right="0.7" top="0.75" bottom="0.75" header="0.3" footer="0.3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A7D2-4ED0-43D5-B409-6BEA4D80B994}">
  <sheetPr>
    <tabColor theme="5" tint="0.39997558519241921"/>
  </sheetPr>
  <dimension ref="B1:AW73"/>
  <sheetViews>
    <sheetView showGridLines="0" zoomScale="64" zoomScaleNormal="64" workbookViewId="0">
      <selection activeCell="E13" sqref="E13"/>
    </sheetView>
  </sheetViews>
  <sheetFormatPr defaultColWidth="8.86328125" defaultRowHeight="15.75" x14ac:dyDescent="0.6"/>
  <cols>
    <col min="1" max="1" width="2.1328125" style="75" customWidth="1"/>
    <col min="2" max="2" width="18.86328125" style="75" bestFit="1" customWidth="1"/>
    <col min="3" max="3" width="16.1328125" style="75" bestFit="1" customWidth="1"/>
    <col min="4" max="6" width="16.1328125" style="75" customWidth="1"/>
    <col min="7" max="7" width="15" style="75" customWidth="1"/>
    <col min="8" max="8" width="16.1328125" style="75" customWidth="1"/>
    <col min="9" max="9" width="16.1328125" style="75" bestFit="1" customWidth="1"/>
    <col min="10" max="10" width="15.86328125" style="75" customWidth="1"/>
    <col min="11" max="11" width="16.59765625" style="75" customWidth="1"/>
    <col min="12" max="12" width="8.86328125" style="75"/>
    <col min="13" max="13" width="18.86328125" style="75" bestFit="1" customWidth="1"/>
    <col min="14" max="14" width="15.1328125" style="75" bestFit="1" customWidth="1"/>
    <col min="15" max="15" width="15.1328125" style="75" customWidth="1"/>
    <col min="16" max="17" width="17.59765625" style="75" bestFit="1" customWidth="1"/>
    <col min="18" max="18" width="14.1328125" style="75" bestFit="1" customWidth="1"/>
    <col min="19" max="19" width="14.3984375" style="75" bestFit="1" customWidth="1"/>
    <col min="20" max="20" width="15.86328125" style="75" bestFit="1" customWidth="1"/>
    <col min="21" max="21" width="14.86328125" style="75" customWidth="1"/>
    <col min="22" max="22" width="16.86328125" style="75" bestFit="1" customWidth="1"/>
    <col min="23" max="23" width="8.86328125" style="75"/>
    <col min="24" max="24" width="2.3984375" style="184" customWidth="1"/>
    <col min="25" max="25" width="4.1328125" style="75" customWidth="1"/>
    <col min="26" max="26" width="26.59765625" style="75" customWidth="1"/>
    <col min="27" max="27" width="18.59765625" style="75" customWidth="1"/>
    <col min="28" max="28" width="16.86328125" style="75" bestFit="1" customWidth="1"/>
    <col min="29" max="29" width="16.3984375" style="75" bestFit="1" customWidth="1"/>
    <col min="30" max="30" width="14.86328125" style="75" bestFit="1" customWidth="1"/>
    <col min="31" max="31" width="6.59765625" style="75" customWidth="1"/>
    <col min="32" max="32" width="19.1328125" style="75" bestFit="1" customWidth="1"/>
    <col min="33" max="33" width="17.86328125" style="75" customWidth="1"/>
    <col min="34" max="34" width="17.59765625" style="75" bestFit="1" customWidth="1"/>
    <col min="35" max="35" width="16.59765625" style="75" customWidth="1"/>
    <col min="36" max="36" width="14.86328125" style="75" bestFit="1" customWidth="1"/>
    <col min="37" max="37" width="4.3984375" style="75" customWidth="1"/>
    <col min="38" max="38" width="22.3984375" style="75" customWidth="1"/>
    <col min="39" max="39" width="22" style="75" customWidth="1"/>
    <col min="40" max="40" width="17.59765625" style="75" bestFit="1" customWidth="1"/>
    <col min="41" max="41" width="20" style="75" bestFit="1" customWidth="1"/>
    <col min="42" max="42" width="17.86328125" style="75" bestFit="1" customWidth="1"/>
    <col min="43" max="43" width="32" style="75" customWidth="1"/>
    <col min="44" max="44" width="3.86328125" style="75" customWidth="1"/>
    <col min="45" max="45" width="18.86328125" style="75" bestFit="1" customWidth="1"/>
    <col min="46" max="46" width="15.86328125" style="75" customWidth="1"/>
    <col min="47" max="47" width="17.59765625" style="75" customWidth="1"/>
    <col min="48" max="48" width="15.86328125" style="75" customWidth="1"/>
    <col min="49" max="49" width="15.59765625" style="75" bestFit="1" customWidth="1"/>
    <col min="50" max="16384" width="8.86328125" style="75"/>
  </cols>
  <sheetData>
    <row r="1" spans="2:44" x14ac:dyDescent="0.6">
      <c r="AF1" s="77" t="s">
        <v>431</v>
      </c>
      <c r="AG1" s="81">
        <v>2024</v>
      </c>
      <c r="AL1" s="75" t="s">
        <v>128</v>
      </c>
      <c r="AM1" s="75" t="s">
        <v>432</v>
      </c>
      <c r="AN1" s="75" t="s">
        <v>113</v>
      </c>
      <c r="AO1" s="75" t="s">
        <v>111</v>
      </c>
      <c r="AP1" s="75" t="s">
        <v>112</v>
      </c>
      <c r="AQ1" s="75" t="s">
        <v>433</v>
      </c>
    </row>
    <row r="2" spans="2:44" x14ac:dyDescent="0.6">
      <c r="C2" s="200">
        <v>2040</v>
      </c>
      <c r="Z2" s="106" t="s">
        <v>434</v>
      </c>
      <c r="AA2" s="176">
        <v>1</v>
      </c>
      <c r="AB2" s="75" t="s">
        <v>435</v>
      </c>
      <c r="AF2" s="106" t="s">
        <v>436</v>
      </c>
      <c r="AG2" s="174">
        <f>904117.06*1000</f>
        <v>904117060</v>
      </c>
      <c r="AL2" s="75" t="s">
        <v>137</v>
      </c>
      <c r="AM2" s="108">
        <v>1086341.9000000001</v>
      </c>
      <c r="AN2" s="108">
        <v>69557</v>
      </c>
      <c r="AO2" s="108">
        <v>342905.7</v>
      </c>
      <c r="AP2" s="108">
        <v>445563.4</v>
      </c>
      <c r="AQ2" s="108">
        <v>225199.8</v>
      </c>
      <c r="AR2" s="108"/>
    </row>
    <row r="3" spans="2:44" x14ac:dyDescent="0.6">
      <c r="B3" s="556" t="s">
        <v>437</v>
      </c>
      <c r="C3" s="556"/>
      <c r="D3" s="556"/>
      <c r="E3" s="556"/>
      <c r="F3" s="556"/>
      <c r="G3" s="556"/>
      <c r="H3" s="556"/>
      <c r="I3" s="556"/>
      <c r="J3" s="556"/>
      <c r="K3" s="556"/>
      <c r="M3" s="557" t="s">
        <v>197</v>
      </c>
      <c r="N3" s="557"/>
      <c r="O3" s="557"/>
      <c r="P3" s="557"/>
      <c r="Q3" s="557"/>
      <c r="R3" s="557"/>
      <c r="S3" s="557"/>
      <c r="T3" s="557"/>
      <c r="U3" s="557"/>
      <c r="V3" s="557"/>
      <c r="Z3" s="106" t="s">
        <v>438</v>
      </c>
      <c r="AA3" s="176">
        <v>7.7</v>
      </c>
      <c r="AB3" s="75" t="s">
        <v>439</v>
      </c>
      <c r="AF3" s="106" t="s">
        <v>112</v>
      </c>
      <c r="AG3" s="174">
        <f>1013779.645*1000</f>
        <v>1013779645</v>
      </c>
      <c r="AL3" s="75" t="s">
        <v>220</v>
      </c>
      <c r="AM3" s="108">
        <v>667432</v>
      </c>
      <c r="AN3" s="108">
        <v>60020</v>
      </c>
      <c r="AO3" s="108">
        <v>266720</v>
      </c>
      <c r="AP3" s="108">
        <v>237271</v>
      </c>
      <c r="AQ3" s="108">
        <v>78871</v>
      </c>
      <c r="AR3" s="108"/>
    </row>
    <row r="4" spans="2:44" x14ac:dyDescent="0.6">
      <c r="B4" s="289"/>
      <c r="C4" s="593" t="s">
        <v>440</v>
      </c>
      <c r="D4" s="593"/>
      <c r="E4" s="593"/>
      <c r="F4" s="593"/>
      <c r="G4" s="594" t="s">
        <v>441</v>
      </c>
      <c r="H4" s="594"/>
      <c r="I4" s="594"/>
      <c r="J4" s="594"/>
      <c r="K4" s="594"/>
      <c r="M4" s="289"/>
      <c r="N4" s="593" t="s">
        <v>440</v>
      </c>
      <c r="O4" s="593"/>
      <c r="P4" s="593"/>
      <c r="Q4" s="593"/>
      <c r="R4" s="594" t="s">
        <v>441</v>
      </c>
      <c r="S4" s="594"/>
      <c r="T4" s="594"/>
      <c r="U4" s="594"/>
      <c r="V4" s="594"/>
      <c r="Z4" s="106" t="s">
        <v>442</v>
      </c>
      <c r="AA4" s="176">
        <v>3</v>
      </c>
      <c r="AB4" s="75" t="s">
        <v>443</v>
      </c>
      <c r="AF4" s="106" t="s">
        <v>230</v>
      </c>
      <c r="AG4" s="174">
        <f>177704.74*1000</f>
        <v>177704740</v>
      </c>
      <c r="AL4" s="75" t="s">
        <v>213</v>
      </c>
      <c r="AM4" s="108">
        <v>363795.04000000004</v>
      </c>
      <c r="AN4" s="108">
        <v>26116.739999999998</v>
      </c>
      <c r="AO4" s="108">
        <v>124023.5</v>
      </c>
      <c r="AP4" s="108">
        <v>153166.80000000002</v>
      </c>
      <c r="AQ4" s="108">
        <v>0</v>
      </c>
      <c r="AR4" s="108"/>
    </row>
    <row r="5" spans="2:44" x14ac:dyDescent="0.6">
      <c r="B5" s="290" t="s">
        <v>444</v>
      </c>
      <c r="C5" s="290" t="s">
        <v>96</v>
      </c>
      <c r="D5" s="296" t="s">
        <v>230</v>
      </c>
      <c r="E5" s="296" t="s">
        <v>111</v>
      </c>
      <c r="F5" s="296" t="s">
        <v>112</v>
      </c>
      <c r="G5" s="291" t="s">
        <v>96</v>
      </c>
      <c r="H5" s="291" t="s">
        <v>103</v>
      </c>
      <c r="I5" s="297" t="s">
        <v>230</v>
      </c>
      <c r="J5" s="297" t="s">
        <v>111</v>
      </c>
      <c r="K5" s="297" t="s">
        <v>112</v>
      </c>
      <c r="M5" s="290" t="s">
        <v>444</v>
      </c>
      <c r="N5" s="296" t="s">
        <v>96</v>
      </c>
      <c r="O5" s="296" t="s">
        <v>230</v>
      </c>
      <c r="P5" s="296" t="s">
        <v>111</v>
      </c>
      <c r="Q5" s="296" t="s">
        <v>112</v>
      </c>
      <c r="R5" s="291" t="s">
        <v>96</v>
      </c>
      <c r="S5" s="291" t="s">
        <v>103</v>
      </c>
      <c r="T5" s="297" t="s">
        <v>230</v>
      </c>
      <c r="U5" s="297" t="s">
        <v>111</v>
      </c>
      <c r="V5" s="297" t="s">
        <v>112</v>
      </c>
      <c r="Z5" s="106" t="s">
        <v>445</v>
      </c>
      <c r="AA5" s="176"/>
      <c r="AB5" s="75" t="s">
        <v>443</v>
      </c>
      <c r="AC5" s="75" t="s">
        <v>446</v>
      </c>
      <c r="AF5" s="106" t="s">
        <v>447</v>
      </c>
      <c r="AG5" s="174">
        <f>367838.8*1000</f>
        <v>367838800</v>
      </c>
      <c r="AL5" s="75" t="s">
        <v>139</v>
      </c>
      <c r="AM5" s="108">
        <v>244238</v>
      </c>
      <c r="AN5" s="108">
        <v>18261</v>
      </c>
      <c r="AO5" s="108">
        <v>76147</v>
      </c>
      <c r="AP5" s="108">
        <v>69922</v>
      </c>
      <c r="AQ5" s="108">
        <v>54639</v>
      </c>
      <c r="AR5" s="108"/>
    </row>
    <row r="6" spans="2:44" x14ac:dyDescent="0.6">
      <c r="B6" s="290" t="str">
        <f>'Jet - DemandSupply'!BC70</f>
        <v>FS, LP, MP, NW</v>
      </c>
      <c r="C6" s="290" t="str">
        <f>'Jet - DemandSupply'!BD70</f>
        <v>Gauteng</v>
      </c>
      <c r="D6" s="130">
        <f>INDEX('Jet - DemandSupply'!$AS$10:$AX$38,MATCH($C$2,'Jet - DemandSupply'!$AS$10:$AS$38,0),MATCH($B6,'Jet - DemandSupply'!$AS$10:$AX$10,0))</f>
        <v>186912373.7466988</v>
      </c>
      <c r="E6" s="130">
        <f>INDEX('Gasoline - DemandSupply'!$BC$10:$BH$38,MATCH($C$2,'Gasoline - DemandSupply'!$BC$10:$BC$38,0),MATCH($B6,'Gasoline - DemandSupply'!$BC$10:$BH$10,0))</f>
        <v>2240938854.1439819</v>
      </c>
      <c r="F6" s="130">
        <f>INDEX('Diesel - DemandSupply'!$BO$10:$BT$38,MATCH($C$2,'Diesel - DemandSupply'!$BO$10:$BO$38,0),MATCH($B6,'Diesel - DemandSupply'!$BO$10:$BT$10,0))</f>
        <v>5088778335.6306019</v>
      </c>
      <c r="G6" s="291" t="s">
        <v>222</v>
      </c>
      <c r="H6" s="291" t="s">
        <v>105</v>
      </c>
      <c r="I6" s="130">
        <f>INDEX(Refinery,MATCH(I$5,Assumptions!$L$93:$L$98,0),MATCH($H6,Assumptions!$L$93:$R$93,0))*Crude_oil_litresPerBarrel*(INDEX(Refinery_capacity,2,MATCH($H6,Assumptions!$L$93:$R$93,0)))*Operational_days*1000*Refinery_availability*INDEX(Production_High,MATCH($C$2,Assumptions!$L$102:$L$131,0),MATCH($H6,Assumptions!$L$102:$R$102,0))</f>
        <v>0</v>
      </c>
      <c r="J6" s="130">
        <f>INDEX(Refinery,MATCH(J$5,Assumptions!$L$93:$L$98,0),MATCH($H6,Assumptions!$L$93:$R$93,0))*Crude_oil_litresPerBarrel*(INDEX(Refinery_capacity,2,MATCH($H6,Assumptions!$L$93:$R$93,0)))*Operational_days*1000*Refinery_availability*INDEX(Production_High,MATCH($C$2,Assumptions!$L$102:$L$131,0),MATCH($H6,Assumptions!$L$102:$R$102,0))</f>
        <v>0</v>
      </c>
      <c r="K6" s="130">
        <f>INDEX(Refinery,MATCH(K$5,Assumptions!$L$93:$L$98,0),MATCH($H6,Assumptions!$L$93:$R$93,0))*Crude_oil_litresPerBarrel*(INDEX(Refinery_capacity,2,MATCH($H6,Assumptions!$L$93:$R$93,0)))*Operational_days*1000*Refinery_availability*INDEX(Production_High,MATCH($C$2,Assumptions!$L$102:$L$131,0),MATCH($H6,Assumptions!$L$102:$R$102,0))</f>
        <v>0</v>
      </c>
      <c r="M6" s="290" t="s">
        <v>198</v>
      </c>
      <c r="N6" s="290" t="s">
        <v>220</v>
      </c>
      <c r="O6" s="130">
        <f>INDEX('Jet - DemandSupply'!$BA$10:$BF$38,MATCH($C$2,'Jet - DemandSupply'!$BA$10:$BA$38,0),MATCH($M6,'Jet - DemandSupply'!$BA$10:$BF$10,0))</f>
        <v>94919138.778348505</v>
      </c>
      <c r="P6" s="130">
        <f>INDEX('Gasoline - DemandSupply'!$BK$10:$BP$38,MATCH($C$2,'Gasoline - DemandSupply'!$BK$10:$BK$38,0),MATCH($B6,'Gasoline - DemandSupply'!$BK$10:$BP$10,0))</f>
        <v>1624484706.8576496</v>
      </c>
      <c r="Q6" s="130">
        <f>INDEX('Diesel - DemandSupply'!$BW$10:$CB$38,MATCH($C$2,'Diesel - DemandSupply'!$BW$10:$BW$38,0),MATCH($B6,'Diesel - DemandSupply'!$BW$10:$CB$10,0))</f>
        <v>4166378621.475091</v>
      </c>
      <c r="R6" s="291" t="s">
        <v>222</v>
      </c>
      <c r="S6" s="291" t="s">
        <v>105</v>
      </c>
      <c r="T6" s="129">
        <f>INDEX(Refinery,MATCH(T$5,Assumptions!$L$93:$L$98,0),MATCH($S6,Assumptions!$L$93:$R$93,0))*Crude_oil_litresPerBarrel*(INDEX(Refinery_capacity,2,MATCH($S6,Assumptions!$L$93:$R$93,0)))*Operational_days*1000*Refinery_availability*INDEX(Production_Low,MATCH($C$2,Assumptions!$L$135:$L$164,0),MATCH($S6,Assumptions!$L$135:$R$135,0))</f>
        <v>0</v>
      </c>
      <c r="U6" s="129">
        <f>INDEX(Refinery,MATCH(U$5,Assumptions!$L$93:$L$98,0),MATCH($S6,Assumptions!$L$93:$R$93,0))*Crude_oil_litresPerBarrel*(INDEX(Refinery_capacity,2,MATCH($S6,Assumptions!$L$93:$R$93,0)))*Operational_days*1000*Refinery_availability*INDEX(Production_Low,MATCH($C$2,Assumptions!$L$135:$L$164,0),MATCH($S6,Assumptions!$L$135:$R$135,0))</f>
        <v>0</v>
      </c>
      <c r="V6" s="129">
        <f>INDEX(Refinery,MATCH(V$5,Assumptions!$L$93:$L$98,0),MATCH($S6,Assumptions!$L$93:$R$93,0))*Crude_oil_litresPerBarrel*(INDEX(Refinery_capacity,2,MATCH($S6,Assumptions!$L$93:$R$93,0)))*Operational_days*1000*Refinery_availability*INDEX(Production_Low,MATCH($C$2,Assumptions!$L$135:$L$164,0),MATCH($S6,Assumptions!$L$135:$R$135,0))</f>
        <v>0</v>
      </c>
      <c r="Z6" s="106" t="s">
        <v>448</v>
      </c>
      <c r="AA6" s="176">
        <v>40</v>
      </c>
      <c r="AB6" s="75" t="s">
        <v>443</v>
      </c>
      <c r="AL6" s="75" t="s">
        <v>215</v>
      </c>
      <c r="AM6" s="108">
        <v>81246.804999999993</v>
      </c>
      <c r="AN6" s="108">
        <v>0</v>
      </c>
      <c r="AO6" s="108">
        <v>30094.86</v>
      </c>
      <c r="AP6" s="108">
        <v>50530.945</v>
      </c>
      <c r="AQ6" s="108">
        <v>0</v>
      </c>
      <c r="AR6" s="108"/>
    </row>
    <row r="7" spans="2:44" x14ac:dyDescent="0.6">
      <c r="B7" s="290" t="str">
        <f>'Jet - DemandSupply'!BC71</f>
        <v>GP</v>
      </c>
      <c r="C7" s="290" t="str">
        <f>'Jet - DemandSupply'!BD71</f>
        <v>Gauteng</v>
      </c>
      <c r="D7" s="130">
        <f>INDEX('Jet - DemandSupply'!$AS$10:$AX$38,MATCH($C$2,'Jet - DemandSupply'!$AS$10:$AS$38,0),MATCH($B7,'Jet - DemandSupply'!$AS$10:$AX$10,0))</f>
        <v>2203340824.3582926</v>
      </c>
      <c r="E7" s="130">
        <f>INDEX('Gasoline - DemandSupply'!$BC$10:$BH$38,MATCH($C$2,'Gasoline - DemandSupply'!$BC$10:$BC$38,0),MATCH($B7,'Gasoline - DemandSupply'!$BC$10:$BH$10,0))</f>
        <v>3815539891.7555408</v>
      </c>
      <c r="F7" s="130">
        <f>INDEX('Diesel - DemandSupply'!$BO$10:$BT$38,MATCH($C$2,'Diesel - DemandSupply'!$BO$10:$BO$38,0),MATCH($B7,'Diesel - DemandSupply'!$BO$10:$BT$10,0))</f>
        <v>4439836877.5999947</v>
      </c>
      <c r="G7" s="291" t="s">
        <v>220</v>
      </c>
      <c r="H7" s="291" t="s">
        <v>449</v>
      </c>
      <c r="I7" s="130">
        <f>INDEX(Refinery,MATCH(I$5,Assumptions!$L$93:$L$98,0),MATCH($H7,Assumptions!$L$93:$R$93,0))*Crude_oil_litresPerBarrel*(INDEX(Refinery_capacity,2,MATCH($H7,Assumptions!$L$93:$R$93,0)))*Operational_days*1000*Refinery_availability*INDEX(Production_High,MATCH($C$2,Assumptions!$L$102:$L$131,0),MATCH($H7,Assumptions!$L$102:$R$102,0))</f>
        <v>481665624.06375003</v>
      </c>
      <c r="J7" s="130">
        <f>INDEX(Refinery,MATCH(J$5,Assumptions!$L$93:$L$98,0),MATCH($H7,Assumptions!$L$93:$R$93,0))*Crude_oil_litresPerBarrel*(INDEX(Refinery_capacity,2,MATCH($H7,Assumptions!$L$93:$R$93,0)))*Operational_days*1000*Refinery_availability*INDEX(Production_High,MATCH($C$2,Assumptions!$L$102:$L$131,0),MATCH($H7,Assumptions!$L$102:$R$102,0))</f>
        <v>2167495308.2868752</v>
      </c>
      <c r="K7" s="130">
        <f>INDEX(Refinery,MATCH(K$5,Assumptions!$L$93:$L$98,0),MATCH($H7,Assumptions!$L$93:$R$93,0))*Crude_oil_litresPerBarrel*(INDEX(Refinery_capacity,2,MATCH($H7,Assumptions!$L$93:$R$93,0)))*Operational_days*1000*Refinery_availability*INDEX(Production_High,MATCH($C$2,Assumptions!$L$102:$L$131,0),MATCH($H7,Assumptions!$L$102:$R$102,0))</f>
        <v>1204164060.1593747</v>
      </c>
      <c r="M7" s="290" t="s">
        <v>199</v>
      </c>
      <c r="N7" s="290" t="s">
        <v>220</v>
      </c>
      <c r="O7" s="130">
        <f>INDEX('Jet - DemandSupply'!$BA$10:$BF$38,MATCH($C$2,'Jet - DemandSupply'!$BA$10:$BA$38,0),MATCH($M7,'Jet - DemandSupply'!$BA$10:$BF$10,0))</f>
        <v>1118915828.2623296</v>
      </c>
      <c r="P7" s="130">
        <f>INDEX('Gasoline - DemandSupply'!$BK$10:$BP$38,MATCH($C$2,'Gasoline - DemandSupply'!$BK$10:$BK$38,0),MATCH($B7,'Gasoline - DemandSupply'!$BK$10:$BP$10,0))</f>
        <v>2765932765.6799703</v>
      </c>
      <c r="Q7" s="130">
        <f>INDEX('Diesel - DemandSupply'!$BW$10:$CB$38,MATCH($C$2,'Diesel - DemandSupply'!$BW$10:$BW$38,0),MATCH($B7,'Diesel - DemandSupply'!$BW$10:$CB$10,0))</f>
        <v>3635065280.8258076</v>
      </c>
      <c r="R7" s="291" t="s">
        <v>220</v>
      </c>
      <c r="S7" s="291" t="s">
        <v>449</v>
      </c>
      <c r="T7" s="129">
        <f>INDEX(Refinery,MATCH(T$5,Assumptions!$L$93:$L$98,0),MATCH($S7,Assumptions!$L$93:$R$93,0))*Crude_oil_litresPerBarrel*(INDEX(Refinery_capacity,2,MATCH($S7,Assumptions!$L$93:$R$93,0)))*Operational_days*1000*Refinery_availability*INDEX(Production_Low,MATCH($C$2,Assumptions!$L$135:$L$164,0),MATCH($S7,Assumptions!$L$135:$R$135,0))</f>
        <v>0</v>
      </c>
      <c r="U7" s="129">
        <f>INDEX(Refinery,MATCH(U$5,Assumptions!$L$93:$L$98,0),MATCH($S7,Assumptions!$L$93:$R$93,0))*Crude_oil_litresPerBarrel*(INDEX(Refinery_capacity,2,MATCH($S7,Assumptions!$L$93:$R$93,0)))*Operational_days*1000*Refinery_availability*INDEX(Production_Low,MATCH($C$2,Assumptions!$L$135:$L$164,0),MATCH($S7,Assumptions!$L$135:$R$135,0))</f>
        <v>0</v>
      </c>
      <c r="V7" s="129">
        <f>INDEX(Refinery,MATCH(V$5,Assumptions!$L$93:$L$98,0),MATCH($S7,Assumptions!$L$93:$R$93,0))*Crude_oil_litresPerBarrel*(INDEX(Refinery_capacity,2,MATCH($S7,Assumptions!$L$93:$R$93,0)))*Operational_days*1000*Refinery_availability*INDEX(Production_Low,MATCH($C$2,Assumptions!$L$135:$L$164,0),MATCH($S7,Assumptions!$L$135:$R$135,0))</f>
        <v>0</v>
      </c>
      <c r="Z7" s="75" t="s">
        <v>450</v>
      </c>
      <c r="AB7" s="75" t="s">
        <v>451</v>
      </c>
      <c r="AL7" s="75" t="s">
        <v>98</v>
      </c>
      <c r="AM7" s="108">
        <v>71100.5</v>
      </c>
      <c r="AN7" s="108">
        <v>434</v>
      </c>
      <c r="AO7" s="108">
        <v>34217</v>
      </c>
      <c r="AP7" s="108">
        <v>36449.5</v>
      </c>
      <c r="AQ7" s="108">
        <v>0</v>
      </c>
      <c r="AR7" s="108"/>
    </row>
    <row r="8" spans="2:44" x14ac:dyDescent="0.6">
      <c r="B8" s="290" t="str">
        <f>'Jet - DemandSupply'!BC72</f>
        <v>KZN</v>
      </c>
      <c r="C8" s="290" t="str">
        <f>'Jet - DemandSupply'!BD72</f>
        <v>KwaZulu Natal</v>
      </c>
      <c r="D8" s="130">
        <f>INDEX('Jet - DemandSupply'!$AS$10:$AX$38,MATCH($C$2,'Jet - DemandSupply'!$AS$10:$AS$38,0),MATCH($B8,'Jet - DemandSupply'!$AS$10:$AX$10,0))</f>
        <v>246311197.91336614</v>
      </c>
      <c r="E8" s="130">
        <f>INDEX('Gasoline - DemandSupply'!$BC$10:$BH$38,MATCH($C$2,'Gasoline - DemandSupply'!$BC$10:$BC$38,0),MATCH($B8,'Gasoline - DemandSupply'!$BC$10:$BH$10,0))</f>
        <v>1651471855.788589</v>
      </c>
      <c r="F8" s="130">
        <f>INDEX('Diesel - DemandSupply'!$BO$10:$BT$38,MATCH($C$2,'Diesel - DemandSupply'!$BO$10:$BO$38,0),MATCH($B8,'Diesel - DemandSupply'!$BO$10:$BT$10,0))</f>
        <v>3399131741.7603407</v>
      </c>
      <c r="G8" s="291" t="s">
        <v>220</v>
      </c>
      <c r="H8" s="291" t="s">
        <v>107</v>
      </c>
      <c r="I8" s="130">
        <f>INDEX(Refinery,MATCH(I$5,Assumptions!$L$93:$L$98,0),MATCH($H8,Assumptions!$L$93:$R$93,0))*Crude_oil_litresPerBarrel*(INDEX(Refinery_capacity,2,MATCH($H8,Assumptions!$L$93:$R$93,0)))*Operational_days*1000*Refinery_availability*INDEX(Production_High,MATCH($C$2,Assumptions!$L$102:$L$131,0),MATCH($H8,Assumptions!$L$102:$R$102,0))</f>
        <v>0</v>
      </c>
      <c r="J8" s="130">
        <f>INDEX(Refinery,MATCH(J$5,Assumptions!$L$93:$L$98,0),MATCH($H8,Assumptions!$L$93:$R$93,0))*Crude_oil_litresPerBarrel*(INDEX(Refinery_capacity,2,MATCH($H8,Assumptions!$L$93:$R$93,0)))*Operational_days*1000*Refinery_availability*INDEX(Production_High,MATCH($C$2,Assumptions!$L$102:$L$131,0),MATCH($H8,Assumptions!$L$102:$R$102,0))</f>
        <v>2636952817.4549999</v>
      </c>
      <c r="K8" s="130">
        <f>INDEX(Refinery,MATCH(K$5,Assumptions!$L$93:$L$98,0),MATCH($H8,Assumptions!$L$93:$R$93,0))*Crude_oil_litresPerBarrel*(INDEX(Refinery_capacity,2,MATCH($H8,Assumptions!$L$93:$R$93,0)))*Operational_days*1000*Refinery_availability*INDEX(Production_High,MATCH($C$2,Assumptions!$L$102:$L$131,0),MATCH($H8,Assumptions!$L$102:$R$102,0))</f>
        <v>465344614.84500003</v>
      </c>
      <c r="M8" s="290" t="s">
        <v>97</v>
      </c>
      <c r="N8" s="290" t="s">
        <v>222</v>
      </c>
      <c r="O8" s="130">
        <f>INDEX('Jet - DemandSupply'!$BA$10:$BF$38,MATCH($C$2,'Jet - DemandSupply'!$BA$10:$BA$38,0),MATCH($M8,'Jet - DemandSupply'!$BA$10:$BF$10,0))</f>
        <v>125083461.88510697</v>
      </c>
      <c r="P8" s="130">
        <f>INDEX('Gasoline - DemandSupply'!$BK$10:$BP$38,MATCH($C$2,'Gasoline - DemandSupply'!$BK$10:$BK$38,0),MATCH($B8,'Gasoline - DemandSupply'!$BK$10:$BP$10,0))</f>
        <v>1197172679.9119585</v>
      </c>
      <c r="Q8" s="130">
        <f>INDEX('Diesel - DemandSupply'!$BW$10:$CB$38,MATCH($C$2,'Diesel - DemandSupply'!$BW$10:$BW$38,0),MATCH($B8,'Diesel - DemandSupply'!$BW$10:$CB$10,0))</f>
        <v>2782999943.4810729</v>
      </c>
      <c r="R8" s="291" t="s">
        <v>220</v>
      </c>
      <c r="S8" s="291" t="s">
        <v>107</v>
      </c>
      <c r="T8" s="129">
        <f>INDEX(Refinery,MATCH(T$5,Assumptions!$L$93:$L$98,0),MATCH($S8,Assumptions!$L$93:$R$93,0))*Crude_oil_litresPerBarrel*(INDEX(Refinery_capacity,2,MATCH($S8,Assumptions!$L$93:$R$93,0)))*Operational_days*1000*Refinery_availability*INDEX(Production_Low,MATCH($C$2,Assumptions!$L$135:$L$164,0),MATCH($S8,Assumptions!$L$135:$R$135,0))</f>
        <v>0</v>
      </c>
      <c r="U8" s="129">
        <f>INDEX(Refinery,MATCH(U$5,Assumptions!$L$93:$L$98,0),MATCH($S8,Assumptions!$L$93:$R$93,0))*Crude_oil_litresPerBarrel*(INDEX(Refinery_capacity,2,MATCH($S8,Assumptions!$L$93:$R$93,0)))*Operational_days*1000*Refinery_availability*INDEX(Production_Low,MATCH($C$2,Assumptions!$L$135:$L$164,0),MATCH($S8,Assumptions!$L$135:$R$135,0))</f>
        <v>2587010529.2456245</v>
      </c>
      <c r="V8" s="129">
        <f>INDEX(Refinery,MATCH(V$5,Assumptions!$L$93:$L$98,0),MATCH($S8,Assumptions!$L$93:$R$93,0))*Crude_oil_litresPerBarrel*(INDEX(Refinery_capacity,2,MATCH($S8,Assumptions!$L$93:$R$93,0)))*Operational_days*1000*Refinery_availability*INDEX(Production_Low,MATCH($C$2,Assumptions!$L$135:$L$164,0),MATCH($S8,Assumptions!$L$135:$R$135,0))</f>
        <v>456531269.86687499</v>
      </c>
      <c r="Z8" s="75" t="s">
        <v>452</v>
      </c>
      <c r="AA8" s="238">
        <f>(AD44+AD45+AD46)/(AM2+AM3+SUM(AM6:AM9))</f>
        <v>1.3121813344550022</v>
      </c>
      <c r="AB8" s="75" t="s">
        <v>453</v>
      </c>
      <c r="AL8" s="75" t="s">
        <v>454</v>
      </c>
      <c r="AM8" s="108">
        <v>47152</v>
      </c>
      <c r="AN8" s="108">
        <v>0</v>
      </c>
      <c r="AO8" s="108">
        <v>17779</v>
      </c>
      <c r="AP8" s="108">
        <v>8457</v>
      </c>
      <c r="AQ8" s="108">
        <v>9129</v>
      </c>
      <c r="AR8" s="108"/>
    </row>
    <row r="9" spans="2:44" x14ac:dyDescent="0.6">
      <c r="B9" s="290" t="str">
        <f>'Jet - DemandSupply'!BC73</f>
        <v>EC</v>
      </c>
      <c r="C9" s="290" t="str">
        <f>'Jet - DemandSupply'!BD73</f>
        <v>Eastern Cape</v>
      </c>
      <c r="D9" s="130">
        <f>INDEX('Jet - DemandSupply'!$AS$10:$AX$38,MATCH($C$2,'Jet - DemandSupply'!$AS$10:$AS$38,0),MATCH($B9,'Jet - DemandSupply'!$AS$10:$AX$10,0))</f>
        <v>1074013074.1527905</v>
      </c>
      <c r="E9" s="130">
        <f>INDEX('Gasoline - DemandSupply'!$BC$10:$BH$38,MATCH($C$2,'Gasoline - DemandSupply'!$BC$10:$BC$38,0),MATCH($B9,'Gasoline - DemandSupply'!$BC$10:$BH$10,0))</f>
        <v>782705548.18364716</v>
      </c>
      <c r="F9" s="130">
        <f>INDEX('Diesel - DemandSupply'!$BO$10:$BT$38,MATCH($C$2,'Diesel - DemandSupply'!$BO$10:$BO$38,0),MATCH($B9,'Diesel - DemandSupply'!$BO$10:$BT$10,0))</f>
        <v>1327430971.7010524</v>
      </c>
      <c r="G9" s="291" t="s">
        <v>213</v>
      </c>
      <c r="H9" s="291" t="s">
        <v>108</v>
      </c>
      <c r="I9" s="130">
        <f>INDEX(Refinery,MATCH(I$5,Assumptions!$L$93:$L$98,0),MATCH($H9,Assumptions!$L$93:$R$93,0))*Crude_oil_litresPerBarrel*(INDEX(Refinery_capacity,2,MATCH($H9,Assumptions!$L$93:$R$93,0)))*Operational_days*1000*Refinery_availability*INDEX(Production_High,MATCH($C$2,Assumptions!$L$102:$L$131,0),MATCH($H9,Assumptions!$L$102:$R$102,0))</f>
        <v>470045065.49999988</v>
      </c>
      <c r="J9" s="130">
        <f>INDEX(Refinery,MATCH(J$5,Assumptions!$L$93:$L$98,0),MATCH($H9,Assumptions!$L$93:$R$93,0))*Crude_oil_litresPerBarrel*(INDEX(Refinery_capacity,2,MATCH($H9,Assumptions!$L$93:$R$93,0)))*Operational_days*1000*Refinery_availability*INDEX(Production_High,MATCH($C$2,Assumptions!$L$102:$L$131,0),MATCH($H9,Assumptions!$L$102:$R$102,0))</f>
        <v>2115202794.75</v>
      </c>
      <c r="K9" s="130">
        <f>INDEX(Refinery,MATCH(K$5,Assumptions!$L$93:$L$98,0),MATCH($H9,Assumptions!$L$93:$R$93,0))*Crude_oil_litresPerBarrel*(INDEX(Refinery_capacity,2,MATCH($H9,Assumptions!$L$93:$R$93,0)))*Operational_days*1000*Refinery_availability*INDEX(Production_High,MATCH($C$2,Assumptions!$L$102:$L$131,0),MATCH($H9,Assumptions!$L$102:$R$102,0))</f>
        <v>1175112663.75</v>
      </c>
      <c r="M9" s="290" t="s">
        <v>200</v>
      </c>
      <c r="N9" s="290" t="s">
        <v>139</v>
      </c>
      <c r="O9" s="130">
        <f>INDEX('Jet - DemandSupply'!$BA$10:$BF$38,MATCH($C$2,'Jet - DemandSupply'!$BA$10:$BA$38,0),MATCH($M9,'Jet - DemandSupply'!$BA$10:$BF$10,0))</f>
        <v>545412772.79707086</v>
      </c>
      <c r="P9" s="130">
        <f>INDEX('Gasoline - DemandSupply'!$BK$10:$BP$38,MATCH($C$2,'Gasoline - DemandSupply'!$BK$10:$BK$38,0),MATCH($B9,'Gasoline - DemandSupply'!$BK$10:$BP$10,0))</f>
        <v>567393077.52449441</v>
      </c>
      <c r="Q9" s="130">
        <f>INDEX('Diesel - DemandSupply'!$BW$10:$CB$38,MATCH($C$2,'Diesel - DemandSupply'!$BW$10:$BW$38,0),MATCH($B9,'Diesel - DemandSupply'!$BW$10:$CB$10,0))</f>
        <v>1086818811.3550091</v>
      </c>
      <c r="R9" s="291" t="s">
        <v>213</v>
      </c>
      <c r="S9" s="291" t="s">
        <v>108</v>
      </c>
      <c r="T9" s="129">
        <f>INDEX(Refinery,MATCH(T$5,Assumptions!$L$93:$L$98,0),MATCH($S9,Assumptions!$L$93:$R$93,0))*Crude_oil_litresPerBarrel*(INDEX(Refinery_capacity,2,MATCH($S9,Assumptions!$L$93:$R$93,0)))*Operational_days*1000*Refinery_availability*INDEX(Production_Low,MATCH($C$2,Assumptions!$L$135:$L$164,0),MATCH($S9,Assumptions!$L$135:$R$135,0))</f>
        <v>417817835.99999994</v>
      </c>
      <c r="U9" s="129">
        <f>INDEX(Refinery,MATCH(U$5,Assumptions!$L$93:$L$98,0),MATCH($S9,Assumptions!$L$93:$R$93,0))*Crude_oil_litresPerBarrel*(INDEX(Refinery_capacity,2,MATCH($S9,Assumptions!$L$93:$R$93,0)))*Operational_days*1000*Refinery_availability*INDEX(Production_Low,MATCH($C$2,Assumptions!$L$135:$L$164,0),MATCH($S9,Assumptions!$L$135:$R$135,0))</f>
        <v>1880180262</v>
      </c>
      <c r="V9" s="129">
        <f>INDEX(Refinery,MATCH(V$5,Assumptions!$L$93:$L$98,0),MATCH($S9,Assumptions!$L$93:$R$93,0))*Crude_oil_litresPerBarrel*(INDEX(Refinery_capacity,2,MATCH($S9,Assumptions!$L$93:$R$93,0)))*Operational_days*1000*Refinery_availability*INDEX(Production_Low,MATCH($C$2,Assumptions!$L$135:$L$164,0),MATCH($S9,Assumptions!$L$135:$R$135,0))</f>
        <v>1044544590</v>
      </c>
      <c r="AL9" s="75" t="s">
        <v>455</v>
      </c>
      <c r="AM9" s="108">
        <v>25320</v>
      </c>
      <c r="AN9" s="108">
        <v>0</v>
      </c>
      <c r="AO9" s="108">
        <v>10750</v>
      </c>
      <c r="AP9" s="108">
        <v>9261</v>
      </c>
      <c r="AQ9" s="108">
        <v>0</v>
      </c>
      <c r="AR9" s="108"/>
    </row>
    <row r="10" spans="2:44" x14ac:dyDescent="0.6">
      <c r="B10" s="290" t="str">
        <f>'Jet - DemandSupply'!BC74</f>
        <v>NC, WC</v>
      </c>
      <c r="C10" s="290" t="str">
        <f>'Jet - DemandSupply'!BD74</f>
        <v>Western Cape</v>
      </c>
      <c r="D10" s="130">
        <f>INDEX('Jet - DemandSupply'!$AS$10:$AX$38,MATCH($C$2,'Jet - DemandSupply'!$AS$10:$AS$38,0),MATCH($B10,'Jet - DemandSupply'!$AS$10:$AX$10,0))</f>
        <v>745031325.38048005</v>
      </c>
      <c r="E10" s="130">
        <f>INDEX('Gasoline - DemandSupply'!$BC$10:$BH$38,MATCH($C$2,'Gasoline - DemandSupply'!$BC$10:$BC$38,0),MATCH($B10,'Gasoline - DemandSupply'!$BC$10:$BH$10,0))</f>
        <v>1743530459.5443447</v>
      </c>
      <c r="F10" s="130">
        <f>INDEX('Diesel - DemandSupply'!$BO$10:$BT$38,MATCH($C$2,'Diesel - DemandSupply'!$BO$10:$BO$38,0),MATCH($B10,'Diesel - DemandSupply'!$BO$10:$BT$10,0))</f>
        <v>3698202265.1552272</v>
      </c>
      <c r="G10" s="291" t="s">
        <v>213</v>
      </c>
      <c r="H10" s="291" t="s">
        <v>94</v>
      </c>
      <c r="I10" s="130">
        <f>INDEX(Refinery,MATCH(I$5,Assumptions!$L$93:$L$98,0),MATCH($H10,Assumptions!$L$93:$R$93,0))*Crude_oil_litresPerBarrel*(INDEX(Refinery_capacity,2,MATCH($H10,Assumptions!$L$93:$R$93,0)))*Operational_days*1000*Refinery_availability*INDEX(Production_High,MATCH($C$2,Assumptions!$L$102:$L$131,0),MATCH($H10,Assumptions!$L$102:$R$102,0))</f>
        <v>0</v>
      </c>
      <c r="J10" s="130">
        <f>INDEX(Refinery,MATCH(J$5,Assumptions!$L$93:$L$98,0),MATCH($H10,Assumptions!$L$93:$R$93,0))*Crude_oil_litresPerBarrel*(INDEX(Refinery_capacity,2,MATCH($H10,Assumptions!$L$93:$R$93,0)))*Operational_days*1000*Refinery_availability*INDEX(Production_High,MATCH($C$2,Assumptions!$L$102:$L$131,0),MATCH($H10,Assumptions!$L$102:$R$102,0))</f>
        <v>0</v>
      </c>
      <c r="K10" s="130">
        <f>INDEX(Refinery,MATCH(K$5,Assumptions!$L$93:$L$98,0),MATCH($H10,Assumptions!$L$93:$R$93,0))*Crude_oil_litresPerBarrel*(INDEX(Refinery_capacity,2,MATCH($H10,Assumptions!$L$93:$R$93,0)))*Operational_days*1000*Refinery_availability*INDEX(Production_High,MATCH($C$2,Assumptions!$L$102:$L$131,0),MATCH($H10,Assumptions!$L$102:$R$102,0))</f>
        <v>0</v>
      </c>
      <c r="M10" s="290" t="s">
        <v>201</v>
      </c>
      <c r="N10" s="290" t="s">
        <v>213</v>
      </c>
      <c r="O10" s="130">
        <f>INDEX('Jet - DemandSupply'!$BA$10:$BF$38,MATCH($C$2,'Jet - DemandSupply'!$BA$10:$BA$38,0),MATCH($M10,'Jet - DemandSupply'!$BA$10:$BF$10,0))</f>
        <v>378346978.0542323</v>
      </c>
      <c r="P10" s="130">
        <f>INDEX('Gasoline - DemandSupply'!$BK$10:$BP$38,MATCH($C$2,'Gasoline - DemandSupply'!$BK$10:$BK$38,0),MATCH($B10,'Gasoline - DemandSupply'!$BK$10:$BP$10,0))</f>
        <v>1263907117.4265506</v>
      </c>
      <c r="Q10" s="130">
        <f>INDEX('Diesel - DemandSupply'!$BW$10:$CB$38,MATCH($C$2,'Diesel - DemandSupply'!$BW$10:$BW$38,0),MATCH($B10,'Diesel - DemandSupply'!$BW$10:$CB$10,0))</f>
        <v>3027860488.1546922</v>
      </c>
      <c r="R10" s="291" t="s">
        <v>213</v>
      </c>
      <c r="S10" s="291" t="s">
        <v>94</v>
      </c>
      <c r="T10" s="129">
        <f>INDEX(Refinery,MATCH(T$5,Assumptions!$L$93:$L$98,0),MATCH($S10,Assumptions!$L$93:$R$93,0))*Crude_oil_litresPerBarrel*(INDEX(Refinery_capacity,2,MATCH($S10,Assumptions!$L$93:$R$93,0)))*Operational_days*1000*Refinery_availability*INDEX(Production_Low,MATCH($C$2,Assumptions!$L$135:$L$164,0),MATCH($S10,Assumptions!$L$135:$R$135,0))</f>
        <v>0</v>
      </c>
      <c r="U10" s="129">
        <f>INDEX(Refinery,MATCH(U$5,Assumptions!$L$93:$L$98,0),MATCH($S10,Assumptions!$L$93:$R$93,0))*Crude_oil_litresPerBarrel*(INDEX(Refinery_capacity,2,MATCH($S10,Assumptions!$L$93:$R$93,0)))*Operational_days*1000*Refinery_availability*INDEX(Production_Low,MATCH($C$2,Assumptions!$L$135:$L$164,0),MATCH($S10,Assumptions!$L$135:$R$135,0))</f>
        <v>0</v>
      </c>
      <c r="V10" s="129">
        <f>INDEX(Refinery,MATCH(V$5,Assumptions!$L$93:$L$98,0),MATCH($S10,Assumptions!$L$93:$R$93,0))*Crude_oil_litresPerBarrel*(INDEX(Refinery_capacity,2,MATCH($S10,Assumptions!$L$93:$R$93,0)))*Operational_days*1000*Refinery_availability*INDEX(Production_Low,MATCH($C$2,Assumptions!$L$135:$L$164,0),MATCH($S10,Assumptions!$L$135:$R$135,0))</f>
        <v>0</v>
      </c>
      <c r="Z10" s="610" t="s">
        <v>456</v>
      </c>
      <c r="AA10" s="611"/>
      <c r="AB10" s="611"/>
      <c r="AC10" s="611"/>
      <c r="AD10" s="611"/>
      <c r="AE10" s="611"/>
      <c r="AF10" s="611"/>
      <c r="AG10" s="611"/>
      <c r="AH10" s="611"/>
      <c r="AI10" s="611"/>
      <c r="AJ10" s="611"/>
      <c r="AL10" s="75" t="s">
        <v>221</v>
      </c>
      <c r="AM10" s="108">
        <v>8474</v>
      </c>
      <c r="AN10" s="108">
        <v>3316</v>
      </c>
      <c r="AO10" s="108">
        <v>1480</v>
      </c>
      <c r="AP10" s="108">
        <v>3158</v>
      </c>
      <c r="AQ10" s="108">
        <v>0</v>
      </c>
      <c r="AR10" s="108"/>
    </row>
    <row r="11" spans="2:44" x14ac:dyDescent="0.6">
      <c r="K11" s="83"/>
      <c r="P11" s="83"/>
      <c r="AL11" s="75" t="s">
        <v>52</v>
      </c>
      <c r="AM11" s="298">
        <f>SUM(AM2:AM10)</f>
        <v>2595100.2450000006</v>
      </c>
      <c r="AN11" s="298">
        <f t="shared" ref="AN11:AQ11" si="0">SUM(AN2:AN10)</f>
        <v>177704.74</v>
      </c>
      <c r="AO11" s="298">
        <f t="shared" si="0"/>
        <v>904117.05999999994</v>
      </c>
      <c r="AP11" s="298">
        <f t="shared" si="0"/>
        <v>1013779.645</v>
      </c>
      <c r="AQ11" s="298">
        <f t="shared" si="0"/>
        <v>367838.8</v>
      </c>
      <c r="AR11" s="298"/>
    </row>
    <row r="12" spans="2:44" s="369" customFormat="1" x14ac:dyDescent="0.6">
      <c r="D12" s="369" t="s">
        <v>457</v>
      </c>
      <c r="F12" s="380"/>
      <c r="G12" s="380"/>
      <c r="H12" s="380"/>
      <c r="O12" s="369" t="s">
        <v>457</v>
      </c>
      <c r="Q12" s="380"/>
      <c r="S12" s="380"/>
      <c r="X12" s="381"/>
      <c r="Z12" s="609" t="s">
        <v>458</v>
      </c>
      <c r="AA12" s="609"/>
      <c r="AB12" s="609"/>
      <c r="AC12" s="596"/>
      <c r="AD12" s="596"/>
      <c r="AF12" s="595" t="s">
        <v>459</v>
      </c>
      <c r="AG12" s="596"/>
      <c r="AH12" s="596"/>
      <c r="AI12" s="596"/>
      <c r="AJ12" s="596"/>
      <c r="AM12" s="382">
        <f>SUM(AM2:AM10)</f>
        <v>2595100.2450000006</v>
      </c>
      <c r="AN12" s="382">
        <f>SUM(AN2:AN10)</f>
        <v>177704.74</v>
      </c>
      <c r="AO12" s="382">
        <f>SUM(AO2:AO10)</f>
        <v>904117.05999999994</v>
      </c>
      <c r="AP12" s="382">
        <f>SUM(AP2:AP10)</f>
        <v>1013779.645</v>
      </c>
      <c r="AQ12" s="382">
        <f>SUM(AQ2:AQ10)</f>
        <v>367838.8</v>
      </c>
    </row>
    <row r="13" spans="2:44" x14ac:dyDescent="0.6">
      <c r="B13" s="290" t="s">
        <v>444</v>
      </c>
      <c r="C13" s="296" t="s">
        <v>460</v>
      </c>
      <c r="D13" s="159">
        <f>VLOOKUP($C$2,'Jet - DemandSupply'!$Y$8:$AC$47,4,0)</f>
        <v>0.78640164941906154</v>
      </c>
      <c r="E13" s="159">
        <f>VLOOKUP($C$2,'Gasoline - DemandSupply'!$AI$9:$AM$48,4,0)</f>
        <v>0.32307643447162065</v>
      </c>
      <c r="F13" s="159">
        <f>VLOOKUP($C$2,'Diesel - DemandSupply'!$AT$10:$AX$49,4,0)</f>
        <v>0.84048026570335088</v>
      </c>
      <c r="M13" s="290" t="s">
        <v>444</v>
      </c>
      <c r="N13" s="296" t="s">
        <v>460</v>
      </c>
      <c r="O13" s="159">
        <f>VLOOKUP($C$2,'Jet - DemandSupply'!$Y$8:$AC$47,5,0)</f>
        <v>0.81534367559015308</v>
      </c>
      <c r="P13" s="159">
        <f>VLOOKUP($C$2,'Gasoline - DemandSupply'!$AI$9:$AM$48,4,0)</f>
        <v>0.32307643447162065</v>
      </c>
      <c r="Q13" s="159">
        <f>VLOOKUP($C$2,'Diesel - DemandSupply'!$AT$10:$AX$49,5,0)</f>
        <v>0.89718715088743795</v>
      </c>
      <c r="Z13" s="200">
        <v>2040</v>
      </c>
      <c r="AA13" s="159">
        <f>VLOOKUP($Z$13,'Jet - DemandSupply'!$Y$8:$AC$47,4,0)</f>
        <v>0.78640164941906154</v>
      </c>
      <c r="AB13" s="159">
        <f>VLOOKUP($Z$13,'Gasoline - DemandSupply'!$AI$9:$AM$48,4,0)</f>
        <v>0.32307643447162065</v>
      </c>
      <c r="AC13" s="159">
        <f>VLOOKUP($Z$13,'Diesel - DemandSupply'!$AT$10:$AX$49,4,0)</f>
        <v>0.84048026570335088</v>
      </c>
      <c r="AF13" s="300">
        <f>Z13</f>
        <v>2040</v>
      </c>
      <c r="AG13" s="159">
        <f>VLOOKUP($Z$13,'Jet - DemandSupply'!$Y$8:$AC$47,5,0)</f>
        <v>0.81534367559015308</v>
      </c>
      <c r="AH13" s="159">
        <f>VLOOKUP($Z$13,'Gasoline - DemandSupply'!$AI$9:$AM$48,4,0)</f>
        <v>0.32307643447162065</v>
      </c>
      <c r="AI13" s="159">
        <f>VLOOKUP($Z$13,'Diesel - DemandSupply'!$AT$10:$AX$49,5,0)</f>
        <v>0.89718715088743795</v>
      </c>
    </row>
    <row r="14" spans="2:44" x14ac:dyDescent="0.6">
      <c r="B14" s="290" t="s">
        <v>198</v>
      </c>
      <c r="C14" s="290" t="str">
        <f>C6</f>
        <v>Gauteng</v>
      </c>
      <c r="D14" s="292">
        <f>D6*D$13</f>
        <v>146988199.01123604</v>
      </c>
      <c r="E14" s="292">
        <f>E6*E$13</f>
        <v>723994534.86575687</v>
      </c>
      <c r="F14" s="292">
        <f t="shared" ref="F14" si="1">F6*F$13</f>
        <v>4277017767.6362638</v>
      </c>
      <c r="G14" s="608"/>
      <c r="M14" s="290" t="s">
        <v>198</v>
      </c>
      <c r="N14" s="290" t="str">
        <f>N6</f>
        <v>Gauteng</v>
      </c>
      <c r="O14" s="292">
        <f t="shared" ref="O14:Q15" si="2">O6*O$13</f>
        <v>77391719.495390505</v>
      </c>
      <c r="P14" s="292">
        <f t="shared" si="2"/>
        <v>524832726.94524533</v>
      </c>
      <c r="Q14" s="292">
        <f t="shared" si="2"/>
        <v>3738021364.9195681</v>
      </c>
      <c r="Z14" s="156" t="s">
        <v>444</v>
      </c>
      <c r="AA14" s="156" t="s">
        <v>113</v>
      </c>
      <c r="AB14" s="156" t="s">
        <v>111</v>
      </c>
      <c r="AC14" s="156" t="s">
        <v>112</v>
      </c>
      <c r="AD14" s="151" t="s">
        <v>52</v>
      </c>
      <c r="AF14" s="156" t="s">
        <v>444</v>
      </c>
      <c r="AG14" s="156" t="s">
        <v>113</v>
      </c>
      <c r="AH14" s="156" t="s">
        <v>111</v>
      </c>
      <c r="AI14" s="156" t="s">
        <v>112</v>
      </c>
      <c r="AJ14" s="151" t="s">
        <v>52</v>
      </c>
      <c r="AL14" s="75">
        <v>40</v>
      </c>
      <c r="AM14" s="95" t="s">
        <v>461</v>
      </c>
    </row>
    <row r="15" spans="2:44" x14ac:dyDescent="0.6">
      <c r="B15" s="290" t="s">
        <v>199</v>
      </c>
      <c r="C15" s="290" t="str">
        <f t="shared" ref="C15:C18" si="3">C7</f>
        <v>Gauteng</v>
      </c>
      <c r="D15" s="292">
        <f t="shared" ref="D15:F18" si="4">D7*D$13</f>
        <v>1732710858.5077159</v>
      </c>
      <c r="E15" s="292">
        <f t="shared" si="4"/>
        <v>1232711023.8126135</v>
      </c>
      <c r="F15" s="292">
        <f t="shared" si="4"/>
        <v>3731595278.5647793</v>
      </c>
      <c r="G15" s="608"/>
      <c r="M15" s="290" t="s">
        <v>199</v>
      </c>
      <c r="N15" s="290" t="str">
        <f t="shared" ref="N15:N18" si="5">N7</f>
        <v>Gauteng</v>
      </c>
      <c r="O15" s="292">
        <f t="shared" si="2"/>
        <v>912300944.09140825</v>
      </c>
      <c r="P15" s="292">
        <f t="shared" si="2"/>
        <v>893607695.92411339</v>
      </c>
      <c r="Q15" s="292">
        <f t="shared" si="2"/>
        <v>3261333862.5939507</v>
      </c>
      <c r="Z15" s="106" t="s">
        <v>198</v>
      </c>
      <c r="AA15" s="130">
        <f>INDEX('Jet - DemandSupply'!$AS$10:$AX$38,MATCH($Z$13,'Jet - DemandSupply'!$AS$10:$AS$38,0),MATCH($Z15,'Jet - DemandSupply'!$AS$10:$AX$10,0))*AA$13/365*SUM($AA$4:$AA$6)</f>
        <v>17316417.965707261</v>
      </c>
      <c r="AB15" s="130">
        <f>INDEX('Gasoline - DemandSupply'!$BC$10:$BH$38,MATCH($Z$13,'Gasoline - DemandSupply'!$BC$10:$BC$38,0),MATCH($Z15,'Gasoline - DemandSupply'!$BC$10:$BH$10,0))*AB$13/365*SUM($AA$4:$AA$6)</f>
        <v>85292506.847198755</v>
      </c>
      <c r="AC15" s="130">
        <f>INDEX('Diesel - DemandSupply'!$BO$10:$BT$38,MATCH($Z$13,'Diesel - DemandSupply'!$BO$10:$BO$38,0),MATCH($Z15,'Diesel - DemandSupply'!$BO$10:$BT$10,0))*AC$13/365*SUM($AA$4:$AA$6)</f>
        <v>503867846.59824479</v>
      </c>
      <c r="AD15" s="224">
        <f>SUM(AA15:AC15)</f>
        <v>606476771.41115081</v>
      </c>
      <c r="AF15" s="106" t="s">
        <v>198</v>
      </c>
      <c r="AG15" s="130">
        <f>INDEX('Jet - DemandSupply'!$BA$10:$BF$38,MATCH($AF$13,'Jet - DemandSupply'!$BA$10:$BA$38,0),MATCH($AF15,'Jet - DemandSupply'!$BA$10:$BF$10,0))*AG$13/365</f>
        <v>212032.10820654934</v>
      </c>
      <c r="AH15" s="130">
        <f>INDEX('Gasoline - DemandSupply'!$BK$10:$BP$38,MATCH($AF$13,'Gasoline - DemandSupply'!$BK$10:$BK$38,0),MATCH($AF15,'Gasoline - DemandSupply'!$BK$10:$BP$10,0))*AH$13/365</f>
        <v>1437897.8820417679</v>
      </c>
      <c r="AI15" s="130">
        <f>INDEX('Diesel - DemandSupply'!$BW$10:$CB$38,MATCH($AF$13,'Diesel - DemandSupply'!$BW$10:$BW$38,0),MATCH($AF15,'Diesel - DemandSupply'!$BW$10:$CB$10,0))*AI$13/365</f>
        <v>10241154.424437173</v>
      </c>
      <c r="AJ15" s="224">
        <f>SUM(AG15:AI15)</f>
        <v>11891084.41468549</v>
      </c>
      <c r="AL15" s="83">
        <f>(AD44+AD45+AD46)/(AM2+AM3+SUM(AM6:AM9))</f>
        <v>1.3121813344550022</v>
      </c>
    </row>
    <row r="16" spans="2:44" x14ac:dyDescent="0.6">
      <c r="B16" s="290" t="s">
        <v>97</v>
      </c>
      <c r="C16" s="290" t="str">
        <f t="shared" si="3"/>
        <v>KwaZulu Natal</v>
      </c>
      <c r="D16" s="292">
        <f t="shared" si="4"/>
        <v>193699532.30945605</v>
      </c>
      <c r="E16" s="292">
        <f t="shared" si="4"/>
        <v>533551638.79840785</v>
      </c>
      <c r="F16" s="292">
        <f t="shared" si="4"/>
        <v>2856903149.4754252</v>
      </c>
      <c r="G16" s="608"/>
      <c r="M16" s="290" t="s">
        <v>97</v>
      </c>
      <c r="N16" s="290" t="str">
        <f t="shared" si="5"/>
        <v>KwaZulu Natal</v>
      </c>
      <c r="O16" s="292">
        <f t="shared" ref="O16:P16" si="6">O8*O$13</f>
        <v>101986009.56894393</v>
      </c>
      <c r="P16" s="292">
        <f t="shared" si="6"/>
        <v>386778280.87279034</v>
      </c>
      <c r="Q16" s="292">
        <f>Q8*Q$13</f>
        <v>2496871790.2116847</v>
      </c>
      <c r="Z16" s="106" t="s">
        <v>199</v>
      </c>
      <c r="AA16" s="130">
        <f>INDEX('Jet - DemandSupply'!$AS$10:$AX$38,MATCH($Z$13,'Jet - DemandSupply'!$AS$10:$AS$38,0),MATCH($Z16,'Jet - DemandSupply'!$AS$10:$AX$10,0))*AA$13/365*SUM($AA$4:$AA$6)</f>
        <v>204127580.59131995</v>
      </c>
      <c r="AB16" s="130">
        <f>INDEX('Gasoline - DemandSupply'!$BC$10:$BH$38,MATCH($Z$13,'Gasoline - DemandSupply'!$BC$10:$BC$38,0),MATCH($Z16,'Gasoline - DemandSupply'!$BC$10:$BH$10,0))*AB$13/365*SUM($AA$4:$AA$6)</f>
        <v>145223490.47655445</v>
      </c>
      <c r="AC16" s="130">
        <f>INDEX('Diesel - DemandSupply'!$BO$10:$BT$38,MATCH($Z$13,'Diesel - DemandSupply'!$BO$10:$BO$38,0),MATCH($Z16,'Diesel - DemandSupply'!$BO$10:$BT$10,0))*AC$13/365*SUM($AA$4:$AA$6)</f>
        <v>439612594.46105623</v>
      </c>
      <c r="AD16" s="224">
        <f t="shared" ref="AD16:AD19" si="7">SUM(AA16:AC16)</f>
        <v>788963665.52893066</v>
      </c>
      <c r="AF16" s="106" t="s">
        <v>199</v>
      </c>
      <c r="AG16" s="130">
        <f>INDEX('Jet - DemandSupply'!$BA$10:$BF$38,MATCH($AF$13,'Jet - DemandSupply'!$BA$10:$BA$38,0),MATCH($AF16,'Jet - DemandSupply'!$BA$10:$BF$10,0))*AG$13/365</f>
        <v>2499454.6413463238</v>
      </c>
      <c r="AH16" s="130">
        <f>INDEX('Gasoline - DemandSupply'!$BK$10:$BP$38,MATCH($AF$13,'Gasoline - DemandSupply'!$BK$10:$BK$38,0),MATCH($AF16,'Gasoline - DemandSupply'!$BK$10:$BP$10,0))*AH$13/365</f>
        <v>2448240.2628057902</v>
      </c>
      <c r="AI16" s="130">
        <f>INDEX('Diesel - DemandSupply'!$BW$10:$CB$38,MATCH($AF$13,'Diesel - DemandSupply'!$BW$10:$BW$38,0),MATCH($AF16,'Diesel - DemandSupply'!$BW$10:$CB$10,0))*AI$13/365</f>
        <v>8935161.2673806865</v>
      </c>
      <c r="AJ16" s="224">
        <f>SUM(AG16:AI16)</f>
        <v>13882856.1715328</v>
      </c>
    </row>
    <row r="17" spans="2:48" x14ac:dyDescent="0.6">
      <c r="B17" s="290" t="s">
        <v>200</v>
      </c>
      <c r="C17" s="290" t="str">
        <f t="shared" si="3"/>
        <v>Eastern Cape</v>
      </c>
      <c r="D17" s="292">
        <f t="shared" si="4"/>
        <v>844605653.01139128</v>
      </c>
      <c r="E17" s="292">
        <f t="shared" si="4"/>
        <v>252873717.748328</v>
      </c>
      <c r="F17" s="292">
        <f t="shared" si="4"/>
        <v>1115679535.7981577</v>
      </c>
      <c r="G17" s="608"/>
      <c r="M17" s="290" t="s">
        <v>200</v>
      </c>
      <c r="N17" s="290" t="str">
        <f t="shared" si="5"/>
        <v>Eastern Cape</v>
      </c>
      <c r="O17" s="292">
        <f t="shared" ref="O17:Q17" si="8">O9*O$13</f>
        <v>444698854.88618082</v>
      </c>
      <c r="P17" s="292">
        <f t="shared" si="8"/>
        <v>183311332.4304935</v>
      </c>
      <c r="Q17" s="292">
        <f t="shared" si="8"/>
        <v>975079872.89047253</v>
      </c>
      <c r="Z17" s="106" t="s">
        <v>97</v>
      </c>
      <c r="AA17" s="130">
        <f>INDEX('Jet - DemandSupply'!$AS$10:$AX$38,MATCH($Z$13,'Jet - DemandSupply'!$AS$10:$AS$38,0),MATCH($Z17,'Jet - DemandSupply'!$AS$10:$AX$10,0))*AA$13/365*SUM($AA$4:$AA$6)</f>
        <v>22819396.957004409</v>
      </c>
      <c r="AB17" s="130">
        <f>INDEX('Gasoline - DemandSupply'!$BC$10:$BH$38,MATCH($Z$13,'Gasoline - DemandSupply'!$BC$10:$BC$38,0),MATCH($Z17,'Gasoline - DemandSupply'!$BC$10:$BH$10,0))*AB$13/365*SUM($AA$4:$AA$6)</f>
        <v>62856768.406387776</v>
      </c>
      <c r="AC17" s="130">
        <f>INDEX('Diesel - DemandSupply'!$BO$10:$BT$38,MATCH($Z$13,'Diesel - DemandSupply'!$BO$10:$BO$38,0),MATCH($Z17,'Diesel - DemandSupply'!$BO$10:$BT$10,0))*AC$13/365*SUM($AA$4:$AA$6)</f>
        <v>336566672.40395421</v>
      </c>
      <c r="AD17" s="224">
        <f t="shared" si="7"/>
        <v>422242837.76734638</v>
      </c>
      <c r="AF17" s="106" t="s">
        <v>97</v>
      </c>
      <c r="AG17" s="130">
        <f>INDEX('Jet - DemandSupply'!$BA$10:$BF$38,MATCH($AF$13,'Jet - DemandSupply'!$BA$10:$BA$38,0),MATCH($AF17,'Jet - DemandSupply'!$BA$10:$BF$10,0))*AG$13/365</f>
        <v>279413.72484642174</v>
      </c>
      <c r="AH17" s="130">
        <f>INDEX('Gasoline - DemandSupply'!$BK$10:$BP$38,MATCH($AF$13,'Gasoline - DemandSupply'!$BK$10:$BK$38,0),MATCH($AF17,'Gasoline - DemandSupply'!$BK$10:$BP$10,0))*AH$13/365</f>
        <v>1059666.5229391516</v>
      </c>
      <c r="AI17" s="130">
        <f>INDEX('Diesel - DemandSupply'!$BW$10:$CB$38,MATCH($AF$13,'Diesel - DemandSupply'!$BW$10:$BW$38,0),MATCH($AF17,'Diesel - DemandSupply'!$BW$10:$CB$10,0))*AI$13/365</f>
        <v>6840744.6307169441</v>
      </c>
      <c r="AJ17" s="224">
        <f>SUM(AG17:AI17)</f>
        <v>8179824.8785025179</v>
      </c>
      <c r="AL17" s="83">
        <f>SUM(AD15:AD17)</f>
        <v>1817683274.707428</v>
      </c>
    </row>
    <row r="18" spans="2:48" x14ac:dyDescent="0.6">
      <c r="B18" s="290" t="s">
        <v>201</v>
      </c>
      <c r="C18" s="290" t="str">
        <f t="shared" si="3"/>
        <v>Western Cape</v>
      </c>
      <c r="D18" s="292">
        <f t="shared" si="4"/>
        <v>585893863.14807904</v>
      </c>
      <c r="E18" s="292">
        <f t="shared" si="4"/>
        <v>563293604.26225317</v>
      </c>
      <c r="F18" s="292">
        <f t="shared" si="4"/>
        <v>3108266022.4423995</v>
      </c>
      <c r="G18" s="608"/>
      <c r="H18" s="83"/>
      <c r="M18" s="290" t="s">
        <v>201</v>
      </c>
      <c r="N18" s="290" t="str">
        <f t="shared" si="5"/>
        <v>Western Cape</v>
      </c>
      <c r="O18" s="292">
        <f t="shared" ref="O18:Q18" si="9">O10*O$13</f>
        <v>308482815.73516476</v>
      </c>
      <c r="P18" s="292">
        <f t="shared" si="9"/>
        <v>408338605.00147396</v>
      </c>
      <c r="Q18" s="292">
        <f t="shared" si="9"/>
        <v>2716557524.6521554</v>
      </c>
      <c r="S18" s="83"/>
      <c r="Z18" s="106" t="s">
        <v>200</v>
      </c>
      <c r="AA18" s="130">
        <f>INDEX('Jet - DemandSupply'!$AS$10:$AX$38,MATCH($Z$13,'Jet - DemandSupply'!$AS$10:$AS$38,0),MATCH($Z18,'Jet - DemandSupply'!$AS$10:$AX$10,0))*AA$13/365*SUM($AA$4:$AA$6)</f>
        <v>99501487.889013231</v>
      </c>
      <c r="AB18" s="130">
        <f>INDEX('Gasoline - DemandSupply'!$BC$10:$BH$38,MATCH($Z$13,'Gasoline - DemandSupply'!$BC$10:$BC$38,0),MATCH($Z18,'Gasoline - DemandSupply'!$BC$10:$BH$10,0))*AB$13/365*SUM($AA$4:$AA$6)</f>
        <v>29790602.364871517</v>
      </c>
      <c r="AC18" s="130">
        <f>INDEX('Diesel - DemandSupply'!$BO$10:$BT$38,MATCH($Z$13,'Diesel - DemandSupply'!$BO$10:$BO$38,0),MATCH($Z18,'Diesel - DemandSupply'!$BO$10:$BT$10,0))*AC$13/365*SUM($AA$4:$AA$6)</f>
        <v>131436219.28581035</v>
      </c>
      <c r="AD18" s="224">
        <f t="shared" si="7"/>
        <v>260728309.53969508</v>
      </c>
      <c r="AF18" s="106" t="s">
        <v>200</v>
      </c>
      <c r="AG18" s="130">
        <f>INDEX('Jet - DemandSupply'!$BA$10:$BF$38,MATCH($AF$13,'Jet - DemandSupply'!$BA$10:$BA$38,0),MATCH($AF18,'Jet - DemandSupply'!$BA$10:$BF$10,0))*AG$13/365</f>
        <v>1218353.027085427</v>
      </c>
      <c r="AH18" s="130">
        <f>INDEX('Gasoline - DemandSupply'!$BK$10:$BP$38,MATCH($AF$13,'Gasoline - DemandSupply'!$BK$10:$BK$38,0),MATCH($AF18,'Gasoline - DemandSupply'!$BK$10:$BP$10,0))*AH$13/365</f>
        <v>502222.82857669453</v>
      </c>
      <c r="AI18" s="130">
        <f>INDEX('Diesel - DemandSupply'!$BW$10:$CB$38,MATCH($AF$13,'Diesel - DemandSupply'!$BW$10:$BW$38,0),MATCH($AF18,'Diesel - DemandSupply'!$BW$10:$CB$10,0))*AI$13/365</f>
        <v>2671451.7065492398</v>
      </c>
      <c r="AJ18" s="224">
        <f>SUM(AG18:AI18)</f>
        <v>4392027.5622113608</v>
      </c>
    </row>
    <row r="19" spans="2:48" x14ac:dyDescent="0.6">
      <c r="S19" s="83"/>
      <c r="Z19" s="106" t="s">
        <v>201</v>
      </c>
      <c r="AA19" s="130">
        <f>INDEX('Jet - DemandSupply'!$AS$10:$AX$38,MATCH($Z$13,'Jet - DemandSupply'!$AS$10:$AS$38,0),MATCH($Z19,'Jet - DemandSupply'!$AS$10:$AX$10,0))*AA$13/365*SUM($AA$4:$AA$6)</f>
        <v>69023112.644842193</v>
      </c>
      <c r="AB19" s="130">
        <f>INDEX('Gasoline - DemandSupply'!$BC$10:$BH$38,MATCH($Z$13,'Gasoline - DemandSupply'!$BC$10:$BC$38,0),MATCH($Z19,'Gasoline - DemandSupply'!$BC$10:$BH$10,0))*AB$13/365*SUM($AA$4:$AA$6)</f>
        <v>66360616.392539412</v>
      </c>
      <c r="AC19" s="130">
        <f>INDEX('Diesel - DemandSupply'!$BO$10:$BT$38,MATCH($Z$13,'Diesel - DemandSupply'!$BO$10:$BO$38,0),MATCH($Z19,'Diesel - DemandSupply'!$BO$10:$BT$10,0))*AC$13/365*SUM($AA$4:$AA$6)</f>
        <v>366179284.83567995</v>
      </c>
      <c r="AD19" s="224">
        <f t="shared" si="7"/>
        <v>501563013.87306154</v>
      </c>
      <c r="AF19" s="106" t="s">
        <v>201</v>
      </c>
      <c r="AG19" s="130">
        <f>INDEX('Jet - DemandSupply'!$BA$10:$BF$38,MATCH($AF$13,'Jet - DemandSupply'!$BA$10:$BA$38,0),MATCH($AF19,'Jet - DemandSupply'!$BA$10:$BF$10,0))*AG$13/365</f>
        <v>845158.39927442395</v>
      </c>
      <c r="AH19" s="130">
        <f>INDEX('Gasoline - DemandSupply'!$BK$10:$BP$38,MATCH($AF$13,'Gasoline - DemandSupply'!$BK$10:$BK$38,0),MATCH($AF19,'Gasoline - DemandSupply'!$BK$10:$BP$10,0))*AH$13/365</f>
        <v>1118735.9041136273</v>
      </c>
      <c r="AI19" s="130">
        <f>INDEX('Diesel - DemandSupply'!$BW$10:$CB$38,MATCH($AF$13,'Diesel - DemandSupply'!$BW$10:$BW$38,0),MATCH($AF19,'Diesel - DemandSupply'!$BW$10:$CB$10,0))*AI$13/365</f>
        <v>7442623.3552113846</v>
      </c>
      <c r="AJ19" s="224">
        <f>SUM(AG19:AI19)</f>
        <v>9406517.6585994363</v>
      </c>
    </row>
    <row r="20" spans="2:48" s="370" customFormat="1" ht="16.149999999999999" thickBot="1" x14ac:dyDescent="0.65">
      <c r="D20" s="607" t="s">
        <v>462</v>
      </c>
      <c r="E20" s="607"/>
      <c r="F20" s="607"/>
      <c r="G20" s="607" t="s">
        <v>463</v>
      </c>
      <c r="H20" s="607"/>
      <c r="I20" s="607"/>
      <c r="K20" s="378"/>
      <c r="O20" s="607" t="s">
        <v>462</v>
      </c>
      <c r="P20" s="607"/>
      <c r="Q20" s="607"/>
      <c r="R20" s="607" t="s">
        <v>463</v>
      </c>
      <c r="S20" s="607"/>
      <c r="T20" s="607"/>
      <c r="X20" s="379"/>
      <c r="AD20" s="378">
        <f>SUM(AD15:AD19)</f>
        <v>2579974598.1201844</v>
      </c>
    </row>
    <row r="21" spans="2:48" ht="16.149999999999999" thickBot="1" x14ac:dyDescent="0.65">
      <c r="B21" s="290" t="s">
        <v>444</v>
      </c>
      <c r="C21" s="293"/>
      <c r="D21" s="336" t="s">
        <v>113</v>
      </c>
      <c r="E21" s="337" t="s">
        <v>111</v>
      </c>
      <c r="F21" s="338" t="s">
        <v>112</v>
      </c>
      <c r="G21" s="325" t="s">
        <v>464</v>
      </c>
      <c r="H21" s="325" t="s">
        <v>111</v>
      </c>
      <c r="I21" s="326" t="s">
        <v>112</v>
      </c>
      <c r="M21" s="290" t="s">
        <v>444</v>
      </c>
      <c r="N21" s="357"/>
      <c r="O21" s="351" t="s">
        <v>113</v>
      </c>
      <c r="P21" s="352" t="s">
        <v>111</v>
      </c>
      <c r="Q21" s="353" t="s">
        <v>112</v>
      </c>
      <c r="R21" s="325" t="s">
        <v>113</v>
      </c>
      <c r="S21" s="325" t="s">
        <v>111</v>
      </c>
      <c r="T21" s="326" t="s">
        <v>112</v>
      </c>
      <c r="Z21" s="594" t="s">
        <v>458</v>
      </c>
      <c r="AA21" s="594"/>
      <c r="AB21" s="594"/>
      <c r="AC21" s="591"/>
      <c r="AD21" s="591"/>
      <c r="AF21" s="557" t="s">
        <v>459</v>
      </c>
      <c r="AG21" s="591"/>
      <c r="AH21" s="591"/>
      <c r="AI21" s="591"/>
      <c r="AJ21" s="591"/>
      <c r="AL21" s="556" t="s">
        <v>465</v>
      </c>
      <c r="AM21" s="556"/>
      <c r="AN21" s="556"/>
      <c r="AO21" s="556"/>
      <c r="AP21" s="556"/>
    </row>
    <row r="22" spans="2:48" ht="16.149999999999999" thickBot="1" x14ac:dyDescent="0.65">
      <c r="B22" s="290" t="s">
        <v>198</v>
      </c>
      <c r="C22" s="294" t="s">
        <v>466</v>
      </c>
      <c r="D22" s="339">
        <f>SUM(I7:I8)-D6</f>
        <v>294753250.31705123</v>
      </c>
      <c r="E22" s="339">
        <f t="shared" ref="E22:F22" si="10">SUM(J7:J8)-E6</f>
        <v>2563509271.5978928</v>
      </c>
      <c r="F22" s="339">
        <f t="shared" si="10"/>
        <v>-3419269660.6262274</v>
      </c>
      <c r="G22" s="327">
        <f>SUM(I7:I8)-D6+D14</f>
        <v>441741449.32828724</v>
      </c>
      <c r="H22" s="327">
        <f>SUM(J7:J8)-E6+E14</f>
        <v>3287503806.4636497</v>
      </c>
      <c r="I22" s="328">
        <f>SUM(K7:K8)-F6+F14</f>
        <v>857748107.01003647</v>
      </c>
      <c r="K22" s="83"/>
      <c r="M22" s="356" t="s">
        <v>198</v>
      </c>
      <c r="N22" s="358" t="s">
        <v>466</v>
      </c>
      <c r="O22" s="340">
        <f>SUM(T7:T8)-O6</f>
        <v>-94919138.778348505</v>
      </c>
      <c r="P22" s="340">
        <f t="shared" ref="P22:Q22" si="11">SUM(U7:U8)-P6</f>
        <v>962525822.38797498</v>
      </c>
      <c r="Q22" s="340">
        <f t="shared" si="11"/>
        <v>-3709847351.6082158</v>
      </c>
      <c r="R22" s="327">
        <f>SUM(T7:T8)-O6-O7+O14+O15</f>
        <v>-224142303.45387936</v>
      </c>
      <c r="S22" s="328">
        <f>SUM(U7:U8)-P6-P7+P14+P15</f>
        <v>-384966520.42263663</v>
      </c>
      <c r="T22" s="329">
        <f>SUM(V7:V8)-Q6-Q7+Q14+Q15</f>
        <v>-345557404.92050409</v>
      </c>
      <c r="Z22" s="200">
        <v>2024</v>
      </c>
      <c r="AF22" s="300">
        <f>Z22</f>
        <v>2024</v>
      </c>
    </row>
    <row r="23" spans="2:48" ht="16.149999999999999" thickBot="1" x14ac:dyDescent="0.65">
      <c r="B23" s="290" t="s">
        <v>199</v>
      </c>
      <c r="C23" s="294" t="s">
        <v>466</v>
      </c>
      <c r="D23" s="339">
        <f>-D7</f>
        <v>-2203340824.3582926</v>
      </c>
      <c r="E23" s="339">
        <f t="shared" ref="E23:F23" si="12">-E7</f>
        <v>-3815539891.7555408</v>
      </c>
      <c r="F23" s="339">
        <f t="shared" si="12"/>
        <v>-4439836877.5999947</v>
      </c>
      <c r="G23" s="330">
        <f>-D7+D15</f>
        <v>-470629965.85057664</v>
      </c>
      <c r="H23" s="330">
        <f>-E7+E15</f>
        <v>-2582828867.9429274</v>
      </c>
      <c r="I23" s="331">
        <f>-F7+F15</f>
        <v>-708241599.03521538</v>
      </c>
      <c r="K23" s="83"/>
      <c r="M23" s="356" t="s">
        <v>199</v>
      </c>
      <c r="N23" s="294" t="s">
        <v>466</v>
      </c>
      <c r="O23" s="340">
        <f>-O7</f>
        <v>-1118915828.2623296</v>
      </c>
      <c r="P23" s="340">
        <f t="shared" ref="P23:Q23" si="13">-P7</f>
        <v>-2765932765.6799703</v>
      </c>
      <c r="Q23" s="340">
        <f t="shared" si="13"/>
        <v>-3635065280.8258076</v>
      </c>
      <c r="R23" s="330">
        <f>-O7+O15</f>
        <v>-206614884.17092133</v>
      </c>
      <c r="S23" s="330">
        <f>-P7+P15</f>
        <v>-1872325069.755857</v>
      </c>
      <c r="T23" s="331">
        <f>-Q7+Q15</f>
        <v>-373731418.23185682</v>
      </c>
      <c r="Z23" s="156" t="s">
        <v>444</v>
      </c>
      <c r="AA23" s="156" t="s">
        <v>113</v>
      </c>
      <c r="AB23" s="156" t="s">
        <v>111</v>
      </c>
      <c r="AC23" s="156" t="s">
        <v>112</v>
      </c>
      <c r="AD23" s="151" t="s">
        <v>52</v>
      </c>
      <c r="AF23" s="156" t="s">
        <v>444</v>
      </c>
      <c r="AG23" s="156" t="s">
        <v>113</v>
      </c>
      <c r="AH23" s="156" t="s">
        <v>111</v>
      </c>
      <c r="AI23" s="156" t="s">
        <v>112</v>
      </c>
      <c r="AJ23" s="151" t="s">
        <v>52</v>
      </c>
      <c r="AL23" s="156" t="s">
        <v>444</v>
      </c>
      <c r="AM23" s="156" t="s">
        <v>113</v>
      </c>
      <c r="AN23" s="156" t="s">
        <v>111</v>
      </c>
      <c r="AO23" s="156" t="s">
        <v>112</v>
      </c>
      <c r="AP23" s="151" t="s">
        <v>52</v>
      </c>
    </row>
    <row r="24" spans="2:48" ht="16.149999999999999" thickBot="1" x14ac:dyDescent="0.65">
      <c r="B24" s="290" t="s">
        <v>201</v>
      </c>
      <c r="C24" s="294" t="s">
        <v>213</v>
      </c>
      <c r="D24" s="339">
        <f>I9+I10-D10</f>
        <v>-274986259.88048017</v>
      </c>
      <c r="E24" s="339">
        <f>J9+J10-E10</f>
        <v>371672335.20565534</v>
      </c>
      <c r="F24" s="339">
        <f>K9+K10-F10</f>
        <v>-2523089601.4052272</v>
      </c>
      <c r="G24" s="330">
        <f>I9+I10+D18-D10</f>
        <v>310907603.26759887</v>
      </c>
      <c r="H24" s="331">
        <f>J9+J10+E18-E10</f>
        <v>934965939.46790862</v>
      </c>
      <c r="I24" s="332">
        <f>K9+K10+F18-F10</f>
        <v>585176421.03717232</v>
      </c>
      <c r="M24" s="356" t="s">
        <v>201</v>
      </c>
      <c r="N24" s="294" t="s">
        <v>213</v>
      </c>
      <c r="O24" s="340">
        <f>T9+T10-O10</f>
        <v>39470857.945767641</v>
      </c>
      <c r="P24" s="340">
        <f t="shared" ref="P24:Q24" si="14">U9+U10-P10</f>
        <v>616273144.57344937</v>
      </c>
      <c r="Q24" s="340">
        <f t="shared" si="14"/>
        <v>-1983315898.1546922</v>
      </c>
      <c r="R24" s="330">
        <f>T9+T10+O18-O10</f>
        <v>347953673.68093234</v>
      </c>
      <c r="S24" s="331">
        <f>U9+U10+P18-P10</f>
        <v>1024611749.5749233</v>
      </c>
      <c r="T24" s="332">
        <f>V9+V10+Q18-Q10</f>
        <v>733241626.49746323</v>
      </c>
      <c r="Z24" s="106" t="s">
        <v>198</v>
      </c>
      <c r="AA24" s="130">
        <f>INDEX('Jet - DemandSupply'!$AS$10:$AX$38,MATCH($Z$22,'Jet - DemandSupply'!$AS$10:$AS$38,0),MATCH($Z24,'Jet - DemandSupply'!$AS$10:$AX$10,0))*AA$13/365</f>
        <v>144741.96176766721</v>
      </c>
      <c r="AB24" s="130">
        <f>INDEX('Gasoline - DemandSupply'!$BC$10:$BH$38,MATCH($Z$22,'Gasoline - DemandSupply'!$BC$10:$BC$38,0),MATCH($Z24,'Gasoline - DemandSupply'!$BC$10:$BH$10,0))*AB$13/365</f>
        <v>0</v>
      </c>
      <c r="AC24" s="130">
        <f>INDEX('Diesel - DemandSupply'!$BO$10:$BT$38,MATCH($Z$22,'Diesel - DemandSupply'!$BO$10:$BO$38,0),MATCH($Z24,'Diesel - DemandSupply'!$BO$10:$BT$10,0))*AC$13/365</f>
        <v>0</v>
      </c>
      <c r="AD24" s="224">
        <f>SUM(AA24:AC24)</f>
        <v>144741.96176766721</v>
      </c>
      <c r="AF24" s="106" t="s">
        <v>198</v>
      </c>
      <c r="AG24" s="130">
        <f>INDEX('Jet - DemandSupply'!$BA$10:$BF$38,MATCH($AF$22,'Jet - DemandSupply'!$BA$10:$BA$38,0),MATCH($AF24,'Jet - DemandSupply'!$BA$10:$BF$10,0))*AG$13/365</f>
        <v>150068.91606465983</v>
      </c>
      <c r="AH24" s="130">
        <f>INDEX('Gasoline - DemandSupply'!$BK$10:$BP$38,MATCH($AF$22,'Gasoline - DemandSupply'!$BK$10:$BK$38,0),MATCH($AF24,'Gasoline - DemandSupply'!$BK$10:$BP$10,0))*AH$13/365</f>
        <v>0</v>
      </c>
      <c r="AI24" s="130">
        <f>INDEX('Diesel - DemandSupply'!$BW$10:$CB$38,MATCH($AF$22,'Diesel - DemandSupply'!$BW$10:$BW$38,0),MATCH($AF24,'Diesel - DemandSupply'!$BW$10:$CB$10,0))*AI$13/365</f>
        <v>0</v>
      </c>
      <c r="AJ24" s="224">
        <f>SUM(AG24:AI24)</f>
        <v>150068.91606465983</v>
      </c>
      <c r="AL24" s="106" t="s">
        <v>198</v>
      </c>
      <c r="AM24" s="130">
        <f>(AN6+AN7+AN8+AN9)*1000</f>
        <v>434000</v>
      </c>
      <c r="AN24" s="130">
        <f>(AO6+AO7+AO8+AO9)*1000</f>
        <v>92840860</v>
      </c>
      <c r="AO24" s="130">
        <f>(AQ6+AQ7+AQ8+AQ9)*1000+(AP6+AP7+AP8+AP9)*1000</f>
        <v>113827445</v>
      </c>
      <c r="AP24" s="224">
        <f>SUM(AM24:AO24)</f>
        <v>207102305</v>
      </c>
    </row>
    <row r="25" spans="2:48" ht="16.149999999999999" thickBot="1" x14ac:dyDescent="0.65">
      <c r="B25" s="290" t="s">
        <v>200</v>
      </c>
      <c r="C25" s="294" t="s">
        <v>139</v>
      </c>
      <c r="D25" s="339">
        <f>-D9</f>
        <v>-1074013074.1527905</v>
      </c>
      <c r="E25" s="339">
        <f t="shared" ref="E25:F25" si="15">-E9</f>
        <v>-782705548.18364716</v>
      </c>
      <c r="F25" s="339">
        <f t="shared" si="15"/>
        <v>-1327430971.7010524</v>
      </c>
      <c r="G25" s="330">
        <f>G26-D9+D17</f>
        <v>-282019086.74530923</v>
      </c>
      <c r="H25" s="330">
        <f>H26-E9+E17</f>
        <v>-1647752047.4255004</v>
      </c>
      <c r="I25" s="331">
        <f>I26-F9+F17</f>
        <v>-753980028.18781018</v>
      </c>
      <c r="M25" s="356" t="s">
        <v>200</v>
      </c>
      <c r="N25" s="294" t="s">
        <v>139</v>
      </c>
      <c r="O25" s="340">
        <f>-O9</f>
        <v>-545412772.79707086</v>
      </c>
      <c r="P25" s="340">
        <f t="shared" ref="P25:Q25" si="16">-P9</f>
        <v>-567393077.52449441</v>
      </c>
      <c r="Q25" s="340">
        <f t="shared" si="16"/>
        <v>-1086818811.3550091</v>
      </c>
      <c r="R25" s="330">
        <f>R26-O9+O17</f>
        <v>-123811370.22705311</v>
      </c>
      <c r="S25" s="330">
        <f>S26-P9+P17</f>
        <v>-1194476144.1331689</v>
      </c>
      <c r="T25" s="331">
        <f>T26-Q9+Q17</f>
        <v>-397867091.73392475</v>
      </c>
      <c r="Z25" s="106" t="s">
        <v>199</v>
      </c>
      <c r="AA25" s="130">
        <f>INDEX('Jet - DemandSupply'!$AS$10:$AX$38,MATCH($Z$22,'Jet - DemandSupply'!$AS$10:$AS$38,0),MATCH($Z25,'Jet - DemandSupply'!$AS$10:$AX$10,0))*AA$13/365</f>
        <v>1706232.0004164036</v>
      </c>
      <c r="AB25" s="130">
        <f>INDEX('Gasoline - DemandSupply'!$BC$10:$BH$38,MATCH($Z$22,'Gasoline - DemandSupply'!$BC$10:$BC$38,0),MATCH($Z25,'Gasoline - DemandSupply'!$BC$10:$BH$10,0))*AB$13/365</f>
        <v>0</v>
      </c>
      <c r="AC25" s="130">
        <f>INDEX('Diesel - DemandSupply'!$BO$10:$BT$38,MATCH($Z$22,'Diesel - DemandSupply'!$BO$10:$BO$38,0),MATCH($Z25,'Diesel - DemandSupply'!$BO$10:$BT$10,0))*AC$13/365</f>
        <v>0</v>
      </c>
      <c r="AD25" s="224">
        <f t="shared" ref="AD25:AD28" si="17">SUM(AA25:AC25)</f>
        <v>1706232.0004164036</v>
      </c>
      <c r="AF25" s="106" t="s">
        <v>199</v>
      </c>
      <c r="AG25" s="130">
        <f>INDEX('Jet - DemandSupply'!$BA$10:$BF$38,MATCH($AF$22,'Jet - DemandSupply'!$BA$10:$BA$38,0),MATCH($AF25,'Jet - DemandSupply'!$BA$10:$BF$10,0))*AG$13/365</f>
        <v>1769026.6438997751</v>
      </c>
      <c r="AH25" s="130">
        <f>INDEX('Gasoline - DemandSupply'!$BK$10:$BP$38,MATCH($AF$22,'Gasoline - DemandSupply'!$BK$10:$BK$38,0),MATCH($AF25,'Gasoline - DemandSupply'!$BK$10:$BP$10,0))*AH$13/365</f>
        <v>0</v>
      </c>
      <c r="AI25" s="130">
        <f>INDEX('Diesel - DemandSupply'!$BW$10:$CB$38,MATCH($AF$22,'Diesel - DemandSupply'!$BW$10:$BW$38,0),MATCH($AF25,'Diesel - DemandSupply'!$BW$10:$CB$10,0))*AI$13/365</f>
        <v>0</v>
      </c>
      <c r="AJ25" s="224">
        <f t="shared" ref="AJ25:AJ28" si="18">SUM(AG25:AI25)</f>
        <v>1769026.6438997751</v>
      </c>
      <c r="AL25" s="106" t="s">
        <v>199</v>
      </c>
      <c r="AM25" s="130">
        <f>AN3*1000</f>
        <v>60020000</v>
      </c>
      <c r="AN25" s="130">
        <f>AO3*1000</f>
        <v>266720000</v>
      </c>
      <c r="AO25" s="130">
        <f>AQ3*1000+AP3*1000</f>
        <v>316142000</v>
      </c>
      <c r="AP25" s="224">
        <f t="shared" ref="AP25:AP28" si="19">SUM(AM25:AO25)</f>
        <v>642882000</v>
      </c>
    </row>
    <row r="26" spans="2:48" ht="16.149999999999999" thickBot="1" x14ac:dyDescent="0.65">
      <c r="B26" s="290" t="s">
        <v>97</v>
      </c>
      <c r="C26" s="295" t="s">
        <v>97</v>
      </c>
      <c r="D26" s="354">
        <f>I6-D8</f>
        <v>-246311197.91336614</v>
      </c>
      <c r="E26" s="354">
        <f>J6-E8</f>
        <v>-1651471855.788589</v>
      </c>
      <c r="F26" s="354">
        <f>K6-F8</f>
        <v>-3399131741.7603407</v>
      </c>
      <c r="G26" s="355">
        <f>I6-D8+D16</f>
        <v>-52611665.603910089</v>
      </c>
      <c r="H26" s="335">
        <f>J6-E8+E16</f>
        <v>-1117920216.9901812</v>
      </c>
      <c r="I26" s="335">
        <f>K6-F8+F16</f>
        <v>-542228592.28491545</v>
      </c>
      <c r="M26" s="356" t="s">
        <v>97</v>
      </c>
      <c r="N26" s="295" t="s">
        <v>97</v>
      </c>
      <c r="O26" s="359">
        <f>T6-O8</f>
        <v>-125083461.88510697</v>
      </c>
      <c r="P26" s="359">
        <f t="shared" ref="P26:Q26" si="20">U6-P8</f>
        <v>-1197172679.9119585</v>
      </c>
      <c r="Q26" s="359">
        <f t="shared" si="20"/>
        <v>-2782999943.4810729</v>
      </c>
      <c r="R26" s="333">
        <f>T6-O8+O16</f>
        <v>-23097452.316163033</v>
      </c>
      <c r="S26" s="334">
        <f>U6-P8+P16</f>
        <v>-810394399.03916812</v>
      </c>
      <c r="T26" s="335">
        <f>V6-Q8+Q16</f>
        <v>-286128153.2693882</v>
      </c>
      <c r="Z26" s="106" t="s">
        <v>97</v>
      </c>
      <c r="AA26" s="130">
        <f>INDEX('Jet - DemandSupply'!$AS$10:$AX$38,MATCH($Z$22,'Jet - DemandSupply'!$AS$10:$AS$38,0),MATCH($Z26,'Jet - DemandSupply'!$AS$10:$AX$10,0))*AA$13/365</f>
        <v>190739.46404232868</v>
      </c>
      <c r="AB26" s="130">
        <f>INDEX('Gasoline - DemandSupply'!$BC$10:$BH$38,MATCH($Z$22,'Gasoline - DemandSupply'!$BC$10:$BC$38,0),MATCH($Z26,'Gasoline - DemandSupply'!$BC$10:$BH$10,0))*AB$13/365</f>
        <v>0</v>
      </c>
      <c r="AC26" s="130">
        <f>INDEX('Diesel - DemandSupply'!$BO$10:$BT$38,MATCH($Z$22,'Diesel - DemandSupply'!$BO$10:$BO$38,0),MATCH($Z26,'Diesel - DemandSupply'!$BO$10:$BT$10,0))*AC$13/365</f>
        <v>0</v>
      </c>
      <c r="AD26" s="224">
        <f t="shared" si="17"/>
        <v>190739.46404232868</v>
      </c>
      <c r="AF26" s="106" t="s">
        <v>97</v>
      </c>
      <c r="AG26" s="130">
        <f>INDEX('Jet - DemandSupply'!$BA$10:$BF$38,MATCH($AF$22,'Jet - DemandSupply'!$BA$10:$BA$38,0),MATCH($AF26,'Jet - DemandSupply'!$BA$10:$BF$10,0))*AG$13/365</f>
        <v>197759.26946141841</v>
      </c>
      <c r="AH26" s="130">
        <f>INDEX('Gasoline - DemandSupply'!$BK$10:$BP$38,MATCH($AF$22,'Gasoline - DemandSupply'!$BK$10:$BK$38,0),MATCH($AF26,'Gasoline - DemandSupply'!$BK$10:$BP$10,0))*AH$13/365</f>
        <v>0</v>
      </c>
      <c r="AI26" s="130">
        <f>INDEX('Diesel - DemandSupply'!$BW$10:$CB$38,MATCH($AF$22,'Diesel - DemandSupply'!$BW$10:$BW$38,0),MATCH($AF26,'Diesel - DemandSupply'!$BW$10:$CB$10,0))*AI$13/365</f>
        <v>0</v>
      </c>
      <c r="AJ26" s="224">
        <f t="shared" si="18"/>
        <v>197759.26946141841</v>
      </c>
      <c r="AL26" s="106" t="s">
        <v>97</v>
      </c>
      <c r="AM26" s="130">
        <f>AN2*1000</f>
        <v>69557000</v>
      </c>
      <c r="AN26" s="130">
        <f>AO2*1000</f>
        <v>342905700</v>
      </c>
      <c r="AO26" s="130">
        <f>(AQ2+AP2)*1000</f>
        <v>670763200</v>
      </c>
      <c r="AP26" s="224">
        <f t="shared" si="19"/>
        <v>1083225900</v>
      </c>
    </row>
    <row r="27" spans="2:48" x14ac:dyDescent="0.6">
      <c r="D27" s="83"/>
      <c r="E27" s="83"/>
      <c r="F27" s="83"/>
      <c r="G27" s="83"/>
      <c r="H27" s="83"/>
      <c r="I27" s="83"/>
      <c r="R27" s="83"/>
      <c r="S27" s="83"/>
      <c r="T27" s="83"/>
      <c r="Z27" s="106" t="s">
        <v>200</v>
      </c>
      <c r="AA27" s="130">
        <f>INDEX('Jet - DemandSupply'!$AS$10:$AX$38,MATCH($Z$22,'Jet - DemandSupply'!$AS$10:$AS$38,0),MATCH($Z27,'Jet - DemandSupply'!$AS$10:$AX$10,0))*AA$13/365</f>
        <v>831698.59865815088</v>
      </c>
      <c r="AB27" s="130">
        <f>INDEX('Gasoline - DemandSupply'!$BC$10:$BH$38,MATCH($Z$22,'Gasoline - DemandSupply'!$BC$10:$BC$38,0),MATCH($Z27,'Gasoline - DemandSupply'!$BC$10:$BH$10,0))*AB$13/365</f>
        <v>0</v>
      </c>
      <c r="AC27" s="130">
        <f>INDEX('Diesel - DemandSupply'!$BO$10:$BT$38,MATCH($Z$22,'Diesel - DemandSupply'!$BO$10:$BO$38,0),MATCH($Z27,'Diesel - DemandSupply'!$BO$10:$BT$10,0))*AC$13/365</f>
        <v>0</v>
      </c>
      <c r="AD27" s="224">
        <f t="shared" si="17"/>
        <v>831698.59865815088</v>
      </c>
      <c r="AF27" s="106" t="s">
        <v>200</v>
      </c>
      <c r="AG27" s="130">
        <f>INDEX('Jet - DemandSupply'!$BA$10:$BF$38,MATCH($AF$22,'Jet - DemandSupply'!$BA$10:$BA$38,0),MATCH($AF27,'Jet - DemandSupply'!$BA$10:$BF$10,0))*AG$13/365</f>
        <v>862307.69342112134</v>
      </c>
      <c r="AH27" s="130">
        <f>INDEX('Gasoline - DemandSupply'!$BK$10:$BP$38,MATCH($AF$22,'Gasoline - DemandSupply'!$BK$10:$BK$38,0),MATCH($AF27,'Gasoline - DemandSupply'!$BK$10:$BP$10,0))*AH$13/365</f>
        <v>0</v>
      </c>
      <c r="AI27" s="130">
        <f>INDEX('Diesel - DemandSupply'!$BW$10:$CB$38,MATCH($AF$22,'Diesel - DemandSupply'!$BW$10:$BW$38,0),MATCH($AF27,'Diesel - DemandSupply'!$BW$10:$CB$10,0))*AI$13/365</f>
        <v>0</v>
      </c>
      <c r="AJ27" s="224">
        <f t="shared" si="18"/>
        <v>862307.69342112134</v>
      </c>
      <c r="AL27" s="106" t="s">
        <v>200</v>
      </c>
      <c r="AM27" s="130">
        <f>AN5*1000</f>
        <v>18261000</v>
      </c>
      <c r="AN27" s="130">
        <f>AO5*1000</f>
        <v>76147000</v>
      </c>
      <c r="AO27" s="130">
        <f>(AP5+AQ5)*1000</f>
        <v>124561000</v>
      </c>
      <c r="AP27" s="224">
        <f t="shared" si="19"/>
        <v>218969000</v>
      </c>
    </row>
    <row r="28" spans="2:48" x14ac:dyDescent="0.6">
      <c r="Z28" s="106" t="s">
        <v>201</v>
      </c>
      <c r="AA28" s="130">
        <f>INDEX('Jet - DemandSupply'!$AS$10:$AX$38,MATCH($Z$22,'Jet - DemandSupply'!$AS$10:$AS$38,0),MATCH($Z28,'Jet - DemandSupply'!$AS$10:$AX$10,0))*AA$13/365</f>
        <v>576940.37827626953</v>
      </c>
      <c r="AB28" s="130">
        <f>INDEX('Gasoline - DemandSupply'!$BC$10:$BH$38,MATCH($Z$22,'Gasoline - DemandSupply'!$BC$10:$BC$38,0),MATCH($Z28,'Gasoline - DemandSupply'!$BC$10:$BH$10,0))*AB$13/365</f>
        <v>0</v>
      </c>
      <c r="AC28" s="130">
        <f>INDEX('Diesel - DemandSupply'!$BO$10:$BT$38,MATCH($Z$22,'Diesel - DemandSupply'!$BO$10:$BO$38,0),MATCH($Z28,'Diesel - DemandSupply'!$BO$10:$BT$10,0))*AC$13/365</f>
        <v>0</v>
      </c>
      <c r="AD28" s="224">
        <f t="shared" si="17"/>
        <v>576940.37827626953</v>
      </c>
      <c r="AF28" s="106" t="s">
        <v>201</v>
      </c>
      <c r="AG28" s="130">
        <f>INDEX('Jet - DemandSupply'!$BA$10:$BF$38,MATCH($AF$22,'Jet - DemandSupply'!$BA$10:$BA$38,0),MATCH($AF28,'Jet - DemandSupply'!$BA$10:$BF$10,0))*AG$13/365</f>
        <v>598173.57830778835</v>
      </c>
      <c r="AH28" s="130">
        <f>INDEX('Gasoline - DemandSupply'!$BK$10:$BP$38,MATCH($AF$22,'Gasoline - DemandSupply'!$BK$10:$BK$38,0),MATCH($AF28,'Gasoline - DemandSupply'!$BK$10:$BP$10,0))*AH$13/365</f>
        <v>0</v>
      </c>
      <c r="AI28" s="130">
        <f>INDEX('Diesel - DemandSupply'!$BW$10:$CB$38,MATCH($AF$22,'Diesel - DemandSupply'!$BW$10:$BW$38,0),MATCH($AF28,'Diesel - DemandSupply'!$BW$10:$CB$10,0))*AI$13/365</f>
        <v>0</v>
      </c>
      <c r="AJ28" s="224">
        <f t="shared" si="18"/>
        <v>598173.57830778835</v>
      </c>
      <c r="AL28" s="106" t="s">
        <v>201</v>
      </c>
      <c r="AM28" s="130">
        <f>(AN10+AN4)*1000</f>
        <v>29432739.999999996</v>
      </c>
      <c r="AN28" s="130">
        <f>(AO10+AO4)*1000</f>
        <v>125503500</v>
      </c>
      <c r="AO28" s="130">
        <f>(AP10+AP4)*1000</f>
        <v>156324800.00000003</v>
      </c>
      <c r="AP28" s="224">
        <f t="shared" si="19"/>
        <v>311261040</v>
      </c>
    </row>
    <row r="29" spans="2:48" ht="16.149999999999999" thickBot="1" x14ac:dyDescent="0.65">
      <c r="D29" s="83"/>
      <c r="I29" s="83"/>
      <c r="AA29" s="137"/>
      <c r="AB29" s="137"/>
      <c r="AC29" s="137"/>
      <c r="AD29" s="137"/>
      <c r="AE29" s="78"/>
      <c r="AF29" s="78"/>
      <c r="AG29" s="137"/>
      <c r="AH29" s="137"/>
      <c r="AI29" s="137"/>
      <c r="AN29" s="83"/>
      <c r="AP29" s="83">
        <f>SUM(AP24:AP28)</f>
        <v>2463440245</v>
      </c>
    </row>
    <row r="30" spans="2:48" x14ac:dyDescent="0.6">
      <c r="B30" s="614" t="s">
        <v>467</v>
      </c>
      <c r="C30" s="616" t="s">
        <v>468</v>
      </c>
      <c r="D30" s="618" t="s">
        <v>441</v>
      </c>
      <c r="E30" s="618"/>
      <c r="F30" s="619" t="s">
        <v>440</v>
      </c>
      <c r="G30" s="619"/>
      <c r="H30" s="620" t="s">
        <v>469</v>
      </c>
      <c r="I30" s="620"/>
      <c r="J30" s="621"/>
      <c r="Z30" s="599" t="s">
        <v>470</v>
      </c>
      <c r="AA30" s="600"/>
      <c r="AB30" s="600"/>
      <c r="AC30" s="600"/>
      <c r="AD30" s="600"/>
      <c r="AE30" s="600"/>
      <c r="AF30" s="600"/>
      <c r="AG30" s="600"/>
      <c r="AH30" s="600"/>
      <c r="AI30" s="600"/>
      <c r="AJ30" s="600"/>
      <c r="AL30" s="605" t="s">
        <v>471</v>
      </c>
      <c r="AM30" s="605"/>
      <c r="AN30" s="605"/>
      <c r="AO30" s="605"/>
      <c r="AP30"/>
      <c r="AS30" s="597" t="s">
        <v>472</v>
      </c>
      <c r="AT30" s="597"/>
      <c r="AU30" s="597"/>
      <c r="AV30" s="597"/>
    </row>
    <row r="31" spans="2:48" x14ac:dyDescent="0.6">
      <c r="B31" s="615"/>
      <c r="C31" s="617"/>
      <c r="D31" s="301" t="s">
        <v>473</v>
      </c>
      <c r="E31" s="302" t="s">
        <v>474</v>
      </c>
      <c r="F31" s="301" t="s">
        <v>473</v>
      </c>
      <c r="G31" s="302" t="s">
        <v>474</v>
      </c>
      <c r="H31" s="301">
        <v>2023</v>
      </c>
      <c r="I31" s="301" t="s">
        <v>473</v>
      </c>
      <c r="J31" s="302" t="s">
        <v>474</v>
      </c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  <c r="AJ31" s="342"/>
      <c r="AL31" s="200">
        <v>2024</v>
      </c>
      <c r="AS31" s="299">
        <f>AL31</f>
        <v>2024</v>
      </c>
    </row>
    <row r="32" spans="2:48" x14ac:dyDescent="0.6">
      <c r="B32" s="612" t="s">
        <v>112</v>
      </c>
      <c r="C32" s="303" t="s">
        <v>475</v>
      </c>
      <c r="D32" s="304">
        <f>(K9+K10)/1000000000</f>
        <v>1.17511266375</v>
      </c>
      <c r="E32" s="304">
        <f>(V9+V10)/1000000000</f>
        <v>1.0445445900000001</v>
      </c>
      <c r="F32" s="304">
        <f>F10/1000000000</f>
        <v>3.6982022651552273</v>
      </c>
      <c r="G32" s="304">
        <f>Q10/1000000000</f>
        <v>3.0278604881546922</v>
      </c>
      <c r="H32" s="304">
        <v>-2.1666623899822102</v>
      </c>
      <c r="I32" s="383">
        <f>F24/1000000000</f>
        <v>-2.5230896014052271</v>
      </c>
      <c r="J32" s="384">
        <f>Q24/1000000000</f>
        <v>-1.9833158981546921</v>
      </c>
      <c r="Z32" s="594" t="s">
        <v>476</v>
      </c>
      <c r="AA32" s="598"/>
      <c r="AB32" s="598"/>
      <c r="AC32" s="598"/>
      <c r="AD32" s="598"/>
      <c r="AE32" s="342"/>
      <c r="AF32" s="557" t="s">
        <v>477</v>
      </c>
      <c r="AG32" s="598"/>
      <c r="AH32" s="598"/>
      <c r="AI32" s="598"/>
      <c r="AJ32" s="598"/>
      <c r="AL32" s="156" t="s">
        <v>444</v>
      </c>
      <c r="AM32" s="156" t="s">
        <v>113</v>
      </c>
      <c r="AN32" s="156" t="s">
        <v>111</v>
      </c>
      <c r="AO32" s="156" t="s">
        <v>112</v>
      </c>
      <c r="AS32" s="156" t="s">
        <v>444</v>
      </c>
      <c r="AT32" s="156" t="s">
        <v>113</v>
      </c>
      <c r="AU32" s="156" t="s">
        <v>111</v>
      </c>
      <c r="AV32" s="156" t="s">
        <v>112</v>
      </c>
    </row>
    <row r="33" spans="2:49" x14ac:dyDescent="0.6">
      <c r="B33" s="612"/>
      <c r="C33" s="303" t="s">
        <v>478</v>
      </c>
      <c r="D33" s="304">
        <f>0/1000000000</f>
        <v>0</v>
      </c>
      <c r="E33" s="304">
        <f>0/1000000000</f>
        <v>0</v>
      </c>
      <c r="F33" s="304">
        <f>F9/1000000000</f>
        <v>1.3274309717010524</v>
      </c>
      <c r="G33" s="304">
        <f>Q9/1000000000</f>
        <v>1.086818811355009</v>
      </c>
      <c r="H33" s="304">
        <v>-1.048553510674664</v>
      </c>
      <c r="I33" s="383">
        <f>F25/1000000000</f>
        <v>-1.3274309717010524</v>
      </c>
      <c r="J33" s="384">
        <f>Q25/1000000000</f>
        <v>-1.086818811355009</v>
      </c>
      <c r="Z33" s="200">
        <v>2040</v>
      </c>
      <c r="AA33" s="342"/>
      <c r="AB33" s="342"/>
      <c r="AC33" s="342"/>
      <c r="AD33" s="342"/>
      <c r="AE33" s="342"/>
      <c r="AF33" s="343">
        <f>Z33</f>
        <v>2040</v>
      </c>
      <c r="AG33" s="342"/>
      <c r="AH33" s="342"/>
      <c r="AI33" s="342"/>
      <c r="AJ33" s="342"/>
      <c r="AL33" s="106" t="s">
        <v>198</v>
      </c>
      <c r="AM33" s="324">
        <f>AM24/AA44</f>
        <v>2.357977684423735</v>
      </c>
      <c r="AN33" s="324" t="e">
        <f t="shared" ref="AM33:AO37" si="21">AN24/AB44</f>
        <v>#DIV/0!</v>
      </c>
      <c r="AO33" s="324" t="e">
        <f t="shared" si="21"/>
        <v>#DIV/0!</v>
      </c>
      <c r="AP33" s="601" t="s">
        <v>479</v>
      </c>
      <c r="AQ33" s="602"/>
      <c r="AR33" s="603"/>
      <c r="AS33" s="106" t="s">
        <v>198</v>
      </c>
      <c r="AT33" s="324">
        <f>AM24/AG24</f>
        <v>2.8920046294797217</v>
      </c>
      <c r="AU33" s="324" t="e">
        <f t="shared" ref="AU33:AV33" si="22">AN24/AH24</f>
        <v>#DIV/0!</v>
      </c>
      <c r="AV33" s="324" t="e">
        <f t="shared" si="22"/>
        <v>#DIV/0!</v>
      </c>
    </row>
    <row r="34" spans="2:49" x14ac:dyDescent="0.6">
      <c r="B34" s="612"/>
      <c r="C34" s="303" t="s">
        <v>480</v>
      </c>
      <c r="D34" s="304">
        <f>K6/1000000000</f>
        <v>0</v>
      </c>
      <c r="E34" s="304">
        <f>V6/1000000000</f>
        <v>0</v>
      </c>
      <c r="F34" s="304">
        <f>F8/1000000000</f>
        <v>3.3991317417603408</v>
      </c>
      <c r="G34" s="304">
        <f>Q8/1000000000</f>
        <v>2.782999943481073</v>
      </c>
      <c r="H34" s="304">
        <v>-2.699360396803316</v>
      </c>
      <c r="I34" s="383">
        <f>F26/1000000000</f>
        <v>-3.3991317417603408</v>
      </c>
      <c r="J34" s="384">
        <f>Q26/1000000000</f>
        <v>-2.782999943481073</v>
      </c>
      <c r="Z34" s="344" t="s">
        <v>444</v>
      </c>
      <c r="AA34" s="344" t="s">
        <v>113</v>
      </c>
      <c r="AB34" s="344" t="s">
        <v>111</v>
      </c>
      <c r="AC34" s="344" t="s">
        <v>112</v>
      </c>
      <c r="AD34" s="345" t="s">
        <v>52</v>
      </c>
      <c r="AE34" s="342"/>
      <c r="AF34" s="344" t="s">
        <v>444</v>
      </c>
      <c r="AG34" s="344" t="s">
        <v>113</v>
      </c>
      <c r="AH34" s="344" t="s">
        <v>111</v>
      </c>
      <c r="AI34" s="344" t="s">
        <v>112</v>
      </c>
      <c r="AJ34" s="345" t="s">
        <v>52</v>
      </c>
      <c r="AL34" s="106" t="s">
        <v>199</v>
      </c>
      <c r="AM34" s="324">
        <f t="shared" si="21"/>
        <v>27.663194094714566</v>
      </c>
      <c r="AN34" s="324" t="e">
        <f t="shared" si="21"/>
        <v>#DIV/0!</v>
      </c>
      <c r="AO34" s="324" t="e">
        <f t="shared" si="21"/>
        <v>#DIV/0!</v>
      </c>
      <c r="AP34" s="604"/>
      <c r="AQ34" s="602"/>
      <c r="AR34" s="603"/>
      <c r="AS34" s="106" t="s">
        <v>199</v>
      </c>
      <c r="AT34" s="324">
        <f t="shared" ref="AT34:AV34" si="23">AM25/AG25</f>
        <v>33.928262305697899</v>
      </c>
      <c r="AU34" s="324" t="e">
        <f t="shared" si="23"/>
        <v>#DIV/0!</v>
      </c>
      <c r="AV34" s="324" t="e">
        <f t="shared" si="23"/>
        <v>#DIV/0!</v>
      </c>
    </row>
    <row r="35" spans="2:49" x14ac:dyDescent="0.6">
      <c r="B35" s="612"/>
      <c r="C35" s="303" t="s">
        <v>481</v>
      </c>
      <c r="D35" s="304">
        <f>SUM(K7:K8)/1000000000</f>
        <v>1.6695086750043748</v>
      </c>
      <c r="E35" s="304">
        <f>SUM(V7:V8)/1000000000</f>
        <v>0.45653126986687498</v>
      </c>
      <c r="F35" s="304">
        <f>(F6+F7)/1000000000</f>
        <v>9.5286152132305961</v>
      </c>
      <c r="G35" s="304">
        <f>(Q6+Q7)/1000000000</f>
        <v>7.8014439023008988</v>
      </c>
      <c r="H35" s="304">
        <v>-6.0487172639786539</v>
      </c>
      <c r="I35" s="383">
        <f>(F22+F23)/1000000000</f>
        <v>-7.8591065382262224</v>
      </c>
      <c r="J35" s="384">
        <f>(Q22+Q23)/1000000000</f>
        <v>-7.3449126324340233</v>
      </c>
      <c r="Z35" s="346" t="s">
        <v>198</v>
      </c>
      <c r="AA35" s="347">
        <f>INDEX('Jet - DemandSupply'!$AS$10:$AX$38,MATCH($Z$33,'Jet - DemandSupply'!$AS$10:$AS$38,0),MATCH($Z35,'Jet - DemandSupply'!$AS$10:$AX$10,0))*(SUM($AA$4:$AA$6))/365</f>
        <v>22019813.893446706</v>
      </c>
      <c r="AB35" s="347">
        <f>INDEX('Gasoline - DemandSupply'!$BC$10:$BH$38,MATCH($Z$33,'Gasoline - DemandSupply'!$BC$10:$BC$38,0),MATCH($Z35,'Gasoline - DemandSupply'!$BC$10:$BH$10,0))*(SUM($AA$4:$AA$6))/365</f>
        <v>264001015.69367459</v>
      </c>
      <c r="AC35" s="347">
        <f>INDEX('Diesel - DemandSupply'!$BO$10:$BT$38,MATCH($Z$33,'Diesel - DemandSupply'!$BO$10:$BO$38,0),MATCH($Z35,'Diesel - DemandSupply'!$BO$10:$BT$10,0))*(SUM($AA$4:$AA$6))/365</f>
        <v>599499913.5126462</v>
      </c>
      <c r="AD35" s="348">
        <f>SUM(AA35:AC35)</f>
        <v>885520743.09976745</v>
      </c>
      <c r="AE35" s="342"/>
      <c r="AF35" s="346" t="s">
        <v>198</v>
      </c>
      <c r="AG35" s="347">
        <f>INDEX('Jet - DemandSupply'!$BA$10:$BF$38,MATCH($AF$33,'Jet - DemandSupply'!$BA$10:$BA$38,0),MATCH($AF35,'Jet - DemandSupply'!$BA$10:$BF$10,0))*(SUM($AA$4:$AA$6))/365</f>
        <v>11182254.70539448</v>
      </c>
      <c r="AH35" s="347">
        <f>INDEX('Gasoline - DemandSupply'!$BK$10:$BP$38,MATCH($AF$33,'Gasoline - DemandSupply'!$BK$10:$BK$38,0),MATCH($AF35,'Gasoline - DemandSupply'!$BK$10:$BP$10,0))*(SUM($AA$4:$AA$6))/365</f>
        <v>191377650.39692861</v>
      </c>
      <c r="AI35" s="347">
        <f>INDEX('Diesel - DemandSupply'!$BW$10:$CB$38,MATCH($AF$33,'Diesel - DemandSupply'!$BW$10:$BW$38,0),MATCH($AF35,'Diesel - DemandSupply'!$BW$10:$CB$10,0))*(SUM($AA$4:$AA$6))/365</f>
        <v>490833645.81761348</v>
      </c>
      <c r="AJ35" s="348">
        <f>SUM(AG35:AI35)</f>
        <v>693393550.91993654</v>
      </c>
      <c r="AL35" s="106" t="s">
        <v>97</v>
      </c>
      <c r="AM35" s="324">
        <f t="shared" si="21"/>
        <v>286.7772529574832</v>
      </c>
      <c r="AN35" s="324" t="e">
        <f t="shared" si="21"/>
        <v>#DIV/0!</v>
      </c>
      <c r="AO35" s="324" t="e">
        <f t="shared" si="21"/>
        <v>#DIV/0!</v>
      </c>
      <c r="AS35" s="106" t="s">
        <v>97</v>
      </c>
      <c r="AT35" s="324">
        <f t="shared" ref="AT35:AV35" si="24">AM26/AG26</f>
        <v>351.7256115955168</v>
      </c>
      <c r="AU35" s="324" t="e">
        <f t="shared" si="24"/>
        <v>#DIV/0!</v>
      </c>
      <c r="AV35" s="324" t="e">
        <f t="shared" si="24"/>
        <v>#DIV/0!</v>
      </c>
    </row>
    <row r="36" spans="2:49" x14ac:dyDescent="0.6">
      <c r="B36" s="612" t="s">
        <v>482</v>
      </c>
      <c r="C36" s="303" t="s">
        <v>475</v>
      </c>
      <c r="D36" s="304">
        <f>SUM(J9:J10)/1000000000</f>
        <v>2.1152027947500001</v>
      </c>
      <c r="E36" s="304">
        <f>SUM(U9:U10)/1000000000</f>
        <v>1.8801802620000001</v>
      </c>
      <c r="F36" s="304">
        <f>E10/1000000000</f>
        <v>1.7435304595443446</v>
      </c>
      <c r="G36" s="304">
        <f>P10/1000000000</f>
        <v>1.2639071174265506</v>
      </c>
      <c r="H36" s="304">
        <v>-0.28567643880190041</v>
      </c>
      <c r="I36" s="383">
        <f>E24/1000000000</f>
        <v>0.37167233520565535</v>
      </c>
      <c r="J36" s="384">
        <f>P24/1000000000</f>
        <v>0.61627314457344939</v>
      </c>
      <c r="Z36" s="346" t="s">
        <v>199</v>
      </c>
      <c r="AA36" s="347">
        <f>INDEX('Jet - DemandSupply'!$AS$10:$AX$38,MATCH($Z$33,'Jet - DemandSupply'!$AS$10:$AS$38,0),MATCH($Z36,'Jet - DemandSupply'!$AS$10:$AX$10,0))*(SUM($AA$4:$AA$6))/365</f>
        <v>259571658.76001805</v>
      </c>
      <c r="AB36" s="347">
        <f>INDEX('Gasoline - DemandSupply'!$BC$10:$BH$38,MATCH($Z$33,'Gasoline - DemandSupply'!$BC$10:$BC$38,0),MATCH($Z36,'Gasoline - DemandSupply'!$BC$10:$BH$10,0))*(SUM($AA$4:$AA$6))/365</f>
        <v>449501959.85065275</v>
      </c>
      <c r="AC36" s="347">
        <f>INDEX('Diesel - DemandSupply'!$BO$10:$BT$38,MATCH($Z$33,'Diesel - DemandSupply'!$BO$10:$BO$38,0),MATCH($Z36,'Diesel - DemandSupply'!$BO$10:$BT$10,0))*(SUM($AA$4:$AA$6))/365</f>
        <v>523049275.99123228</v>
      </c>
      <c r="AD36" s="348">
        <f>SUM(AA36:AC36)</f>
        <v>1232122894.601903</v>
      </c>
      <c r="AE36" s="342"/>
      <c r="AF36" s="346" t="s">
        <v>199</v>
      </c>
      <c r="AG36" s="347">
        <f>INDEX('Jet - DemandSupply'!$BA$10:$BF$38,MATCH($AF$33,'Jet - DemandSupply'!$BA$10:$BA$38,0),MATCH($AF36,'Jet - DemandSupply'!$BA$10:$BF$10,0))*(SUM($AA$4:$AA$6))/365</f>
        <v>131817481.1377539</v>
      </c>
      <c r="AH36" s="347">
        <f>INDEX('Gasoline - DemandSupply'!$BK$10:$BP$38,MATCH($AF$33,'Gasoline - DemandSupply'!$BK$10:$BK$38,0),MATCH($AF36,'Gasoline - DemandSupply'!$BK$10:$BP$10,0))*(SUM($AA$4:$AA$6))/365</f>
        <v>325849613.49106503</v>
      </c>
      <c r="AI36" s="347">
        <f>INDEX('Diesel - DemandSupply'!$BW$10:$CB$38,MATCH($AF$33,'Diesel - DemandSupply'!$BW$10:$BW$38,0),MATCH($AF36,'Diesel - DemandSupply'!$BW$10:$CB$10,0))*(SUM($AA$4:$AA$6))/365</f>
        <v>428240567.33016366</v>
      </c>
      <c r="AJ36" s="348">
        <f>SUM(AG36:AI36)</f>
        <v>885907661.95898259</v>
      </c>
      <c r="AL36" s="106" t="s">
        <v>200</v>
      </c>
      <c r="AM36" s="324">
        <f t="shared" si="21"/>
        <v>17.266447897363843</v>
      </c>
      <c r="AN36" s="324" t="e">
        <f t="shared" si="21"/>
        <v>#DIV/0!</v>
      </c>
      <c r="AO36" s="324" t="e">
        <f t="shared" si="21"/>
        <v>#DIV/0!</v>
      </c>
      <c r="AS36" s="106" t="s">
        <v>200</v>
      </c>
      <c r="AT36" s="324">
        <f t="shared" ref="AT36:AV36" si="25">AM27/AG27</f>
        <v>21.176895601558734</v>
      </c>
      <c r="AU36" s="324" t="e">
        <f t="shared" si="25"/>
        <v>#DIV/0!</v>
      </c>
      <c r="AV36" s="324" t="e">
        <f t="shared" si="25"/>
        <v>#DIV/0!</v>
      </c>
    </row>
    <row r="37" spans="2:49" x14ac:dyDescent="0.6">
      <c r="B37" s="612"/>
      <c r="C37" s="303" t="s">
        <v>478</v>
      </c>
      <c r="D37" s="304">
        <f>0/1000000000</f>
        <v>0</v>
      </c>
      <c r="E37" s="304">
        <f>0/1000000000</f>
        <v>0</v>
      </c>
      <c r="F37" s="304">
        <f>E9/1000000000</f>
        <v>0.78270554818364713</v>
      </c>
      <c r="G37" s="304">
        <f>P9/1000000000</f>
        <v>0.56739307752449442</v>
      </c>
      <c r="H37" s="304">
        <v>-0.65691850540078478</v>
      </c>
      <c r="I37" s="383">
        <f>E25/1000000000</f>
        <v>-0.78270554818364713</v>
      </c>
      <c r="J37" s="384">
        <f>P25/1000000000</f>
        <v>-0.56739307752449442</v>
      </c>
      <c r="Z37" s="346" t="s">
        <v>97</v>
      </c>
      <c r="AA37" s="347">
        <f>INDEX('Jet - DemandSupply'!$AS$10:$AX$38,MATCH($Z$33,'Jet - DemandSupply'!$AS$10:$AS$38,0),MATCH($Z37,'Jet - DemandSupply'!$AS$10:$AX$10,0))*(SUM($AA$4:$AA$6))/365</f>
        <v>29017483.58979382</v>
      </c>
      <c r="AB37" s="347">
        <f>INDEX('Gasoline - DemandSupply'!$BC$10:$BH$38,MATCH($Z$33,'Gasoline - DemandSupply'!$BC$10:$BC$38,0),MATCH($Z37,'Gasoline - DemandSupply'!$BC$10:$BH$10,0))*(SUM($AA$4:$AA$6))/365</f>
        <v>194556958.35317627</v>
      </c>
      <c r="AC37" s="347">
        <f>INDEX('Diesel - DemandSupply'!$BO$10:$BT$38,MATCH($Z$33,'Diesel - DemandSupply'!$BO$10:$BO$38,0),MATCH($Z37,'Diesel - DemandSupply'!$BO$10:$BT$10,0))*(SUM($AA$4:$AA$6))/365</f>
        <v>400445657.24847847</v>
      </c>
      <c r="AD37" s="348">
        <f>SUM(AA37:AC37)</f>
        <v>624020099.19144857</v>
      </c>
      <c r="AE37" s="342"/>
      <c r="AF37" s="346" t="s">
        <v>97</v>
      </c>
      <c r="AG37" s="347">
        <f>INDEX('Jet - DemandSupply'!$BA$10:$BF$38,MATCH($AF$33,'Jet - DemandSupply'!$BA$10:$BA$38,0),MATCH($AF37,'Jet - DemandSupply'!$BA$10:$BF$10,0))*(SUM($AA$4:$AA$6))/365</f>
        <v>14735859.893313972</v>
      </c>
      <c r="AH37" s="347">
        <f>INDEX('Gasoline - DemandSupply'!$BK$10:$BP$38,MATCH($AF$33,'Gasoline - DemandSupply'!$BK$10:$BK$38,0),MATCH($AF37,'Gasoline - DemandSupply'!$BK$10:$BP$10,0))*(SUM($AA$4:$AA$6))/365</f>
        <v>141036781.46908003</v>
      </c>
      <c r="AI37" s="347">
        <f>INDEX('Diesel - DemandSupply'!$BW$10:$CB$38,MATCH($AF$33,'Diesel - DemandSupply'!$BW$10:$BW$38,0),MATCH($AF37,'Diesel - DemandSupply'!$BW$10:$CB$10,0))*(SUM($AA$4:$AA$6))/365</f>
        <v>327860267.31420863</v>
      </c>
      <c r="AJ37" s="348">
        <f>SUM(AG37:AI37)</f>
        <v>483632908.6766026</v>
      </c>
      <c r="AL37" s="106" t="s">
        <v>201</v>
      </c>
      <c r="AM37" s="324">
        <f t="shared" si="21"/>
        <v>40.11845271096432</v>
      </c>
      <c r="AN37" s="324" t="e">
        <f t="shared" si="21"/>
        <v>#DIV/0!</v>
      </c>
      <c r="AO37" s="324" t="e">
        <f t="shared" si="21"/>
        <v>#DIV/0!</v>
      </c>
      <c r="AS37" s="106" t="s">
        <v>201</v>
      </c>
      <c r="AT37" s="324">
        <f t="shared" ref="AT37:AV37" si="26">AM28/AG28</f>
        <v>49.204346476258891</v>
      </c>
      <c r="AU37" s="324" t="e">
        <f t="shared" si="26"/>
        <v>#DIV/0!</v>
      </c>
      <c r="AV37" s="324" t="e">
        <f t="shared" si="26"/>
        <v>#DIV/0!</v>
      </c>
    </row>
    <row r="38" spans="2:49" x14ac:dyDescent="0.6">
      <c r="B38" s="612"/>
      <c r="C38" s="303" t="s">
        <v>480</v>
      </c>
      <c r="D38" s="304">
        <f>J6/1000000000</f>
        <v>0</v>
      </c>
      <c r="E38" s="304">
        <f>U6/1000000000</f>
        <v>0</v>
      </c>
      <c r="F38" s="304">
        <f>E8/1000000000</f>
        <v>1.651471855788589</v>
      </c>
      <c r="G38" s="304">
        <f>P8/1000000000</f>
        <v>1.1971726799119584</v>
      </c>
      <c r="H38" s="304">
        <v>-1.3851242065631701</v>
      </c>
      <c r="I38" s="383">
        <f>E26/1000000000</f>
        <v>-1.651471855788589</v>
      </c>
      <c r="J38" s="384">
        <f>P26/1000000000</f>
        <v>-1.1971726799119584</v>
      </c>
      <c r="Z38" s="346" t="s">
        <v>200</v>
      </c>
      <c r="AA38" s="347">
        <f>INDEX('Jet - DemandSupply'!$AS$10:$AX$38,MATCH($Z$33,'Jet - DemandSupply'!$AS$10:$AS$38,0),MATCH($Z38,'Jet - DemandSupply'!$AS$10:$AX$10,0))*(SUM($AA$4:$AA$6))/365</f>
        <v>126527567.63991779</v>
      </c>
      <c r="AB38" s="347">
        <f>INDEX('Gasoline - DemandSupply'!$BC$10:$BH$38,MATCH($Z$33,'Gasoline - DemandSupply'!$BC$10:$BC$38,0),MATCH($Z38,'Gasoline - DemandSupply'!$BC$10:$BH$10,0))*(SUM($AA$4:$AA$6))/365</f>
        <v>92209146.772320077</v>
      </c>
      <c r="AC38" s="347">
        <f>INDEX('Diesel - DemandSupply'!$BO$10:$BT$38,MATCH($Z$33,'Diesel - DemandSupply'!$BO$10:$BO$38,0),MATCH($Z38,'Diesel - DemandSupply'!$BO$10:$BT$10,0))*(SUM($AA$4:$AA$6))/365</f>
        <v>156382278.85793221</v>
      </c>
      <c r="AD38" s="348">
        <f>SUM(AA38:AC38)</f>
        <v>375118993.27017009</v>
      </c>
      <c r="AE38" s="342"/>
      <c r="AF38" s="346" t="s">
        <v>200</v>
      </c>
      <c r="AG38" s="347">
        <f>INDEX('Jet - DemandSupply'!$BA$10:$BF$38,MATCH($AF$33,'Jet - DemandSupply'!$BA$10:$BA$38,0),MATCH($AF38,'Jet - DemandSupply'!$BA$10:$BF$10,0))*(SUM($AA$4:$AA$6))/365</f>
        <v>64254107.480202869</v>
      </c>
      <c r="AH38" s="347">
        <f>INDEX('Gasoline - DemandSupply'!$BK$10:$BP$38,MATCH($AF$33,'Gasoline - DemandSupply'!$BK$10:$BK$38,0),MATCH($AF38,'Gasoline - DemandSupply'!$BK$10:$BP$10,0))*(SUM($AA$4:$AA$6))/365</f>
        <v>66843568.037132218</v>
      </c>
      <c r="AI38" s="347">
        <f>INDEX('Diesel - DemandSupply'!$BW$10:$CB$38,MATCH($AF$33,'Diesel - DemandSupply'!$BW$10:$BW$38,0),MATCH($AF38,'Diesel - DemandSupply'!$BW$10:$CB$10,0))*(SUM($AA$4:$AA$6))/365</f>
        <v>128036188.73497367</v>
      </c>
      <c r="AJ38" s="348">
        <f>SUM(AG38:AI38)</f>
        <v>259133864.25230876</v>
      </c>
    </row>
    <row r="39" spans="2:49" x14ac:dyDescent="0.6">
      <c r="B39" s="612"/>
      <c r="C39" s="303" t="s">
        <v>481</v>
      </c>
      <c r="D39" s="304">
        <f>SUM(J7:J8)/1000000000</f>
        <v>4.8044481257418745</v>
      </c>
      <c r="E39" s="304">
        <f>SUM(U7:U8)/1000000000</f>
        <v>2.5870105292456245</v>
      </c>
      <c r="F39" s="304">
        <f>(E6+E7)/1000000000</f>
        <v>6.0564787458995228</v>
      </c>
      <c r="G39" s="304">
        <f>(P6+P7)/1000000000</f>
        <v>4.3904174725376199</v>
      </c>
      <c r="H39" s="304">
        <v>-0.19907359503073549</v>
      </c>
      <c r="I39" s="383">
        <f>(E22+E23)/1000000000</f>
        <v>-1.2520306201576481</v>
      </c>
      <c r="J39" s="384">
        <f>(P22+P23)/1000000000</f>
        <v>-1.8034069432919952</v>
      </c>
      <c r="Z39" s="346" t="s">
        <v>201</v>
      </c>
      <c r="AA39" s="347">
        <f>INDEX('Jet - DemandSupply'!$AS$10:$AX$38,MATCH($Z$33,'Jet - DemandSupply'!$AS$10:$AS$38,0),MATCH($Z39,'Jet - DemandSupply'!$AS$10:$AX$10,0))*(SUM($AA$4:$AA$6))/365</f>
        <v>87770813.674960658</v>
      </c>
      <c r="AB39" s="347">
        <f>INDEX('Gasoline - DemandSupply'!$BC$10:$BH$38,MATCH($Z$33,'Gasoline - DemandSupply'!$BC$10:$BC$38,0),MATCH($Z39,'Gasoline - DemandSupply'!$BC$10:$BH$10,0))*(SUM($AA$4:$AA$6))/365</f>
        <v>205402218.5216625</v>
      </c>
      <c r="AC39" s="347">
        <f>INDEX('Diesel - DemandSupply'!$BO$10:$BT$38,MATCH($Z$33,'Diesel - DemandSupply'!$BO$10:$BO$38,0),MATCH($Z39,'Diesel - DemandSupply'!$BO$10:$BT$10,0))*(SUM($AA$4:$AA$6))/365</f>
        <v>435678623.01828706</v>
      </c>
      <c r="AD39" s="348">
        <f>SUM(AA39:AC39)</f>
        <v>728851655.21491027</v>
      </c>
      <c r="AE39" s="342"/>
      <c r="AF39" s="346" t="s">
        <v>201</v>
      </c>
      <c r="AG39" s="347">
        <f>INDEX('Jet - DemandSupply'!$BA$10:$BF$38,MATCH($AF$33,'Jet - DemandSupply'!$BA$10:$BA$38,0),MATCH($AF39,'Jet - DemandSupply'!$BA$10:$BF$10,0))*(SUM($AA$4:$AA$6))/365</f>
        <v>44572383.715978056</v>
      </c>
      <c r="AH39" s="347">
        <f>INDEX('Gasoline - DemandSupply'!$BK$10:$BP$38,MATCH($AF$33,'Gasoline - DemandSupply'!$BK$10:$BK$38,0),MATCH($AF39,'Gasoline - DemandSupply'!$BK$10:$BP$10,0))*(SUM($AA$4:$AA$6))/365</f>
        <v>148898646.71052513</v>
      </c>
      <c r="AI39" s="347">
        <f>INDEX('Diesel - DemandSupply'!$BW$10:$CB$38,MATCH($AF$33,'Diesel - DemandSupply'!$BW$10:$BW$38,0),MATCH($AF39,'Diesel - DemandSupply'!$BW$10:$CB$10,0))*(SUM($AA$4:$AA$6))/365</f>
        <v>356706852.02918291</v>
      </c>
      <c r="AJ39" s="348">
        <f>SUM(AG39:AI39)</f>
        <v>550177882.45568609</v>
      </c>
    </row>
    <row r="40" spans="2:49" x14ac:dyDescent="0.6">
      <c r="B40" s="612" t="s">
        <v>113</v>
      </c>
      <c r="C40" s="303" t="s">
        <v>475</v>
      </c>
      <c r="D40" s="304">
        <f>SUM(I9:I10)/1000000000</f>
        <v>0.47004506549999986</v>
      </c>
      <c r="E40" s="304">
        <f>SUM(T9:T10)/1000000000</f>
        <v>0.41781783599999994</v>
      </c>
      <c r="F40" s="304">
        <f>D10/1000000000</f>
        <v>0.74503132538048</v>
      </c>
      <c r="G40" s="304">
        <f>O10/1000000000</f>
        <v>0.37834697805423229</v>
      </c>
      <c r="H40" s="304">
        <v>-4.8292635812117041E-2</v>
      </c>
      <c r="I40" s="383">
        <f>D24/1000000000</f>
        <v>-0.27498625988048014</v>
      </c>
      <c r="J40" s="384">
        <f>O24/1000000000</f>
        <v>3.9470857945767643E-2</v>
      </c>
      <c r="Z40" s="342"/>
      <c r="AA40" s="349" t="b">
        <f>SUM(AA35:AA39)=VLOOKUP($Z$33,fJetFuel!$B:$P,14,0)*(SUM($AA$4:$AA$6)/365)</f>
        <v>1</v>
      </c>
      <c r="AB40" s="349" t="b">
        <f>SUM(AB35:AB39)=VLOOKUP($Z$33,fGasoline!$B:$W,21,0)*(SUM($AA$4:$AA$6)/365)</f>
        <v>0</v>
      </c>
      <c r="AC40" s="349" t="b">
        <f>SUM(AC35:AC39)=VLOOKUP($Z$33,fDiesel!$B:$T,18,0)*(SUM($AA$4:$AA$6)/365)</f>
        <v>0</v>
      </c>
      <c r="AD40" s="83">
        <f>SUM(AD35:AD39)</f>
        <v>3845634385.3781996</v>
      </c>
      <c r="AE40" s="350"/>
      <c r="AF40" s="350"/>
      <c r="AG40" s="349" t="b">
        <f>SUM(AG35:AG39)=VLOOKUP($Z$33,fJetFuel!$B:$P,15,0)*(SUM($AA$4:$AA$6)/365)</f>
        <v>1</v>
      </c>
      <c r="AH40" s="349" t="b">
        <f>SUM(AH35:AH39)=VLOOKUP($Z$33,fGasoline!$B:$W,22,0)*(SUM($AA$4:$AA$6)/365)</f>
        <v>0</v>
      </c>
      <c r="AI40" s="349" t="b">
        <f>SUM(AI35:AI39)=VLOOKUP($Z$33,fDiesel!$B:$T,19,0)*(SUM($AA$4:$AA$6)/365)</f>
        <v>0</v>
      </c>
      <c r="AJ40" s="83">
        <f>SUM(AJ35:AJ39)</f>
        <v>2872245868.2635164</v>
      </c>
      <c r="AL40" s="606" t="str">
        <f>"Required Storage vs Demand Production High Scenario in "&amp;$AL$41</f>
        <v>Required Storage vs Demand Production High Scenario in 2040</v>
      </c>
      <c r="AM40" s="606"/>
      <c r="AN40" s="606"/>
      <c r="AO40" s="606"/>
      <c r="AP40" s="606"/>
      <c r="AQ40" s="606"/>
      <c r="AS40" s="592" t="str">
        <f>"Required Storage vs Demand Production Low Scenario in "&amp;$AL$41</f>
        <v>Required Storage vs Demand Production Low Scenario in 2040</v>
      </c>
      <c r="AT40" s="592"/>
      <c r="AU40" s="592"/>
      <c r="AV40" s="592"/>
      <c r="AW40" s="592"/>
    </row>
    <row r="41" spans="2:49" x14ac:dyDescent="0.6">
      <c r="B41" s="612"/>
      <c r="C41" s="303" t="s">
        <v>478</v>
      </c>
      <c r="D41" s="304">
        <f>0/1000000000</f>
        <v>0</v>
      </c>
      <c r="E41" s="304">
        <f>0/1000000000</f>
        <v>0</v>
      </c>
      <c r="F41" s="304">
        <f>D9/1000000000</f>
        <v>1.0740130741527905</v>
      </c>
      <c r="G41" s="304">
        <f>O9/1000000000</f>
        <v>0.5454127727970709</v>
      </c>
      <c r="H41" s="304">
        <v>-0.44606253116496342</v>
      </c>
      <c r="I41" s="383">
        <f>D25/1000000000</f>
        <v>-1.0740130741527905</v>
      </c>
      <c r="J41" s="384">
        <f>O25/1000000000</f>
        <v>-0.5454127727970709</v>
      </c>
      <c r="Z41" s="594" t="s">
        <v>476</v>
      </c>
      <c r="AA41" s="598"/>
      <c r="AB41" s="598"/>
      <c r="AC41" s="598"/>
      <c r="AD41" s="598"/>
      <c r="AE41" s="342"/>
      <c r="AF41" s="557" t="s">
        <v>477</v>
      </c>
      <c r="AG41" s="598"/>
      <c r="AH41" s="598"/>
      <c r="AI41" s="598"/>
      <c r="AJ41" s="598"/>
      <c r="AL41" s="300">
        <f>Z33</f>
        <v>2040</v>
      </c>
      <c r="AS41" s="75">
        <f>AL41</f>
        <v>2040</v>
      </c>
    </row>
    <row r="42" spans="2:49" x14ac:dyDescent="0.6">
      <c r="B42" s="612"/>
      <c r="C42" s="303" t="s">
        <v>480</v>
      </c>
      <c r="D42" s="304">
        <f>I6/1000000000</f>
        <v>0</v>
      </c>
      <c r="E42" s="304">
        <f>T6/1000000000</f>
        <v>0</v>
      </c>
      <c r="F42" s="304">
        <f>D8/1000000000</f>
        <v>0.24631119791336614</v>
      </c>
      <c r="G42" s="304">
        <f>O8/1000000000</f>
        <v>0.12508346188510697</v>
      </c>
      <c r="H42" s="304">
        <v>-0.10229875132775161</v>
      </c>
      <c r="I42" s="383">
        <f>D26/1000000000</f>
        <v>-0.24631119791336614</v>
      </c>
      <c r="J42" s="384">
        <f>O26/1000000000</f>
        <v>-0.12508346188510697</v>
      </c>
      <c r="Z42" s="200">
        <v>2024</v>
      </c>
      <c r="AA42" s="342"/>
      <c r="AB42" s="342"/>
      <c r="AC42" s="342"/>
      <c r="AD42" s="342"/>
      <c r="AE42" s="342"/>
      <c r="AF42" s="343">
        <f>Z42</f>
        <v>2024</v>
      </c>
      <c r="AG42" s="342"/>
      <c r="AH42" s="342"/>
      <c r="AI42" s="342"/>
      <c r="AJ42" s="342"/>
      <c r="AL42" s="156" t="s">
        <v>444</v>
      </c>
      <c r="AM42" s="156" t="s">
        <v>113</v>
      </c>
      <c r="AN42" s="156" t="s">
        <v>111</v>
      </c>
      <c r="AO42" s="156" t="s">
        <v>112</v>
      </c>
      <c r="AP42" s="151" t="s">
        <v>52</v>
      </c>
      <c r="AQ42" s="321" t="s">
        <v>483</v>
      </c>
      <c r="AS42" s="156" t="s">
        <v>444</v>
      </c>
      <c r="AT42" s="156" t="s">
        <v>113</v>
      </c>
      <c r="AU42" s="156" t="s">
        <v>111</v>
      </c>
      <c r="AV42" s="156" t="s">
        <v>112</v>
      </c>
      <c r="AW42" s="151" t="s">
        <v>52</v>
      </c>
    </row>
    <row r="43" spans="2:49" ht="16.149999999999999" thickBot="1" x14ac:dyDescent="0.65">
      <c r="B43" s="613"/>
      <c r="C43" s="305" t="s">
        <v>481</v>
      </c>
      <c r="D43" s="306">
        <f>SUM(I7:I8)/1000000000</f>
        <v>0.48166562406375002</v>
      </c>
      <c r="E43" s="306">
        <f>SUM(T7:T8)/1000000000</f>
        <v>0</v>
      </c>
      <c r="F43" s="306">
        <f>(D6+D7)/1000000000</f>
        <v>2.3902531981049915</v>
      </c>
      <c r="G43" s="306">
        <f>(O6+O7)/1000000000</f>
        <v>1.2138349670406781</v>
      </c>
      <c r="H43" s="306">
        <v>-0.49689531218754279</v>
      </c>
      <c r="I43" s="385">
        <f>(D22+D23)/1000000000</f>
        <v>-1.9085875740412415</v>
      </c>
      <c r="J43" s="386">
        <f>(O22+O23)/1000000000</f>
        <v>-1.2138349670406781</v>
      </c>
      <c r="Z43" s="344" t="s">
        <v>444</v>
      </c>
      <c r="AA43" s="344" t="s">
        <v>113</v>
      </c>
      <c r="AB43" s="344" t="s">
        <v>111</v>
      </c>
      <c r="AC43" s="344" t="s">
        <v>112</v>
      </c>
      <c r="AD43" s="345" t="s">
        <v>52</v>
      </c>
      <c r="AE43" s="342"/>
      <c r="AF43" s="344" t="s">
        <v>444</v>
      </c>
      <c r="AG43" s="344" t="s">
        <v>113</v>
      </c>
      <c r="AH43" s="344" t="s">
        <v>111</v>
      </c>
      <c r="AI43" s="344" t="s">
        <v>112</v>
      </c>
      <c r="AJ43" s="345" t="s">
        <v>52</v>
      </c>
      <c r="AL43" s="106" t="s">
        <v>198</v>
      </c>
      <c r="AM43" s="129">
        <f>AM33*AA15</f>
        <v>40831727.137291968</v>
      </c>
      <c r="AN43" s="129" t="e">
        <f t="shared" ref="AN43:AO43" si="27">AN33*AB15</f>
        <v>#DIV/0!</v>
      </c>
      <c r="AO43" s="129" t="e">
        <f t="shared" si="27"/>
        <v>#DIV/0!</v>
      </c>
      <c r="AP43" s="224" t="e">
        <f>SUM(AM43:AO43)</f>
        <v>#DIV/0!</v>
      </c>
      <c r="AQ43" s="322" t="e">
        <f>AP43-AP24</f>
        <v>#DIV/0!</v>
      </c>
      <c r="AS43" s="106" t="s">
        <v>198</v>
      </c>
      <c r="AT43" s="129">
        <f>AG24/AT33</f>
        <v>51890.966748437597</v>
      </c>
      <c r="AU43" s="129" t="e">
        <f t="shared" ref="AU43:AV43" si="28">AH24/AU33</f>
        <v>#DIV/0!</v>
      </c>
      <c r="AV43" s="129" t="e">
        <f t="shared" si="28"/>
        <v>#DIV/0!</v>
      </c>
      <c r="AW43" s="224" t="e">
        <f>SUM(AT43:AV43)</f>
        <v>#DIV/0!</v>
      </c>
    </row>
    <row r="44" spans="2:49" x14ac:dyDescent="0.6">
      <c r="Z44" s="346" t="s">
        <v>198</v>
      </c>
      <c r="AA44" s="347">
        <f>INDEX('Jet - DemandSupply'!$AS$10:$AX$38,MATCH($Z$42,'Jet - DemandSupply'!$AS$10:$AS$38,0),MATCH($Z44,'Jet - DemandSupply'!$AS$10:$AX$10,0))/365</f>
        <v>184056.02515532926</v>
      </c>
      <c r="AB44" s="347">
        <f>INDEX('Gasoline - DemandSupply'!$BC$10:$BH$38,MATCH($Z$42,'Gasoline - DemandSupply'!$BC$10:$BC$38,0),MATCH($Z44,'Gasoline - DemandSupply'!$BC$10:$BH$10,0))/365</f>
        <v>0</v>
      </c>
      <c r="AC44" s="347">
        <f>INDEX('Diesel - DemandSupply'!$BO$10:$BT$38,MATCH($Z$42,'Diesel - DemandSupply'!$BO$10:$BO$38,0),MATCH($Z44,'Diesel - DemandSupply'!$BO$10:$BT$10,0))/365</f>
        <v>0</v>
      </c>
      <c r="AD44" s="348">
        <f>SUM(AA44:AC44)</f>
        <v>184056.02515532926</v>
      </c>
      <c r="AE44" s="342"/>
      <c r="AF44" s="346" t="s">
        <v>198</v>
      </c>
      <c r="AG44" s="347">
        <f>INDEX('Jet - DemandSupply'!$BA$10:$BF$38,MATCH($AF$42,'Jet - DemandSupply'!$BA$10:$BA$38,0),MATCH($AF44,'Jet - DemandSupply'!$BA$10:$BF$10,0))/365</f>
        <v>184056.02515532926</v>
      </c>
      <c r="AH44" s="347">
        <f>INDEX('Gasoline - DemandSupply'!$BK$10:$BP$38,MATCH($AF$42,'Gasoline - DemandSupply'!$BK$10:$BK$38,0),MATCH($AF44,'Gasoline - DemandSupply'!$BK$10:$BP$10,0))/365</f>
        <v>0</v>
      </c>
      <c r="AI44" s="347">
        <f>INDEX('Diesel - DemandSupply'!$BW$10:$CB$38,MATCH($AF$42,'Diesel - DemandSupply'!$BW$10:$BW$38,0),MATCH($AF44,'Diesel - DemandSupply'!$BW$10:$CB$10,0))/365</f>
        <v>0</v>
      </c>
      <c r="AJ44" s="348">
        <f>SUM(AG44:AI44)</f>
        <v>184056.02515532926</v>
      </c>
      <c r="AL44" s="106" t="s">
        <v>199</v>
      </c>
      <c r="AM44" s="129">
        <f t="shared" ref="AM44:AO44" si="29">AM34*AA16</f>
        <v>5646820881.9821739</v>
      </c>
      <c r="AN44" s="129" t="e">
        <f t="shared" si="29"/>
        <v>#DIV/0!</v>
      </c>
      <c r="AO44" s="129" t="e">
        <f t="shared" si="29"/>
        <v>#DIV/0!</v>
      </c>
      <c r="AP44" s="224" t="e">
        <f t="shared" ref="AP44:AP47" si="30">SUM(AM44:AO44)</f>
        <v>#DIV/0!</v>
      </c>
      <c r="AQ44" s="323" t="e">
        <f t="shared" ref="AQ44:AQ47" si="31">AP44-AP25</f>
        <v>#DIV/0!</v>
      </c>
      <c r="AS44" s="106" t="s">
        <v>199</v>
      </c>
      <c r="AT44" s="129">
        <f t="shared" ref="AT44:AV44" si="32">AG25/AT34</f>
        <v>52140.207711217954</v>
      </c>
      <c r="AU44" s="129" t="e">
        <f t="shared" si="32"/>
        <v>#DIV/0!</v>
      </c>
      <c r="AV44" s="129" t="e">
        <f t="shared" si="32"/>
        <v>#DIV/0!</v>
      </c>
      <c r="AW44" s="224" t="e">
        <f t="shared" ref="AW44:AW47" si="33">SUM(AT44:AV44)</f>
        <v>#DIV/0!</v>
      </c>
    </row>
    <row r="45" spans="2:49" x14ac:dyDescent="0.6">
      <c r="Z45" s="346" t="s">
        <v>199</v>
      </c>
      <c r="AA45" s="347">
        <f>INDEX('Jet - DemandSupply'!$AS$10:$AX$38,MATCH($Z$42,'Jet - DemandSupply'!$AS$10:$AS$38,0),MATCH($Z45,'Jet - DemandSupply'!$AS$10:$AX$10,0))/365</f>
        <v>2169669.9157190835</v>
      </c>
      <c r="AB45" s="347">
        <f>INDEX('Gasoline - DemandSupply'!$BC$10:$BH$38,MATCH($Z$42,'Gasoline - DemandSupply'!$BC$10:$BC$38,0),MATCH($Z45,'Gasoline - DemandSupply'!$BC$10:$BH$10,0))/365</f>
        <v>0</v>
      </c>
      <c r="AC45" s="347">
        <f>INDEX('Diesel - DemandSupply'!$BO$10:$BT$38,MATCH($Z$42,'Diesel - DemandSupply'!$BO$10:$BO$38,0),MATCH($Z45,'Diesel - DemandSupply'!$BO$10:$BT$10,0))/365</f>
        <v>0</v>
      </c>
      <c r="AD45" s="348">
        <f t="shared" ref="AD45:AD48" si="34">SUM(AA45:AC45)</f>
        <v>2169669.9157190835</v>
      </c>
      <c r="AE45" s="342"/>
      <c r="AF45" s="346" t="s">
        <v>199</v>
      </c>
      <c r="AG45" s="347">
        <f>INDEX('Jet - DemandSupply'!$BA$10:$BF$38,MATCH($AF$42,'Jet - DemandSupply'!$BA$10:$BA$38,0),MATCH($AF45,'Jet - DemandSupply'!$BA$10:$BF$10,0))/365</f>
        <v>2169669.9157190835</v>
      </c>
      <c r="AH45" s="347">
        <f>INDEX('Gasoline - DemandSupply'!$BK$10:$BP$38,MATCH($AF$42,'Gasoline - DemandSupply'!$BK$10:$BK$38,0),MATCH($AF45,'Gasoline - DemandSupply'!$BK$10:$BP$10,0))/365</f>
        <v>0</v>
      </c>
      <c r="AI45" s="347">
        <f>INDEX('Diesel - DemandSupply'!$BW$10:$CB$38,MATCH($AF$42,'Diesel - DemandSupply'!$BW$10:$BW$38,0),MATCH($AF45,'Diesel - DemandSupply'!$BW$10:$CB$10,0))/365</f>
        <v>0</v>
      </c>
      <c r="AJ45" s="348">
        <f>SUM(AG45:AI45)</f>
        <v>2169669.9157190835</v>
      </c>
      <c r="AL45" s="106" t="s">
        <v>97</v>
      </c>
      <c r="AM45" s="341">
        <f t="shared" ref="AM45:AO45" si="35">AM35*AA17</f>
        <v>6544083973.4760761</v>
      </c>
      <c r="AN45" s="129" t="e">
        <f t="shared" si="35"/>
        <v>#DIV/0!</v>
      </c>
      <c r="AO45" s="129" t="e">
        <f t="shared" si="35"/>
        <v>#DIV/0!</v>
      </c>
      <c r="AP45" s="224" t="e">
        <f t="shared" si="30"/>
        <v>#DIV/0!</v>
      </c>
      <c r="AQ45" s="323" t="e">
        <f t="shared" si="31"/>
        <v>#DIV/0!</v>
      </c>
      <c r="AS45" s="106" t="s">
        <v>97</v>
      </c>
      <c r="AT45" s="129">
        <f t="shared" ref="AT45:AV45" si="36">AG26/AT35</f>
        <v>562.25439075742054</v>
      </c>
      <c r="AU45" s="129" t="e">
        <f t="shared" si="36"/>
        <v>#DIV/0!</v>
      </c>
      <c r="AV45" s="129" t="e">
        <f t="shared" si="36"/>
        <v>#DIV/0!</v>
      </c>
      <c r="AW45" s="224" t="e">
        <f t="shared" si="33"/>
        <v>#DIV/0!</v>
      </c>
    </row>
    <row r="46" spans="2:49" x14ac:dyDescent="0.6">
      <c r="Z46" s="346" t="s">
        <v>97</v>
      </c>
      <c r="AA46" s="347">
        <f>INDEX('Jet - DemandSupply'!$AS$10:$AX$38,MATCH($Z$42,'Jet - DemandSupply'!$AS$10:$AS$38,0),MATCH($Z46,'Jet - DemandSupply'!$AS$10:$AX$10,0))/365</f>
        <v>242547.13120608742</v>
      </c>
      <c r="AB46" s="347">
        <f>INDEX('Gasoline - DemandSupply'!$BC$10:$BH$38,MATCH($Z$42,'Gasoline - DemandSupply'!$BC$10:$BC$38,0),MATCH($Z46,'Gasoline - DemandSupply'!$BC$10:$BH$10,0))/365</f>
        <v>0</v>
      </c>
      <c r="AC46" s="347">
        <f>INDEX('Diesel - DemandSupply'!$BO$10:$BT$38,MATCH($Z$42,'Diesel - DemandSupply'!$BO$10:$BO$38,0),MATCH($Z46,'Diesel - DemandSupply'!$BO$10:$BT$10,0))/365</f>
        <v>0</v>
      </c>
      <c r="AD46" s="348">
        <f t="shared" si="34"/>
        <v>242547.13120608742</v>
      </c>
      <c r="AE46" s="342"/>
      <c r="AF46" s="346" t="s">
        <v>97</v>
      </c>
      <c r="AG46" s="347">
        <f>INDEX('Jet - DemandSupply'!$BA$10:$BF$38,MATCH($AF$42,'Jet - DemandSupply'!$BA$10:$BA$38,0),MATCH($AF46,'Jet - DemandSupply'!$BA$10:$BF$10,0))/365</f>
        <v>242547.13120608742</v>
      </c>
      <c r="AH46" s="347">
        <f>INDEX('Gasoline - DemandSupply'!$BK$10:$BP$38,MATCH($AF$42,'Gasoline - DemandSupply'!$BK$10:$BK$38,0),MATCH($AF46,'Gasoline - DemandSupply'!$BK$10:$BP$10,0))/365</f>
        <v>0</v>
      </c>
      <c r="AI46" s="347">
        <f>INDEX('Diesel - DemandSupply'!$BW$10:$CB$38,MATCH($AF$42,'Diesel - DemandSupply'!$BW$10:$BW$38,0),MATCH($AF46,'Diesel - DemandSupply'!$BW$10:$CB$10,0))/365</f>
        <v>0</v>
      </c>
      <c r="AJ46" s="348">
        <f>SUM(AG46:AI46)</f>
        <v>242547.13120608742</v>
      </c>
      <c r="AL46" s="106" t="s">
        <v>200</v>
      </c>
      <c r="AM46" s="129">
        <f t="shared" ref="AM46:AO46" si="37">AM36*AA18</f>
        <v>1718037256.3458264</v>
      </c>
      <c r="AN46" s="129" t="e">
        <f t="shared" si="37"/>
        <v>#DIV/0!</v>
      </c>
      <c r="AO46" s="129" t="e">
        <f t="shared" si="37"/>
        <v>#DIV/0!</v>
      </c>
      <c r="AP46" s="224" t="e">
        <f t="shared" si="30"/>
        <v>#DIV/0!</v>
      </c>
      <c r="AQ46" s="322" t="e">
        <f t="shared" si="31"/>
        <v>#DIV/0!</v>
      </c>
      <c r="AS46" s="106" t="s">
        <v>200</v>
      </c>
      <c r="AT46" s="129">
        <f t="shared" ref="AT46:AV46" si="38">AG27/AT36</f>
        <v>40719.268283952384</v>
      </c>
      <c r="AU46" s="129" t="e">
        <f t="shared" si="38"/>
        <v>#DIV/0!</v>
      </c>
      <c r="AV46" s="129" t="e">
        <f t="shared" si="38"/>
        <v>#DIV/0!</v>
      </c>
      <c r="AW46" s="224" t="e">
        <f t="shared" si="33"/>
        <v>#DIV/0!</v>
      </c>
    </row>
    <row r="47" spans="2:49" x14ac:dyDescent="0.6">
      <c r="Z47" s="346" t="s">
        <v>200</v>
      </c>
      <c r="AA47" s="347">
        <f>INDEX('Jet - DemandSupply'!$AS$10:$AX$38,MATCH($Z$42,'Jet - DemandSupply'!$AS$10:$AS$38,0),MATCH($Z47,'Jet - DemandSupply'!$AS$10:$AX$10,0))/365</f>
        <v>1057600.2724212895</v>
      </c>
      <c r="AB47" s="347">
        <f>INDEX('Gasoline - DemandSupply'!$BC$10:$BH$38,MATCH($Z$42,'Gasoline - DemandSupply'!$BC$10:$BC$38,0),MATCH($Z47,'Gasoline - DemandSupply'!$BC$10:$BH$10,0))/365</f>
        <v>0</v>
      </c>
      <c r="AC47" s="347">
        <f>INDEX('Diesel - DemandSupply'!$BO$10:$BT$38,MATCH($Z$42,'Diesel - DemandSupply'!$BO$10:$BO$38,0),MATCH($Z47,'Diesel - DemandSupply'!$BO$10:$BT$10,0))/365</f>
        <v>0</v>
      </c>
      <c r="AD47" s="348">
        <f t="shared" si="34"/>
        <v>1057600.2724212895</v>
      </c>
      <c r="AE47" s="342"/>
      <c r="AF47" s="346" t="s">
        <v>200</v>
      </c>
      <c r="AG47" s="347">
        <f>INDEX('Jet - DemandSupply'!$BA$10:$BF$38,MATCH($AF$42,'Jet - DemandSupply'!$BA$10:$BA$38,0),MATCH($AF47,'Jet - DemandSupply'!$BA$10:$BF$10,0))/365</f>
        <v>1057600.2724212895</v>
      </c>
      <c r="AH47" s="347">
        <f>INDEX('Gasoline - DemandSupply'!$BK$10:$BP$38,MATCH($AF$42,'Gasoline - DemandSupply'!$BK$10:$BK$38,0),MATCH($AF47,'Gasoline - DemandSupply'!$BK$10:$BP$10,0))/365</f>
        <v>0</v>
      </c>
      <c r="AI47" s="347">
        <f>INDEX('Diesel - DemandSupply'!$BW$10:$CB$38,MATCH($AF$42,'Diesel - DemandSupply'!$BW$10:$BW$38,0),MATCH($AF47,'Diesel - DemandSupply'!$BW$10:$CB$10,0))/365</f>
        <v>0</v>
      </c>
      <c r="AJ47" s="348">
        <f>SUM(AG47:AI47)</f>
        <v>1057600.2724212895</v>
      </c>
      <c r="AL47" s="106" t="s">
        <v>201</v>
      </c>
      <c r="AM47" s="129">
        <f t="shared" ref="AM47:AO47" si="39">AM37*AA19</f>
        <v>2769100480.6056647</v>
      </c>
      <c r="AN47" s="129" t="e">
        <f t="shared" si="39"/>
        <v>#DIV/0!</v>
      </c>
      <c r="AO47" s="129" t="e">
        <f t="shared" si="39"/>
        <v>#DIV/0!</v>
      </c>
      <c r="AP47" s="224" t="e">
        <f t="shared" si="30"/>
        <v>#DIV/0!</v>
      </c>
      <c r="AQ47" s="322" t="e">
        <f t="shared" si="31"/>
        <v>#DIV/0!</v>
      </c>
      <c r="AS47" s="106" t="s">
        <v>201</v>
      </c>
      <c r="AT47" s="129">
        <f t="shared" ref="AT47:AV47" si="40">AG28/AT37</f>
        <v>12156.925579662098</v>
      </c>
      <c r="AU47" s="129" t="e">
        <f t="shared" si="40"/>
        <v>#DIV/0!</v>
      </c>
      <c r="AV47" s="129" t="e">
        <f t="shared" si="40"/>
        <v>#DIV/0!</v>
      </c>
      <c r="AW47" s="224" t="e">
        <f t="shared" si="33"/>
        <v>#DIV/0!</v>
      </c>
    </row>
    <row r="48" spans="2:49" x14ac:dyDescent="0.6">
      <c r="Z48" s="346" t="s">
        <v>201</v>
      </c>
      <c r="AA48" s="347">
        <f>INDEX('Jet - DemandSupply'!$AS$10:$AX$38,MATCH($Z$42,'Jet - DemandSupply'!$AS$10:$AS$38,0),MATCH($Z48,'Jet - DemandSupply'!$AS$10:$AX$10,0))/365</f>
        <v>733645.94123432052</v>
      </c>
      <c r="AB48" s="347">
        <f>INDEX('Gasoline - DemandSupply'!$BC$10:$BH$38,MATCH($Z$42,'Gasoline - DemandSupply'!$BC$10:$BC$38,0),MATCH($Z48,'Gasoline - DemandSupply'!$BC$10:$BH$10,0))/365</f>
        <v>0</v>
      </c>
      <c r="AC48" s="347">
        <f>INDEX('Diesel - DemandSupply'!$BO$10:$BT$38,MATCH($Z$42,'Diesel - DemandSupply'!$BO$10:$BO$38,0),MATCH($Z48,'Diesel - DemandSupply'!$BO$10:$BT$10,0))/365</f>
        <v>0</v>
      </c>
      <c r="AD48" s="348">
        <f t="shared" si="34"/>
        <v>733645.94123432052</v>
      </c>
      <c r="AE48" s="342"/>
      <c r="AF48" s="346" t="s">
        <v>201</v>
      </c>
      <c r="AG48" s="347">
        <f>INDEX('Jet - DemandSupply'!$BA$10:$BF$38,MATCH($AF$42,'Jet - DemandSupply'!$BA$10:$BA$38,0),MATCH($AF48,'Jet - DemandSupply'!$BA$10:$BF$10,0))/365</f>
        <v>733645.94123432052</v>
      </c>
      <c r="AH48" s="347">
        <f>INDEX('Gasoline - DemandSupply'!$BK$10:$BP$38,MATCH($AF$42,'Gasoline - DemandSupply'!$BK$10:$BK$38,0),MATCH($AF48,'Gasoline - DemandSupply'!$BK$10:$BP$10,0))/365</f>
        <v>0</v>
      </c>
      <c r="AI48" s="347">
        <f>INDEX('Diesel - DemandSupply'!$BW$10:$CB$38,MATCH($AF$42,'Diesel - DemandSupply'!$BW$10:$BW$38,0),MATCH($AF48,'Diesel - DemandSupply'!$BW$10:$CB$10,0))/365</f>
        <v>0</v>
      </c>
      <c r="AJ48" s="348">
        <f>SUM(AG48:AI48)</f>
        <v>733645.94123432052</v>
      </c>
      <c r="AQ48" s="83" t="e">
        <f>SUM(AQ43:AQ47)</f>
        <v>#DIV/0!</v>
      </c>
    </row>
    <row r="49" spans="26:43" x14ac:dyDescent="0.6">
      <c r="AM49" s="108"/>
      <c r="AN49" s="108"/>
      <c r="AO49" s="108"/>
      <c r="AP49" s="108"/>
      <c r="AQ49" s="83" t="e">
        <f>AQ48/1000</f>
        <v>#DIV/0!</v>
      </c>
    </row>
    <row r="50" spans="26:43" x14ac:dyDescent="0.6">
      <c r="AM50" s="108"/>
      <c r="AN50" s="108"/>
      <c r="AO50" s="108"/>
      <c r="AP50" s="108"/>
    </row>
    <row r="53" spans="26:43" x14ac:dyDescent="0.6">
      <c r="Z53" s="200">
        <v>2040</v>
      </c>
      <c r="AA53" s="159">
        <f>VLOOKUP($Z$13,'Jet - DemandSupply'!$Y$8:$AC$47,4,0)</f>
        <v>0.78640164941906154</v>
      </c>
      <c r="AB53" s="159">
        <f>VLOOKUP($Z$13,'Gasoline - DemandSupply'!$AI$9:$AM$48,4,0)</f>
        <v>0.32307643447162065</v>
      </c>
      <c r="AC53" s="159">
        <f>VLOOKUP($Z$53,'Diesel - DemandSupply'!$AT$10:$AX$49,4,0)</f>
        <v>0.84048026570335088</v>
      </c>
    </row>
    <row r="54" spans="26:43" x14ac:dyDescent="0.6">
      <c r="Z54" s="156" t="s">
        <v>444</v>
      </c>
      <c r="AA54" s="156" t="s">
        <v>113</v>
      </c>
      <c r="AB54" s="156" t="s">
        <v>111</v>
      </c>
      <c r="AC54" s="156" t="s">
        <v>112</v>
      </c>
      <c r="AD54" s="151" t="s">
        <v>52</v>
      </c>
    </row>
    <row r="55" spans="26:43" x14ac:dyDescent="0.6">
      <c r="Z55" s="106" t="s">
        <v>198</v>
      </c>
      <c r="AA55" s="130">
        <f>INDEX('Jet - DemandSupply'!$AS$10:$AX$38,MATCH($Z$53,'Jet - DemandSupply'!$AS$10:$AS$38,0),MATCH($Z55,'Jet - DemandSupply'!$AS$10:$AX$10,0))*AA$53/365*SUM($AA$4:$AA$6)</f>
        <v>17316417.965707261</v>
      </c>
      <c r="AB55" s="130">
        <f>INDEX('Gasoline - DemandSupply'!$BC$10:$BH$38,MATCH($Z$53,'Gasoline - DemandSupply'!$BC$10:$BC$38,0),MATCH($Z55,'Gasoline - DemandSupply'!$BC$10:$BH$10,0))*AB$53/365*SUM($AA$4:$AA$6)</f>
        <v>85292506.847198755</v>
      </c>
      <c r="AC55" s="130">
        <f>INDEX('Diesel - DemandSupply'!$BO$10:$BT$38,MATCH($Z$13,'Diesel - DemandSupply'!$BO$10:$BO$38,0),MATCH($Z55,'Diesel - DemandSupply'!$BO$10:$BT$10,0))*AC$53/365*SUM($AA$4:$AA$6)</f>
        <v>503867846.59824479</v>
      </c>
      <c r="AD55" s="224">
        <f>SUM(AA55:AC55)</f>
        <v>606476771.41115081</v>
      </c>
    </row>
    <row r="56" spans="26:43" x14ac:dyDescent="0.6">
      <c r="Z56" s="106" t="s">
        <v>199</v>
      </c>
      <c r="AA56" s="130">
        <f>INDEX('Jet - DemandSupply'!$AS$10:$AX$38,MATCH($Z$53,'Jet - DemandSupply'!$AS$10:$AS$38,0),MATCH($Z56,'Jet - DemandSupply'!$AS$10:$AX$10,0))*AA$53/365*SUM($AA$4:$AA$6)</f>
        <v>204127580.59131995</v>
      </c>
      <c r="AB56" s="130">
        <f>INDEX('Gasoline - DemandSupply'!$BC$10:$BH$38,MATCH($Z$53,'Gasoline - DemandSupply'!$BC$10:$BC$38,0),MATCH($Z56,'Gasoline - DemandSupply'!$BC$10:$BH$10,0))*AB$53/365*SUM($AA$4:$AA$6)</f>
        <v>145223490.47655445</v>
      </c>
      <c r="AC56" s="130">
        <f>INDEX('Diesel - DemandSupply'!$BO$10:$BT$38,MATCH($Z$13,'Diesel - DemandSupply'!$BO$10:$BO$38,0),MATCH($Z56,'Diesel - DemandSupply'!$BO$10:$BT$10,0))*AC$53/365*SUM($AA$4:$AA$6)</f>
        <v>439612594.46105623</v>
      </c>
      <c r="AD56" s="224">
        <f t="shared" ref="AD56:AD59" si="41">SUM(AA56:AC56)</f>
        <v>788963665.52893066</v>
      </c>
    </row>
    <row r="57" spans="26:43" x14ac:dyDescent="0.6">
      <c r="Z57" s="106" t="s">
        <v>97</v>
      </c>
      <c r="AA57" s="130">
        <f>INDEX('Jet - DemandSupply'!$AS$10:$AX$38,MATCH($Z$53,'Jet - DemandSupply'!$AS$10:$AS$38,0),MATCH($Z57,'Jet - DemandSupply'!$AS$10:$AX$10,0))*AA$53/365*SUM($AA$4:$AA$6)</f>
        <v>22819396.957004409</v>
      </c>
      <c r="AB57" s="130">
        <f>INDEX('Gasoline - DemandSupply'!$BC$10:$BH$38,MATCH($Z$53,'Gasoline - DemandSupply'!$BC$10:$BC$38,0),MATCH($Z57,'Gasoline - DemandSupply'!$BC$10:$BH$10,0))*AB$53/365*SUM($AA$4:$AA$6)</f>
        <v>62856768.406387776</v>
      </c>
      <c r="AC57" s="130">
        <f>INDEX('Diesel - DemandSupply'!$BO$10:$BT$38,MATCH($Z$13,'Diesel - DemandSupply'!$BO$10:$BO$38,0),MATCH($Z57,'Diesel - DemandSupply'!$BO$10:$BT$10,0))*AC$53/365*SUM($AA$4:$AA$6)</f>
        <v>336566672.40395421</v>
      </c>
      <c r="AD57" s="224">
        <f t="shared" si="41"/>
        <v>422242837.76734638</v>
      </c>
    </row>
    <row r="58" spans="26:43" x14ac:dyDescent="0.6">
      <c r="Z58" s="106" t="s">
        <v>200</v>
      </c>
      <c r="AA58" s="130">
        <f>INDEX('Jet - DemandSupply'!$AS$10:$AX$38,MATCH($Z$53,'Jet - DemandSupply'!$AS$10:$AS$38,0),MATCH($Z58,'Jet - DemandSupply'!$AS$10:$AX$10,0))*AA$53/365*SUM($AA$4:$AA$6)</f>
        <v>99501487.889013231</v>
      </c>
      <c r="AB58" s="130">
        <f>INDEX('Gasoline - DemandSupply'!$BC$10:$BH$38,MATCH($Z$53,'Gasoline - DemandSupply'!$BC$10:$BC$38,0),MATCH($Z58,'Gasoline - DemandSupply'!$BC$10:$BH$10,0))*AB$53/365*SUM($AA$4:$AA$6)</f>
        <v>29790602.364871517</v>
      </c>
      <c r="AC58" s="130">
        <f>INDEX('Diesel - DemandSupply'!$BO$10:$BT$38,MATCH($Z$13,'Diesel - DemandSupply'!$BO$10:$BO$38,0),MATCH($Z58,'Diesel - DemandSupply'!$BO$10:$BT$10,0))*AC$53/365*SUM($AA$4:$AA$6)</f>
        <v>131436219.28581035</v>
      </c>
      <c r="AD58" s="224">
        <f t="shared" si="41"/>
        <v>260728309.53969508</v>
      </c>
    </row>
    <row r="59" spans="26:43" x14ac:dyDescent="0.6">
      <c r="Z59" s="106" t="s">
        <v>201</v>
      </c>
      <c r="AA59" s="130">
        <f>INDEX('Jet - DemandSupply'!$AS$10:$AX$38,MATCH($Z$53,'Jet - DemandSupply'!$AS$10:$AS$38,0),MATCH($Z59,'Jet - DemandSupply'!$AS$10:$AX$10,0))*AA$53/365*SUM($AA$4:$AA$6)</f>
        <v>69023112.644842193</v>
      </c>
      <c r="AB59" s="130">
        <f>INDEX('Gasoline - DemandSupply'!$BC$10:$BH$38,MATCH($Z$53,'Gasoline - DemandSupply'!$BC$10:$BC$38,0),MATCH($Z59,'Gasoline - DemandSupply'!$BC$10:$BH$10,0))*AB$53/365*SUM($AA$4:$AA$6)</f>
        <v>66360616.392539412</v>
      </c>
      <c r="AC59" s="130">
        <f>INDEX('Diesel - DemandSupply'!$BO$10:$BT$38,MATCH($Z$13,'Diesel - DemandSupply'!$BO$10:$BO$38,0),MATCH($Z59,'Diesel - DemandSupply'!$BO$10:$BT$10,0))*AC$53/365*SUM($AA$4:$AA$6)</f>
        <v>366179284.83567995</v>
      </c>
      <c r="AD59" s="224">
        <f t="shared" si="41"/>
        <v>501563013.87306154</v>
      </c>
    </row>
    <row r="61" spans="26:43" x14ac:dyDescent="0.6">
      <c r="Z61" s="156" t="s">
        <v>444</v>
      </c>
      <c r="AA61" s="156" t="s">
        <v>113</v>
      </c>
      <c r="AB61" s="156" t="s">
        <v>111</v>
      </c>
      <c r="AC61" s="156" t="s">
        <v>112</v>
      </c>
      <c r="AD61" s="151" t="s">
        <v>52</v>
      </c>
    </row>
    <row r="62" spans="26:43" x14ac:dyDescent="0.6">
      <c r="Z62" s="106" t="s">
        <v>198</v>
      </c>
      <c r="AA62" s="130">
        <f>INDEX('Jet - DemandSupply'!$AS$10:$AX$38,MATCH($Z$53,'Jet - DemandSupply'!$AS$10:$AS$38,0),MATCH($Z62,'Jet - DemandSupply'!$AS$10:$AX$10,0))*(1-AA$53)/365*SUM($AA$4,20)</f>
        <v>2515769.9148373799</v>
      </c>
      <c r="AB62" s="130">
        <f>INDEX('Gasoline - DemandSupply'!$BC$10:$BH$38,MATCH($Z$53,'Gasoline - DemandSupply'!$BC$10:$BC$38,0),MATCH($Z62,'Gasoline - DemandSupply'!$BC$10:$BH$10,0))*(1-AB$53)/365*SUM($AA$4,20)</f>
        <v>95588272.173696384</v>
      </c>
      <c r="AC62" s="130">
        <f>INDEX('Diesel - DemandSupply'!$BO$10:$BT$38,MATCH($Z$13,'Diesel - DemandSupply'!$BO$10:$BO$38,0),MATCH($Z62,'Diesel - DemandSupply'!$BO$10:$BT$10,0))*(1-AC$53)/365*SUM($AA$4,20)</f>
        <v>51152035.791424029</v>
      </c>
      <c r="AD62" s="224">
        <f>SUM(AA62:AC62)</f>
        <v>149256077.8799578</v>
      </c>
    </row>
    <row r="63" spans="26:43" x14ac:dyDescent="0.6">
      <c r="Z63" s="106" t="s">
        <v>199</v>
      </c>
      <c r="AA63" s="130">
        <f>INDEX('Jet - DemandSupply'!$AS$10:$AX$38,MATCH($Z$53,'Jet - DemandSupply'!$AS$10:$AS$38,0),MATCH($Z63,'Jet - DemandSupply'!$AS$10:$AX$10,0))*(1-AA$53)/365*SUM($AA$4,20)</f>
        <v>29656134.834419891</v>
      </c>
      <c r="AB63" s="130">
        <f>INDEX('Gasoline - DemandSupply'!$BC$10:$BH$38,MATCH($Z$53,'Gasoline - DemandSupply'!$BC$10:$BC$38,0),MATCH($Z63,'Gasoline - DemandSupply'!$BC$10:$BH$10,0))*(1-AB$53)/365*SUM($AA$4,20)</f>
        <v>162753599.8977735</v>
      </c>
      <c r="AC63" s="130">
        <f>INDEX('Diesel - DemandSupply'!$BO$10:$BT$38,MATCH($Z$13,'Diesel - DemandSupply'!$BO$10:$BO$38,0),MATCH($Z63,'Diesel - DemandSupply'!$BO$10:$BT$10,0))*(1-AC$53)/365*SUM($AA$4,20)</f>
        <v>44628922.678931378</v>
      </c>
      <c r="AD63" s="224">
        <f t="shared" ref="AD63:AD66" si="42">SUM(AA63:AC63)</f>
        <v>237038657.4111248</v>
      </c>
    </row>
    <row r="64" spans="26:43" x14ac:dyDescent="0.6">
      <c r="Z64" s="106" t="s">
        <v>97</v>
      </c>
      <c r="AA64" s="130">
        <f>INDEX('Jet - DemandSupply'!$AS$10:$AX$38,MATCH($Z$53,'Jet - DemandSupply'!$AS$10:$AS$38,0),MATCH($Z64,'Jet - DemandSupply'!$AS$10:$AX$10,0))*(1-AA$53)/365*SUM($AA$4,20)</f>
        <v>3315255.6407943349</v>
      </c>
      <c r="AB64" s="130">
        <f>INDEX('Gasoline - DemandSupply'!$BC$10:$BH$38,MATCH($Z$53,'Gasoline - DemandSupply'!$BC$10:$BC$38,0),MATCH($Z64,'Gasoline - DemandSupply'!$BC$10:$BH$10,0))*(1-AB$53)/365*SUM($AA$4,20)</f>
        <v>70444287.645956621</v>
      </c>
      <c r="AC64" s="130">
        <f>INDEX('Diesel - DemandSupply'!$BO$10:$BT$38,MATCH($Z$13,'Diesel - DemandSupply'!$BO$10:$BO$38,0),MATCH($Z64,'Diesel - DemandSupply'!$BO$10:$BT$10,0))*(1-AC$53)/365*SUM($AA$4,20)</f>
        <v>34167829.102885097</v>
      </c>
      <c r="AD64" s="224">
        <f t="shared" si="42"/>
        <v>107927372.38963605</v>
      </c>
    </row>
    <row r="65" spans="26:32" x14ac:dyDescent="0.6">
      <c r="Z65" s="106" t="s">
        <v>200</v>
      </c>
      <c r="AA65" s="130">
        <f>INDEX('Jet - DemandSupply'!$AS$10:$AX$38,MATCH($Z$53,'Jet - DemandSupply'!$AS$10:$AS$38,0),MATCH($Z65,'Jet - DemandSupply'!$AS$10:$AX$10,0))*(1-AA$53)/365*SUM($AA$4,20)</f>
        <v>14455810.099321045</v>
      </c>
      <c r="AB65" s="130">
        <f>INDEX('Gasoline - DemandSupply'!$BC$10:$BH$38,MATCH($Z$53,'Gasoline - DemandSupply'!$BC$10:$BC$38,0),MATCH($Z65,'Gasoline - DemandSupply'!$BC$10:$BH$10,0))*(1-AB$53)/365*SUM($AA$4,20)</f>
        <v>33386663.287705041</v>
      </c>
      <c r="AC65" s="130">
        <f>INDEX('Diesel - DemandSupply'!$BO$10:$BT$38,MATCH($Z$13,'Diesel - DemandSupply'!$BO$10:$BO$38,0),MATCH($Z65,'Diesel - DemandSupply'!$BO$10:$BT$10,0))*(1-AC$53)/365*SUM($AA$4,20)</f>
        <v>13343241.166483771</v>
      </c>
      <c r="AD65" s="224">
        <f t="shared" si="42"/>
        <v>61185714.553509861</v>
      </c>
    </row>
    <row r="66" spans="26:32" x14ac:dyDescent="0.6">
      <c r="Z66" s="106" t="s">
        <v>201</v>
      </c>
      <c r="AA66" s="130">
        <f>INDEX('Jet - DemandSupply'!$AS$10:$AX$38,MATCH($Z$53,'Jet - DemandSupply'!$AS$10:$AS$38,0),MATCH($Z66,'Jet - DemandSupply'!$AS$10:$AX$10,0))*(1-AA$53)/365*SUM($AA$4,20)</f>
        <v>10027840.085877324</v>
      </c>
      <c r="AB66" s="130">
        <f>INDEX('Gasoline - DemandSupply'!$BC$10:$BH$38,MATCH($Z$53,'Gasoline - DemandSupply'!$BC$10:$BC$38,0),MATCH($Z66,'Gasoline - DemandSupply'!$BC$10:$BH$10,0))*(1-AB$53)/365*SUM($AA$4,20)</f>
        <v>74371089.510926321</v>
      </c>
      <c r="AC66" s="130">
        <f>INDEX('Diesel - DemandSupply'!$BO$10:$BT$38,MATCH($Z$13,'Diesel - DemandSupply'!$BO$10:$BO$38,0),MATCH($Z66,'Diesel - DemandSupply'!$BO$10:$BT$10,0))*(1-AC$53)/365*SUM($AA$4,20)</f>
        <v>37174064.609301478</v>
      </c>
      <c r="AD66" s="224">
        <f t="shared" si="42"/>
        <v>121572994.20610513</v>
      </c>
    </row>
    <row r="70" spans="26:32" x14ac:dyDescent="0.6">
      <c r="Z70" s="156" t="s">
        <v>444</v>
      </c>
      <c r="AA70" s="156" t="s">
        <v>113</v>
      </c>
      <c r="AB70" s="156" t="s">
        <v>111</v>
      </c>
      <c r="AC70" s="156" t="s">
        <v>112</v>
      </c>
      <c r="AD70" s="151" t="s">
        <v>52</v>
      </c>
      <c r="AE70" s="151"/>
      <c r="AF70" s="151" t="s">
        <v>484</v>
      </c>
    </row>
    <row r="71" spans="26:32" x14ac:dyDescent="0.6">
      <c r="Z71" s="106" t="s">
        <v>485</v>
      </c>
      <c r="AA71" s="130">
        <f>SUM(AA55:AA57)+SUM(AA62:AA64)</f>
        <v>279750555.90408325</v>
      </c>
      <c r="AB71" s="130">
        <f t="shared" ref="AB71:AD71" si="43">SUM(AB55:AB57)+SUM(AB62:AB64)</f>
        <v>622158925.44756746</v>
      </c>
      <c r="AC71" s="130">
        <f t="shared" si="43"/>
        <v>1409995901.0364957</v>
      </c>
      <c r="AD71" s="130">
        <f t="shared" si="43"/>
        <v>2311905382.3881464</v>
      </c>
      <c r="AE71" s="130"/>
      <c r="AF71" s="130">
        <f>AD71-SUM(AP24:AP26)</f>
        <v>378695177.3881464</v>
      </c>
    </row>
    <row r="72" spans="26:32" x14ac:dyDescent="0.6">
      <c r="Z72" s="106" t="s">
        <v>200</v>
      </c>
      <c r="AA72" s="130">
        <f>AA58+AA65</f>
        <v>113957297.98833427</v>
      </c>
      <c r="AB72" s="130">
        <f t="shared" ref="AB72:AD72" si="44">AB58+AB65</f>
        <v>63177265.652576558</v>
      </c>
      <c r="AC72" s="130">
        <f t="shared" si="44"/>
        <v>144779460.45229411</v>
      </c>
      <c r="AD72" s="130">
        <f t="shared" si="44"/>
        <v>321914024.09320498</v>
      </c>
      <c r="AE72" s="130"/>
      <c r="AF72" s="130">
        <f>AD72-AP27</f>
        <v>102945024.09320498</v>
      </c>
    </row>
    <row r="73" spans="26:32" x14ac:dyDescent="0.6">
      <c r="Z73" s="106" t="s">
        <v>486</v>
      </c>
      <c r="AA73" s="130">
        <f>AA59+AA66</f>
        <v>79050952.730719522</v>
      </c>
      <c r="AB73" s="130">
        <f t="shared" ref="AB73:AD73" si="45">AB59+AB66</f>
        <v>140731705.90346575</v>
      </c>
      <c r="AC73" s="130">
        <f t="shared" si="45"/>
        <v>403353349.44498146</v>
      </c>
      <c r="AD73" s="130">
        <f t="shared" si="45"/>
        <v>623136008.07916665</v>
      </c>
      <c r="AE73" s="130"/>
      <c r="AF73" s="130">
        <f>AD73-AP28</f>
        <v>311874968.07916665</v>
      </c>
    </row>
  </sheetData>
  <mergeCells count="35">
    <mergeCell ref="B30:B31"/>
    <mergeCell ref="C30:C31"/>
    <mergeCell ref="D30:E30"/>
    <mergeCell ref="F30:G30"/>
    <mergeCell ref="H30:J30"/>
    <mergeCell ref="B32:B35"/>
    <mergeCell ref="B36:B39"/>
    <mergeCell ref="B40:B43"/>
    <mergeCell ref="Z41:AD41"/>
    <mergeCell ref="AF41:AJ41"/>
    <mergeCell ref="B3:K3"/>
    <mergeCell ref="D20:F20"/>
    <mergeCell ref="G20:I20"/>
    <mergeCell ref="G14:G18"/>
    <mergeCell ref="Z12:AD12"/>
    <mergeCell ref="Z10:AJ10"/>
    <mergeCell ref="M3:V3"/>
    <mergeCell ref="N4:Q4"/>
    <mergeCell ref="R4:V4"/>
    <mergeCell ref="O20:Q20"/>
    <mergeCell ref="R20:T20"/>
    <mergeCell ref="AF21:AJ21"/>
    <mergeCell ref="AL21:AP21"/>
    <mergeCell ref="AS40:AW40"/>
    <mergeCell ref="C4:F4"/>
    <mergeCell ref="G4:K4"/>
    <mergeCell ref="AF12:AJ12"/>
    <mergeCell ref="Z21:AD21"/>
    <mergeCell ref="AS30:AV30"/>
    <mergeCell ref="Z32:AD32"/>
    <mergeCell ref="AF32:AJ32"/>
    <mergeCell ref="Z30:AJ30"/>
    <mergeCell ref="AP33:AR34"/>
    <mergeCell ref="AL30:AO30"/>
    <mergeCell ref="AL40:AQ40"/>
  </mergeCells>
  <conditionalFormatting sqref="H32:J4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{3B2E16D5-D9E9-420C-852A-723FAC64789E}</x14:id>
        </ext>
      </extLst>
    </cfRule>
  </conditionalFormatting>
  <pageMargins left="0.7" right="0.7" top="0.75" bottom="0.75" header="0.3" footer="0.3"/>
  <pageSetup orientation="portrait" horizontalDpi="300" verticalDpi="300" r:id="rId1"/>
  <ignoredErrors>
    <ignoredError sqref="O24:Q25 D24:F24" formula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2E16D5-D9E9-420C-852A-723FAC6478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H32:J43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D95A9C3-4F08-4A66-9DB3-426F6813C215}">
          <x14:formula1>
            <xm:f>'Supply Forecast'!$B$17:$B$45</xm:f>
          </x14:formula1>
          <xm:sqref>C2 AL31 Z33 Z42 Z13 Z22 Z53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2DC4-1026-47A7-90C9-5F6DED64BCD5}">
  <sheetPr>
    <tabColor rgb="FFFF0000"/>
  </sheetPr>
  <dimension ref="B2:C2"/>
  <sheetViews>
    <sheetView workbookViewId="0"/>
  </sheetViews>
  <sheetFormatPr defaultRowHeight="14.25" x14ac:dyDescent="0.45"/>
  <sheetData>
    <row r="2" spans="2:3" ht="15.75" x14ac:dyDescent="0.45">
      <c r="B2" s="200">
        <v>2040</v>
      </c>
      <c r="C2" s="200" t="s">
        <v>113</v>
      </c>
    </row>
  </sheetData>
  <dataValidations count="1">
    <dataValidation type="list" allowBlank="1" showInputMessage="1" showErrorMessage="1" sqref="C2" xr:uid="{264CF386-8CB9-49F0-9FD0-2FFE5FD587FB}">
      <formula1>$B$4:$B$7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7B03A4-A087-4D00-A98E-26C3593EC5A5}">
          <x14:formula1>
            <xm:f>'Supply Forecast'!$B$17:$B$45</xm:f>
          </x14:formula1>
          <xm:sqref>B2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725D-ED05-4FC6-B476-D844D297F8F0}">
  <sheetPr>
    <tabColor theme="5" tint="0.39997558519241921"/>
  </sheetPr>
  <dimension ref="A1:BQ69"/>
  <sheetViews>
    <sheetView zoomScale="48" zoomScaleNormal="55" workbookViewId="0">
      <selection activeCell="B30" sqref="B30"/>
    </sheetView>
  </sheetViews>
  <sheetFormatPr defaultRowHeight="14.25" x14ac:dyDescent="0.45"/>
  <cols>
    <col min="1" max="1" width="21.86328125" customWidth="1"/>
    <col min="2" max="2" width="16" customWidth="1"/>
    <col min="3" max="3" width="16.86328125" customWidth="1"/>
    <col min="4" max="4" width="16.3984375" customWidth="1"/>
    <col min="5" max="5" width="17.1328125" customWidth="1"/>
    <col min="6" max="6" width="19.86328125" customWidth="1"/>
    <col min="7" max="7" width="14.86328125" customWidth="1"/>
    <col min="8" max="8" width="17.59765625" bestFit="1" customWidth="1"/>
    <col min="9" max="9" width="17.86328125" customWidth="1"/>
    <col min="10" max="10" width="18.59765625" customWidth="1"/>
    <col min="11" max="11" width="14.59765625" bestFit="1" customWidth="1"/>
    <col min="12" max="12" width="8.86328125" customWidth="1"/>
    <col min="22" max="22" width="1.3984375" style="320" customWidth="1"/>
    <col min="26" max="26" width="14.86328125" customWidth="1"/>
    <col min="27" max="27" width="26" bestFit="1" customWidth="1"/>
    <col min="28" max="28" width="12.59765625" customWidth="1"/>
    <col min="29" max="29" width="17.3984375" customWidth="1"/>
    <col min="30" max="30" width="17.59765625" bestFit="1" customWidth="1"/>
  </cols>
  <sheetData>
    <row r="1" spans="1:30" ht="14.65" thickBot="1" x14ac:dyDescent="0.5"/>
    <row r="2" spans="1:30" ht="14.65" thickBot="1" x14ac:dyDescent="0.5">
      <c r="E2" t="s">
        <v>487</v>
      </c>
      <c r="K2" t="s">
        <v>488</v>
      </c>
      <c r="Z2" s="316" t="s">
        <v>489</v>
      </c>
      <c r="AA2" s="319" t="s">
        <v>490</v>
      </c>
      <c r="AB2" t="s">
        <v>491</v>
      </c>
    </row>
    <row r="3" spans="1:30" ht="14.65" thickBot="1" x14ac:dyDescent="0.5">
      <c r="Z3" s="317" t="s">
        <v>139</v>
      </c>
      <c r="AA3" s="315">
        <v>2110</v>
      </c>
      <c r="AB3" s="315">
        <f>AA3/10000</f>
        <v>0.21099999999999999</v>
      </c>
      <c r="AC3" s="315">
        <f>AB3*20000</f>
        <v>4220</v>
      </c>
      <c r="AD3" s="315">
        <f>AB3*30000</f>
        <v>6330</v>
      </c>
    </row>
    <row r="4" spans="1:30" ht="14.65" thickBot="1" x14ac:dyDescent="0.5">
      <c r="A4" t="s">
        <v>465</v>
      </c>
      <c r="Z4" s="317" t="s">
        <v>98</v>
      </c>
      <c r="AA4" s="315">
        <v>2589</v>
      </c>
      <c r="AB4" s="315">
        <f t="shared" ref="AB4:AB12" si="0">AA4/10000</f>
        <v>0.25890000000000002</v>
      </c>
      <c r="AC4" s="315">
        <f t="shared" ref="AC4:AC12" si="1">AB4*20000</f>
        <v>5178</v>
      </c>
      <c r="AD4" s="315">
        <f t="shared" ref="AD4:AD12" si="2">AB4*30000</f>
        <v>7767.0000000000009</v>
      </c>
    </row>
    <row r="5" spans="1:30" ht="14.65" thickBot="1" x14ac:dyDescent="0.5">
      <c r="A5" t="s">
        <v>444</v>
      </c>
      <c r="B5" t="s">
        <v>113</v>
      </c>
      <c r="C5" t="s">
        <v>111</v>
      </c>
      <c r="D5" t="s">
        <v>112</v>
      </c>
      <c r="E5" t="s">
        <v>52</v>
      </c>
      <c r="Z5" s="317" t="s">
        <v>220</v>
      </c>
      <c r="AA5" s="315">
        <v>10989</v>
      </c>
      <c r="AB5" s="315">
        <f t="shared" si="0"/>
        <v>1.0989</v>
      </c>
      <c r="AC5" s="315">
        <f t="shared" si="1"/>
        <v>21978</v>
      </c>
      <c r="AD5" s="315">
        <f t="shared" si="2"/>
        <v>32967</v>
      </c>
    </row>
    <row r="6" spans="1:30" ht="14.65" thickBot="1" x14ac:dyDescent="0.5">
      <c r="A6" t="s">
        <v>198</v>
      </c>
      <c r="B6">
        <v>434000</v>
      </c>
      <c r="C6">
        <v>92840860</v>
      </c>
      <c r="D6">
        <v>104698445</v>
      </c>
      <c r="E6">
        <v>197973305</v>
      </c>
      <c r="Z6" s="317" t="s">
        <v>492</v>
      </c>
      <c r="AA6" s="315">
        <v>4994</v>
      </c>
      <c r="AB6" s="315">
        <f t="shared" si="0"/>
        <v>0.49940000000000001</v>
      </c>
      <c r="AC6" s="315">
        <f t="shared" si="1"/>
        <v>9988</v>
      </c>
      <c r="AD6" s="315">
        <f t="shared" si="2"/>
        <v>14982</v>
      </c>
    </row>
    <row r="7" spans="1:30" ht="14.65" thickBot="1" x14ac:dyDescent="0.5">
      <c r="A7" t="s">
        <v>199</v>
      </c>
      <c r="B7">
        <v>60020000</v>
      </c>
      <c r="C7">
        <v>266720000</v>
      </c>
      <c r="D7">
        <v>237271000</v>
      </c>
      <c r="E7">
        <v>564011000</v>
      </c>
      <c r="Z7" s="317" t="s">
        <v>455</v>
      </c>
      <c r="AA7" s="315">
        <v>2685</v>
      </c>
      <c r="AB7" s="315">
        <f t="shared" si="0"/>
        <v>0.26850000000000002</v>
      </c>
      <c r="AC7" s="315">
        <f t="shared" si="1"/>
        <v>5370</v>
      </c>
      <c r="AD7" s="315">
        <f t="shared" si="2"/>
        <v>8055.0000000000009</v>
      </c>
    </row>
    <row r="8" spans="1:30" ht="14.65" thickBot="1" x14ac:dyDescent="0.5">
      <c r="A8" t="s">
        <v>97</v>
      </c>
      <c r="B8">
        <v>69557000</v>
      </c>
      <c r="C8">
        <v>342905700</v>
      </c>
      <c r="D8">
        <v>445563400</v>
      </c>
      <c r="E8">
        <v>858026100</v>
      </c>
      <c r="Z8" s="317" t="s">
        <v>215</v>
      </c>
      <c r="AA8" s="315">
        <v>4634</v>
      </c>
      <c r="AB8" s="315">
        <f t="shared" si="0"/>
        <v>0.46339999999999998</v>
      </c>
      <c r="AC8" s="315">
        <f t="shared" si="1"/>
        <v>9268</v>
      </c>
      <c r="AD8" s="315">
        <f t="shared" si="2"/>
        <v>13902</v>
      </c>
    </row>
    <row r="9" spans="1:30" ht="14.65" thickBot="1" x14ac:dyDescent="0.5">
      <c r="A9" t="s">
        <v>200</v>
      </c>
      <c r="B9">
        <v>18261000</v>
      </c>
      <c r="C9">
        <v>76147000</v>
      </c>
      <c r="D9">
        <v>69922000</v>
      </c>
      <c r="E9">
        <v>164330000</v>
      </c>
      <c r="Z9" s="317" t="s">
        <v>221</v>
      </c>
      <c r="AA9" s="315">
        <v>638</v>
      </c>
      <c r="AB9" s="315">
        <f t="shared" si="0"/>
        <v>6.3799999999999996E-2</v>
      </c>
      <c r="AC9" s="315">
        <f t="shared" si="1"/>
        <v>1276</v>
      </c>
      <c r="AD9" s="315">
        <f t="shared" si="2"/>
        <v>1913.9999999999998</v>
      </c>
    </row>
    <row r="10" spans="1:30" ht="14.65" thickBot="1" x14ac:dyDescent="0.5">
      <c r="A10" t="s">
        <v>201</v>
      </c>
      <c r="B10">
        <v>29432739.999999996</v>
      </c>
      <c r="C10">
        <v>125503500</v>
      </c>
      <c r="D10">
        <v>156324800.00000003</v>
      </c>
      <c r="E10">
        <v>311261040</v>
      </c>
      <c r="Z10" s="317" t="s">
        <v>454</v>
      </c>
      <c r="AA10" s="315">
        <v>2754</v>
      </c>
      <c r="AB10" s="315">
        <f t="shared" si="0"/>
        <v>0.27539999999999998</v>
      </c>
      <c r="AC10" s="315">
        <f t="shared" si="1"/>
        <v>5508</v>
      </c>
      <c r="AD10" s="315">
        <f t="shared" si="2"/>
        <v>8262</v>
      </c>
    </row>
    <row r="11" spans="1:30" ht="14.65" thickBot="1" x14ac:dyDescent="0.5">
      <c r="Z11" s="317" t="s">
        <v>213</v>
      </c>
      <c r="AA11" s="315">
        <v>4060</v>
      </c>
      <c r="AB11" s="315">
        <f t="shared" si="0"/>
        <v>0.40600000000000003</v>
      </c>
      <c r="AC11" s="315">
        <f t="shared" si="1"/>
        <v>8120.0000000000009</v>
      </c>
      <c r="AD11" s="315">
        <f t="shared" si="2"/>
        <v>12180</v>
      </c>
    </row>
    <row r="12" spans="1:30" ht="26.65" thickBot="1" x14ac:dyDescent="0.5">
      <c r="A12" t="s">
        <v>437</v>
      </c>
      <c r="G12" t="s">
        <v>493</v>
      </c>
      <c r="Z12" s="318" t="s">
        <v>494</v>
      </c>
      <c r="AA12" s="315">
        <v>2944</v>
      </c>
      <c r="AB12" s="315">
        <f t="shared" si="0"/>
        <v>0.2944</v>
      </c>
      <c r="AC12" s="315">
        <f t="shared" si="1"/>
        <v>5888</v>
      </c>
      <c r="AD12" s="315">
        <f t="shared" si="2"/>
        <v>8832</v>
      </c>
    </row>
    <row r="13" spans="1:30" ht="14.65" thickTop="1" x14ac:dyDescent="0.45">
      <c r="A13">
        <v>2024</v>
      </c>
      <c r="G13">
        <v>2024</v>
      </c>
    </row>
    <row r="14" spans="1:30" x14ac:dyDescent="0.45">
      <c r="A14" t="s">
        <v>444</v>
      </c>
      <c r="B14" t="s">
        <v>113</v>
      </c>
      <c r="C14" t="s">
        <v>111</v>
      </c>
      <c r="D14" t="s">
        <v>112</v>
      </c>
      <c r="G14" t="s">
        <v>444</v>
      </c>
      <c r="H14" t="s">
        <v>113</v>
      </c>
      <c r="I14" t="s">
        <v>111</v>
      </c>
      <c r="J14" t="s">
        <v>112</v>
      </c>
    </row>
    <row r="15" spans="1:30" x14ac:dyDescent="0.45">
      <c r="A15" t="s">
        <v>198</v>
      </c>
      <c r="B15">
        <v>6.5075641053893879E-2</v>
      </c>
      <c r="C15">
        <v>0.53165851139559472</v>
      </c>
      <c r="D15">
        <v>0.22092809829538373</v>
      </c>
      <c r="G15" t="s">
        <v>198</v>
      </c>
      <c r="H15">
        <v>6.7959696237848768E-2</v>
      </c>
      <c r="I15">
        <v>0.542542817197746</v>
      </c>
      <c r="J15">
        <v>0.29586455205353546</v>
      </c>
    </row>
    <row r="16" spans="1:30" x14ac:dyDescent="0.45">
      <c r="A16" t="s">
        <v>199</v>
      </c>
      <c r="B16">
        <v>0.76345085926959977</v>
      </c>
      <c r="C16">
        <v>0.91161282217143214</v>
      </c>
      <c r="D16">
        <v>0.59859639901795658</v>
      </c>
      <c r="G16" t="s">
        <v>199</v>
      </c>
      <c r="H16">
        <v>0.79728586070351259</v>
      </c>
      <c r="I16">
        <v>0.93027569037912861</v>
      </c>
      <c r="J16">
        <v>0.8016339108641467</v>
      </c>
    </row>
    <row r="17" spans="1:69" x14ac:dyDescent="0.45">
      <c r="A17" t="s">
        <v>97</v>
      </c>
      <c r="B17">
        <v>7.9144996575502997</v>
      </c>
      <c r="C17">
        <v>2.6991638046728186</v>
      </c>
      <c r="D17">
        <v>1.4714914554867695</v>
      </c>
      <c r="G17" t="s">
        <v>97</v>
      </c>
      <c r="H17">
        <v>8.2652584575575609</v>
      </c>
      <c r="I17">
        <v>2.7544220646845674</v>
      </c>
      <c r="J17">
        <v>1.970605657167759</v>
      </c>
    </row>
    <row r="18" spans="1:69" x14ac:dyDescent="0.45">
      <c r="A18" t="s">
        <v>200</v>
      </c>
      <c r="B18">
        <v>0.47652069528351459</v>
      </c>
      <c r="C18">
        <v>1.2638180626367521</v>
      </c>
      <c r="D18">
        <v>0.59447329594607701</v>
      </c>
      <c r="G18" t="s">
        <v>200</v>
      </c>
      <c r="H18">
        <v>0.49763938054327306</v>
      </c>
      <c r="I18">
        <v>1.2896914042219589</v>
      </c>
      <c r="J18">
        <v>0.79611229522157145</v>
      </c>
    </row>
    <row r="19" spans="1:69" x14ac:dyDescent="0.45">
      <c r="A19" t="s">
        <v>201</v>
      </c>
      <c r="B19">
        <v>1.1071919999507398</v>
      </c>
      <c r="C19">
        <v>0.93672384001861453</v>
      </c>
      <c r="D19">
        <v>0.49427024310134848</v>
      </c>
      <c r="G19" t="s">
        <v>201</v>
      </c>
      <c r="H19">
        <v>1.1562610951663639</v>
      </c>
      <c r="I19">
        <v>0.95590079008786999</v>
      </c>
      <c r="J19">
        <v>0.6619214359644362</v>
      </c>
    </row>
    <row r="22" spans="1:69" x14ac:dyDescent="0.45">
      <c r="A22" t="s">
        <v>495</v>
      </c>
      <c r="G22" t="s">
        <v>496</v>
      </c>
    </row>
    <row r="23" spans="1:69" x14ac:dyDescent="0.45">
      <c r="A23">
        <v>2040</v>
      </c>
      <c r="G23">
        <v>2040</v>
      </c>
    </row>
    <row r="24" spans="1:69" ht="32.450000000000003" customHeight="1" x14ac:dyDescent="0.45">
      <c r="A24" t="s">
        <v>444</v>
      </c>
      <c r="B24" t="s">
        <v>113</v>
      </c>
      <c r="C24" t="s">
        <v>111</v>
      </c>
      <c r="D24" t="s">
        <v>112</v>
      </c>
      <c r="E24" t="s">
        <v>52</v>
      </c>
      <c r="F24" s="312" t="s">
        <v>497</v>
      </c>
      <c r="G24" t="s">
        <v>444</v>
      </c>
      <c r="H24" t="s">
        <v>113</v>
      </c>
      <c r="I24" t="s">
        <v>111</v>
      </c>
      <c r="J24" t="s">
        <v>112</v>
      </c>
      <c r="K24" t="s">
        <v>52</v>
      </c>
    </row>
    <row r="25" spans="1:69" x14ac:dyDescent="0.45">
      <c r="A25" t="s">
        <v>198</v>
      </c>
      <c r="B25" s="1">
        <v>1190331.3641329885</v>
      </c>
      <c r="C25" s="1">
        <v>103185583.18578576</v>
      </c>
      <c r="D25" s="1">
        <v>139764046.77152026</v>
      </c>
      <c r="E25" s="1">
        <v>244139961.321439</v>
      </c>
      <c r="F25" s="1">
        <v>46166656.321438998</v>
      </c>
      <c r="G25" s="54" t="s">
        <v>198</v>
      </c>
      <c r="H25" s="1">
        <v>626802.18672216288</v>
      </c>
      <c r="I25" s="1">
        <v>71997344.912497714</v>
      </c>
      <c r="J25" s="1">
        <v>130347371.96952708</v>
      </c>
      <c r="K25" s="1">
        <v>202971519.06874695</v>
      </c>
    </row>
    <row r="26" spans="1:69" s="100" customFormat="1" x14ac:dyDescent="0.45">
      <c r="A26" s="100" t="s">
        <v>199</v>
      </c>
      <c r="B26" s="307">
        <v>164616793.72180176</v>
      </c>
      <c r="C26" s="307">
        <v>296439075.93394524</v>
      </c>
      <c r="D26" s="307">
        <v>316737800.08409274</v>
      </c>
      <c r="E26" s="307">
        <v>777793669.73983979</v>
      </c>
      <c r="F26" s="307">
        <v>213782669.73983979</v>
      </c>
      <c r="G26" s="310" t="s">
        <v>199</v>
      </c>
      <c r="H26" s="307">
        <v>86683565.085401401</v>
      </c>
      <c r="I26" s="307">
        <v>206839228.2779521</v>
      </c>
      <c r="J26" s="307">
        <v>295397427.29303813</v>
      </c>
      <c r="K26" s="307">
        <v>588920220.65639162</v>
      </c>
      <c r="V26" s="320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 s="308" customFormat="1" x14ac:dyDescent="0.45">
      <c r="A27" s="308" t="s">
        <v>97</v>
      </c>
      <c r="B27" s="309">
        <v>190773914.04377481</v>
      </c>
      <c r="C27" s="309">
        <v>381113710.40972799</v>
      </c>
      <c r="D27" s="309">
        <v>594791487.85139632</v>
      </c>
      <c r="E27" s="309">
        <v>1166679112.3048992</v>
      </c>
      <c r="F27" s="309">
        <v>308653012.30489922</v>
      </c>
      <c r="G27" s="311" t="s">
        <v>97</v>
      </c>
      <c r="H27" s="309">
        <v>100457326.50192043</v>
      </c>
      <c r="I27" s="309">
        <v>265920629.72447118</v>
      </c>
      <c r="J27" s="309">
        <v>554717104.30663204</v>
      </c>
      <c r="K27" s="309">
        <v>921095060.5330236</v>
      </c>
      <c r="V27" s="320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 x14ac:dyDescent="0.45">
      <c r="A28" t="s">
        <v>200</v>
      </c>
      <c r="B28" s="1">
        <v>50084426.360443555</v>
      </c>
      <c r="C28" s="1">
        <v>84631622.357311517</v>
      </c>
      <c r="D28" s="1">
        <v>93340275.286402196</v>
      </c>
      <c r="E28" s="1">
        <v>228056324.00415727</v>
      </c>
      <c r="F28" s="1">
        <v>63726324.004157275</v>
      </c>
      <c r="G28" s="54" t="s">
        <v>200</v>
      </c>
      <c r="H28" s="1">
        <v>26373351.916436434</v>
      </c>
      <c r="I28" s="1">
        <v>59051389.905823402</v>
      </c>
      <c r="J28" s="1">
        <v>87051426.053684667</v>
      </c>
      <c r="K28" s="1">
        <v>172476167.8759445</v>
      </c>
    </row>
    <row r="29" spans="1:69" x14ac:dyDescent="0.45">
      <c r="A29" t="s">
        <v>201</v>
      </c>
      <c r="B29" s="1">
        <v>80725146.438644156</v>
      </c>
      <c r="C29" s="1">
        <v>139487633.34761506</v>
      </c>
      <c r="D29" s="1">
        <v>208681099.88403895</v>
      </c>
      <c r="E29" s="1">
        <v>428893879.67029822</v>
      </c>
      <c r="F29" s="1">
        <v>117632839.67029822</v>
      </c>
      <c r="G29" s="54" t="s">
        <v>201</v>
      </c>
      <c r="H29" s="1">
        <v>42508077.864573419</v>
      </c>
      <c r="I29" s="1">
        <v>97326961.180946171</v>
      </c>
      <c r="J29" s="1">
        <v>194621103.0513579</v>
      </c>
      <c r="K29" s="1">
        <v>334456142.09687746</v>
      </c>
    </row>
    <row r="30" spans="1:69" x14ac:dyDescent="0.45">
      <c r="H30" s="54"/>
      <c r="I30" s="54"/>
      <c r="J30" s="54"/>
      <c r="K30" s="54"/>
      <c r="Y30" t="s">
        <v>498</v>
      </c>
    </row>
    <row r="31" spans="1:69" x14ac:dyDescent="0.45">
      <c r="Y31" t="s">
        <v>499</v>
      </c>
    </row>
    <row r="32" spans="1:69" x14ac:dyDescent="0.45">
      <c r="Y32" t="s">
        <v>500</v>
      </c>
    </row>
    <row r="33" spans="2:25" x14ac:dyDescent="0.45">
      <c r="Y33" t="s">
        <v>501</v>
      </c>
    </row>
    <row r="34" spans="2:25" x14ac:dyDescent="0.45">
      <c r="G34" s="313">
        <f>F26/1000/20000</f>
        <v>10.68913348699199</v>
      </c>
    </row>
    <row r="42" spans="2:25" x14ac:dyDescent="0.45">
      <c r="F42" s="215" t="s">
        <v>502</v>
      </c>
      <c r="G42" t="s">
        <v>503</v>
      </c>
      <c r="H42" s="313">
        <f>F26/1000</f>
        <v>213782.6697398398</v>
      </c>
      <c r="I42" t="s">
        <v>503</v>
      </c>
      <c r="J42" s="313">
        <f>F27/1000</f>
        <v>308653.01230489922</v>
      </c>
    </row>
    <row r="43" spans="2:25" x14ac:dyDescent="0.45">
      <c r="F43" s="215" t="s">
        <v>504</v>
      </c>
      <c r="G43" t="s">
        <v>505</v>
      </c>
      <c r="H43">
        <v>2030</v>
      </c>
      <c r="I43" t="s">
        <v>505</v>
      </c>
      <c r="J43">
        <v>2030</v>
      </c>
    </row>
    <row r="44" spans="2:25" x14ac:dyDescent="0.45">
      <c r="G44" t="s">
        <v>506</v>
      </c>
      <c r="H44">
        <v>18</v>
      </c>
      <c r="I44" t="s">
        <v>506</v>
      </c>
      <c r="J44">
        <v>18</v>
      </c>
    </row>
    <row r="45" spans="2:25" x14ac:dyDescent="0.45">
      <c r="H45" t="s">
        <v>97</v>
      </c>
    </row>
    <row r="46" spans="2:25" x14ac:dyDescent="0.45">
      <c r="B46" s="301" t="s">
        <v>507</v>
      </c>
      <c r="C46" s="301" t="s">
        <v>508</v>
      </c>
      <c r="D46" s="301" t="s">
        <v>509</v>
      </c>
      <c r="E46" s="301" t="s">
        <v>510</v>
      </c>
      <c r="F46" s="301" t="s">
        <v>511</v>
      </c>
      <c r="H46" s="301" t="s">
        <v>512</v>
      </c>
      <c r="J46" s="301" t="s">
        <v>512</v>
      </c>
    </row>
    <row r="47" spans="2:25" x14ac:dyDescent="0.45">
      <c r="B47" s="303" t="s">
        <v>513</v>
      </c>
      <c r="C47" s="303">
        <v>2397.627</v>
      </c>
      <c r="D47" s="303">
        <v>-10.986000000000001</v>
      </c>
      <c r="E47" s="303">
        <v>-12567.638000000001</v>
      </c>
      <c r="F47" s="303">
        <v>0.78100000000000003</v>
      </c>
      <c r="H47" s="314">
        <f>C47+C48*H42+C49*(H43-2018)+C50*(H42*(H43-2018))</f>
        <v>750850.02971308143</v>
      </c>
      <c r="J47" s="314">
        <f>C47+C48*J42+C49*(J43-2018)+C50*(J42*(J43-2018))</f>
        <v>1081568.0438948786</v>
      </c>
    </row>
    <row r="48" spans="2:25" x14ac:dyDescent="0.45">
      <c r="B48" s="303" t="s">
        <v>514</v>
      </c>
      <c r="C48" s="303">
        <v>1.194</v>
      </c>
      <c r="D48" s="303">
        <v>17.268000000000001</v>
      </c>
      <c r="E48" s="303">
        <v>3.9660000000000002</v>
      </c>
      <c r="F48" s="303">
        <v>0.1</v>
      </c>
      <c r="G48" t="s">
        <v>515</v>
      </c>
      <c r="H48" s="315">
        <f>H47*H44*1.2</f>
        <v>16218360.641802557</v>
      </c>
      <c r="J48" s="315">
        <f>J47*J44*1.7</f>
        <v>33095982.143183287</v>
      </c>
    </row>
    <row r="49" spans="1:6" x14ac:dyDescent="0.45">
      <c r="B49" s="303" t="s">
        <v>328</v>
      </c>
      <c r="C49" s="303">
        <v>267.16800000000001</v>
      </c>
      <c r="D49" s="303">
        <v>0.97199999999999998</v>
      </c>
      <c r="E49" s="303">
        <v>-4.7899999999999999E-6</v>
      </c>
      <c r="F49" s="303">
        <v>2.4729999999999999</v>
      </c>
    </row>
    <row r="50" spans="1:6" x14ac:dyDescent="0.45">
      <c r="B50" s="303" t="s">
        <v>516</v>
      </c>
      <c r="C50" s="303">
        <v>0.191</v>
      </c>
      <c r="D50" s="303">
        <v>-144.97</v>
      </c>
      <c r="E50" s="303">
        <v>3651.9650000000001</v>
      </c>
      <c r="F50" s="303"/>
    </row>
    <row r="51" spans="1:6" x14ac:dyDescent="0.45">
      <c r="B51" s="303" t="s">
        <v>517</v>
      </c>
      <c r="C51" s="303"/>
      <c r="D51" s="303">
        <v>0.17799999999999999</v>
      </c>
      <c r="E51" s="303">
        <v>-200.745</v>
      </c>
      <c r="F51" s="303"/>
    </row>
    <row r="52" spans="1:6" x14ac:dyDescent="0.45">
      <c r="B52" s="303" t="s">
        <v>518</v>
      </c>
      <c r="C52" s="303"/>
      <c r="D52" s="303">
        <v>5.5220000000000002</v>
      </c>
      <c r="E52" s="303"/>
      <c r="F52" s="303"/>
    </row>
    <row r="53" spans="1:6" x14ac:dyDescent="0.45">
      <c r="B53" s="303" t="s">
        <v>519</v>
      </c>
      <c r="C53" s="303"/>
      <c r="D53" s="303">
        <v>0.92900000000000005</v>
      </c>
      <c r="E53" s="303"/>
      <c r="F53" s="303"/>
    </row>
    <row r="60" spans="1:6" x14ac:dyDescent="0.45">
      <c r="A60" s="2" t="s">
        <v>520</v>
      </c>
    </row>
    <row r="61" spans="1:6" x14ac:dyDescent="0.45">
      <c r="A61" t="s">
        <v>521</v>
      </c>
      <c r="B61">
        <v>450000</v>
      </c>
      <c r="C61" t="s">
        <v>522</v>
      </c>
      <c r="D61" t="s">
        <v>220</v>
      </c>
      <c r="E61" s="315">
        <f>B61/1007</f>
        <v>446.87189672293943</v>
      </c>
    </row>
    <row r="62" spans="1:6" x14ac:dyDescent="0.45">
      <c r="A62" t="s">
        <v>523</v>
      </c>
      <c r="B62">
        <v>35000000</v>
      </c>
      <c r="C62" t="s">
        <v>524</v>
      </c>
      <c r="D62" t="s">
        <v>220</v>
      </c>
      <c r="E62" s="315">
        <f>B62/36890</f>
        <v>948.76660341555976</v>
      </c>
    </row>
    <row r="63" spans="1:6" x14ac:dyDescent="0.45">
      <c r="A63" t="s">
        <v>525</v>
      </c>
      <c r="B63">
        <v>15000000</v>
      </c>
      <c r="C63" t="s">
        <v>526</v>
      </c>
      <c r="D63" t="s">
        <v>527</v>
      </c>
      <c r="E63" s="315">
        <f>B63/7200</f>
        <v>2083.3333333333335</v>
      </c>
    </row>
    <row r="65" spans="1:3" x14ac:dyDescent="0.45">
      <c r="B65" s="2" t="s">
        <v>528</v>
      </c>
      <c r="C65" s="2" t="s">
        <v>97</v>
      </c>
    </row>
    <row r="66" spans="1:3" x14ac:dyDescent="0.45">
      <c r="A66" t="s">
        <v>529</v>
      </c>
    </row>
    <row r="67" spans="1:3" x14ac:dyDescent="0.45">
      <c r="A67" t="s">
        <v>530</v>
      </c>
      <c r="B67">
        <v>0.48799999999999999</v>
      </c>
      <c r="C67">
        <v>0.48620000000000002</v>
      </c>
    </row>
    <row r="68" spans="1:3" x14ac:dyDescent="0.45">
      <c r="A68" t="s">
        <v>531</v>
      </c>
      <c r="B68">
        <v>0.49969999999999998</v>
      </c>
      <c r="C68">
        <v>0.49490000000000001</v>
      </c>
    </row>
    <row r="69" spans="1:3" x14ac:dyDescent="0.45">
      <c r="A69" t="s">
        <v>532</v>
      </c>
      <c r="B69">
        <v>0.49969999999999998</v>
      </c>
      <c r="C69">
        <v>0.49490000000000001</v>
      </c>
    </row>
  </sheetData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CCA7-BEC1-463A-A431-5F2F5692F67B}">
  <sheetPr codeName="Sheet13">
    <tabColor rgb="FFFFC000"/>
  </sheetPr>
  <dimension ref="A1:P22"/>
  <sheetViews>
    <sheetView showGridLines="0" zoomScale="60" zoomScaleNormal="60" workbookViewId="0">
      <selection activeCell="L19" sqref="L19"/>
    </sheetView>
  </sheetViews>
  <sheetFormatPr defaultRowHeight="14.25" x14ac:dyDescent="0.45"/>
  <cols>
    <col min="1" max="1" width="17.1328125" bestFit="1" customWidth="1"/>
    <col min="2" max="2" width="15.86328125" bestFit="1" customWidth="1"/>
    <col min="3" max="4" width="12.3984375" bestFit="1" customWidth="1"/>
    <col min="5" max="5" width="8.86328125" bestFit="1" customWidth="1"/>
    <col min="6" max="6" width="13.3984375" customWidth="1"/>
    <col min="7" max="7" width="12.86328125" bestFit="1" customWidth="1"/>
    <col min="8" max="8" width="17.3984375" bestFit="1" customWidth="1"/>
    <col min="9" max="9" width="12.86328125" bestFit="1" customWidth="1"/>
    <col min="13" max="13" width="8.86328125" bestFit="1" customWidth="1"/>
    <col min="14" max="14" width="16" bestFit="1" customWidth="1"/>
    <col min="15" max="15" width="25" bestFit="1" customWidth="1"/>
    <col min="16" max="16" width="13.59765625" bestFit="1" customWidth="1"/>
  </cols>
  <sheetData>
    <row r="1" spans="1:16" x14ac:dyDescent="0.45">
      <c r="A1" t="s">
        <v>533</v>
      </c>
      <c r="K1" t="s">
        <v>534</v>
      </c>
      <c r="M1" s="20" t="s">
        <v>30</v>
      </c>
      <c r="N1" s="20" t="s">
        <v>440</v>
      </c>
      <c r="O1" s="20" t="s">
        <v>299</v>
      </c>
      <c r="P1" s="20" t="s">
        <v>535</v>
      </c>
    </row>
    <row r="2" spans="1:16" ht="14.65" thickBot="1" x14ac:dyDescent="0.5">
      <c r="M2" s="20">
        <v>2010</v>
      </c>
      <c r="N2" s="69">
        <v>2460460646</v>
      </c>
      <c r="O2" s="69" t="s">
        <v>536</v>
      </c>
      <c r="P2" s="69">
        <v>77587.601064139468</v>
      </c>
    </row>
    <row r="3" spans="1:16" x14ac:dyDescent="0.45">
      <c r="A3" s="73" t="s">
        <v>537</v>
      </c>
      <c r="B3" s="73"/>
      <c r="M3" s="20">
        <v>2011</v>
      </c>
      <c r="N3" s="69">
        <v>2562518279</v>
      </c>
      <c r="O3" s="69" t="s">
        <v>536</v>
      </c>
      <c r="P3" s="69">
        <v>78834.950056658563</v>
      </c>
    </row>
    <row r="4" spans="1:16" x14ac:dyDescent="0.45">
      <c r="A4" t="s">
        <v>538</v>
      </c>
      <c r="B4" s="67">
        <v>0.97263544886105813</v>
      </c>
      <c r="M4" s="20">
        <v>2012</v>
      </c>
      <c r="N4" s="69">
        <v>2461375625</v>
      </c>
      <c r="O4" s="69" t="s">
        <v>536</v>
      </c>
      <c r="P4" s="69">
        <v>79457.526677078029</v>
      </c>
    </row>
    <row r="5" spans="1:16" x14ac:dyDescent="0.45">
      <c r="A5" t="s">
        <v>539</v>
      </c>
      <c r="B5" s="148">
        <v>0.94601971638115212</v>
      </c>
      <c r="M5" s="20">
        <v>2013</v>
      </c>
      <c r="N5" s="69">
        <v>2335193738</v>
      </c>
      <c r="O5" s="69" t="s">
        <v>536</v>
      </c>
      <c r="P5" s="69">
        <v>80136.367446443459</v>
      </c>
    </row>
    <row r="6" spans="1:16" x14ac:dyDescent="0.45">
      <c r="A6" t="s">
        <v>540</v>
      </c>
      <c r="B6" s="67">
        <v>0.91003286063525357</v>
      </c>
      <c r="M6" s="20">
        <v>2014</v>
      </c>
      <c r="N6" s="69">
        <v>2315233957</v>
      </c>
      <c r="O6" s="69" t="s">
        <v>536</v>
      </c>
      <c r="P6" s="69">
        <v>79992.361913427827</v>
      </c>
    </row>
    <row r="7" spans="1:16" x14ac:dyDescent="0.45">
      <c r="A7" t="s">
        <v>541</v>
      </c>
      <c r="B7" s="1">
        <v>192965881.66672742</v>
      </c>
      <c r="I7" s="162"/>
      <c r="M7" s="20">
        <v>2015</v>
      </c>
      <c r="N7" s="69">
        <v>2477655021</v>
      </c>
      <c r="O7" s="69" t="s">
        <v>536</v>
      </c>
      <c r="P7" s="69">
        <v>79117.199555191779</v>
      </c>
    </row>
    <row r="8" spans="1:16" ht="14.65" thickBot="1" x14ac:dyDescent="0.5">
      <c r="A8" s="71" t="s">
        <v>542</v>
      </c>
      <c r="B8" s="71">
        <v>6</v>
      </c>
      <c r="M8" s="20">
        <v>2016</v>
      </c>
      <c r="N8" s="69">
        <v>2616374955</v>
      </c>
      <c r="O8" s="69" t="s">
        <v>536</v>
      </c>
      <c r="P8" s="69">
        <v>78872.591985826642</v>
      </c>
    </row>
    <row r="9" spans="1:16" x14ac:dyDescent="0.45">
      <c r="M9" s="20">
        <v>2017</v>
      </c>
      <c r="N9" s="69">
        <v>2726423717</v>
      </c>
      <c r="O9" s="69">
        <v>20836846</v>
      </c>
      <c r="P9" s="69">
        <v>79477.49731131857</v>
      </c>
    </row>
    <row r="10" spans="1:16" ht="14.65" thickBot="1" x14ac:dyDescent="0.5">
      <c r="A10" t="s">
        <v>543</v>
      </c>
      <c r="M10" s="20">
        <v>2018</v>
      </c>
      <c r="N10" s="69">
        <v>2356724442</v>
      </c>
      <c r="O10" s="69">
        <v>21118264</v>
      </c>
      <c r="P10" s="69">
        <v>79677.342047662736</v>
      </c>
    </row>
    <row r="11" spans="1:16" x14ac:dyDescent="0.45">
      <c r="A11" s="72"/>
      <c r="B11" s="72" t="s">
        <v>544</v>
      </c>
      <c r="C11" s="72" t="s">
        <v>545</v>
      </c>
      <c r="D11" s="72" t="s">
        <v>546</v>
      </c>
      <c r="E11" s="72" t="s">
        <v>547</v>
      </c>
      <c r="F11" s="72" t="s">
        <v>548</v>
      </c>
      <c r="M11" s="20">
        <v>2019</v>
      </c>
      <c r="N11" s="69">
        <v>2449505137</v>
      </c>
      <c r="O11" s="69">
        <v>20924465</v>
      </c>
      <c r="P11" s="69">
        <v>78741.033795211013</v>
      </c>
    </row>
    <row r="12" spans="1:16" x14ac:dyDescent="0.45">
      <c r="A12" t="s">
        <v>549</v>
      </c>
      <c r="B12">
        <v>2</v>
      </c>
      <c r="C12">
        <v>1.9577053906387871E+18</v>
      </c>
      <c r="D12">
        <v>9.7885269531939354E+17</v>
      </c>
      <c r="E12">
        <v>26.287923653595939</v>
      </c>
      <c r="F12">
        <v>1.2541594159643248E-2</v>
      </c>
      <c r="M12" s="20">
        <v>2020</v>
      </c>
      <c r="N12" s="140"/>
      <c r="O12" s="140"/>
      <c r="P12" s="140"/>
    </row>
    <row r="13" spans="1:16" x14ac:dyDescent="0.45">
      <c r="A13" t="s">
        <v>550</v>
      </c>
      <c r="B13">
        <v>3</v>
      </c>
      <c r="C13">
        <v>1.1170749446225234E+17</v>
      </c>
      <c r="D13">
        <v>3.7235831487417448E+16</v>
      </c>
      <c r="M13" s="20">
        <v>2021</v>
      </c>
      <c r="N13" s="69">
        <v>1054945939</v>
      </c>
      <c r="O13" s="69">
        <v>10538202</v>
      </c>
      <c r="P13" s="69">
        <v>75987.078108010232</v>
      </c>
    </row>
    <row r="14" spans="1:16" ht="14.65" thickBot="1" x14ac:dyDescent="0.5">
      <c r="A14" s="71" t="s">
        <v>52</v>
      </c>
      <c r="B14" s="71">
        <v>5</v>
      </c>
      <c r="C14" s="71">
        <v>2.0694128851010394E+18</v>
      </c>
      <c r="D14" s="71"/>
      <c r="E14" s="71"/>
      <c r="F14" s="71"/>
      <c r="M14" s="20">
        <v>2022</v>
      </c>
      <c r="N14" s="69">
        <v>1482846283</v>
      </c>
      <c r="O14" s="69">
        <v>15813215</v>
      </c>
      <c r="P14" s="69">
        <v>76790.165012245096</v>
      </c>
    </row>
    <row r="15" spans="1:16" ht="14.65" thickBot="1" x14ac:dyDescent="0.5">
      <c r="M15" s="20" t="s">
        <v>203</v>
      </c>
      <c r="N15" s="69">
        <v>1762299568.266</v>
      </c>
      <c r="O15" s="69">
        <v>17730490.285714291</v>
      </c>
      <c r="P15" s="69">
        <v>76777.92621036293</v>
      </c>
    </row>
    <row r="16" spans="1:16" x14ac:dyDescent="0.45">
      <c r="A16" s="72"/>
      <c r="B16" s="72" t="s">
        <v>551</v>
      </c>
      <c r="C16" s="72" t="s">
        <v>541</v>
      </c>
      <c r="D16" s="72" t="s">
        <v>552</v>
      </c>
      <c r="E16" s="72" t="s">
        <v>553</v>
      </c>
      <c r="F16" s="72" t="s">
        <v>554</v>
      </c>
      <c r="G16" s="72" t="s">
        <v>555</v>
      </c>
      <c r="H16" s="72" t="s">
        <v>556</v>
      </c>
      <c r="I16" s="72" t="s">
        <v>557</v>
      </c>
    </row>
    <row r="17" spans="1:16" x14ac:dyDescent="0.45">
      <c r="A17" t="s">
        <v>300</v>
      </c>
      <c r="B17" s="1">
        <v>-14746408795.767437</v>
      </c>
      <c r="C17">
        <v>8825960563.5001183</v>
      </c>
      <c r="D17">
        <v>-1.6707993073016227</v>
      </c>
      <c r="E17">
        <v>0.19335426877065129</v>
      </c>
      <c r="F17">
        <v>-42834554381.658112</v>
      </c>
      <c r="G17">
        <v>13341736790.123238</v>
      </c>
      <c r="H17">
        <v>-42834554381.658112</v>
      </c>
      <c r="I17">
        <v>13341736790.123238</v>
      </c>
    </row>
    <row r="18" spans="1:16" x14ac:dyDescent="0.45">
      <c r="A18" t="s">
        <v>558</v>
      </c>
      <c r="B18" s="1">
        <v>79.787865490992743</v>
      </c>
      <c r="C18">
        <v>46.618199184429173</v>
      </c>
      <c r="D18">
        <v>1.7115175379327499</v>
      </c>
      <c r="E18">
        <v>0.18550873198182441</v>
      </c>
      <c r="F18">
        <v>-68.572050262473908</v>
      </c>
      <c r="G18">
        <v>228.1477812444594</v>
      </c>
      <c r="H18">
        <v>-68.572050262473908</v>
      </c>
      <c r="I18">
        <v>228.1477812444594</v>
      </c>
      <c r="J18" s="55" t="s">
        <v>559</v>
      </c>
      <c r="L18" t="s">
        <v>66</v>
      </c>
      <c r="O18" t="s">
        <v>560</v>
      </c>
      <c r="P18" t="s">
        <v>561</v>
      </c>
    </row>
    <row r="19" spans="1:16" ht="14.65" thickBot="1" x14ac:dyDescent="0.5">
      <c r="A19" s="71" t="s">
        <v>562</v>
      </c>
      <c r="B19" s="161">
        <v>196334.93383967169</v>
      </c>
      <c r="C19" s="71">
        <v>122737.21403555309</v>
      </c>
      <c r="D19" s="71">
        <v>1.5996365518187472</v>
      </c>
      <c r="E19" s="71">
        <v>0.20798256273291327</v>
      </c>
      <c r="F19" s="71">
        <v>-194269.65948859006</v>
      </c>
      <c r="G19" s="71">
        <v>586939.52716793341</v>
      </c>
      <c r="H19" s="71">
        <v>-194269.65948859006</v>
      </c>
      <c r="I19" s="71">
        <v>586939.52716793341</v>
      </c>
      <c r="J19" s="55" t="s">
        <v>559</v>
      </c>
      <c r="L19" t="s">
        <v>535</v>
      </c>
      <c r="O19" t="s">
        <v>563</v>
      </c>
      <c r="P19" t="s">
        <v>564</v>
      </c>
    </row>
    <row r="21" spans="1:16" ht="15.75" x14ac:dyDescent="0.55000000000000004">
      <c r="F21" s="163"/>
      <c r="O21" t="s">
        <v>565</v>
      </c>
      <c r="P21" t="s">
        <v>566</v>
      </c>
    </row>
    <row r="22" spans="1:16" ht="15.75" x14ac:dyDescent="0.55000000000000004">
      <c r="O22" t="s">
        <v>567</v>
      </c>
      <c r="P22" t="s">
        <v>566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7E02-B45D-4B27-B696-D2D87D398AE1}">
  <sheetPr codeName="Sheet14">
    <tabColor rgb="FFFFC000"/>
  </sheetPr>
  <dimension ref="A1:V41"/>
  <sheetViews>
    <sheetView showGridLines="0" zoomScale="65" zoomScaleNormal="100" workbookViewId="0">
      <selection activeCell="E21" sqref="E21"/>
    </sheetView>
  </sheetViews>
  <sheetFormatPr defaultColWidth="8.86328125" defaultRowHeight="14.25" x14ac:dyDescent="0.45"/>
  <cols>
    <col min="1" max="1" width="27.1328125" customWidth="1"/>
    <col min="2" max="5" width="19.59765625" customWidth="1"/>
    <col min="6" max="16" width="8.86328125" customWidth="1"/>
    <col min="17" max="17" width="17.1328125" bestFit="1" customWidth="1"/>
    <col min="18" max="18" width="11.86328125" bestFit="1" customWidth="1"/>
    <col min="19" max="16383" width="8.86328125" customWidth="1"/>
  </cols>
  <sheetData>
    <row r="1" spans="1:22" ht="21" x14ac:dyDescent="0.65">
      <c r="A1" t="s">
        <v>533</v>
      </c>
      <c r="O1" s="242" t="s">
        <v>568</v>
      </c>
      <c r="P1" s="242"/>
      <c r="Q1" s="242"/>
      <c r="R1" s="242"/>
      <c r="S1" s="242"/>
      <c r="T1" s="242"/>
      <c r="U1" s="242"/>
      <c r="V1" s="242"/>
    </row>
    <row r="2" spans="1:22" ht="14.65" thickBot="1" x14ac:dyDescent="0.5">
      <c r="T2" t="s">
        <v>569</v>
      </c>
    </row>
    <row r="3" spans="1:22" x14ac:dyDescent="0.45">
      <c r="A3" s="73" t="s">
        <v>537</v>
      </c>
      <c r="B3" s="73"/>
      <c r="O3" s="243"/>
      <c r="P3" s="244" t="s">
        <v>30</v>
      </c>
      <c r="Q3" s="244" t="str">
        <f>[2]fDiesel!C50</f>
        <v>Diesel (RSA)</v>
      </c>
      <c r="R3" s="244" t="str">
        <f>[2]fDiesel!D50</f>
        <v>GDP (Rm)</v>
      </c>
      <c r="S3" s="244" t="str">
        <f>[2]fDiesel!E50</f>
        <v>litres / vehicle</v>
      </c>
      <c r="T3" s="245" t="str">
        <f>[2]Diesel!D44</f>
        <v>Diesel50 
(constant 2015)</v>
      </c>
      <c r="U3" s="243"/>
      <c r="V3" s="243"/>
    </row>
    <row r="4" spans="1:22" x14ac:dyDescent="0.45">
      <c r="A4" t="s">
        <v>538</v>
      </c>
      <c r="B4">
        <v>0.78446276457956676</v>
      </c>
      <c r="P4">
        <v>2010</v>
      </c>
      <c r="Q4" s="1">
        <v>10451548684</v>
      </c>
      <c r="R4" s="1">
        <v>3973801.603311196</v>
      </c>
      <c r="S4" s="1">
        <v>5434.8223375435618</v>
      </c>
      <c r="T4" s="246">
        <v>9.5282235239934607</v>
      </c>
    </row>
    <row r="5" spans="1:22" x14ac:dyDescent="0.45">
      <c r="A5" t="s">
        <v>539</v>
      </c>
      <c r="B5" s="247">
        <v>0.61538182901181671</v>
      </c>
      <c r="P5">
        <v>2011</v>
      </c>
      <c r="Q5" s="1">
        <v>11470381512</v>
      </c>
      <c r="R5" s="1">
        <v>4099713.7435235083</v>
      </c>
      <c r="S5" s="1">
        <v>5763.4315706964135</v>
      </c>
      <c r="T5" s="246">
        <v>11.470369830032142</v>
      </c>
    </row>
    <row r="6" spans="1:22" x14ac:dyDescent="0.45">
      <c r="A6" t="s">
        <v>540</v>
      </c>
      <c r="B6">
        <v>0.51922728626477088</v>
      </c>
      <c r="P6">
        <v>2012</v>
      </c>
      <c r="Q6" s="1">
        <v>11663340680</v>
      </c>
      <c r="R6" s="1">
        <v>4197952.4119134666</v>
      </c>
      <c r="S6" s="1">
        <v>5430.4085724140723</v>
      </c>
      <c r="T6" s="246">
        <v>12.495157074439934</v>
      </c>
    </row>
    <row r="7" spans="1:22" x14ac:dyDescent="0.45">
      <c r="A7" t="s">
        <v>541</v>
      </c>
      <c r="B7">
        <v>416308990.11053854</v>
      </c>
      <c r="P7">
        <v>2013</v>
      </c>
      <c r="Q7" s="1">
        <v>12141281548</v>
      </c>
      <c r="R7" s="1">
        <v>4302291.1761431405</v>
      </c>
      <c r="S7" s="1">
        <v>5329.28638167179</v>
      </c>
      <c r="T7" s="246">
        <v>13.358438341733333</v>
      </c>
    </row>
    <row r="8" spans="1:22" ht="14.65" thickBot="1" x14ac:dyDescent="0.5">
      <c r="A8" s="71" t="s">
        <v>542</v>
      </c>
      <c r="B8" s="71">
        <v>11</v>
      </c>
      <c r="P8">
        <v>2014</v>
      </c>
      <c r="Q8" s="1">
        <v>12615023359</v>
      </c>
      <c r="R8" s="1">
        <v>4363118.106800599</v>
      </c>
      <c r="S8" s="1">
        <v>5321.738641147469</v>
      </c>
      <c r="T8" s="246">
        <v>13.415522541666668</v>
      </c>
    </row>
    <row r="9" spans="1:22" x14ac:dyDescent="0.45">
      <c r="P9">
        <v>2015</v>
      </c>
      <c r="Q9" s="1">
        <v>13520139252</v>
      </c>
      <c r="R9" s="1">
        <v>4420792.5174144721</v>
      </c>
      <c r="S9" s="1">
        <v>5657.8412406658908</v>
      </c>
      <c r="T9" s="246">
        <v>10.670416666666666</v>
      </c>
    </row>
    <row r="10" spans="1:22" ht="14.65" thickBot="1" x14ac:dyDescent="0.5">
      <c r="A10" t="s">
        <v>543</v>
      </c>
      <c r="P10">
        <v>2016</v>
      </c>
      <c r="Q10" s="1">
        <v>12082374038</v>
      </c>
      <c r="R10" s="1">
        <v>4450170.9961145148</v>
      </c>
      <c r="S10" s="1">
        <v>5020.6002290160832</v>
      </c>
      <c r="T10" s="246">
        <v>9.8782062735288694</v>
      </c>
    </row>
    <row r="11" spans="1:22" x14ac:dyDescent="0.45">
      <c r="A11" s="72"/>
      <c r="B11" s="72" t="s">
        <v>544</v>
      </c>
      <c r="C11" s="72" t="s">
        <v>545</v>
      </c>
      <c r="D11" s="72" t="s">
        <v>546</v>
      </c>
      <c r="E11" s="72" t="s">
        <v>547</v>
      </c>
      <c r="F11" s="72" t="s">
        <v>548</v>
      </c>
      <c r="P11">
        <v>2017</v>
      </c>
      <c r="Q11" s="1">
        <v>12147245168</v>
      </c>
      <c r="R11" s="1">
        <v>4501701.61548483</v>
      </c>
      <c r="S11" s="1">
        <v>5047.0892146705801</v>
      </c>
      <c r="T11" s="246">
        <v>10.389405556408116</v>
      </c>
    </row>
    <row r="12" spans="1:22" x14ac:dyDescent="0.45">
      <c r="A12" t="s">
        <v>549</v>
      </c>
      <c r="B12">
        <v>2</v>
      </c>
      <c r="C12">
        <v>2.2183825272994255E+18</v>
      </c>
      <c r="D12">
        <v>1.1091912636497128E+18</v>
      </c>
      <c r="E12">
        <v>6.3999246570253527</v>
      </c>
      <c r="F12" s="100">
        <v>2.1883621428521641E-2</v>
      </c>
      <c r="G12" s="248">
        <v>0.05</v>
      </c>
      <c r="H12" s="100" t="str">
        <f>IF(F12&lt;G12,"Sig","Not Sig")</f>
        <v>Sig</v>
      </c>
      <c r="P12">
        <v>2018</v>
      </c>
      <c r="Q12" s="1">
        <v>12538744326</v>
      </c>
      <c r="R12" s="1">
        <v>4568669.7107831342</v>
      </c>
      <c r="S12" s="1">
        <v>5082.1002669052732</v>
      </c>
      <c r="T12" s="246">
        <v>11.84645742496485</v>
      </c>
    </row>
    <row r="13" spans="1:22" x14ac:dyDescent="0.45">
      <c r="A13" t="s">
        <v>550</v>
      </c>
      <c r="B13">
        <v>8</v>
      </c>
      <c r="C13">
        <v>1.3865054019748518E+18</v>
      </c>
      <c r="D13">
        <v>1.7331317524685648E+17</v>
      </c>
      <c r="P13">
        <v>2019</v>
      </c>
      <c r="Q13" s="1">
        <v>12908631233</v>
      </c>
      <c r="R13" s="1">
        <v>4573834.7608192815</v>
      </c>
      <c r="S13" s="1">
        <v>5017.009014647062</v>
      </c>
      <c r="T13" s="246">
        <v>11.627006290786621</v>
      </c>
    </row>
    <row r="14" spans="1:22" ht="14.65" thickBot="1" x14ac:dyDescent="0.5">
      <c r="A14" s="71" t="s">
        <v>52</v>
      </c>
      <c r="B14" s="71">
        <v>10</v>
      </c>
      <c r="C14" s="71">
        <v>3.6048879292742774E+18</v>
      </c>
      <c r="D14" s="71"/>
      <c r="E14" s="71"/>
      <c r="F14" s="71"/>
      <c r="P14">
        <v>2021</v>
      </c>
      <c r="Q14" s="1">
        <v>12945782751</v>
      </c>
      <c r="R14" s="1">
        <v>4513043.9196958616</v>
      </c>
      <c r="S14" s="1">
        <v>4819.2669233775259</v>
      </c>
      <c r="T14" s="246">
        <v>11.497911676114363</v>
      </c>
    </row>
    <row r="15" spans="1:22" ht="14.65" thickBot="1" x14ac:dyDescent="0.5">
      <c r="P15">
        <v>2022</v>
      </c>
      <c r="Q15" s="1">
        <v>12717326319</v>
      </c>
      <c r="R15" s="1">
        <v>4599261.3891645968</v>
      </c>
      <c r="S15" s="1">
        <v>4313.2410022652921</v>
      </c>
      <c r="T15" s="246">
        <v>15.829787234042554</v>
      </c>
    </row>
    <row r="16" spans="1:22" x14ac:dyDescent="0.45">
      <c r="A16" s="72"/>
      <c r="B16" s="72" t="s">
        <v>551</v>
      </c>
      <c r="C16" s="72" t="s">
        <v>541</v>
      </c>
      <c r="D16" s="72" t="s">
        <v>552</v>
      </c>
      <c r="E16" s="72" t="s">
        <v>553</v>
      </c>
      <c r="F16" s="72" t="s">
        <v>554</v>
      </c>
      <c r="G16" s="72" t="s">
        <v>555</v>
      </c>
      <c r="H16" s="72" t="s">
        <v>556</v>
      </c>
      <c r="I16" s="72" t="s">
        <v>557</v>
      </c>
    </row>
    <row r="17" spans="1:19" x14ac:dyDescent="0.45">
      <c r="A17" t="s">
        <v>300</v>
      </c>
      <c r="B17">
        <v>-11722104793.586773</v>
      </c>
      <c r="C17">
        <v>8047267827.9654655</v>
      </c>
      <c r="D17">
        <v>-1.4566564757358635</v>
      </c>
      <c r="E17">
        <v>0.18331065273152458</v>
      </c>
      <c r="F17">
        <v>-30279137681.970592</v>
      </c>
      <c r="G17">
        <v>6834928094.7970467</v>
      </c>
      <c r="H17">
        <v>-30279137681.970592</v>
      </c>
      <c r="I17">
        <v>6834928094.7970467</v>
      </c>
    </row>
    <row r="18" spans="1:19" x14ac:dyDescent="0.45">
      <c r="A18" s="102">
        <v>3973801.603311196</v>
      </c>
      <c r="B18">
        <v>4354.9987127038785</v>
      </c>
      <c r="C18">
        <v>1302.8772813719759</v>
      </c>
      <c r="D18">
        <v>3.3426008534878364</v>
      </c>
      <c r="E18">
        <v>1.0191693443581711E-2</v>
      </c>
      <c r="F18">
        <v>1350.558314196539</v>
      </c>
      <c r="G18">
        <v>7359.439111211218</v>
      </c>
      <c r="H18">
        <v>1350.558314196539</v>
      </c>
      <c r="I18">
        <v>7359.439111211218</v>
      </c>
    </row>
    <row r="19" spans="1:19" ht="14.65" thickBot="1" x14ac:dyDescent="0.5">
      <c r="A19" s="249">
        <v>5434.8223375435618</v>
      </c>
      <c r="B19" s="71">
        <v>952107.78262801724</v>
      </c>
      <c r="C19" s="71">
        <v>523141.86068599863</v>
      </c>
      <c r="D19" s="71">
        <v>1.8199801128120647</v>
      </c>
      <c r="E19" s="71">
        <v>0.10625531952934797</v>
      </c>
      <c r="F19" s="71">
        <v>-254259.51141229784</v>
      </c>
      <c r="G19" s="71">
        <v>2158475.0766683323</v>
      </c>
      <c r="H19" s="71">
        <v>-254259.51141229784</v>
      </c>
      <c r="I19" s="71">
        <v>2158475.0766683323</v>
      </c>
      <c r="P19">
        <v>2020</v>
      </c>
      <c r="Q19" s="1">
        <v>11689957758</v>
      </c>
      <c r="R19" s="1">
        <v>4279646.860386556</v>
      </c>
      <c r="S19" s="1">
        <v>4543.2797203958517</v>
      </c>
    </row>
    <row r="20" spans="1:19" x14ac:dyDescent="0.45">
      <c r="P20">
        <v>2023</v>
      </c>
      <c r="Q20" s="1">
        <v>11803188569.694118</v>
      </c>
      <c r="R20" s="1">
        <v>4645254.0030562431</v>
      </c>
      <c r="S20" s="1">
        <v>4247.9863200967566</v>
      </c>
    </row>
    <row r="38" spans="1:12" x14ac:dyDescent="0.45">
      <c r="L38" s="248"/>
    </row>
    <row r="40" spans="1:12" x14ac:dyDescent="0.45">
      <c r="A40" t="str">
        <f>R3</f>
        <v>GDP (Rm)</v>
      </c>
    </row>
    <row r="41" spans="1:12" x14ac:dyDescent="0.45">
      <c r="A41" t="str">
        <f>S3</f>
        <v>litres / vehicle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A8A6-15EB-4013-ADF2-688CDC38928D}">
  <sheetPr codeName="Sheet15">
    <tabColor rgb="FFFFC000"/>
  </sheetPr>
  <dimension ref="A1:AE41"/>
  <sheetViews>
    <sheetView showGridLines="0" zoomScale="48" zoomScaleNormal="48" workbookViewId="0">
      <selection activeCell="E19" sqref="E19"/>
    </sheetView>
  </sheetViews>
  <sheetFormatPr defaultColWidth="0" defaultRowHeight="14.25" x14ac:dyDescent="0.45"/>
  <cols>
    <col min="1" max="1" width="27.1328125" customWidth="1"/>
    <col min="2" max="5" width="19.59765625" customWidth="1"/>
    <col min="6" max="14" width="8.86328125" customWidth="1"/>
    <col min="15" max="15" width="15.86328125" bestFit="1" customWidth="1"/>
    <col min="16" max="16" width="10.86328125" bestFit="1" customWidth="1"/>
    <col min="17" max="17" width="17.1328125" bestFit="1" customWidth="1"/>
    <col min="18" max="18" width="10.1328125" bestFit="1" customWidth="1"/>
    <col min="19" max="27" width="8.86328125" customWidth="1"/>
    <col min="28" max="16384" width="8.86328125" hidden="1"/>
  </cols>
  <sheetData>
    <row r="1" spans="1:31" ht="63" x14ac:dyDescent="0.65">
      <c r="A1" t="s">
        <v>533</v>
      </c>
      <c r="N1" s="112" t="s">
        <v>30</v>
      </c>
      <c r="O1" s="262" t="s">
        <v>55</v>
      </c>
      <c r="P1" s="262" t="s">
        <v>38</v>
      </c>
      <c r="Q1" s="262" t="s">
        <v>41</v>
      </c>
      <c r="R1" s="262" t="s">
        <v>51</v>
      </c>
      <c r="X1" s="242"/>
      <c r="Y1" s="242"/>
      <c r="Z1" s="242"/>
      <c r="AA1" s="242"/>
      <c r="AB1" s="242"/>
      <c r="AC1" s="242"/>
      <c r="AD1" s="242"/>
      <c r="AE1" s="242"/>
    </row>
    <row r="2" spans="1:31" ht="16.149999999999999" thickBot="1" x14ac:dyDescent="0.65">
      <c r="N2" s="76">
        <v>2010</v>
      </c>
      <c r="O2" s="82">
        <v>11788234670</v>
      </c>
      <c r="P2" s="82">
        <v>3973801.603311196</v>
      </c>
      <c r="Q2" s="82">
        <v>77587.601064139468</v>
      </c>
      <c r="R2" s="79">
        <v>1714.2904819027945</v>
      </c>
    </row>
    <row r="3" spans="1:31" ht="15.75" x14ac:dyDescent="0.6">
      <c r="A3" s="73" t="s">
        <v>537</v>
      </c>
      <c r="B3" s="73"/>
      <c r="N3" s="76">
        <v>2011</v>
      </c>
      <c r="O3" s="82">
        <v>12278314707</v>
      </c>
      <c r="P3" s="82">
        <v>4099713.7435235083</v>
      </c>
      <c r="Q3" s="82">
        <v>78834.950056658563</v>
      </c>
      <c r="R3" s="79">
        <v>1718.7393509972505</v>
      </c>
      <c r="X3" s="243"/>
      <c r="Y3" s="243"/>
      <c r="Z3" s="243"/>
      <c r="AA3" s="243"/>
      <c r="AB3" s="243"/>
      <c r="AC3" s="243"/>
    </row>
    <row r="4" spans="1:31" ht="15.75" x14ac:dyDescent="0.6">
      <c r="A4" t="s">
        <v>538</v>
      </c>
      <c r="B4">
        <v>0.96894276264221002</v>
      </c>
      <c r="N4" s="76">
        <v>2012</v>
      </c>
      <c r="O4" s="82">
        <v>12060330013</v>
      </c>
      <c r="P4" s="82">
        <v>4197952.4119134666</v>
      </c>
      <c r="Q4" s="82">
        <v>79457.526677078029</v>
      </c>
      <c r="R4" s="79">
        <v>1616.5411292519584</v>
      </c>
    </row>
    <row r="5" spans="1:31" ht="15.75" x14ac:dyDescent="0.6">
      <c r="A5" t="s">
        <v>539</v>
      </c>
      <c r="B5" s="247">
        <v>0.93885007727671821</v>
      </c>
      <c r="N5" s="76">
        <v>2013</v>
      </c>
      <c r="O5" s="82">
        <v>11439925235</v>
      </c>
      <c r="P5" s="82">
        <v>4302291.1761431405</v>
      </c>
      <c r="Q5" s="82">
        <v>80136.367446443459</v>
      </c>
      <c r="R5" s="79">
        <v>1474.0077596836775</v>
      </c>
    </row>
    <row r="6" spans="1:31" ht="15.75" x14ac:dyDescent="0.6">
      <c r="A6" t="s">
        <v>540</v>
      </c>
      <c r="B6">
        <v>0.92773190950884876</v>
      </c>
      <c r="N6" s="76">
        <v>2014</v>
      </c>
      <c r="O6" s="82">
        <v>10890207679</v>
      </c>
      <c r="P6" s="82">
        <v>4363118.106800599</v>
      </c>
      <c r="Q6" s="82">
        <v>79992.361913427827</v>
      </c>
      <c r="R6" s="79">
        <v>1355.9535244897704</v>
      </c>
    </row>
    <row r="7" spans="1:31" ht="15.75" x14ac:dyDescent="0.6">
      <c r="A7" t="s">
        <v>541</v>
      </c>
      <c r="B7">
        <v>365204254.99005461</v>
      </c>
      <c r="N7" s="76">
        <v>2015</v>
      </c>
      <c r="O7" s="82">
        <v>11475709420</v>
      </c>
      <c r="P7" s="82">
        <v>4420792.5174144721</v>
      </c>
      <c r="Q7" s="82">
        <v>79117.199555191779</v>
      </c>
      <c r="R7" s="79">
        <v>1433.8514229424036</v>
      </c>
    </row>
    <row r="8" spans="1:31" ht="16.149999999999999" thickBot="1" x14ac:dyDescent="0.65">
      <c r="A8" s="71" t="s">
        <v>542</v>
      </c>
      <c r="B8" s="71">
        <v>14</v>
      </c>
      <c r="N8" s="76">
        <v>2016</v>
      </c>
      <c r="O8" s="82">
        <v>11462252467</v>
      </c>
      <c r="P8" s="82">
        <v>4450170.9961145148</v>
      </c>
      <c r="Q8" s="82">
        <v>78872.591985826642</v>
      </c>
      <c r="R8" s="79">
        <v>1412.5839039966913</v>
      </c>
    </row>
    <row r="9" spans="1:31" ht="15.75" x14ac:dyDescent="0.6">
      <c r="N9" s="76">
        <v>2017</v>
      </c>
      <c r="O9" s="82">
        <v>11174082981</v>
      </c>
      <c r="P9" s="82">
        <v>4501701.61548483</v>
      </c>
      <c r="Q9" s="82">
        <v>79477.49731131857</v>
      </c>
      <c r="R9" s="79">
        <v>1370.1180839530127</v>
      </c>
    </row>
    <row r="10" spans="1:31" ht="16.149999999999999" thickBot="1" x14ac:dyDescent="0.65">
      <c r="A10" t="s">
        <v>543</v>
      </c>
      <c r="N10" s="76">
        <v>2018</v>
      </c>
      <c r="O10" s="82">
        <v>11141630546</v>
      </c>
      <c r="P10" s="82">
        <v>4568669.7107831342</v>
      </c>
      <c r="Q10" s="82">
        <v>79677.342047662736</v>
      </c>
      <c r="R10" s="79">
        <v>1262.0494650819039</v>
      </c>
    </row>
    <row r="11" spans="1:31" ht="15.75" x14ac:dyDescent="0.6">
      <c r="A11" s="72"/>
      <c r="B11" s="72" t="s">
        <v>544</v>
      </c>
      <c r="C11" s="72" t="s">
        <v>545</v>
      </c>
      <c r="D11" s="72" t="s">
        <v>546</v>
      </c>
      <c r="E11" s="72" t="s">
        <v>547</v>
      </c>
      <c r="F11" s="72" t="s">
        <v>548</v>
      </c>
      <c r="N11" s="76">
        <v>2019</v>
      </c>
      <c r="O11" s="82">
        <v>10773208065</v>
      </c>
      <c r="P11" s="82">
        <v>4573834.7608192815</v>
      </c>
      <c r="Q11" s="82">
        <v>78741.033795211013</v>
      </c>
      <c r="R11" s="79">
        <v>1196.0650370146559</v>
      </c>
    </row>
    <row r="12" spans="1:31" ht="15.75" x14ac:dyDescent="0.6">
      <c r="A12" t="s">
        <v>549</v>
      </c>
      <c r="B12">
        <v>2</v>
      </c>
      <c r="C12">
        <v>2.2524993621631623E+19</v>
      </c>
      <c r="D12">
        <v>1.1262496810815812E+19</v>
      </c>
      <c r="E12">
        <v>84.442877358796153</v>
      </c>
      <c r="F12" s="100">
        <v>2.1143531105180189E-7</v>
      </c>
      <c r="G12" s="248"/>
      <c r="H12" s="100"/>
      <c r="N12" s="76">
        <v>2020</v>
      </c>
      <c r="O12" s="82">
        <v>8761470961</v>
      </c>
      <c r="P12" s="82">
        <v>4279646.860386556</v>
      </c>
      <c r="Q12" s="82">
        <v>72780.724692688324</v>
      </c>
      <c r="R12" s="79">
        <v>973.2637065253449</v>
      </c>
    </row>
    <row r="13" spans="1:31" ht="15.75" x14ac:dyDescent="0.6">
      <c r="A13" t="s">
        <v>550</v>
      </c>
      <c r="B13">
        <v>11</v>
      </c>
      <c r="C13">
        <v>1.4671156264912492E+18</v>
      </c>
      <c r="D13">
        <v>1.3337414786284083E+17</v>
      </c>
      <c r="N13" s="76">
        <v>2021</v>
      </c>
      <c r="O13" s="82">
        <v>9301584229</v>
      </c>
      <c r="P13" s="82">
        <v>4513043.9196958616</v>
      </c>
      <c r="Q13" s="82">
        <v>75987.078108010232</v>
      </c>
      <c r="R13" s="79">
        <v>1012.3295517455892</v>
      </c>
    </row>
    <row r="14" spans="1:31" ht="16.149999999999999" thickBot="1" x14ac:dyDescent="0.65">
      <c r="A14" s="71" t="s">
        <v>52</v>
      </c>
      <c r="B14" s="71">
        <v>13</v>
      </c>
      <c r="C14" s="71">
        <v>2.3992109248122872E+19</v>
      </c>
      <c r="D14" s="71"/>
      <c r="E14" s="71"/>
      <c r="F14" s="71"/>
      <c r="N14" s="76">
        <v>2022</v>
      </c>
      <c r="O14" s="82">
        <v>9184869915.5409889</v>
      </c>
      <c r="P14" s="82">
        <v>4599261.3891645968</v>
      </c>
      <c r="Q14" s="82">
        <v>76790.165012245096</v>
      </c>
      <c r="R14" s="79">
        <v>1022.5272558281436</v>
      </c>
    </row>
    <row r="15" spans="1:31" ht="16.149999999999999" thickBot="1" x14ac:dyDescent="0.65">
      <c r="N15" s="76">
        <v>2023</v>
      </c>
      <c r="O15" s="82">
        <v>7824261024.0740738</v>
      </c>
      <c r="P15" s="82">
        <v>4638499.6391463401</v>
      </c>
      <c r="Q15" s="82">
        <v>76777.92621036293</v>
      </c>
      <c r="R15" s="79">
        <v>839.97857869223151</v>
      </c>
    </row>
    <row r="16" spans="1:31" x14ac:dyDescent="0.45">
      <c r="A16" s="72"/>
      <c r="B16" s="72" t="s">
        <v>551</v>
      </c>
      <c r="C16" s="72" t="s">
        <v>541</v>
      </c>
      <c r="D16" s="72" t="s">
        <v>552</v>
      </c>
      <c r="E16" s="72" t="s">
        <v>553</v>
      </c>
      <c r="F16" s="72" t="s">
        <v>554</v>
      </c>
      <c r="G16" s="72" t="s">
        <v>555</v>
      </c>
      <c r="H16" s="72" t="s">
        <v>556</v>
      </c>
      <c r="I16" s="72" t="s">
        <v>557</v>
      </c>
    </row>
    <row r="17" spans="1:9" x14ac:dyDescent="0.45">
      <c r="A17" t="s">
        <v>300</v>
      </c>
      <c r="B17" s="1">
        <v>-7106377470.4398556</v>
      </c>
      <c r="C17">
        <v>4625707632.7098007</v>
      </c>
      <c r="D17">
        <v>-1.5362789944155735</v>
      </c>
      <c r="E17">
        <v>0.15271974661272075</v>
      </c>
      <c r="F17">
        <v>-17287491324.956749</v>
      </c>
      <c r="G17">
        <v>3074736384.0770378</v>
      </c>
      <c r="H17">
        <v>-17287491324.956749</v>
      </c>
      <c r="I17">
        <v>3074736384.0770378</v>
      </c>
    </row>
    <row r="18" spans="1:9" x14ac:dyDescent="0.45">
      <c r="A18" s="102" t="s">
        <v>41</v>
      </c>
      <c r="B18" s="1">
        <v>161602.29644857516</v>
      </c>
      <c r="C18">
        <v>63633.166391852457</v>
      </c>
      <c r="D18">
        <v>2.5395922537223701</v>
      </c>
      <c r="E18">
        <v>2.749992660845809E-2</v>
      </c>
      <c r="F18">
        <v>21546.641530465917</v>
      </c>
      <c r="G18">
        <v>301657.9513666844</v>
      </c>
      <c r="H18">
        <v>21546.641530465917</v>
      </c>
      <c r="I18">
        <v>301657.9513666844</v>
      </c>
    </row>
    <row r="19" spans="1:9" ht="14.65" thickBot="1" x14ac:dyDescent="0.5">
      <c r="A19" s="249" t="s">
        <v>51</v>
      </c>
      <c r="B19" s="161">
        <v>3924250.2004819755</v>
      </c>
      <c r="C19" s="71">
        <v>462329.84152804624</v>
      </c>
      <c r="D19" s="71">
        <v>8.4879881158264343</v>
      </c>
      <c r="E19" s="71">
        <v>3.7039901736452835E-6</v>
      </c>
      <c r="F19" s="71">
        <v>2906669.0802112268</v>
      </c>
      <c r="G19" s="71">
        <v>4941831.3207527241</v>
      </c>
      <c r="H19" s="71">
        <v>2906669.0802112268</v>
      </c>
      <c r="I19" s="71">
        <v>4941831.3207527241</v>
      </c>
    </row>
    <row r="38" spans="1:12" x14ac:dyDescent="0.45">
      <c r="L38" s="248"/>
    </row>
    <row r="40" spans="1:12" x14ac:dyDescent="0.45">
      <c r="A40">
        <f>R3</f>
        <v>1718.7393509972505</v>
      </c>
    </row>
    <row r="41" spans="1:12" x14ac:dyDescent="0.45">
      <c r="A41">
        <f>S3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F94B7-47D3-447F-970B-466694F00174}">
          <x14:formula1>
            <xm:f>Assumptions!$AA$8:$AD$8</xm:f>
          </x14:formula1>
          <xm:sqref>P1:Q1</xm:sqref>
        </x14:dataValidation>
        <x14:dataValidation type="list" allowBlank="1" showInputMessage="1" showErrorMessage="1" xr:uid="{0B9FDC95-0F96-4E83-8BB3-8CD5F589D196}">
          <x14:formula1>
            <xm:f>Assumptions!$H$44:$H$45</xm:f>
          </x14:formula1>
          <xm:sqref>O1</xm:sqref>
        </x14:dataValidation>
        <x14:dataValidation type="list" allowBlank="1" showInputMessage="1" showErrorMessage="1" xr:uid="{E602A85F-BDED-48E7-8CC4-BB527F0E513F}">
          <x14:formula1>
            <xm:f>Assumptions!$L$44:$L$47</xm:f>
          </x14:formula1>
          <xm:sqref>R1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CBD5-E805-4616-BBBB-E4EA0F254F08}">
  <sheetPr codeName="Sheet16">
    <tabColor rgb="FFFFC000"/>
  </sheetPr>
  <dimension ref="A1:N22"/>
  <sheetViews>
    <sheetView showGridLines="0" zoomScale="57" workbookViewId="0">
      <selection activeCell="J26" sqref="J26"/>
    </sheetView>
  </sheetViews>
  <sheetFormatPr defaultColWidth="8.86328125" defaultRowHeight="15.75" x14ac:dyDescent="0.6"/>
  <cols>
    <col min="1" max="1" width="18.86328125" style="75" bestFit="1" customWidth="1"/>
    <col min="2" max="2" width="12.3984375" style="75" bestFit="1" customWidth="1"/>
    <col min="3" max="4" width="14.1328125" style="75" bestFit="1" customWidth="1"/>
    <col min="5" max="5" width="8.86328125" style="75" bestFit="1" customWidth="1"/>
    <col min="6" max="9" width="12.3984375" style="75" bestFit="1" customWidth="1"/>
    <col min="10" max="11" width="8.86328125" style="75"/>
    <col min="12" max="12" width="8.86328125" style="75" bestFit="1" customWidth="1"/>
    <col min="13" max="13" width="10.1328125" style="75" bestFit="1" customWidth="1"/>
    <col min="14" max="14" width="11.1328125" style="75" bestFit="1" customWidth="1"/>
    <col min="15" max="16384" width="8.86328125" style="75"/>
  </cols>
  <sheetData>
    <row r="1" spans="1:14" ht="47.25" x14ac:dyDescent="0.6">
      <c r="A1" s="75" t="s">
        <v>533</v>
      </c>
      <c r="L1" s="112" t="s">
        <v>30</v>
      </c>
      <c r="M1" s="112" t="s">
        <v>41</v>
      </c>
      <c r="N1" s="112" t="s">
        <v>421</v>
      </c>
    </row>
    <row r="2" spans="1:14" ht="16.149999999999999" thickBot="1" x14ac:dyDescent="0.65">
      <c r="L2" s="75">
        <v>2010</v>
      </c>
      <c r="M2" s="79">
        <v>77587.601064139468</v>
      </c>
      <c r="N2" s="79">
        <v>319674</v>
      </c>
    </row>
    <row r="3" spans="1:14" x14ac:dyDescent="0.6">
      <c r="A3" s="211" t="s">
        <v>537</v>
      </c>
      <c r="B3" s="211"/>
      <c r="L3" s="75">
        <v>2011</v>
      </c>
      <c r="M3" s="79">
        <v>78834.950056658563</v>
      </c>
      <c r="N3" s="79">
        <v>380517</v>
      </c>
    </row>
    <row r="4" spans="1:14" x14ac:dyDescent="0.6">
      <c r="A4" s="75" t="s">
        <v>538</v>
      </c>
      <c r="B4" s="103">
        <v>0.71493875026617015</v>
      </c>
      <c r="L4" s="75">
        <v>2012</v>
      </c>
      <c r="M4" s="79">
        <v>79457.526677078029</v>
      </c>
      <c r="N4" s="79">
        <v>630542</v>
      </c>
    </row>
    <row r="5" spans="1:14" x14ac:dyDescent="0.6">
      <c r="A5" s="75" t="s">
        <v>539</v>
      </c>
      <c r="B5" s="247">
        <v>0.51113741663215329</v>
      </c>
      <c r="L5" s="75">
        <v>2013</v>
      </c>
      <c r="M5" s="79">
        <v>80136.367446443459</v>
      </c>
      <c r="N5" s="79">
        <v>649216</v>
      </c>
    </row>
    <row r="6" spans="1:14" x14ac:dyDescent="0.6">
      <c r="A6" s="75" t="s">
        <v>540</v>
      </c>
      <c r="B6" s="103">
        <v>0.46225115829536867</v>
      </c>
      <c r="L6" s="75">
        <v>2014</v>
      </c>
      <c r="M6" s="79">
        <v>79992.361913427827</v>
      </c>
      <c r="N6" s="79">
        <v>644257</v>
      </c>
    </row>
    <row r="7" spans="1:14" x14ac:dyDescent="0.6">
      <c r="A7" s="75" t="s">
        <v>541</v>
      </c>
      <c r="B7" s="103">
        <v>81943.821292147535</v>
      </c>
      <c r="L7" s="75">
        <v>2015</v>
      </c>
      <c r="M7" s="79">
        <v>79117.199555191779</v>
      </c>
      <c r="N7" s="79">
        <v>651651</v>
      </c>
    </row>
    <row r="8" spans="1:14" ht="16.149999999999999" thickBot="1" x14ac:dyDescent="0.65">
      <c r="A8" s="212" t="s">
        <v>542</v>
      </c>
      <c r="B8" s="212">
        <v>12</v>
      </c>
      <c r="L8" s="75">
        <v>2016</v>
      </c>
      <c r="M8" s="79">
        <v>78872.591985826642</v>
      </c>
      <c r="N8" s="79">
        <v>617651</v>
      </c>
    </row>
    <row r="9" spans="1:14" x14ac:dyDescent="0.6">
      <c r="L9" s="75">
        <v>2017</v>
      </c>
      <c r="M9" s="79">
        <v>79477.49731131857</v>
      </c>
      <c r="N9" s="79">
        <v>547552</v>
      </c>
    </row>
    <row r="10" spans="1:14" ht="16.149999999999999" thickBot="1" x14ac:dyDescent="0.65">
      <c r="A10" s="75" t="s">
        <v>543</v>
      </c>
      <c r="L10" s="75">
        <v>2018</v>
      </c>
      <c r="M10" s="79">
        <v>79677.342047662736</v>
      </c>
      <c r="N10" s="79">
        <v>552227</v>
      </c>
    </row>
    <row r="11" spans="1:14" x14ac:dyDescent="0.6">
      <c r="A11" s="213"/>
      <c r="B11" s="213" t="s">
        <v>544</v>
      </c>
      <c r="C11" s="213" t="s">
        <v>545</v>
      </c>
      <c r="D11" s="213" t="s">
        <v>546</v>
      </c>
      <c r="E11" s="213" t="s">
        <v>547</v>
      </c>
      <c r="F11" s="213" t="s">
        <v>548</v>
      </c>
      <c r="L11" s="80">
        <v>2019</v>
      </c>
      <c r="M11" s="86">
        <v>78741.033795211013</v>
      </c>
      <c r="N11" s="86">
        <v>536612</v>
      </c>
    </row>
    <row r="12" spans="1:14" x14ac:dyDescent="0.6">
      <c r="A12" s="75" t="s">
        <v>549</v>
      </c>
      <c r="B12" s="75">
        <v>1</v>
      </c>
      <c r="C12" s="75">
        <v>70207466328.655884</v>
      </c>
      <c r="D12" s="75">
        <v>70207466328.655884</v>
      </c>
      <c r="E12" s="75">
        <v>10.45564610633221</v>
      </c>
      <c r="F12" s="75">
        <v>8.9673237738189041E-3</v>
      </c>
    </row>
    <row r="13" spans="1:14" x14ac:dyDescent="0.6">
      <c r="A13" s="75" t="s">
        <v>550</v>
      </c>
      <c r="B13" s="75">
        <v>10</v>
      </c>
      <c r="C13" s="75">
        <v>67147898479.594124</v>
      </c>
      <c r="D13" s="75">
        <v>6714789847.9594126</v>
      </c>
      <c r="L13" s="80">
        <v>2021</v>
      </c>
      <c r="M13" s="86">
        <v>75987.078108010232</v>
      </c>
      <c r="N13" s="86">
        <v>464493</v>
      </c>
    </row>
    <row r="14" spans="1:14" ht="16.149999999999999" thickBot="1" x14ac:dyDescent="0.65">
      <c r="A14" s="212" t="s">
        <v>52</v>
      </c>
      <c r="B14" s="212">
        <v>11</v>
      </c>
      <c r="C14" s="212">
        <v>137355364808.25</v>
      </c>
      <c r="D14" s="212"/>
      <c r="E14" s="212"/>
      <c r="F14" s="212"/>
      <c r="L14" s="75">
        <v>2022</v>
      </c>
      <c r="M14" s="79">
        <v>76790.165012245096</v>
      </c>
      <c r="N14" s="79">
        <v>363092</v>
      </c>
    </row>
    <row r="15" spans="1:14" ht="16.149999999999999" thickBot="1" x14ac:dyDescent="0.65">
      <c r="L15" s="75">
        <v>2023</v>
      </c>
      <c r="M15" s="79">
        <v>76777.92621036293</v>
      </c>
      <c r="N15" s="79">
        <v>446887</v>
      </c>
    </row>
    <row r="16" spans="1:14" x14ac:dyDescent="0.6">
      <c r="A16" s="213"/>
      <c r="B16" s="213" t="s">
        <v>551</v>
      </c>
      <c r="C16" s="213" t="s">
        <v>541</v>
      </c>
      <c r="D16" s="213" t="s">
        <v>552</v>
      </c>
      <c r="E16" s="213" t="s">
        <v>553</v>
      </c>
      <c r="F16" s="213" t="s">
        <v>554</v>
      </c>
      <c r="G16" s="213" t="s">
        <v>555</v>
      </c>
      <c r="H16" s="213" t="s">
        <v>556</v>
      </c>
      <c r="I16" s="213" t="s">
        <v>557</v>
      </c>
      <c r="L16" s="75">
        <v>2024</v>
      </c>
    </row>
    <row r="17" spans="1:12" x14ac:dyDescent="0.6">
      <c r="A17" s="75" t="s">
        <v>300</v>
      </c>
      <c r="B17" s="75">
        <v>-2387743.5582517069</v>
      </c>
      <c r="C17" s="75">
        <v>904147.75188936293</v>
      </c>
      <c r="D17" s="75">
        <v>-2.6408776145957678</v>
      </c>
      <c r="E17" s="75">
        <v>2.4696742505420248E-2</v>
      </c>
      <c r="F17" s="75">
        <v>-4402310.2921724431</v>
      </c>
      <c r="G17" s="75">
        <v>-373176.82433097088</v>
      </c>
      <c r="H17" s="75">
        <v>-4402310.2921724431</v>
      </c>
      <c r="I17" s="75">
        <v>-373176.82433097088</v>
      </c>
      <c r="L17" s="75">
        <v>2025</v>
      </c>
    </row>
    <row r="18" spans="1:12" ht="16.149999999999999" thickBot="1" x14ac:dyDescent="0.65">
      <c r="A18" s="212">
        <v>77587.601064139468</v>
      </c>
      <c r="B18" s="212">
        <v>37.314875980676256</v>
      </c>
      <c r="C18" s="212">
        <v>11.540020091617325</v>
      </c>
      <c r="D18" s="212">
        <v>3.2335191519971263</v>
      </c>
      <c r="E18" s="212">
        <v>8.9673237738188919E-3</v>
      </c>
      <c r="F18" s="212">
        <v>11.602108861841486</v>
      </c>
      <c r="G18" s="212">
        <v>63.027643099511025</v>
      </c>
      <c r="H18" s="212">
        <v>11.602108861841486</v>
      </c>
      <c r="I18" s="212">
        <v>63.027643099511025</v>
      </c>
      <c r="L18" s="75">
        <v>2026</v>
      </c>
    </row>
    <row r="19" spans="1:12" x14ac:dyDescent="0.6">
      <c r="L19" s="75">
        <v>2027</v>
      </c>
    </row>
    <row r="20" spans="1:12" x14ac:dyDescent="0.6">
      <c r="L20" s="75">
        <v>2028</v>
      </c>
    </row>
    <row r="21" spans="1:12" x14ac:dyDescent="0.6">
      <c r="L21" s="75">
        <v>2029</v>
      </c>
    </row>
    <row r="22" spans="1:12" x14ac:dyDescent="0.6">
      <c r="L22" s="75">
        <v>2030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FA47-54C5-4E83-A9D1-FC8989993953}">
  <sheetPr codeName="Sheet17"/>
  <dimension ref="A1:M19"/>
  <sheetViews>
    <sheetView workbookViewId="0">
      <selection activeCell="C21" sqref="C21"/>
    </sheetView>
  </sheetViews>
  <sheetFormatPr defaultRowHeight="14.25" x14ac:dyDescent="0.45"/>
  <cols>
    <col min="10" max="10" width="21.3984375" bestFit="1" customWidth="1"/>
  </cols>
  <sheetData>
    <row r="1" spans="1:13" x14ac:dyDescent="0.45">
      <c r="A1" t="s">
        <v>533</v>
      </c>
    </row>
    <row r="2" spans="1:13" ht="14.65" thickBot="1" x14ac:dyDescent="0.5"/>
    <row r="3" spans="1:13" x14ac:dyDescent="0.45">
      <c r="A3" s="73" t="s">
        <v>537</v>
      </c>
      <c r="B3" s="73"/>
      <c r="K3" t="s">
        <v>560</v>
      </c>
      <c r="L3" t="s">
        <v>561</v>
      </c>
    </row>
    <row r="4" spans="1:13" x14ac:dyDescent="0.45">
      <c r="A4" t="s">
        <v>538</v>
      </c>
      <c r="B4">
        <v>0.96577484316778306</v>
      </c>
      <c r="K4" t="s">
        <v>563</v>
      </c>
      <c r="L4" t="s">
        <v>564</v>
      </c>
    </row>
    <row r="5" spans="1:13" x14ac:dyDescent="0.45">
      <c r="A5" t="s">
        <v>539</v>
      </c>
      <c r="B5" s="101">
        <v>0.93272104769575592</v>
      </c>
    </row>
    <row r="6" spans="1:13" x14ac:dyDescent="0.45">
      <c r="A6" t="s">
        <v>540</v>
      </c>
      <c r="B6">
        <v>0.89908157154363399</v>
      </c>
      <c r="K6" s="2" t="s">
        <v>570</v>
      </c>
      <c r="L6" s="2"/>
      <c r="M6" s="2"/>
    </row>
    <row r="7" spans="1:13" x14ac:dyDescent="0.45">
      <c r="A7" t="s">
        <v>541</v>
      </c>
      <c r="B7">
        <v>180687996.45983028</v>
      </c>
    </row>
    <row r="8" spans="1:13" ht="14.65" thickBot="1" x14ac:dyDescent="0.5">
      <c r="A8" s="71" t="s">
        <v>542</v>
      </c>
      <c r="B8" s="71">
        <v>7</v>
      </c>
    </row>
    <row r="10" spans="1:13" ht="14.65" thickBot="1" x14ac:dyDescent="0.5">
      <c r="A10" t="s">
        <v>543</v>
      </c>
    </row>
    <row r="11" spans="1:13" x14ac:dyDescent="0.45">
      <c r="A11" s="72"/>
      <c r="B11" s="72" t="s">
        <v>544</v>
      </c>
      <c r="C11" s="72" t="s">
        <v>545</v>
      </c>
      <c r="D11" s="72" t="s">
        <v>546</v>
      </c>
      <c r="E11" s="72" t="s">
        <v>547</v>
      </c>
      <c r="F11" s="72" t="s">
        <v>548</v>
      </c>
    </row>
    <row r="12" spans="1:13" x14ac:dyDescent="0.45">
      <c r="A12" t="s">
        <v>549</v>
      </c>
      <c r="B12">
        <v>2</v>
      </c>
      <c r="C12">
        <v>1.8104692511489188E+18</v>
      </c>
      <c r="D12">
        <v>9.0523462557445939E+17</v>
      </c>
      <c r="E12">
        <v>27.726978965958658</v>
      </c>
      <c r="F12">
        <v>4.5264574231567512E-3</v>
      </c>
    </row>
    <row r="13" spans="1:13" x14ac:dyDescent="0.45">
      <c r="A13" t="s">
        <v>550</v>
      </c>
      <c r="B13">
        <v>4</v>
      </c>
      <c r="C13">
        <v>1.3059260825867056E+17</v>
      </c>
      <c r="D13">
        <v>3.264815206466764E+16</v>
      </c>
    </row>
    <row r="14" spans="1:13" ht="14.65" thickBot="1" x14ac:dyDescent="0.5">
      <c r="A14" s="71" t="s">
        <v>52</v>
      </c>
      <c r="B14" s="71">
        <v>6</v>
      </c>
      <c r="C14" s="71">
        <v>1.9410618594075894E+18</v>
      </c>
      <c r="D14" s="71"/>
      <c r="E14" s="71"/>
      <c r="F14" s="71"/>
    </row>
    <row r="15" spans="1:13" ht="14.65" thickBot="1" x14ac:dyDescent="0.5"/>
    <row r="16" spans="1:13" x14ac:dyDescent="0.45">
      <c r="A16" s="72"/>
      <c r="B16" s="72" t="s">
        <v>551</v>
      </c>
      <c r="C16" s="72" t="s">
        <v>541</v>
      </c>
      <c r="D16" s="72" t="s">
        <v>552</v>
      </c>
      <c r="E16" s="72" t="s">
        <v>553</v>
      </c>
      <c r="F16" s="72" t="s">
        <v>554</v>
      </c>
      <c r="G16" s="72" t="s">
        <v>555</v>
      </c>
      <c r="H16" s="72" t="s">
        <v>556</v>
      </c>
      <c r="I16" s="72" t="s">
        <v>557</v>
      </c>
    </row>
    <row r="17" spans="1:11" x14ac:dyDescent="0.45">
      <c r="A17" t="s">
        <v>300</v>
      </c>
      <c r="B17">
        <v>11000904199.357836</v>
      </c>
      <c r="C17">
        <v>4168633511.5289588</v>
      </c>
      <c r="D17">
        <v>2.638971300531276</v>
      </c>
      <c r="E17">
        <v>5.7642360140608924E-2</v>
      </c>
      <c r="F17">
        <v>-573077909.09023094</v>
      </c>
      <c r="G17">
        <v>22574886307.805901</v>
      </c>
      <c r="H17">
        <v>-573077909.09023094</v>
      </c>
      <c r="I17">
        <v>22574886307.805901</v>
      </c>
    </row>
    <row r="18" spans="1:11" x14ac:dyDescent="0.45">
      <c r="A18" t="s">
        <v>558</v>
      </c>
      <c r="B18">
        <v>115.30440676981362</v>
      </c>
      <c r="C18">
        <v>18.186622129289866</v>
      </c>
      <c r="D18">
        <v>6.3400672180962019</v>
      </c>
      <c r="E18" s="100">
        <v>3.1693732900309139E-3</v>
      </c>
      <c r="F18">
        <v>64.810248778864903</v>
      </c>
      <c r="G18">
        <v>165.79856476076236</v>
      </c>
      <c r="H18">
        <v>64.810248778864903</v>
      </c>
      <c r="I18">
        <v>165.79856476076236</v>
      </c>
      <c r="J18" s="55" t="s">
        <v>571</v>
      </c>
      <c r="K18" t="s">
        <v>66</v>
      </c>
    </row>
    <row r="19" spans="1:11" ht="14.65" thickBot="1" x14ac:dyDescent="0.5">
      <c r="A19" s="71" t="s">
        <v>562</v>
      </c>
      <c r="B19" s="99">
        <v>-2.2544798222834802E-3</v>
      </c>
      <c r="C19" s="71">
        <v>9.6914571800181082E-4</v>
      </c>
      <c r="D19" s="71">
        <v>-2.3262547420957267</v>
      </c>
      <c r="E19" s="98">
        <v>8.0582115188010672E-2</v>
      </c>
      <c r="F19" s="71">
        <v>-4.9452597072530084E-3</v>
      </c>
      <c r="G19" s="71">
        <v>4.3630006268604834E-4</v>
      </c>
      <c r="H19" s="71">
        <v>-4.9452597072530084E-3</v>
      </c>
      <c r="I19" s="71">
        <v>4.3630006268604834E-4</v>
      </c>
      <c r="J19" s="55" t="s">
        <v>572</v>
      </c>
      <c r="K19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2EFE-39C7-4525-BF53-68152728A9F2}">
  <sheetPr codeName="Sheet18"/>
  <dimension ref="A1:N19"/>
  <sheetViews>
    <sheetView topLeftCell="D1" workbookViewId="0">
      <selection activeCell="L3" sqref="L2:P3"/>
    </sheetView>
  </sheetViews>
  <sheetFormatPr defaultRowHeight="14.25" x14ac:dyDescent="0.45"/>
  <cols>
    <col min="2" max="2" width="19.1328125" bestFit="1" customWidth="1"/>
    <col min="3" max="3" width="16.1328125" bestFit="1" customWidth="1"/>
    <col min="4" max="4" width="19.1328125" bestFit="1" customWidth="1"/>
    <col min="5" max="5" width="10.1328125" bestFit="1" customWidth="1"/>
    <col min="6" max="6" width="12.3984375" bestFit="1" customWidth="1"/>
    <col min="11" max="11" width="11" customWidth="1"/>
  </cols>
  <sheetData>
    <row r="1" spans="1:14" x14ac:dyDescent="0.45">
      <c r="A1" t="s">
        <v>533</v>
      </c>
    </row>
    <row r="2" spans="1:14" ht="14.65" thickBot="1" x14ac:dyDescent="0.5">
      <c r="L2" t="s">
        <v>560</v>
      </c>
      <c r="M2" t="s">
        <v>561</v>
      </c>
    </row>
    <row r="3" spans="1:14" x14ac:dyDescent="0.45">
      <c r="A3" s="73" t="s">
        <v>537</v>
      </c>
      <c r="B3" s="73"/>
      <c r="L3" t="s">
        <v>563</v>
      </c>
      <c r="M3" t="s">
        <v>564</v>
      </c>
    </row>
    <row r="4" spans="1:14" x14ac:dyDescent="0.45">
      <c r="A4" t="s">
        <v>538</v>
      </c>
      <c r="B4">
        <v>0.94713923654747934</v>
      </c>
    </row>
    <row r="5" spans="1:14" x14ac:dyDescent="0.45">
      <c r="A5" t="s">
        <v>539</v>
      </c>
      <c r="B5" s="101">
        <v>0.89707273340774207</v>
      </c>
      <c r="L5" s="2"/>
      <c r="M5" s="2"/>
      <c r="N5" s="2"/>
    </row>
    <row r="6" spans="1:14" x14ac:dyDescent="0.45">
      <c r="A6" t="s">
        <v>540</v>
      </c>
      <c r="B6">
        <v>0.84560910011161305</v>
      </c>
    </row>
    <row r="7" spans="1:14" x14ac:dyDescent="0.45">
      <c r="A7" t="s">
        <v>541</v>
      </c>
      <c r="B7">
        <v>223488361.81964198</v>
      </c>
    </row>
    <row r="8" spans="1:14" ht="14.65" thickBot="1" x14ac:dyDescent="0.5">
      <c r="A8" s="71" t="s">
        <v>542</v>
      </c>
      <c r="B8" s="71">
        <v>7</v>
      </c>
    </row>
    <row r="10" spans="1:14" ht="14.65" thickBot="1" x14ac:dyDescent="0.5">
      <c r="A10" t="s">
        <v>543</v>
      </c>
    </row>
    <row r="11" spans="1:14" x14ac:dyDescent="0.45">
      <c r="A11" s="72"/>
      <c r="B11" s="72" t="s">
        <v>544</v>
      </c>
      <c r="C11" s="72" t="s">
        <v>545</v>
      </c>
      <c r="D11" s="72" t="s">
        <v>546</v>
      </c>
      <c r="E11" s="72" t="s">
        <v>547</v>
      </c>
      <c r="F11" s="72" t="s">
        <v>548</v>
      </c>
    </row>
    <row r="12" spans="1:14" x14ac:dyDescent="0.45">
      <c r="A12" t="s">
        <v>549</v>
      </c>
      <c r="B12">
        <v>2</v>
      </c>
      <c r="C12">
        <v>1.7412736679322806E+18</v>
      </c>
      <c r="D12">
        <v>8.7063683396614029E+17</v>
      </c>
      <c r="E12">
        <v>17.431197059987195</v>
      </c>
      <c r="F12">
        <v>1.059402220815373E-2</v>
      </c>
    </row>
    <row r="13" spans="1:14" x14ac:dyDescent="0.45">
      <c r="A13" t="s">
        <v>550</v>
      </c>
      <c r="B13">
        <v>4</v>
      </c>
      <c r="C13">
        <v>1.997881914753088E+17</v>
      </c>
      <c r="D13">
        <v>4.99470478688272E+16</v>
      </c>
    </row>
    <row r="14" spans="1:14" ht="14.65" thickBot="1" x14ac:dyDescent="0.5">
      <c r="A14" s="71" t="s">
        <v>52</v>
      </c>
      <c r="B14" s="71">
        <v>6</v>
      </c>
      <c r="C14" s="71">
        <v>1.9410618594075894E+18</v>
      </c>
      <c r="D14" s="71"/>
      <c r="E14" s="71"/>
      <c r="F14" s="71"/>
    </row>
    <row r="15" spans="1:14" ht="14.65" thickBot="1" x14ac:dyDescent="0.5"/>
    <row r="16" spans="1:14" x14ac:dyDescent="0.45">
      <c r="A16" s="72"/>
      <c r="B16" s="72" t="s">
        <v>551</v>
      </c>
      <c r="C16" s="72" t="s">
        <v>541</v>
      </c>
      <c r="D16" s="72" t="s">
        <v>552</v>
      </c>
      <c r="E16" s="72" t="s">
        <v>553</v>
      </c>
      <c r="F16" s="72" t="s">
        <v>554</v>
      </c>
      <c r="G16" s="72" t="s">
        <v>555</v>
      </c>
      <c r="H16" s="72" t="s">
        <v>556</v>
      </c>
      <c r="I16" s="72" t="s">
        <v>557</v>
      </c>
    </row>
    <row r="17" spans="1:12" x14ac:dyDescent="0.45">
      <c r="A17" t="s">
        <v>300</v>
      </c>
      <c r="B17" s="102">
        <v>-13203443513.681139</v>
      </c>
      <c r="C17">
        <v>9900058411.2430077</v>
      </c>
      <c r="D17">
        <v>-1.3336732941582081</v>
      </c>
      <c r="E17">
        <v>0.253186536746216</v>
      </c>
      <c r="F17">
        <v>-40690412230.749031</v>
      </c>
      <c r="G17">
        <v>14283525203.386751</v>
      </c>
      <c r="H17">
        <v>-40690412230.749031</v>
      </c>
      <c r="I17">
        <v>14283525203.386751</v>
      </c>
    </row>
    <row r="18" spans="1:12" x14ac:dyDescent="0.45">
      <c r="A18" t="s">
        <v>558</v>
      </c>
      <c r="B18" s="100">
        <v>7.6600266245290261</v>
      </c>
      <c r="C18">
        <v>53.350292165687527</v>
      </c>
      <c r="D18">
        <v>0.14357984396298407</v>
      </c>
      <c r="E18">
        <v>0.89277511601387849</v>
      </c>
      <c r="F18">
        <v>-140.46413091976629</v>
      </c>
      <c r="G18">
        <v>155.78418416882434</v>
      </c>
      <c r="H18">
        <v>-140.46413091976629</v>
      </c>
      <c r="I18">
        <v>155.78418416882434</v>
      </c>
      <c r="J18" s="55" t="s">
        <v>573</v>
      </c>
      <c r="L18" t="s">
        <v>66</v>
      </c>
    </row>
    <row r="19" spans="1:12" ht="14.65" thickBot="1" x14ac:dyDescent="0.5">
      <c r="A19" s="71" t="s">
        <v>562</v>
      </c>
      <c r="B19" s="98">
        <v>203664.9314976102</v>
      </c>
      <c r="C19" s="71">
        <v>138838.56676535995</v>
      </c>
      <c r="D19" s="71">
        <v>1.4669189998324323</v>
      </c>
      <c r="E19" s="71">
        <v>0.21629316228193154</v>
      </c>
      <c r="F19" s="71">
        <v>-181812.7276107505</v>
      </c>
      <c r="G19" s="71">
        <v>589142.59060597094</v>
      </c>
      <c r="H19" s="71">
        <v>-181812.7276107505</v>
      </c>
      <c r="I19" s="71">
        <v>589142.59060597094</v>
      </c>
      <c r="J19" s="55" t="s">
        <v>574</v>
      </c>
      <c r="L19" t="s">
        <v>535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5AB-8D31-47B1-B63C-CEE496DEBAF4}">
  <sheetPr codeName="Sheet19"/>
  <dimension ref="A1:I18"/>
  <sheetViews>
    <sheetView workbookViewId="0">
      <selection activeCell="B5" sqref="B5"/>
    </sheetView>
  </sheetViews>
  <sheetFormatPr defaultRowHeight="14.25" x14ac:dyDescent="0.45"/>
  <cols>
    <col min="1" max="1" width="17.1328125" bestFit="1" customWidth="1"/>
    <col min="2" max="2" width="12.3984375" bestFit="1" customWidth="1"/>
    <col min="3" max="3" width="13.59765625" bestFit="1" customWidth="1"/>
  </cols>
  <sheetData>
    <row r="1" spans="1:9" x14ac:dyDescent="0.45">
      <c r="A1" t="s">
        <v>533</v>
      </c>
    </row>
    <row r="2" spans="1:9" ht="14.65" thickBot="1" x14ac:dyDescent="0.5"/>
    <row r="3" spans="1:9" x14ac:dyDescent="0.45">
      <c r="A3" s="73" t="s">
        <v>537</v>
      </c>
      <c r="B3" s="73"/>
    </row>
    <row r="4" spans="1:9" x14ac:dyDescent="0.45">
      <c r="A4" t="s">
        <v>538</v>
      </c>
      <c r="B4">
        <v>0.85854718937813235</v>
      </c>
    </row>
    <row r="5" spans="1:9" x14ac:dyDescent="0.45">
      <c r="A5" t="s">
        <v>539</v>
      </c>
      <c r="B5" s="74">
        <v>0.73710327638909068</v>
      </c>
    </row>
    <row r="6" spans="1:9" x14ac:dyDescent="0.45">
      <c r="A6" t="s">
        <v>540</v>
      </c>
      <c r="B6">
        <v>0.7151952160881816</v>
      </c>
    </row>
    <row r="7" spans="1:9" x14ac:dyDescent="0.45">
      <c r="A7" t="s">
        <v>541</v>
      </c>
      <c r="B7">
        <v>238188739.56057715</v>
      </c>
    </row>
    <row r="8" spans="1:9" ht="14.65" thickBot="1" x14ac:dyDescent="0.5">
      <c r="A8" s="71" t="s">
        <v>542</v>
      </c>
      <c r="B8" s="71">
        <v>14</v>
      </c>
    </row>
    <row r="10" spans="1:9" ht="14.65" thickBot="1" x14ac:dyDescent="0.5">
      <c r="A10" t="s">
        <v>543</v>
      </c>
    </row>
    <row r="11" spans="1:9" x14ac:dyDescent="0.45">
      <c r="A11" s="72"/>
      <c r="B11" s="72" t="s">
        <v>544</v>
      </c>
      <c r="C11" s="72" t="s">
        <v>545</v>
      </c>
      <c r="D11" s="72" t="s">
        <v>546</v>
      </c>
      <c r="E11" s="72" t="s">
        <v>547</v>
      </c>
      <c r="F11" s="72" t="s">
        <v>548</v>
      </c>
    </row>
    <row r="12" spans="1:9" x14ac:dyDescent="0.45">
      <c r="A12" t="s">
        <v>549</v>
      </c>
      <c r="B12">
        <v>1</v>
      </c>
      <c r="C12">
        <v>1.9088283057482127E+18</v>
      </c>
      <c r="D12">
        <v>1.9088283057482127E+18</v>
      </c>
      <c r="E12">
        <v>33.645300691385415</v>
      </c>
      <c r="F12">
        <v>8.4672654633427183E-5</v>
      </c>
    </row>
    <row r="13" spans="1:9" x14ac:dyDescent="0.45">
      <c r="A13" t="s">
        <v>550</v>
      </c>
      <c r="B13">
        <v>12</v>
      </c>
      <c r="C13">
        <v>6.808065078414775E+17</v>
      </c>
      <c r="D13">
        <v>5.6733875653456456E+16</v>
      </c>
    </row>
    <row r="14" spans="1:9" ht="14.65" thickBot="1" x14ac:dyDescent="0.5">
      <c r="A14" s="71" t="s">
        <v>52</v>
      </c>
      <c r="B14" s="71">
        <v>13</v>
      </c>
      <c r="C14" s="71">
        <v>2.5896348135896904E+18</v>
      </c>
      <c r="D14" s="71"/>
      <c r="E14" s="71"/>
      <c r="F14" s="71"/>
    </row>
    <row r="15" spans="1:9" ht="14.65" thickBot="1" x14ac:dyDescent="0.5"/>
    <row r="16" spans="1:9" x14ac:dyDescent="0.45">
      <c r="A16" s="72"/>
      <c r="B16" s="72" t="s">
        <v>551</v>
      </c>
      <c r="C16" s="72" t="s">
        <v>541</v>
      </c>
      <c r="D16" s="72" t="s">
        <v>552</v>
      </c>
      <c r="E16" s="72" t="s">
        <v>553</v>
      </c>
      <c r="F16" s="72" t="s">
        <v>554</v>
      </c>
      <c r="G16" s="72" t="s">
        <v>555</v>
      </c>
      <c r="H16" s="72" t="s">
        <v>556</v>
      </c>
      <c r="I16" s="72" t="s">
        <v>557</v>
      </c>
    </row>
    <row r="17" spans="1:9" x14ac:dyDescent="0.45">
      <c r="A17" t="s">
        <v>300</v>
      </c>
      <c r="B17">
        <v>-12003727344.332592</v>
      </c>
      <c r="C17">
        <v>2558594803.3461957</v>
      </c>
      <c r="D17">
        <v>-4.6915311985445332</v>
      </c>
      <c r="E17">
        <v>5.218329017742621E-4</v>
      </c>
      <c r="F17">
        <v>-17578426527.78318</v>
      </c>
      <c r="G17">
        <v>-6429028160.8820019</v>
      </c>
      <c r="H17">
        <v>-17578426527.78318</v>
      </c>
      <c r="I17">
        <v>-6429028160.8820019</v>
      </c>
    </row>
    <row r="18" spans="1:9" ht="14.65" thickBot="1" x14ac:dyDescent="0.5">
      <c r="A18" s="71" t="s">
        <v>558</v>
      </c>
      <c r="B18" s="71">
        <v>189822.86822006281</v>
      </c>
      <c r="C18" s="71">
        <v>32725.502532642822</v>
      </c>
      <c r="D18" s="71">
        <v>5.8004569381545643</v>
      </c>
      <c r="E18" s="71">
        <v>8.4672654633427034E-5</v>
      </c>
      <c r="F18" s="71">
        <v>118520.12344463325</v>
      </c>
      <c r="G18" s="71">
        <v>261125.61299549235</v>
      </c>
      <c r="H18" s="71">
        <v>118520.12344463325</v>
      </c>
      <c r="I18" s="71">
        <v>261125.61299549235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6B1E-EE00-4C95-9604-88974457E918}">
  <sheetPr codeName="Sheet20"/>
  <dimension ref="A1:I18"/>
  <sheetViews>
    <sheetView workbookViewId="0">
      <selection activeCell="H10" sqref="H10"/>
    </sheetView>
  </sheetViews>
  <sheetFormatPr defaultRowHeight="14.25" x14ac:dyDescent="0.45"/>
  <cols>
    <col min="1" max="1" width="17.1328125" bestFit="1" customWidth="1"/>
  </cols>
  <sheetData>
    <row r="1" spans="1:9" x14ac:dyDescent="0.45">
      <c r="A1" t="s">
        <v>533</v>
      </c>
    </row>
    <row r="2" spans="1:9" ht="14.65" thickBot="1" x14ac:dyDescent="0.5"/>
    <row r="3" spans="1:9" x14ac:dyDescent="0.45">
      <c r="A3" s="73" t="s">
        <v>537</v>
      </c>
      <c r="B3" s="73"/>
    </row>
    <row r="4" spans="1:9" x14ac:dyDescent="0.45">
      <c r="A4" t="s">
        <v>538</v>
      </c>
      <c r="B4">
        <v>0.15479734871160408</v>
      </c>
    </row>
    <row r="5" spans="1:9" x14ac:dyDescent="0.45">
      <c r="A5" t="s">
        <v>539</v>
      </c>
      <c r="B5" s="74">
        <v>2.3962219168141952E-2</v>
      </c>
    </row>
    <row r="6" spans="1:9" x14ac:dyDescent="0.45">
      <c r="A6" t="s">
        <v>540</v>
      </c>
      <c r="B6">
        <v>-5.7374262567846224E-2</v>
      </c>
    </row>
    <row r="7" spans="1:9" x14ac:dyDescent="0.45">
      <c r="A7" t="s">
        <v>541</v>
      </c>
      <c r="B7">
        <v>458946385.45086831</v>
      </c>
    </row>
    <row r="8" spans="1:9" ht="14.65" thickBot="1" x14ac:dyDescent="0.5">
      <c r="A8" s="71" t="s">
        <v>542</v>
      </c>
      <c r="B8" s="71">
        <v>14</v>
      </c>
    </row>
    <row r="10" spans="1:9" ht="14.65" thickBot="1" x14ac:dyDescent="0.5">
      <c r="A10" t="s">
        <v>543</v>
      </c>
    </row>
    <row r="11" spans="1:9" x14ac:dyDescent="0.45">
      <c r="A11" s="72"/>
      <c r="B11" s="72" t="s">
        <v>544</v>
      </c>
      <c r="C11" s="72" t="s">
        <v>545</v>
      </c>
      <c r="D11" s="72" t="s">
        <v>546</v>
      </c>
      <c r="E11" s="72" t="s">
        <v>547</v>
      </c>
      <c r="F11" s="72" t="s">
        <v>548</v>
      </c>
    </row>
    <row r="12" spans="1:9" x14ac:dyDescent="0.45">
      <c r="A12" t="s">
        <v>549</v>
      </c>
      <c r="B12">
        <v>1</v>
      </c>
      <c r="C12">
        <v>6.2053396968686592E+16</v>
      </c>
      <c r="D12">
        <v>6.2053396968686592E+16</v>
      </c>
      <c r="E12">
        <v>0.29460604462732276</v>
      </c>
      <c r="F12">
        <v>0.59722094693546157</v>
      </c>
    </row>
    <row r="13" spans="1:9" x14ac:dyDescent="0.45">
      <c r="A13" t="s">
        <v>550</v>
      </c>
      <c r="B13">
        <v>12</v>
      </c>
      <c r="C13">
        <v>2.5275814166210038E+18</v>
      </c>
      <c r="D13">
        <v>2.1063178471841699E+17</v>
      </c>
    </row>
    <row r="14" spans="1:9" ht="14.65" thickBot="1" x14ac:dyDescent="0.5">
      <c r="A14" s="71" t="s">
        <v>52</v>
      </c>
      <c r="B14" s="71">
        <v>13</v>
      </c>
      <c r="C14" s="71">
        <v>2.5896348135896904E+18</v>
      </c>
      <c r="D14" s="71"/>
      <c r="E14" s="71"/>
      <c r="F14" s="71"/>
    </row>
    <row r="15" spans="1:9" ht="14.65" thickBot="1" x14ac:dyDescent="0.5"/>
    <row r="16" spans="1:9" x14ac:dyDescent="0.45">
      <c r="A16" s="72"/>
      <c r="B16" s="72" t="s">
        <v>551</v>
      </c>
      <c r="C16" s="72" t="s">
        <v>541</v>
      </c>
      <c r="D16" s="72" t="s">
        <v>552</v>
      </c>
      <c r="E16" s="72" t="s">
        <v>553</v>
      </c>
      <c r="F16" s="72" t="s">
        <v>554</v>
      </c>
      <c r="G16" s="72" t="s">
        <v>555</v>
      </c>
      <c r="H16" s="72" t="s">
        <v>556</v>
      </c>
      <c r="I16" s="72" t="s">
        <v>557</v>
      </c>
    </row>
    <row r="17" spans="1:9" x14ac:dyDescent="0.45">
      <c r="A17" t="s">
        <v>300</v>
      </c>
      <c r="B17">
        <v>4352142847.5877733</v>
      </c>
      <c r="C17">
        <v>2802081569.4684391</v>
      </c>
      <c r="D17">
        <v>1.5531820682912469</v>
      </c>
      <c r="E17">
        <v>0.14634402365970803</v>
      </c>
      <c r="F17">
        <v>-1753068425.7441454</v>
      </c>
      <c r="G17">
        <v>10457354120.919693</v>
      </c>
      <c r="H17">
        <v>-1753068425.7441454</v>
      </c>
      <c r="I17">
        <v>10457354120.919693</v>
      </c>
    </row>
    <row r="18" spans="1:9" ht="14.65" thickBot="1" x14ac:dyDescent="0.5">
      <c r="A18" s="71" t="s">
        <v>558</v>
      </c>
      <c r="B18" s="71">
        <v>-3.459884793039201E-4</v>
      </c>
      <c r="C18" s="71">
        <v>6.374421999865359E-4</v>
      </c>
      <c r="D18" s="71">
        <v>-0.54277623808280673</v>
      </c>
      <c r="E18" s="71">
        <v>0.59722094693546102</v>
      </c>
      <c r="F18" s="71">
        <v>-1.7348557228058876E-3</v>
      </c>
      <c r="G18" s="71">
        <v>1.0428787641980474E-3</v>
      </c>
      <c r="H18" s="71">
        <v>-1.7348557228058876E-3</v>
      </c>
      <c r="I18" s="71">
        <v>1.0428787641980474E-3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8C64-77B0-4DFF-8E83-8291CFAE6DD8}">
  <sheetPr codeName="Sheet21">
    <tabColor theme="3" tint="0.79998168889431442"/>
  </sheetPr>
  <dimension ref="A3:H37"/>
  <sheetViews>
    <sheetView showGridLines="0" topLeftCell="A3" zoomScale="77" workbookViewId="0">
      <selection activeCell="A14" sqref="A10:A14"/>
    </sheetView>
  </sheetViews>
  <sheetFormatPr defaultRowHeight="14.25" x14ac:dyDescent="0.45"/>
  <cols>
    <col min="1" max="1" width="12.3984375" bestFit="1" customWidth="1"/>
    <col min="2" max="8" width="19.59765625" bestFit="1" customWidth="1"/>
  </cols>
  <sheetData>
    <row r="3" spans="1:8" x14ac:dyDescent="0.45">
      <c r="A3" s="52" t="s">
        <v>575</v>
      </c>
      <c r="B3" t="s">
        <v>576</v>
      </c>
      <c r="C3" t="s">
        <v>577</v>
      </c>
      <c r="D3" t="s">
        <v>578</v>
      </c>
      <c r="E3" t="s">
        <v>579</v>
      </c>
      <c r="F3" t="s">
        <v>580</v>
      </c>
      <c r="G3" t="s">
        <v>581</v>
      </c>
      <c r="H3" t="s">
        <v>582</v>
      </c>
    </row>
    <row r="4" spans="1:8" x14ac:dyDescent="0.45">
      <c r="A4" s="53" t="s">
        <v>58</v>
      </c>
      <c r="B4" s="54">
        <v>140369</v>
      </c>
      <c r="C4" s="54">
        <v>135668</v>
      </c>
      <c r="D4" s="54">
        <v>130693</v>
      </c>
      <c r="E4" s="54">
        <v>42896</v>
      </c>
      <c r="F4" s="54">
        <v>90385</v>
      </c>
      <c r="G4" s="54">
        <v>109076</v>
      </c>
      <c r="H4" s="54">
        <v>121354.28571428571</v>
      </c>
    </row>
    <row r="5" spans="1:8" x14ac:dyDescent="0.45">
      <c r="A5" s="53" t="s">
        <v>64</v>
      </c>
      <c r="B5" s="54">
        <v>39047</v>
      </c>
      <c r="C5" s="54">
        <v>39018</v>
      </c>
      <c r="D5" s="54">
        <v>38524</v>
      </c>
      <c r="E5" s="54">
        <v>10297</v>
      </c>
      <c r="F5" s="54">
        <v>22743</v>
      </c>
      <c r="G5" s="54">
        <v>33155</v>
      </c>
      <c r="H5" s="54">
        <v>37685.142857142855</v>
      </c>
    </row>
    <row r="6" spans="1:8" x14ac:dyDescent="0.45">
      <c r="A6" s="53" t="s">
        <v>69</v>
      </c>
      <c r="B6" s="54">
        <v>13064</v>
      </c>
      <c r="C6" s="54">
        <v>12613</v>
      </c>
      <c r="D6" s="54">
        <v>11620</v>
      </c>
      <c r="E6" s="54">
        <v>2624</v>
      </c>
      <c r="F6" s="54">
        <v>6755</v>
      </c>
      <c r="G6" s="54">
        <v>9354</v>
      </c>
      <c r="H6" s="54">
        <v>11770.285714285716</v>
      </c>
    </row>
    <row r="7" spans="1:8" x14ac:dyDescent="0.45">
      <c r="A7" s="53" t="s">
        <v>70</v>
      </c>
      <c r="B7" s="54">
        <v>71971</v>
      </c>
      <c r="C7" s="54">
        <v>71870</v>
      </c>
      <c r="D7" s="54">
        <v>67682</v>
      </c>
      <c r="E7" s="54">
        <v>44063</v>
      </c>
      <c r="F7" s="54">
        <v>53024</v>
      </c>
      <c r="G7" s="54">
        <v>60202</v>
      </c>
      <c r="H7" s="54">
        <v>59088.000000000007</v>
      </c>
    </row>
    <row r="8" spans="1:8" x14ac:dyDescent="0.45">
      <c r="A8" s="53" t="s">
        <v>583</v>
      </c>
      <c r="B8" s="54">
        <v>264451</v>
      </c>
      <c r="C8" s="54">
        <v>259169</v>
      </c>
      <c r="D8" s="54">
        <v>248519</v>
      </c>
      <c r="E8" s="54">
        <v>99880</v>
      </c>
      <c r="F8" s="54">
        <v>172907</v>
      </c>
      <c r="G8" s="54">
        <v>211787</v>
      </c>
      <c r="H8" s="54">
        <v>229897.71428571429</v>
      </c>
    </row>
    <row r="10" spans="1:8" x14ac:dyDescent="0.45">
      <c r="A10" s="53" t="s">
        <v>575</v>
      </c>
      <c r="B10" s="70">
        <v>2017</v>
      </c>
      <c r="C10" s="70">
        <v>2018</v>
      </c>
      <c r="D10" s="70">
        <v>2019</v>
      </c>
      <c r="E10" s="70">
        <v>2020</v>
      </c>
      <c r="F10" s="70">
        <v>2021</v>
      </c>
      <c r="G10" s="70">
        <v>2022</v>
      </c>
      <c r="H10" s="70" t="s">
        <v>203</v>
      </c>
    </row>
    <row r="11" spans="1:8" x14ac:dyDescent="0.45">
      <c r="A11" s="53" t="s">
        <v>58</v>
      </c>
      <c r="B11" s="69">
        <v>140369</v>
      </c>
      <c r="C11" s="69">
        <v>135668</v>
      </c>
      <c r="D11" s="69">
        <v>130693</v>
      </c>
      <c r="E11" s="69">
        <v>42896</v>
      </c>
      <c r="F11" s="69">
        <v>90385</v>
      </c>
      <c r="G11" s="69">
        <v>109076</v>
      </c>
      <c r="H11" s="69">
        <v>121354.28571428571</v>
      </c>
    </row>
    <row r="12" spans="1:8" x14ac:dyDescent="0.45">
      <c r="A12" s="53" t="s">
        <v>64</v>
      </c>
      <c r="B12" s="69">
        <v>39047</v>
      </c>
      <c r="C12" s="69">
        <v>39018</v>
      </c>
      <c r="D12" s="69">
        <v>38524</v>
      </c>
      <c r="E12" s="69">
        <v>10297</v>
      </c>
      <c r="F12" s="69">
        <v>22743</v>
      </c>
      <c r="G12" s="69">
        <v>33155</v>
      </c>
      <c r="H12" s="69">
        <v>37685.142857142855</v>
      </c>
    </row>
    <row r="13" spans="1:8" x14ac:dyDescent="0.45">
      <c r="A13" s="53" t="s">
        <v>69</v>
      </c>
      <c r="B13" s="69">
        <v>13064</v>
      </c>
      <c r="C13" s="69">
        <v>12613</v>
      </c>
      <c r="D13" s="69">
        <v>11620</v>
      </c>
      <c r="E13" s="69">
        <v>2624</v>
      </c>
      <c r="F13" s="69">
        <v>6755</v>
      </c>
      <c r="G13" s="69">
        <v>9354</v>
      </c>
      <c r="H13" s="69">
        <v>11770.285714285716</v>
      </c>
    </row>
    <row r="14" spans="1:8" x14ac:dyDescent="0.45">
      <c r="A14" s="53" t="s">
        <v>70</v>
      </c>
      <c r="B14" s="69">
        <v>71971</v>
      </c>
      <c r="C14" s="69">
        <v>71870</v>
      </c>
      <c r="D14" s="69">
        <v>67682</v>
      </c>
      <c r="E14" s="69">
        <v>44063</v>
      </c>
      <c r="F14" s="69">
        <v>53024</v>
      </c>
      <c r="G14" s="69">
        <v>60202</v>
      </c>
      <c r="H14" s="69">
        <v>59088.000000000007</v>
      </c>
    </row>
    <row r="15" spans="1:8" x14ac:dyDescent="0.45">
      <c r="A15" s="70" t="s">
        <v>38</v>
      </c>
      <c r="B15" s="1">
        <f t="shared" ref="B15:G15" si="0">VLOOKUP(B$10,GDP,2,0)</f>
        <v>4501701615484.8301</v>
      </c>
      <c r="C15" s="1">
        <f t="shared" si="0"/>
        <v>4568669710783.1338</v>
      </c>
      <c r="D15" s="1">
        <f t="shared" si="0"/>
        <v>4573834760819.2813</v>
      </c>
      <c r="E15" s="1">
        <f t="shared" si="0"/>
        <v>4279646860386.5562</v>
      </c>
      <c r="F15" s="1">
        <f t="shared" si="0"/>
        <v>4513043919695.8613</v>
      </c>
      <c r="G15" s="1">
        <f t="shared" si="0"/>
        <v>4599261389164.5967</v>
      </c>
      <c r="H15" s="1">
        <f>VLOOKUP(2023,GDP,2,0)</f>
        <v>4638499639146.3398</v>
      </c>
    </row>
    <row r="16" spans="1:8" x14ac:dyDescent="0.45">
      <c r="A16" s="70" t="s">
        <v>584</v>
      </c>
      <c r="B16" s="1">
        <f t="shared" ref="B16:G16" si="1">VLOOKUP(B$10,GDP,3,0)</f>
        <v>4501701615484.8301</v>
      </c>
      <c r="C16" s="1">
        <f t="shared" si="1"/>
        <v>4568669710783.1338</v>
      </c>
      <c r="D16" s="1">
        <f t="shared" si="1"/>
        <v>4573834760819.2813</v>
      </c>
      <c r="E16" s="1">
        <f t="shared" si="1"/>
        <v>4279646860386.5562</v>
      </c>
      <c r="F16" s="1">
        <f t="shared" si="1"/>
        <v>4513043919695.8613</v>
      </c>
      <c r="G16" s="1">
        <f t="shared" si="1"/>
        <v>4599261389164.5967</v>
      </c>
      <c r="H16" s="1">
        <f>VLOOKUP(2023,GDP,3,0)</f>
        <v>4638499639146.3398</v>
      </c>
    </row>
    <row r="17" spans="1:8" x14ac:dyDescent="0.45">
      <c r="A17" s="70" t="s">
        <v>52</v>
      </c>
      <c r="B17" s="3">
        <f>GETPIVOTDATA("Sum of "&amp;B$10,$A$3)</f>
        <v>264451</v>
      </c>
      <c r="C17" s="3">
        <f t="shared" ref="C17:H17" si="2">GETPIVOTDATA("Sum of "&amp;C$10,$A$3)</f>
        <v>259169</v>
      </c>
      <c r="D17" s="3">
        <f t="shared" si="2"/>
        <v>248519</v>
      </c>
      <c r="E17" s="3">
        <f t="shared" si="2"/>
        <v>99880</v>
      </c>
      <c r="F17" s="3">
        <f t="shared" si="2"/>
        <v>172907</v>
      </c>
      <c r="G17" s="3">
        <f t="shared" si="2"/>
        <v>211787</v>
      </c>
      <c r="H17" s="3">
        <f t="shared" si="2"/>
        <v>229897.71428571429</v>
      </c>
    </row>
    <row r="30" spans="1:8" x14ac:dyDescent="0.45">
      <c r="B30" s="20" t="s">
        <v>30</v>
      </c>
      <c r="C30" t="s">
        <v>58</v>
      </c>
      <c r="D30" t="s">
        <v>64</v>
      </c>
      <c r="E30" t="s">
        <v>69</v>
      </c>
      <c r="F30" t="str">
        <f>A7</f>
        <v>Unscheduled</v>
      </c>
    </row>
    <row r="31" spans="1:8" x14ac:dyDescent="0.45">
      <c r="B31" s="20">
        <v>2017</v>
      </c>
      <c r="C31" s="67">
        <f t="shared" ref="C31:F36" si="3">GETPIVOTDATA("Sum of "&amp;$B32,$A$3,"Destination",C$30)/GETPIVOTDATA("Sum of "&amp;$B31,$A$3,"Destination",C$30)-1</f>
        <v>-3.3490300564939512E-2</v>
      </c>
      <c r="D31" s="67">
        <f t="shared" si="3"/>
        <v>-7.426947012574292E-4</v>
      </c>
      <c r="E31" s="67">
        <f t="shared" si="3"/>
        <v>-3.4522351500306137E-2</v>
      </c>
      <c r="F31" s="67">
        <f t="shared" si="3"/>
        <v>-1.4033430131580316E-3</v>
      </c>
    </row>
    <row r="32" spans="1:8" x14ac:dyDescent="0.45">
      <c r="B32" s="20">
        <v>2018</v>
      </c>
      <c r="C32" s="67">
        <f t="shared" si="3"/>
        <v>-3.6670401273697584E-2</v>
      </c>
      <c r="D32" s="67">
        <f t="shared" si="3"/>
        <v>-1.2660823209800554E-2</v>
      </c>
      <c r="E32" s="67">
        <f t="shared" si="3"/>
        <v>-7.8728296202330905E-2</v>
      </c>
      <c r="F32" s="67">
        <f t="shared" si="3"/>
        <v>-5.827187978294146E-2</v>
      </c>
    </row>
    <row r="33" spans="2:6" x14ac:dyDescent="0.45">
      <c r="B33" s="20">
        <v>2019</v>
      </c>
      <c r="C33" s="67">
        <f t="shared" si="3"/>
        <v>-0.67178043200477455</v>
      </c>
      <c r="D33" s="67">
        <f t="shared" si="3"/>
        <v>-0.73271207558924312</v>
      </c>
      <c r="E33" s="67">
        <f t="shared" si="3"/>
        <v>-0.77418244406196213</v>
      </c>
      <c r="F33" s="67">
        <f t="shared" si="3"/>
        <v>-0.34897018409621461</v>
      </c>
    </row>
    <row r="34" spans="2:6" x14ac:dyDescent="0.45">
      <c r="B34" s="20">
        <v>2020</v>
      </c>
      <c r="C34" s="67">
        <f t="shared" si="3"/>
        <v>1.1070729205520329</v>
      </c>
      <c r="D34" s="67">
        <f t="shared" si="3"/>
        <v>1.2087015635622027</v>
      </c>
      <c r="E34" s="67">
        <f t="shared" si="3"/>
        <v>1.5743140243902438</v>
      </c>
      <c r="F34" s="67">
        <f t="shared" si="3"/>
        <v>0.2033679050450492</v>
      </c>
    </row>
    <row r="35" spans="2:6" x14ac:dyDescent="0.45">
      <c r="B35" s="20">
        <v>2021</v>
      </c>
      <c r="C35" s="67">
        <f t="shared" si="3"/>
        <v>0.20679316258228697</v>
      </c>
      <c r="D35" s="67">
        <f t="shared" si="3"/>
        <v>0.45781119465329989</v>
      </c>
      <c r="E35" s="67">
        <f t="shared" si="3"/>
        <v>0.38475203552923753</v>
      </c>
      <c r="F35" s="67">
        <f t="shared" si="3"/>
        <v>0.13537266143633064</v>
      </c>
    </row>
    <row r="36" spans="2:6" x14ac:dyDescent="0.45">
      <c r="B36" s="20">
        <v>2022</v>
      </c>
      <c r="C36" s="67">
        <f t="shared" si="3"/>
        <v>0.11256633644693337</v>
      </c>
      <c r="D36" s="67">
        <f t="shared" si="3"/>
        <v>0.13663528448628726</v>
      </c>
      <c r="E36" s="67">
        <f t="shared" si="3"/>
        <v>0.25831577018235152</v>
      </c>
      <c r="F36" s="67">
        <f t="shared" si="3"/>
        <v>-1.8504368625626988E-2</v>
      </c>
    </row>
    <row r="37" spans="2:6" x14ac:dyDescent="0.45">
      <c r="B37" s="20" t="s">
        <v>203</v>
      </c>
      <c r="C37" s="67"/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350F-ACA8-4D9E-8B0E-CB5336885236}">
  <sheetPr codeName="Sheet22">
    <tabColor theme="3" tint="0.79998168889431442"/>
  </sheetPr>
  <dimension ref="A1:H37"/>
  <sheetViews>
    <sheetView showGridLines="0" zoomScale="77" zoomScaleNormal="80" workbookViewId="0">
      <selection activeCell="A14" sqref="A10:A14"/>
    </sheetView>
  </sheetViews>
  <sheetFormatPr defaultRowHeight="14.25" x14ac:dyDescent="0.45"/>
  <cols>
    <col min="1" max="1" width="13.3984375" bestFit="1" customWidth="1"/>
    <col min="2" max="8" width="17.86328125" bestFit="1" customWidth="1"/>
  </cols>
  <sheetData>
    <row r="1" spans="1:8" x14ac:dyDescent="0.45">
      <c r="A1" s="52" t="s">
        <v>585</v>
      </c>
      <c r="B1" t="s">
        <v>586</v>
      </c>
    </row>
    <row r="3" spans="1:8" x14ac:dyDescent="0.45">
      <c r="A3" s="52" t="s">
        <v>575</v>
      </c>
      <c r="B3" t="s">
        <v>576</v>
      </c>
      <c r="C3" t="s">
        <v>577</v>
      </c>
      <c r="D3" t="s">
        <v>578</v>
      </c>
      <c r="E3" t="s">
        <v>579</v>
      </c>
      <c r="F3" t="s">
        <v>580</v>
      </c>
      <c r="G3" t="s">
        <v>581</v>
      </c>
      <c r="H3" t="s">
        <v>582</v>
      </c>
    </row>
    <row r="4" spans="1:8" x14ac:dyDescent="0.45">
      <c r="A4" s="53" t="s">
        <v>58</v>
      </c>
      <c r="B4" s="54">
        <v>140965</v>
      </c>
      <c r="C4" s="54">
        <v>136144</v>
      </c>
      <c r="D4" s="54">
        <v>131082</v>
      </c>
      <c r="E4" s="54">
        <v>42969</v>
      </c>
      <c r="F4" s="54">
        <v>90631</v>
      </c>
      <c r="G4" s="54">
        <v>109366</v>
      </c>
      <c r="H4" s="54">
        <v>121654.28571428572</v>
      </c>
    </row>
    <row r="5" spans="1:8" x14ac:dyDescent="0.45">
      <c r="A5" s="53" t="s">
        <v>64</v>
      </c>
      <c r="B5" s="54">
        <v>38929</v>
      </c>
      <c r="C5" s="54">
        <v>38819</v>
      </c>
      <c r="D5" s="54">
        <v>38300</v>
      </c>
      <c r="E5" s="54">
        <v>10160</v>
      </c>
      <c r="F5" s="54">
        <v>22514</v>
      </c>
      <c r="G5" s="54">
        <v>32933</v>
      </c>
      <c r="H5" s="54">
        <v>37434.857142857138</v>
      </c>
    </row>
    <row r="6" spans="1:8" x14ac:dyDescent="0.45">
      <c r="A6" s="53" t="s">
        <v>69</v>
      </c>
      <c r="B6" s="54">
        <v>13085</v>
      </c>
      <c r="C6" s="54">
        <v>12650</v>
      </c>
      <c r="D6" s="54">
        <v>11689</v>
      </c>
      <c r="E6" s="54">
        <v>2552</v>
      </c>
      <c r="F6" s="54">
        <v>6679</v>
      </c>
      <c r="G6" s="54">
        <v>9263</v>
      </c>
      <c r="H6" s="54">
        <v>11688</v>
      </c>
    </row>
    <row r="7" spans="1:8" x14ac:dyDescent="0.45">
      <c r="A7" s="53" t="s">
        <v>70</v>
      </c>
      <c r="B7" s="54">
        <v>69459</v>
      </c>
      <c r="C7" s="54">
        <v>71197</v>
      </c>
      <c r="D7" s="54">
        <v>65740</v>
      </c>
      <c r="E7" s="54">
        <v>44101</v>
      </c>
      <c r="F7" s="54">
        <v>52146</v>
      </c>
      <c r="G7" s="54">
        <v>59308</v>
      </c>
      <c r="H7" s="54">
        <v>58674.857142857145</v>
      </c>
    </row>
    <row r="8" spans="1:8" x14ac:dyDescent="0.45">
      <c r="A8" s="53" t="s">
        <v>583</v>
      </c>
      <c r="B8" s="54">
        <v>262438</v>
      </c>
      <c r="C8" s="54">
        <v>258810</v>
      </c>
      <c r="D8" s="54">
        <v>246811</v>
      </c>
      <c r="E8" s="54">
        <v>99782</v>
      </c>
      <c r="F8" s="54">
        <v>171970</v>
      </c>
      <c r="G8" s="54">
        <v>210870</v>
      </c>
      <c r="H8" s="54">
        <v>229452</v>
      </c>
    </row>
    <row r="10" spans="1:8" x14ac:dyDescent="0.45">
      <c r="A10" t="s">
        <v>575</v>
      </c>
      <c r="B10" s="2">
        <v>2017</v>
      </c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 t="s">
        <v>203</v>
      </c>
    </row>
    <row r="11" spans="1:8" x14ac:dyDescent="0.45">
      <c r="A11" t="s">
        <v>58</v>
      </c>
      <c r="B11" s="1">
        <v>140965</v>
      </c>
      <c r="C11" s="1">
        <v>136144</v>
      </c>
      <c r="D11" s="1">
        <v>131082</v>
      </c>
      <c r="E11" s="1">
        <v>42969</v>
      </c>
      <c r="F11" s="1">
        <v>90631</v>
      </c>
      <c r="G11" s="1">
        <v>109366</v>
      </c>
      <c r="H11" s="1">
        <v>121654.28571428572</v>
      </c>
    </row>
    <row r="12" spans="1:8" x14ac:dyDescent="0.45">
      <c r="A12" t="s">
        <v>64</v>
      </c>
      <c r="B12" s="1">
        <v>38929</v>
      </c>
      <c r="C12" s="1">
        <v>38819</v>
      </c>
      <c r="D12" s="1">
        <v>38300</v>
      </c>
      <c r="E12" s="1">
        <v>10160</v>
      </c>
      <c r="F12" s="1">
        <v>22514</v>
      </c>
      <c r="G12" s="1">
        <v>32933</v>
      </c>
      <c r="H12" s="1">
        <v>37434.857142857138</v>
      </c>
    </row>
    <row r="13" spans="1:8" x14ac:dyDescent="0.45">
      <c r="A13" t="s">
        <v>69</v>
      </c>
      <c r="B13" s="1">
        <v>13085</v>
      </c>
      <c r="C13" s="1">
        <v>12650</v>
      </c>
      <c r="D13" s="1">
        <v>11689</v>
      </c>
      <c r="E13" s="1">
        <v>2552</v>
      </c>
      <c r="F13" s="1">
        <v>6679</v>
      </c>
      <c r="G13" s="1">
        <v>9263</v>
      </c>
      <c r="H13" s="1">
        <v>11688</v>
      </c>
    </row>
    <row r="14" spans="1:8" x14ac:dyDescent="0.45">
      <c r="A14" t="s">
        <v>70</v>
      </c>
      <c r="B14" s="1">
        <v>69459</v>
      </c>
      <c r="C14" s="1">
        <v>71197</v>
      </c>
      <c r="D14" s="1">
        <v>65740</v>
      </c>
      <c r="E14" s="1">
        <v>44101</v>
      </c>
      <c r="F14" s="1">
        <v>52146</v>
      </c>
      <c r="G14" s="1">
        <v>59308</v>
      </c>
      <c r="H14" s="1">
        <v>58674.857142857145</v>
      </c>
    </row>
    <row r="15" spans="1:8" x14ac:dyDescent="0.45">
      <c r="A15" s="70" t="s">
        <v>38</v>
      </c>
      <c r="B15" s="1">
        <f t="shared" ref="B15:G15" si="0">VLOOKUP(B$10,GDP,2,0)</f>
        <v>4501701615484.8301</v>
      </c>
      <c r="C15" s="1">
        <f t="shared" si="0"/>
        <v>4568669710783.1338</v>
      </c>
      <c r="D15" s="1">
        <f t="shared" si="0"/>
        <v>4573834760819.2813</v>
      </c>
      <c r="E15" s="1">
        <f t="shared" si="0"/>
        <v>4279646860386.5562</v>
      </c>
      <c r="F15" s="1">
        <f t="shared" si="0"/>
        <v>4513043919695.8613</v>
      </c>
      <c r="G15" s="1">
        <f t="shared" si="0"/>
        <v>4599261389164.5967</v>
      </c>
      <c r="H15" s="1">
        <f>VLOOKUP(2023,GDP,2,0)</f>
        <v>4638499639146.3398</v>
      </c>
    </row>
    <row r="16" spans="1:8" x14ac:dyDescent="0.45">
      <c r="A16" s="70" t="s">
        <v>584</v>
      </c>
      <c r="B16" s="1">
        <f t="shared" ref="B16:G16" si="1">VLOOKUP(B$10,GDP,3,0)</f>
        <v>4501701615484.8301</v>
      </c>
      <c r="C16" s="1">
        <f t="shared" si="1"/>
        <v>4568669710783.1338</v>
      </c>
      <c r="D16" s="1">
        <f t="shared" si="1"/>
        <v>4573834760819.2813</v>
      </c>
      <c r="E16" s="1">
        <f t="shared" si="1"/>
        <v>4279646860386.5562</v>
      </c>
      <c r="F16" s="1">
        <f t="shared" si="1"/>
        <v>4513043919695.8613</v>
      </c>
      <c r="G16" s="1">
        <f t="shared" si="1"/>
        <v>4599261389164.5967</v>
      </c>
      <c r="H16" s="1">
        <f>VLOOKUP(2023,GDP,3,0)</f>
        <v>4638499639146.3398</v>
      </c>
    </row>
    <row r="17" spans="1:8" x14ac:dyDescent="0.45">
      <c r="A17" s="70" t="s">
        <v>52</v>
      </c>
      <c r="B17" s="3">
        <f>GETPIVOTDATA("Sum of "&amp;B$10,$A$3)</f>
        <v>262438</v>
      </c>
      <c r="C17" s="3">
        <f t="shared" ref="C17:H17" si="2">GETPIVOTDATA("Sum of "&amp;C$10,$A$3)</f>
        <v>258810</v>
      </c>
      <c r="D17" s="3">
        <f t="shared" si="2"/>
        <v>246811</v>
      </c>
      <c r="E17" s="3">
        <f t="shared" si="2"/>
        <v>99782</v>
      </c>
      <c r="F17" s="3">
        <f t="shared" si="2"/>
        <v>171970</v>
      </c>
      <c r="G17" s="3">
        <f t="shared" si="2"/>
        <v>210870</v>
      </c>
      <c r="H17" s="3">
        <f t="shared" si="2"/>
        <v>229452</v>
      </c>
    </row>
    <row r="30" spans="1:8" x14ac:dyDescent="0.45">
      <c r="B30" s="20" t="s">
        <v>30</v>
      </c>
      <c r="C30" t="s">
        <v>58</v>
      </c>
      <c r="D30" t="s">
        <v>64</v>
      </c>
      <c r="E30" t="s">
        <v>69</v>
      </c>
      <c r="F30" t="str">
        <f>A7</f>
        <v>Unscheduled</v>
      </c>
    </row>
    <row r="31" spans="1:8" x14ac:dyDescent="0.45">
      <c r="B31" s="20">
        <v>2017</v>
      </c>
      <c r="C31" s="67">
        <f>GETPIVOTDATA("Sum of "&amp;$B32,$A$3,"Destination",C$30)/GETPIVOTDATA("Sum of "&amp;$B31,$A$3,"Destination",C$30)-1</f>
        <v>-3.4199978718121526E-2</v>
      </c>
      <c r="D31" s="67">
        <f t="shared" ref="D31:F36" si="3">GETPIVOTDATA("Sum of "&amp;$B32,$A$3,"Destination",D$30)/GETPIVOTDATA("Sum of "&amp;$B31,$A$3,"Destination",D$30)-1</f>
        <v>-2.8256569652443941E-3</v>
      </c>
      <c r="E31" s="67">
        <f t="shared" si="3"/>
        <v>-3.3244172716851317E-2</v>
      </c>
      <c r="F31" s="67">
        <f t="shared" si="3"/>
        <v>2.5021955398148554E-2</v>
      </c>
    </row>
    <row r="32" spans="1:8" x14ac:dyDescent="0.45">
      <c r="B32" s="20">
        <v>2018</v>
      </c>
      <c r="C32" s="67">
        <f t="shared" ref="C32:C36" si="4">GETPIVOTDATA("Sum of "&amp;$B33,$A$3,"Destination",C$30)/GETPIVOTDATA("Sum of "&amp;$B32,$A$3,"Destination",C$30)-1</f>
        <v>-3.718121988482781E-2</v>
      </c>
      <c r="D32" s="67">
        <f t="shared" si="3"/>
        <v>-1.3369741621370945E-2</v>
      </c>
      <c r="E32" s="67">
        <f t="shared" si="3"/>
        <v>-7.5968379446640366E-2</v>
      </c>
      <c r="F32" s="67">
        <f t="shared" si="3"/>
        <v>-7.6646487913816563E-2</v>
      </c>
    </row>
    <row r="33" spans="2:6" x14ac:dyDescent="0.45">
      <c r="B33" s="20">
        <v>2019</v>
      </c>
      <c r="C33" s="67">
        <f t="shared" si="4"/>
        <v>-0.67219755572847528</v>
      </c>
      <c r="D33" s="67">
        <f t="shared" si="3"/>
        <v>-0.73472584856396872</v>
      </c>
      <c r="E33" s="67">
        <f t="shared" si="3"/>
        <v>-0.78167507913422873</v>
      </c>
      <c r="F33" s="67">
        <f t="shared" si="3"/>
        <v>-0.32916032856708244</v>
      </c>
    </row>
    <row r="34" spans="2:6" x14ac:dyDescent="0.45">
      <c r="B34" s="20">
        <v>2020</v>
      </c>
      <c r="C34" s="67">
        <f t="shared" si="4"/>
        <v>1.1092182736391352</v>
      </c>
      <c r="D34" s="67">
        <f t="shared" si="3"/>
        <v>1.2159448818897638</v>
      </c>
      <c r="E34" s="67">
        <f t="shared" si="3"/>
        <v>1.6171630094043885</v>
      </c>
      <c r="F34" s="67">
        <f t="shared" si="3"/>
        <v>0.1824221672977937</v>
      </c>
    </row>
    <row r="35" spans="2:6" x14ac:dyDescent="0.45">
      <c r="B35" s="20">
        <v>2021</v>
      </c>
      <c r="C35" s="67">
        <f t="shared" si="4"/>
        <v>0.20671734836865974</v>
      </c>
      <c r="D35" s="67">
        <f t="shared" si="3"/>
        <v>0.46277871546593241</v>
      </c>
      <c r="E35" s="67">
        <f t="shared" si="3"/>
        <v>0.38688426411139387</v>
      </c>
      <c r="F35" s="67">
        <f t="shared" si="3"/>
        <v>0.13734514631994776</v>
      </c>
    </row>
    <row r="36" spans="2:6" x14ac:dyDescent="0.45">
      <c r="B36" s="20">
        <v>2022</v>
      </c>
      <c r="C36" s="67">
        <f t="shared" si="4"/>
        <v>0.112359286380463</v>
      </c>
      <c r="D36" s="67">
        <f t="shared" si="3"/>
        <v>0.13669745066823968</v>
      </c>
      <c r="E36" s="67">
        <f t="shared" si="3"/>
        <v>0.2617942351290079</v>
      </c>
      <c r="F36" s="67">
        <f t="shared" si="3"/>
        <v>-1.067550511133164E-2</v>
      </c>
    </row>
    <row r="37" spans="2:6" x14ac:dyDescent="0.45">
      <c r="B37" s="20" t="s">
        <v>203</v>
      </c>
      <c r="C37" s="67"/>
    </row>
  </sheetData>
  <pageMargins left="0.7" right="0.7" top="0.75" bottom="0.75" header="0.3" footer="0.3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4FD5-009B-4B59-B7BD-5C73F57AB50D}">
  <sheetPr codeName="Sheet23"/>
  <dimension ref="A1:H37"/>
  <sheetViews>
    <sheetView workbookViewId="0">
      <selection activeCell="A10" sqref="A10:H17"/>
    </sheetView>
  </sheetViews>
  <sheetFormatPr defaultRowHeight="14.25" x14ac:dyDescent="0.45"/>
  <cols>
    <col min="1" max="1" width="13.3984375" bestFit="1" customWidth="1"/>
    <col min="2" max="8" width="17.1328125" bestFit="1" customWidth="1"/>
    <col min="9" max="9" width="13.86328125" bestFit="1" customWidth="1"/>
  </cols>
  <sheetData>
    <row r="1" spans="1:8" x14ac:dyDescent="0.45">
      <c r="A1" s="52" t="s">
        <v>585</v>
      </c>
      <c r="B1" t="s">
        <v>586</v>
      </c>
    </row>
    <row r="3" spans="1:8" x14ac:dyDescent="0.45">
      <c r="A3" s="52" t="s">
        <v>575</v>
      </c>
      <c r="B3" t="s">
        <v>576</v>
      </c>
      <c r="C3" t="s">
        <v>577</v>
      </c>
      <c r="D3" t="s">
        <v>578</v>
      </c>
      <c r="E3" t="s">
        <v>579</v>
      </c>
      <c r="F3" t="s">
        <v>580</v>
      </c>
      <c r="G3" t="s">
        <v>581</v>
      </c>
      <c r="H3" t="s">
        <v>582</v>
      </c>
    </row>
    <row r="4" spans="1:8" x14ac:dyDescent="0.45">
      <c r="A4" s="66" t="s">
        <v>58</v>
      </c>
      <c r="B4" s="54">
        <v>14180513</v>
      </c>
      <c r="C4" s="54">
        <v>14440048</v>
      </c>
      <c r="D4" s="54">
        <v>14501236</v>
      </c>
      <c r="E4" s="54">
        <v>4013579</v>
      </c>
      <c r="F4" s="54">
        <v>8599633</v>
      </c>
      <c r="G4" s="54">
        <v>11099054</v>
      </c>
      <c r="H4" s="54">
        <v>12369574.285714287</v>
      </c>
    </row>
    <row r="5" spans="1:8" x14ac:dyDescent="0.45">
      <c r="A5" s="66" t="s">
        <v>64</v>
      </c>
      <c r="B5" s="54">
        <v>5856148</v>
      </c>
      <c r="C5" s="54">
        <v>5904304</v>
      </c>
      <c r="D5" s="54">
        <v>5687850</v>
      </c>
      <c r="E5" s="54">
        <v>402223</v>
      </c>
      <c r="F5" s="54">
        <v>1660824</v>
      </c>
      <c r="G5" s="54">
        <v>4155925</v>
      </c>
      <c r="H5" s="54">
        <v>4698690.8571428573</v>
      </c>
    </row>
    <row r="6" spans="1:8" x14ac:dyDescent="0.45">
      <c r="A6" s="66" t="s">
        <v>69</v>
      </c>
      <c r="B6" s="54">
        <v>562415</v>
      </c>
      <c r="C6" s="54">
        <v>554969</v>
      </c>
      <c r="D6" s="54">
        <v>522386</v>
      </c>
      <c r="E6" s="54">
        <v>37400</v>
      </c>
      <c r="F6" s="54">
        <v>183191</v>
      </c>
      <c r="G6" s="54">
        <v>364524</v>
      </c>
      <c r="H6" s="54">
        <v>459632.57142857142</v>
      </c>
    </row>
    <row r="7" spans="1:8" x14ac:dyDescent="0.45">
      <c r="A7" s="66" t="s">
        <v>70</v>
      </c>
      <c r="B7" s="54">
        <v>66806</v>
      </c>
      <c r="C7" s="54">
        <v>57914</v>
      </c>
      <c r="D7" s="54">
        <v>56456</v>
      </c>
      <c r="E7" s="54">
        <v>57957</v>
      </c>
      <c r="F7" s="54">
        <v>52518</v>
      </c>
      <c r="G7" s="54">
        <v>73886</v>
      </c>
      <c r="H7" s="54">
        <v>66882.857142857159</v>
      </c>
    </row>
    <row r="8" spans="1:8" x14ac:dyDescent="0.45">
      <c r="A8" s="66" t="s">
        <v>583</v>
      </c>
      <c r="B8" s="54">
        <v>20665882</v>
      </c>
      <c r="C8" s="54">
        <v>20957235</v>
      </c>
      <c r="D8" s="54">
        <v>20767928</v>
      </c>
      <c r="E8" s="54">
        <v>4511159</v>
      </c>
      <c r="F8" s="54">
        <v>10496166</v>
      </c>
      <c r="G8" s="54">
        <v>15693389</v>
      </c>
      <c r="H8" s="54">
        <v>17594780.571428575</v>
      </c>
    </row>
    <row r="10" spans="1:8" x14ac:dyDescent="0.45">
      <c r="A10" t="s">
        <v>575</v>
      </c>
      <c r="B10">
        <v>2017</v>
      </c>
      <c r="C10">
        <v>2018</v>
      </c>
      <c r="D10">
        <v>2019</v>
      </c>
      <c r="E10">
        <v>2020</v>
      </c>
      <c r="F10">
        <v>2021</v>
      </c>
      <c r="G10">
        <v>2022</v>
      </c>
      <c r="H10" t="s">
        <v>203</v>
      </c>
    </row>
    <row r="11" spans="1:8" x14ac:dyDescent="0.45">
      <c r="A11" t="s">
        <v>58</v>
      </c>
      <c r="B11" s="1">
        <v>14180513</v>
      </c>
      <c r="C11" s="1">
        <v>14440048</v>
      </c>
      <c r="D11" s="1">
        <v>14501236</v>
      </c>
      <c r="E11" s="1">
        <v>4013579</v>
      </c>
      <c r="F11" s="1">
        <v>8599633</v>
      </c>
      <c r="G11" s="1">
        <v>11099054</v>
      </c>
      <c r="H11" s="1">
        <v>12369574.285714287</v>
      </c>
    </row>
    <row r="12" spans="1:8" x14ac:dyDescent="0.45">
      <c r="A12" t="s">
        <v>64</v>
      </c>
      <c r="B12" s="1">
        <v>5856148</v>
      </c>
      <c r="C12" s="1">
        <v>5904304</v>
      </c>
      <c r="D12" s="1">
        <v>5687850</v>
      </c>
      <c r="E12" s="1">
        <v>402223</v>
      </c>
      <c r="F12" s="1">
        <v>1660824</v>
      </c>
      <c r="G12" s="1">
        <v>4155925</v>
      </c>
      <c r="H12" s="1">
        <v>4698690.8571428573</v>
      </c>
    </row>
    <row r="13" spans="1:8" x14ac:dyDescent="0.45">
      <c r="A13" t="s">
        <v>69</v>
      </c>
      <c r="B13" s="1">
        <v>562415</v>
      </c>
      <c r="C13" s="1">
        <v>554969</v>
      </c>
      <c r="D13" s="1">
        <v>522386</v>
      </c>
      <c r="E13" s="1">
        <v>37400</v>
      </c>
      <c r="F13" s="1">
        <v>183191</v>
      </c>
      <c r="G13" s="1">
        <v>364524</v>
      </c>
      <c r="H13" s="1">
        <v>459632.57142857142</v>
      </c>
    </row>
    <row r="14" spans="1:8" x14ac:dyDescent="0.45">
      <c r="A14" t="s">
        <v>70</v>
      </c>
      <c r="B14" s="1">
        <v>66806</v>
      </c>
      <c r="C14" s="1">
        <v>57914</v>
      </c>
      <c r="D14" s="1">
        <v>56456</v>
      </c>
      <c r="E14" s="1">
        <v>57957</v>
      </c>
      <c r="F14" s="1">
        <v>52518</v>
      </c>
      <c r="G14" s="1">
        <v>73886</v>
      </c>
      <c r="H14" s="1">
        <v>66882.857142857159</v>
      </c>
    </row>
    <row r="15" spans="1:8" x14ac:dyDescent="0.45">
      <c r="A15" s="70" t="s">
        <v>38</v>
      </c>
      <c r="B15" s="1">
        <f t="shared" ref="B15:G15" si="0">VLOOKUP(B$10,GDP,2,0)</f>
        <v>4501701615484.8301</v>
      </c>
      <c r="C15" s="1">
        <f t="shared" si="0"/>
        <v>4568669710783.1338</v>
      </c>
      <c r="D15" s="1">
        <f t="shared" si="0"/>
        <v>4573834760819.2813</v>
      </c>
      <c r="E15" s="1">
        <f t="shared" si="0"/>
        <v>4279646860386.5562</v>
      </c>
      <c r="F15" s="1">
        <f t="shared" si="0"/>
        <v>4513043919695.8613</v>
      </c>
      <c r="G15" s="1">
        <f t="shared" si="0"/>
        <v>4599261389164.5967</v>
      </c>
      <c r="H15" s="1">
        <f>VLOOKUP(2023,GDP,2,0)</f>
        <v>4638499639146.3398</v>
      </c>
    </row>
    <row r="16" spans="1:8" x14ac:dyDescent="0.45">
      <c r="A16" s="70" t="s">
        <v>584</v>
      </c>
      <c r="B16" s="1">
        <f t="shared" ref="B16:G16" si="1">VLOOKUP(B$10,GDP,3,0)</f>
        <v>4501701615484.8301</v>
      </c>
      <c r="C16" s="1">
        <f t="shared" si="1"/>
        <v>4568669710783.1338</v>
      </c>
      <c r="D16" s="1">
        <f t="shared" si="1"/>
        <v>4573834760819.2813</v>
      </c>
      <c r="E16" s="1">
        <f t="shared" si="1"/>
        <v>4279646860386.5562</v>
      </c>
      <c r="F16" s="1">
        <f t="shared" si="1"/>
        <v>4513043919695.8613</v>
      </c>
      <c r="G16" s="1">
        <f t="shared" si="1"/>
        <v>4599261389164.5967</v>
      </c>
      <c r="H16" s="1">
        <f>VLOOKUP(2023,GDP,3,0)</f>
        <v>4638499639146.3398</v>
      </c>
    </row>
    <row r="17" spans="1:8" x14ac:dyDescent="0.45">
      <c r="A17" s="70" t="s">
        <v>52</v>
      </c>
      <c r="B17" s="3">
        <f>GETPIVOTDATA("Sum of "&amp;B$10,$A$3)</f>
        <v>20665882</v>
      </c>
      <c r="C17" s="3">
        <f t="shared" ref="C17:H17" si="2">GETPIVOTDATA("Sum of "&amp;C$10,$A$3)</f>
        <v>20957235</v>
      </c>
      <c r="D17" s="3">
        <f t="shared" si="2"/>
        <v>20767928</v>
      </c>
      <c r="E17" s="3">
        <f t="shared" si="2"/>
        <v>4511159</v>
      </c>
      <c r="F17" s="3">
        <f t="shared" si="2"/>
        <v>10496166</v>
      </c>
      <c r="G17" s="3">
        <f t="shared" si="2"/>
        <v>15693389</v>
      </c>
      <c r="H17" s="3">
        <f t="shared" si="2"/>
        <v>17594780.571428575</v>
      </c>
    </row>
    <row r="30" spans="1:8" x14ac:dyDescent="0.45">
      <c r="B30" s="20" t="s">
        <v>30</v>
      </c>
      <c r="C30" t="s">
        <v>58</v>
      </c>
      <c r="D30" t="s">
        <v>64</v>
      </c>
      <c r="E30" t="s">
        <v>69</v>
      </c>
      <c r="F30" t="str">
        <f>A7</f>
        <v>Unscheduled</v>
      </c>
    </row>
    <row r="31" spans="1:8" x14ac:dyDescent="0.45">
      <c r="B31" s="20">
        <v>2017</v>
      </c>
      <c r="C31" s="67">
        <f>GETPIVOTDATA("Sum of "&amp;$B32,$A$3,"Destination",C$30)/GETPIVOTDATA("Sum of "&amp;$B31,$A$3,"Destination",C$30)-1</f>
        <v>1.8302229263497116E-2</v>
      </c>
      <c r="D31" s="67">
        <f t="shared" ref="D31:F36" si="3">GETPIVOTDATA("Sum of "&amp;$B32,$A$3,"Destination",D$30)/GETPIVOTDATA("Sum of "&amp;$B31,$A$3,"Destination",D$30)-1</f>
        <v>8.2231528301539569E-3</v>
      </c>
      <c r="E31" s="67">
        <f t="shared" si="3"/>
        <v>-1.323933394379595E-2</v>
      </c>
      <c r="F31" s="67">
        <f t="shared" si="3"/>
        <v>-0.13310181720204772</v>
      </c>
    </row>
    <row r="32" spans="1:8" x14ac:dyDescent="0.45">
      <c r="B32" s="20">
        <v>2018</v>
      </c>
      <c r="C32" s="67">
        <f t="shared" ref="C32:C36" si="4">GETPIVOTDATA("Sum of "&amp;$B33,$A$3,"Destination",C$30)/GETPIVOTDATA("Sum of "&amp;$B32,$A$3,"Destination",C$30)-1</f>
        <v>4.2373820364032255E-3</v>
      </c>
      <c r="D32" s="67">
        <f t="shared" si="3"/>
        <v>-3.6660375211032492E-2</v>
      </c>
      <c r="E32" s="67">
        <f t="shared" si="3"/>
        <v>-5.8711387482904498E-2</v>
      </c>
      <c r="F32" s="67">
        <f t="shared" si="3"/>
        <v>-2.5175259868080224E-2</v>
      </c>
    </row>
    <row r="33" spans="2:6" x14ac:dyDescent="0.45">
      <c r="B33" s="20">
        <v>2019</v>
      </c>
      <c r="C33" s="67">
        <f t="shared" si="4"/>
        <v>-0.72322504095512963</v>
      </c>
      <c r="D33" s="67">
        <f t="shared" si="3"/>
        <v>-0.92928382429213152</v>
      </c>
      <c r="E33" s="67">
        <f t="shared" si="3"/>
        <v>-0.9284054319985604</v>
      </c>
      <c r="F33" s="67">
        <f t="shared" si="3"/>
        <v>2.6587076661470865E-2</v>
      </c>
    </row>
    <row r="34" spans="2:6" x14ac:dyDescent="0.45">
      <c r="B34" s="20">
        <v>2020</v>
      </c>
      <c r="C34" s="67">
        <f t="shared" si="4"/>
        <v>1.1426345413906143</v>
      </c>
      <c r="D34" s="67">
        <f t="shared" si="3"/>
        <v>3.1291124575173477</v>
      </c>
      <c r="E34" s="67">
        <f t="shared" si="3"/>
        <v>3.898155080213904</v>
      </c>
      <c r="F34" s="67">
        <f t="shared" si="3"/>
        <v>-9.3845437134427279E-2</v>
      </c>
    </row>
    <row r="35" spans="2:6" x14ac:dyDescent="0.45">
      <c r="B35" s="20">
        <v>2021</v>
      </c>
      <c r="C35" s="67">
        <f t="shared" si="4"/>
        <v>0.29064275184766597</v>
      </c>
      <c r="D35" s="67">
        <f t="shared" si="3"/>
        <v>1.5023271580853841</v>
      </c>
      <c r="E35" s="67">
        <f t="shared" si="3"/>
        <v>0.98985758033964544</v>
      </c>
      <c r="F35" s="67">
        <f t="shared" si="3"/>
        <v>0.40687002551506146</v>
      </c>
    </row>
    <row r="36" spans="2:6" x14ac:dyDescent="0.45">
      <c r="B36" s="20">
        <v>2022</v>
      </c>
      <c r="C36" s="67">
        <f t="shared" si="4"/>
        <v>0.11447104282169329</v>
      </c>
      <c r="D36" s="67">
        <f t="shared" si="3"/>
        <v>0.13060049378726934</v>
      </c>
      <c r="E36" s="67">
        <f t="shared" si="3"/>
        <v>0.26091168600303805</v>
      </c>
      <c r="F36" s="67">
        <f t="shared" si="3"/>
        <v>-9.4783082818705067E-2</v>
      </c>
    </row>
    <row r="37" spans="2:6" x14ac:dyDescent="0.45">
      <c r="B37" s="20" t="s">
        <v>203</v>
      </c>
      <c r="C37" s="67"/>
    </row>
  </sheetData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1F2C-1ED4-46F5-8423-26DB7C531B08}">
  <sheetPr codeName="Sheet24">
    <tabColor theme="3" tint="0.79998168889431442"/>
  </sheetPr>
  <dimension ref="A1:H37"/>
  <sheetViews>
    <sheetView showGridLines="0" zoomScale="72" workbookViewId="0">
      <selection activeCell="H10" sqref="H10"/>
    </sheetView>
  </sheetViews>
  <sheetFormatPr defaultRowHeight="14.25" x14ac:dyDescent="0.45"/>
  <cols>
    <col min="1" max="1" width="13.3984375" bestFit="1" customWidth="1"/>
    <col min="2" max="8" width="17.1328125" bestFit="1" customWidth="1"/>
    <col min="9" max="9" width="13.86328125" bestFit="1" customWidth="1"/>
  </cols>
  <sheetData>
    <row r="1" spans="1:8" x14ac:dyDescent="0.45">
      <c r="A1" s="52" t="s">
        <v>585</v>
      </c>
      <c r="B1" t="s">
        <v>586</v>
      </c>
    </row>
    <row r="3" spans="1:8" x14ac:dyDescent="0.45">
      <c r="A3" s="52" t="s">
        <v>575</v>
      </c>
      <c r="B3" t="s">
        <v>576</v>
      </c>
      <c r="C3" t="s">
        <v>577</v>
      </c>
      <c r="D3" t="s">
        <v>578</v>
      </c>
      <c r="E3" t="s">
        <v>579</v>
      </c>
      <c r="F3" t="s">
        <v>580</v>
      </c>
      <c r="G3" t="s">
        <v>581</v>
      </c>
      <c r="H3" t="s">
        <v>582</v>
      </c>
    </row>
    <row r="4" spans="1:8" x14ac:dyDescent="0.45">
      <c r="A4" s="66" t="s">
        <v>58</v>
      </c>
      <c r="B4" s="54">
        <v>14242488</v>
      </c>
      <c r="C4" s="54">
        <v>14483061</v>
      </c>
      <c r="D4" s="54">
        <v>14526386</v>
      </c>
      <c r="E4" s="54">
        <v>4023358</v>
      </c>
      <c r="F4" s="54">
        <v>8614021</v>
      </c>
      <c r="G4" s="54">
        <v>11115618</v>
      </c>
      <c r="H4" s="54">
        <v>12398247.428571431</v>
      </c>
    </row>
    <row r="5" spans="1:8" x14ac:dyDescent="0.45">
      <c r="A5" s="66" t="s">
        <v>64</v>
      </c>
      <c r="B5" s="54">
        <v>5971517</v>
      </c>
      <c r="C5" s="54">
        <v>6026514</v>
      </c>
      <c r="D5" s="54">
        <v>5822544</v>
      </c>
      <c r="E5" s="54">
        <v>411912</v>
      </c>
      <c r="F5" s="54">
        <v>1684486</v>
      </c>
      <c r="G5" s="54">
        <v>4267938</v>
      </c>
      <c r="H5" s="54">
        <v>4817220</v>
      </c>
    </row>
    <row r="6" spans="1:8" x14ac:dyDescent="0.45">
      <c r="A6" s="66" t="s">
        <v>69</v>
      </c>
      <c r="B6" s="54">
        <v>560569</v>
      </c>
      <c r="C6" s="54">
        <v>548047</v>
      </c>
      <c r="D6" s="54">
        <v>517960</v>
      </c>
      <c r="E6" s="54">
        <v>37222</v>
      </c>
      <c r="F6" s="54">
        <v>187174</v>
      </c>
      <c r="G6" s="54">
        <v>357813</v>
      </c>
      <c r="H6" s="54">
        <v>448088.57142857142</v>
      </c>
    </row>
    <row r="7" spans="1:8" x14ac:dyDescent="0.45">
      <c r="A7" s="66" t="s">
        <v>70</v>
      </c>
      <c r="B7" s="54">
        <v>62272</v>
      </c>
      <c r="C7" s="54">
        <v>60642</v>
      </c>
      <c r="D7" s="54">
        <v>57575</v>
      </c>
      <c r="E7" s="54">
        <v>97245</v>
      </c>
      <c r="F7" s="54">
        <v>52521</v>
      </c>
      <c r="G7" s="54">
        <v>71846</v>
      </c>
      <c r="H7" s="54">
        <v>66934.28571428571</v>
      </c>
    </row>
    <row r="8" spans="1:8" x14ac:dyDescent="0.45">
      <c r="A8" s="66" t="s">
        <v>583</v>
      </c>
      <c r="B8" s="54">
        <v>20836846</v>
      </c>
      <c r="C8" s="54">
        <v>21118264</v>
      </c>
      <c r="D8" s="54">
        <v>20924465</v>
      </c>
      <c r="E8" s="54">
        <v>4569737</v>
      </c>
      <c r="F8" s="54">
        <v>10538202</v>
      </c>
      <c r="G8" s="54">
        <v>15813215</v>
      </c>
      <c r="H8" s="54">
        <v>17730490.285714291</v>
      </c>
    </row>
    <row r="10" spans="1:8" x14ac:dyDescent="0.45">
      <c r="A10" t="s">
        <v>575</v>
      </c>
      <c r="B10">
        <v>2017</v>
      </c>
      <c r="C10">
        <v>2018</v>
      </c>
      <c r="D10">
        <v>2019</v>
      </c>
      <c r="E10">
        <v>2020</v>
      </c>
      <c r="F10">
        <v>2021</v>
      </c>
      <c r="G10">
        <v>2022</v>
      </c>
      <c r="H10" t="s">
        <v>203</v>
      </c>
    </row>
    <row r="11" spans="1:8" x14ac:dyDescent="0.45">
      <c r="A11" t="s">
        <v>58</v>
      </c>
      <c r="B11" s="1">
        <v>14242488</v>
      </c>
      <c r="C11" s="1">
        <v>14483061</v>
      </c>
      <c r="D11" s="1">
        <v>14526386</v>
      </c>
      <c r="E11" s="1">
        <v>4023358</v>
      </c>
      <c r="F11" s="1">
        <v>8614021</v>
      </c>
      <c r="G11" s="1">
        <v>11115618</v>
      </c>
      <c r="H11" s="1">
        <v>12398247.428571431</v>
      </c>
    </row>
    <row r="12" spans="1:8" x14ac:dyDescent="0.45">
      <c r="A12" t="s">
        <v>64</v>
      </c>
      <c r="B12" s="1">
        <v>5971517</v>
      </c>
      <c r="C12" s="1">
        <v>6026514</v>
      </c>
      <c r="D12" s="1">
        <v>5822544</v>
      </c>
      <c r="E12" s="1">
        <v>411912</v>
      </c>
      <c r="F12" s="1">
        <v>1684486</v>
      </c>
      <c r="G12" s="1">
        <v>4267938</v>
      </c>
      <c r="H12" s="1">
        <v>4817220</v>
      </c>
    </row>
    <row r="13" spans="1:8" x14ac:dyDescent="0.45">
      <c r="A13" t="s">
        <v>69</v>
      </c>
      <c r="B13" s="1">
        <v>560569</v>
      </c>
      <c r="C13" s="1">
        <v>548047</v>
      </c>
      <c r="D13" s="1">
        <v>517960</v>
      </c>
      <c r="E13" s="1">
        <v>37222</v>
      </c>
      <c r="F13" s="1">
        <v>187174</v>
      </c>
      <c r="G13" s="1">
        <v>357813</v>
      </c>
      <c r="H13" s="1">
        <v>448088.57142857142</v>
      </c>
    </row>
    <row r="14" spans="1:8" x14ac:dyDescent="0.45">
      <c r="A14" t="s">
        <v>70</v>
      </c>
      <c r="B14" s="1">
        <v>62272</v>
      </c>
      <c r="C14" s="1">
        <v>60642</v>
      </c>
      <c r="D14" s="1">
        <v>57575</v>
      </c>
      <c r="E14" s="1">
        <v>97245</v>
      </c>
      <c r="F14" s="1">
        <v>52521</v>
      </c>
      <c r="G14" s="1">
        <v>71846</v>
      </c>
      <c r="H14" s="1">
        <v>66934.28571428571</v>
      </c>
    </row>
    <row r="15" spans="1:8" x14ac:dyDescent="0.45">
      <c r="A15" s="70" t="s">
        <v>38</v>
      </c>
      <c r="B15" s="1">
        <f t="shared" ref="B15:G15" si="0">VLOOKUP(B$10,GDP,2,0)</f>
        <v>4501701615484.8301</v>
      </c>
      <c r="C15" s="1">
        <f t="shared" si="0"/>
        <v>4568669710783.1338</v>
      </c>
      <c r="D15" s="1">
        <f t="shared" si="0"/>
        <v>4573834760819.2813</v>
      </c>
      <c r="E15" s="1">
        <f t="shared" si="0"/>
        <v>4279646860386.5562</v>
      </c>
      <c r="F15" s="1">
        <f t="shared" si="0"/>
        <v>4513043919695.8613</v>
      </c>
      <c r="G15" s="1">
        <f t="shared" si="0"/>
        <v>4599261389164.5967</v>
      </c>
      <c r="H15" s="1">
        <f>VLOOKUP(2023,GDP,2,0)</f>
        <v>4638499639146.3398</v>
      </c>
    </row>
    <row r="16" spans="1:8" x14ac:dyDescent="0.45">
      <c r="A16" s="70" t="s">
        <v>584</v>
      </c>
      <c r="B16" s="1">
        <f t="shared" ref="B16:G16" si="1">VLOOKUP(B$10,GDP,3,0)</f>
        <v>4501701615484.8301</v>
      </c>
      <c r="C16" s="1">
        <f t="shared" si="1"/>
        <v>4568669710783.1338</v>
      </c>
      <c r="D16" s="1">
        <f t="shared" si="1"/>
        <v>4573834760819.2813</v>
      </c>
      <c r="E16" s="1">
        <f t="shared" si="1"/>
        <v>4279646860386.5562</v>
      </c>
      <c r="F16" s="1">
        <f t="shared" si="1"/>
        <v>4513043919695.8613</v>
      </c>
      <c r="G16" s="1">
        <f t="shared" si="1"/>
        <v>4599261389164.5967</v>
      </c>
      <c r="H16" s="1">
        <f>VLOOKUP(2023,GDP,3,0)</f>
        <v>4638499639146.3398</v>
      </c>
    </row>
    <row r="17" spans="1:8" x14ac:dyDescent="0.45">
      <c r="A17" s="70" t="s">
        <v>52</v>
      </c>
      <c r="B17" s="3">
        <f>GETPIVOTDATA("Sum of "&amp;B$10,$A$3)</f>
        <v>20836846</v>
      </c>
      <c r="C17" s="3">
        <f t="shared" ref="C17:H17" si="2">GETPIVOTDATA("Sum of "&amp;C$10,$A$3)</f>
        <v>21118264</v>
      </c>
      <c r="D17" s="3">
        <f t="shared" si="2"/>
        <v>20924465</v>
      </c>
      <c r="E17" s="3">
        <f t="shared" si="2"/>
        <v>4569737</v>
      </c>
      <c r="F17" s="3">
        <f t="shared" si="2"/>
        <v>10538202</v>
      </c>
      <c r="G17" s="3">
        <f t="shared" si="2"/>
        <v>15813215</v>
      </c>
      <c r="H17" s="3">
        <f t="shared" si="2"/>
        <v>17730490.285714291</v>
      </c>
    </row>
    <row r="30" spans="1:8" x14ac:dyDescent="0.45">
      <c r="B30" s="20" t="s">
        <v>30</v>
      </c>
      <c r="C30" t="s">
        <v>58</v>
      </c>
      <c r="D30" t="s">
        <v>64</v>
      </c>
      <c r="E30" t="s">
        <v>69</v>
      </c>
      <c r="F30" t="str">
        <f>A7</f>
        <v>Unscheduled</v>
      </c>
    </row>
    <row r="31" spans="1:8" x14ac:dyDescent="0.45">
      <c r="B31" s="20">
        <v>2017</v>
      </c>
      <c r="C31" s="67">
        <f>GETPIVOTDATA("Sum of "&amp;$B32,$A$3,"Destination",C$30)/GETPIVOTDATA("Sum of "&amp;$B31,$A$3,"Destination",C$30)-1</f>
        <v>1.6891220129516604E-2</v>
      </c>
      <c r="D31" s="67">
        <f t="shared" ref="D31:F36" si="3">GETPIVOTDATA("Sum of "&amp;$B32,$A$3,"Destination",D$30)/GETPIVOTDATA("Sum of "&amp;$B31,$A$3,"Destination",D$30)-1</f>
        <v>9.2098875377897294E-3</v>
      </c>
      <c r="E31" s="67">
        <f t="shared" si="3"/>
        <v>-2.2338017264600829E-2</v>
      </c>
      <c r="F31" s="67">
        <f t="shared" si="3"/>
        <v>-2.6175488180883888E-2</v>
      </c>
    </row>
    <row r="32" spans="1:8" x14ac:dyDescent="0.45">
      <c r="B32" s="20">
        <v>2018</v>
      </c>
      <c r="C32" s="67">
        <f t="shared" ref="C32:C36" si="4">GETPIVOTDATA("Sum of "&amp;$B33,$A$3,"Destination",C$30)/GETPIVOTDATA("Sum of "&amp;$B32,$A$3,"Destination",C$30)-1</f>
        <v>2.991425638544154E-3</v>
      </c>
      <c r="D32" s="67">
        <f t="shared" si="3"/>
        <v>-3.3845437013835911E-2</v>
      </c>
      <c r="E32" s="67">
        <f t="shared" si="3"/>
        <v>-5.4898576217003336E-2</v>
      </c>
      <c r="F32" s="67">
        <f t="shared" si="3"/>
        <v>-5.0575508723327056E-2</v>
      </c>
    </row>
    <row r="33" spans="2:6" x14ac:dyDescent="0.45">
      <c r="B33" s="20">
        <v>2019</v>
      </c>
      <c r="C33" s="67">
        <f t="shared" si="4"/>
        <v>-0.72303104158184972</v>
      </c>
      <c r="D33" s="67">
        <f t="shared" si="3"/>
        <v>-0.92925566556474282</v>
      </c>
      <c r="E33" s="67">
        <f t="shared" si="3"/>
        <v>-0.92813730790022397</v>
      </c>
      <c r="F33" s="67">
        <f t="shared" si="3"/>
        <v>0.68901432913590965</v>
      </c>
    </row>
    <row r="34" spans="2:6" x14ac:dyDescent="0.45">
      <c r="B34" s="20">
        <v>2020</v>
      </c>
      <c r="C34" s="67">
        <f t="shared" si="4"/>
        <v>1.1410028637769742</v>
      </c>
      <c r="D34" s="67">
        <f t="shared" si="3"/>
        <v>3.0894317232807005</v>
      </c>
      <c r="E34" s="67">
        <f t="shared" si="3"/>
        <v>4.0285852452850461</v>
      </c>
      <c r="F34" s="67">
        <f t="shared" si="3"/>
        <v>-0.4599105352460281</v>
      </c>
    </row>
    <row r="35" spans="2:6" x14ac:dyDescent="0.45">
      <c r="B35" s="20">
        <v>2021</v>
      </c>
      <c r="C35" s="67">
        <f t="shared" si="4"/>
        <v>0.29040990264593036</v>
      </c>
      <c r="D35" s="67">
        <f t="shared" si="3"/>
        <v>1.5336737734834247</v>
      </c>
      <c r="E35" s="67">
        <f t="shared" si="3"/>
        <v>0.91165973906632325</v>
      </c>
      <c r="F35" s="67">
        <f t="shared" si="3"/>
        <v>0.36794805887168947</v>
      </c>
    </row>
    <row r="36" spans="2:6" x14ac:dyDescent="0.45">
      <c r="B36" s="20">
        <v>2022</v>
      </c>
      <c r="C36" s="67">
        <f t="shared" si="4"/>
        <v>0.11538984414284759</v>
      </c>
      <c r="D36" s="67">
        <f t="shared" si="3"/>
        <v>0.12869962028501813</v>
      </c>
      <c r="E36" s="67">
        <f t="shared" si="3"/>
        <v>0.25229818768063605</v>
      </c>
      <c r="F36" s="67">
        <f t="shared" si="3"/>
        <v>-6.8364477990622841E-2</v>
      </c>
    </row>
    <row r="37" spans="2:6" x14ac:dyDescent="0.45">
      <c r="B37" s="20" t="s">
        <v>203</v>
      </c>
      <c r="C37" s="67"/>
    </row>
  </sheetData>
  <pageMargins left="0.7" right="0.7" top="0.75" bottom="0.75" header="0.3" footer="0.3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19C6-D904-42B9-9CA7-7DE0660C6F55}">
  <sheetPr codeName="Sheet25">
    <tabColor rgb="FFFFC000"/>
  </sheetPr>
  <dimension ref="A1:S53"/>
  <sheetViews>
    <sheetView workbookViewId="0">
      <selection activeCell="B1" sqref="B1"/>
    </sheetView>
  </sheetViews>
  <sheetFormatPr defaultRowHeight="14.25" x14ac:dyDescent="0.45"/>
  <cols>
    <col min="1" max="1" width="12.86328125" customWidth="1"/>
    <col min="2" max="2" width="10.59765625" style="20" bestFit="1" customWidth="1"/>
    <col min="3" max="3" width="11.59765625" style="1" bestFit="1" customWidth="1"/>
    <col min="4" max="10" width="11.1328125" style="1" bestFit="1" customWidth="1"/>
    <col min="11" max="11" width="10.1328125" style="1" bestFit="1" customWidth="1"/>
    <col min="12" max="13" width="11.1328125" style="1" bestFit="1" customWidth="1"/>
    <col min="14" max="15" width="11.1328125" style="1" customWidth="1"/>
    <col min="16" max="16" width="13.59765625" style="1" bestFit="1" customWidth="1"/>
  </cols>
  <sheetData>
    <row r="1" spans="1:19" s="2" customFormat="1" ht="14.65" thickBot="1" x14ac:dyDescent="0.5">
      <c r="A1" s="46" t="s">
        <v>587</v>
      </c>
      <c r="B1" s="47" t="s">
        <v>585</v>
      </c>
      <c r="C1" s="48" t="s">
        <v>588</v>
      </c>
      <c r="D1" s="49" t="s">
        <v>589</v>
      </c>
      <c r="E1" s="49" t="s">
        <v>590</v>
      </c>
      <c r="F1" s="49" t="s">
        <v>591</v>
      </c>
      <c r="G1" s="49" t="s">
        <v>592</v>
      </c>
      <c r="H1" s="49" t="s">
        <v>593</v>
      </c>
      <c r="I1" s="49" t="s">
        <v>594</v>
      </c>
      <c r="J1" s="49" t="s">
        <v>595</v>
      </c>
      <c r="K1" s="49" t="s">
        <v>596</v>
      </c>
      <c r="L1" s="49" t="s">
        <v>597</v>
      </c>
      <c r="M1" s="49" t="s">
        <v>598</v>
      </c>
      <c r="N1" s="49" t="s">
        <v>599</v>
      </c>
      <c r="O1" s="49" t="s">
        <v>203</v>
      </c>
      <c r="P1" s="3"/>
      <c r="Q1" s="3"/>
      <c r="R1" s="3"/>
      <c r="S1" s="3"/>
    </row>
    <row r="2" spans="1:19" x14ac:dyDescent="0.45">
      <c r="A2" s="8" t="s">
        <v>64</v>
      </c>
      <c r="B2" s="44" t="s">
        <v>600</v>
      </c>
      <c r="C2" s="35">
        <v>2944</v>
      </c>
      <c r="D2" s="14">
        <v>2776</v>
      </c>
      <c r="E2" s="14">
        <v>2941</v>
      </c>
      <c r="F2" s="14">
        <v>3100</v>
      </c>
      <c r="G2" s="14">
        <v>3034</v>
      </c>
      <c r="H2" s="14">
        <v>3148</v>
      </c>
      <c r="I2" s="14">
        <v>3155</v>
      </c>
      <c r="J2" s="14">
        <v>3178</v>
      </c>
      <c r="K2" s="14">
        <v>318</v>
      </c>
      <c r="L2" s="14">
        <v>1541</v>
      </c>
      <c r="M2" s="14">
        <v>2459</v>
      </c>
      <c r="N2" s="14">
        <v>3013</v>
      </c>
      <c r="O2" s="14">
        <f>Departures_APData[[#This Row],[2023]]/7*12</f>
        <v>5165.1428571428569</v>
      </c>
      <c r="P2" s="54"/>
    </row>
    <row r="3" spans="1:19" x14ac:dyDescent="0.45">
      <c r="A3" s="8" t="s">
        <v>64</v>
      </c>
      <c r="B3" s="44" t="s">
        <v>601</v>
      </c>
      <c r="C3" s="35">
        <v>2721</v>
      </c>
      <c r="D3" s="14">
        <v>2925</v>
      </c>
      <c r="E3" s="14">
        <v>2952</v>
      </c>
      <c r="F3" s="14">
        <v>3079</v>
      </c>
      <c r="G3" s="14">
        <v>3093</v>
      </c>
      <c r="H3" s="14">
        <v>3232</v>
      </c>
      <c r="I3" s="14">
        <v>3159</v>
      </c>
      <c r="J3" s="14">
        <v>3208</v>
      </c>
      <c r="K3" s="14">
        <v>428</v>
      </c>
      <c r="L3" s="14">
        <v>1646</v>
      </c>
      <c r="M3" s="14">
        <v>2552</v>
      </c>
      <c r="N3" s="14">
        <v>3068</v>
      </c>
      <c r="O3" s="14">
        <f>Departures_APData[[#This Row],[2023]]/7*12</f>
        <v>5259.4285714285716</v>
      </c>
      <c r="P3"/>
    </row>
    <row r="4" spans="1:19" x14ac:dyDescent="0.45">
      <c r="A4" s="8" t="s">
        <v>64</v>
      </c>
      <c r="B4" s="44" t="s">
        <v>602</v>
      </c>
      <c r="C4" s="35">
        <v>2916</v>
      </c>
      <c r="D4" s="14">
        <v>2837</v>
      </c>
      <c r="E4" s="14">
        <v>2864</v>
      </c>
      <c r="F4" s="14">
        <v>2993</v>
      </c>
      <c r="G4" s="14">
        <v>2960</v>
      </c>
      <c r="H4" s="14">
        <v>3119</v>
      </c>
      <c r="I4" s="14">
        <v>3083</v>
      </c>
      <c r="J4" s="14">
        <v>3132</v>
      </c>
      <c r="K4" s="14">
        <v>441</v>
      </c>
      <c r="L4" s="14">
        <v>1665</v>
      </c>
      <c r="M4" s="14">
        <v>2431</v>
      </c>
      <c r="N4" s="14">
        <v>2951</v>
      </c>
      <c r="O4" s="14">
        <f>Departures_APData[[#This Row],[2023]]/7*12</f>
        <v>5058.8571428571431</v>
      </c>
      <c r="P4"/>
    </row>
    <row r="5" spans="1:19" x14ac:dyDescent="0.45">
      <c r="A5" s="8" t="s">
        <v>64</v>
      </c>
      <c r="B5" s="44" t="s">
        <v>603</v>
      </c>
      <c r="C5" s="35">
        <v>2820</v>
      </c>
      <c r="D5" s="14">
        <v>2994</v>
      </c>
      <c r="E5" s="14">
        <v>3058</v>
      </c>
      <c r="F5" s="14">
        <v>3123</v>
      </c>
      <c r="G5" s="14">
        <v>3124</v>
      </c>
      <c r="H5" s="14">
        <v>3297</v>
      </c>
      <c r="I5" s="14">
        <v>3225</v>
      </c>
      <c r="J5" s="14">
        <v>3369</v>
      </c>
      <c r="K5" s="14">
        <v>440</v>
      </c>
      <c r="L5" s="14">
        <v>1647</v>
      </c>
      <c r="M5" s="14">
        <v>2599</v>
      </c>
      <c r="N5" s="14">
        <v>3089</v>
      </c>
      <c r="O5" s="14">
        <f>Departures_APData[[#This Row],[2023]]/7*12</f>
        <v>5295.4285714285716</v>
      </c>
      <c r="P5"/>
    </row>
    <row r="6" spans="1:19" x14ac:dyDescent="0.45">
      <c r="A6" s="8" t="s">
        <v>64</v>
      </c>
      <c r="B6" s="44" t="s">
        <v>604</v>
      </c>
      <c r="C6" s="35">
        <v>3075</v>
      </c>
      <c r="D6" s="14">
        <v>3016</v>
      </c>
      <c r="E6" s="14">
        <v>3077</v>
      </c>
      <c r="F6" s="14">
        <v>3066</v>
      </c>
      <c r="G6" s="14">
        <v>3171</v>
      </c>
      <c r="H6" s="14">
        <v>3331</v>
      </c>
      <c r="I6" s="14">
        <v>3232</v>
      </c>
      <c r="J6" s="14">
        <v>3331</v>
      </c>
      <c r="K6" s="14">
        <v>415</v>
      </c>
      <c r="L6" s="14">
        <v>1763</v>
      </c>
      <c r="M6" s="14">
        <v>2681</v>
      </c>
      <c r="N6" s="14">
        <v>3203</v>
      </c>
      <c r="O6" s="14">
        <f>Departures_APData[[#This Row],[2023]]/7*12</f>
        <v>5490.8571428571431</v>
      </c>
      <c r="P6"/>
    </row>
    <row r="7" spans="1:19" x14ac:dyDescent="0.45">
      <c r="A7" s="8" t="s">
        <v>64</v>
      </c>
      <c r="B7" s="44" t="s">
        <v>605</v>
      </c>
      <c r="C7" s="35">
        <v>2680</v>
      </c>
      <c r="D7" s="14">
        <v>2913</v>
      </c>
      <c r="E7" s="14">
        <v>2962</v>
      </c>
      <c r="F7" s="14">
        <v>2986</v>
      </c>
      <c r="G7" s="14">
        <v>3092</v>
      </c>
      <c r="H7" s="14">
        <v>3197</v>
      </c>
      <c r="I7" s="14">
        <v>3116</v>
      </c>
      <c r="J7" s="14">
        <v>3210</v>
      </c>
      <c r="K7" s="14">
        <v>452</v>
      </c>
      <c r="L7" s="14">
        <v>1828</v>
      </c>
      <c r="M7" s="14">
        <v>2639</v>
      </c>
      <c r="N7" s="14">
        <v>3141</v>
      </c>
      <c r="O7" s="14">
        <f>Departures_APData[[#This Row],[2023]]/7*12</f>
        <v>5384.5714285714284</v>
      </c>
      <c r="P7"/>
    </row>
    <row r="8" spans="1:19" x14ac:dyDescent="0.45">
      <c r="A8" s="8" t="s">
        <v>64</v>
      </c>
      <c r="B8" s="44" t="s">
        <v>606</v>
      </c>
      <c r="C8" s="35">
        <v>2830</v>
      </c>
      <c r="D8" s="14">
        <v>3050</v>
      </c>
      <c r="E8" s="14">
        <v>3105</v>
      </c>
      <c r="F8" s="14">
        <v>3203</v>
      </c>
      <c r="G8" s="14">
        <v>3224</v>
      </c>
      <c r="H8" s="14">
        <v>3325</v>
      </c>
      <c r="I8" s="14">
        <v>3287</v>
      </c>
      <c r="J8" s="14">
        <v>3337</v>
      </c>
      <c r="K8" s="14">
        <v>1018</v>
      </c>
      <c r="L8" s="14">
        <v>2038</v>
      </c>
      <c r="M8" s="14">
        <v>2785</v>
      </c>
      <c r="N8" s="14">
        <v>3372</v>
      </c>
      <c r="O8" s="14">
        <f>Departures_APData[[#This Row],[2023]]/7*12</f>
        <v>5780.5714285714284</v>
      </c>
      <c r="P8"/>
    </row>
    <row r="9" spans="1:19" x14ac:dyDescent="0.45">
      <c r="A9" s="8" t="s">
        <v>64</v>
      </c>
      <c r="B9" s="44" t="s">
        <v>607</v>
      </c>
      <c r="C9" s="35">
        <v>2827</v>
      </c>
      <c r="D9" s="14">
        <v>3097</v>
      </c>
      <c r="E9" s="14">
        <v>3100</v>
      </c>
      <c r="F9" s="14">
        <v>2999</v>
      </c>
      <c r="G9" s="14">
        <v>3207</v>
      </c>
      <c r="H9" s="14">
        <v>3270</v>
      </c>
      <c r="I9" s="14">
        <v>3308</v>
      </c>
      <c r="J9" s="14">
        <v>3183</v>
      </c>
      <c r="K9" s="14">
        <v>1216</v>
      </c>
      <c r="L9" s="14">
        <v>2084</v>
      </c>
      <c r="M9" s="14">
        <v>2818</v>
      </c>
      <c r="N9" s="14">
        <v>0</v>
      </c>
      <c r="O9" s="14">
        <f>Departures_APData[[#This Row],[2023]]/7*12</f>
        <v>0</v>
      </c>
      <c r="P9"/>
    </row>
    <row r="10" spans="1:19" x14ac:dyDescent="0.45">
      <c r="A10" s="8" t="s">
        <v>64</v>
      </c>
      <c r="B10" s="44" t="s">
        <v>608</v>
      </c>
      <c r="C10" s="35">
        <v>2911</v>
      </c>
      <c r="D10" s="14">
        <v>3137</v>
      </c>
      <c r="E10" s="14">
        <v>3183</v>
      </c>
      <c r="F10" s="14">
        <v>3108</v>
      </c>
      <c r="G10" s="14">
        <v>3288</v>
      </c>
      <c r="H10" s="14">
        <v>3349</v>
      </c>
      <c r="I10" s="14">
        <v>3468</v>
      </c>
      <c r="J10" s="14">
        <v>3481</v>
      </c>
      <c r="K10" s="14">
        <v>1495</v>
      </c>
      <c r="L10" s="14">
        <v>1886</v>
      </c>
      <c r="M10" s="14">
        <v>3036</v>
      </c>
      <c r="N10" s="14">
        <v>0</v>
      </c>
      <c r="O10" s="14">
        <f>Departures_APData[[#This Row],[2023]]/7*12</f>
        <v>0</v>
      </c>
      <c r="P10"/>
    </row>
    <row r="11" spans="1:19" x14ac:dyDescent="0.45">
      <c r="A11" s="8" t="s">
        <v>64</v>
      </c>
      <c r="B11" s="44" t="s">
        <v>609</v>
      </c>
      <c r="C11" s="35">
        <v>2868</v>
      </c>
      <c r="D11" s="14">
        <v>3121</v>
      </c>
      <c r="E11" s="14">
        <v>3198</v>
      </c>
      <c r="F11" s="14">
        <v>3064</v>
      </c>
      <c r="G11" s="14">
        <v>3295</v>
      </c>
      <c r="H11" s="14">
        <v>3345</v>
      </c>
      <c r="I11" s="14">
        <v>3376</v>
      </c>
      <c r="J11" s="14">
        <v>3434</v>
      </c>
      <c r="K11" s="14">
        <v>1296</v>
      </c>
      <c r="L11" s="14">
        <v>1999</v>
      </c>
      <c r="M11" s="14">
        <v>3005</v>
      </c>
      <c r="N11" s="14">
        <v>0</v>
      </c>
      <c r="O11" s="14">
        <f>Departures_APData[[#This Row],[2023]]/7*12</f>
        <v>0</v>
      </c>
      <c r="P11"/>
    </row>
    <row r="12" spans="1:19" x14ac:dyDescent="0.45">
      <c r="A12" s="8" t="s">
        <v>64</v>
      </c>
      <c r="B12" s="44" t="s">
        <v>610</v>
      </c>
      <c r="C12" s="35">
        <v>2615</v>
      </c>
      <c r="D12" s="14">
        <v>2797</v>
      </c>
      <c r="E12" s="14">
        <v>2879</v>
      </c>
      <c r="F12" s="14">
        <v>2922</v>
      </c>
      <c r="G12" s="14">
        <v>2974</v>
      </c>
      <c r="H12" s="14">
        <v>2997</v>
      </c>
      <c r="I12" s="14">
        <v>3037</v>
      </c>
      <c r="J12" s="14">
        <v>3159</v>
      </c>
      <c r="K12" s="14">
        <v>1182</v>
      </c>
      <c r="L12" s="14">
        <v>2013</v>
      </c>
      <c r="M12" s="14">
        <v>2759</v>
      </c>
      <c r="N12" s="14">
        <v>0</v>
      </c>
      <c r="O12" s="14">
        <f>Departures_APData[[#This Row],[2023]]/7*12</f>
        <v>0</v>
      </c>
      <c r="P12"/>
    </row>
    <row r="13" spans="1:19" ht="14.65" thickBot="1" x14ac:dyDescent="0.5">
      <c r="A13" s="46" t="s">
        <v>64</v>
      </c>
      <c r="B13" s="45" t="s">
        <v>611</v>
      </c>
      <c r="C13" s="37">
        <v>2900</v>
      </c>
      <c r="D13" s="38">
        <v>3110</v>
      </c>
      <c r="E13" s="38">
        <v>3218</v>
      </c>
      <c r="F13" s="38">
        <v>3138</v>
      </c>
      <c r="G13" s="38">
        <v>3252</v>
      </c>
      <c r="H13" s="38">
        <v>3319</v>
      </c>
      <c r="I13" s="38">
        <v>3373</v>
      </c>
      <c r="J13" s="38">
        <v>2278</v>
      </c>
      <c r="K13" s="38">
        <v>1459</v>
      </c>
      <c r="L13" s="38">
        <v>2404</v>
      </c>
      <c r="M13" s="38">
        <v>3169</v>
      </c>
      <c r="N13" s="38">
        <v>0</v>
      </c>
      <c r="O13" s="38">
        <f>Departures_APData[[#This Row],[2023]]/7*12</f>
        <v>0</v>
      </c>
      <c r="P13"/>
    </row>
    <row r="14" spans="1:19" x14ac:dyDescent="0.45">
      <c r="A14" s="8" t="s">
        <v>69</v>
      </c>
      <c r="B14" s="44" t="s">
        <v>600</v>
      </c>
      <c r="C14" s="35">
        <v>935</v>
      </c>
      <c r="D14" s="14">
        <v>905</v>
      </c>
      <c r="E14" s="14">
        <v>995</v>
      </c>
      <c r="F14" s="14">
        <v>1081</v>
      </c>
      <c r="G14" s="14">
        <v>1086</v>
      </c>
      <c r="H14" s="14">
        <v>1069</v>
      </c>
      <c r="I14" s="14">
        <v>973</v>
      </c>
      <c r="J14" s="14">
        <v>997</v>
      </c>
      <c r="K14" s="14">
        <v>67</v>
      </c>
      <c r="L14" s="14">
        <v>501</v>
      </c>
      <c r="M14" s="14">
        <v>680</v>
      </c>
      <c r="N14" s="14">
        <v>871</v>
      </c>
      <c r="O14" s="14">
        <f>Departures_APData[[#This Row],[2023]]/7*12</f>
        <v>1493.1428571428571</v>
      </c>
      <c r="P14"/>
    </row>
    <row r="15" spans="1:19" x14ac:dyDescent="0.45">
      <c r="A15" s="8" t="s">
        <v>69</v>
      </c>
      <c r="B15" s="44" t="s">
        <v>601</v>
      </c>
      <c r="C15" s="35">
        <v>959</v>
      </c>
      <c r="D15" s="14">
        <v>946</v>
      </c>
      <c r="E15" s="14">
        <v>1008</v>
      </c>
      <c r="F15" s="14">
        <v>1149</v>
      </c>
      <c r="G15" s="14">
        <v>1125</v>
      </c>
      <c r="H15" s="14">
        <v>1153</v>
      </c>
      <c r="I15" s="14">
        <v>1006</v>
      </c>
      <c r="J15" s="14">
        <v>994</v>
      </c>
      <c r="K15" s="14">
        <v>84</v>
      </c>
      <c r="L15" s="14">
        <v>530</v>
      </c>
      <c r="M15" s="14">
        <v>831</v>
      </c>
      <c r="N15" s="14">
        <v>958</v>
      </c>
      <c r="O15" s="14">
        <f>Departures_APData[[#This Row],[2023]]/7*12</f>
        <v>1642.2857142857142</v>
      </c>
      <c r="P15"/>
    </row>
    <row r="16" spans="1:19" x14ac:dyDescent="0.45">
      <c r="A16" s="8" t="s">
        <v>69</v>
      </c>
      <c r="B16" s="44" t="s">
        <v>602</v>
      </c>
      <c r="C16" s="35">
        <v>998</v>
      </c>
      <c r="D16" s="14">
        <v>909</v>
      </c>
      <c r="E16" s="14">
        <v>1013</v>
      </c>
      <c r="F16" s="14">
        <v>1075</v>
      </c>
      <c r="G16" s="14">
        <v>1083</v>
      </c>
      <c r="H16" s="14">
        <v>1121</v>
      </c>
      <c r="I16" s="14">
        <v>933</v>
      </c>
      <c r="J16" s="14">
        <v>952</v>
      </c>
      <c r="K16" s="14">
        <v>91</v>
      </c>
      <c r="L16" s="14">
        <v>521</v>
      </c>
      <c r="M16" s="14">
        <v>807</v>
      </c>
      <c r="N16" s="14">
        <v>961</v>
      </c>
      <c r="O16" s="14">
        <f>Departures_APData[[#This Row],[2023]]/7*12</f>
        <v>1647.4285714285713</v>
      </c>
      <c r="P16"/>
    </row>
    <row r="17" spans="1:16" x14ac:dyDescent="0.45">
      <c r="A17" s="8" t="s">
        <v>69</v>
      </c>
      <c r="B17" s="44" t="s">
        <v>603</v>
      </c>
      <c r="C17" s="35">
        <v>1012</v>
      </c>
      <c r="D17" s="14">
        <v>936</v>
      </c>
      <c r="E17" s="14">
        <v>1076</v>
      </c>
      <c r="F17" s="14">
        <v>1119</v>
      </c>
      <c r="G17" s="14">
        <v>1129</v>
      </c>
      <c r="H17" s="14">
        <v>1172</v>
      </c>
      <c r="I17" s="14">
        <v>988</v>
      </c>
      <c r="J17" s="14">
        <v>1025</v>
      </c>
      <c r="K17" s="14">
        <v>101</v>
      </c>
      <c r="L17" s="14">
        <v>500</v>
      </c>
      <c r="M17" s="14">
        <v>832</v>
      </c>
      <c r="N17" s="14">
        <v>1005</v>
      </c>
      <c r="O17" s="14">
        <f>Departures_APData[[#This Row],[2023]]/7*12</f>
        <v>1722.8571428571431</v>
      </c>
      <c r="P17"/>
    </row>
    <row r="18" spans="1:16" x14ac:dyDescent="0.45">
      <c r="A18" s="8" t="s">
        <v>69</v>
      </c>
      <c r="B18" s="44" t="s">
        <v>604</v>
      </c>
      <c r="C18" s="35">
        <v>1020</v>
      </c>
      <c r="D18" s="14">
        <v>959</v>
      </c>
      <c r="E18" s="14">
        <v>1055</v>
      </c>
      <c r="F18" s="14">
        <v>1120</v>
      </c>
      <c r="G18" s="14">
        <v>1150</v>
      </c>
      <c r="H18" s="14">
        <v>1161</v>
      </c>
      <c r="I18" s="14">
        <v>1029</v>
      </c>
      <c r="J18" s="14">
        <v>1027</v>
      </c>
      <c r="K18" s="14">
        <v>82</v>
      </c>
      <c r="L18" s="14">
        <v>564</v>
      </c>
      <c r="M18" s="14">
        <v>823</v>
      </c>
      <c r="N18" s="14">
        <v>1017</v>
      </c>
      <c r="O18" s="14">
        <f>Departures_APData[[#This Row],[2023]]/7*12</f>
        <v>1743.4285714285713</v>
      </c>
      <c r="P18"/>
    </row>
    <row r="19" spans="1:16" x14ac:dyDescent="0.45">
      <c r="A19" s="8" t="s">
        <v>69</v>
      </c>
      <c r="B19" s="44" t="s">
        <v>605</v>
      </c>
      <c r="C19" s="35">
        <v>956</v>
      </c>
      <c r="D19" s="14">
        <v>935</v>
      </c>
      <c r="E19" s="14">
        <v>1013</v>
      </c>
      <c r="F19" s="14">
        <v>1082</v>
      </c>
      <c r="G19" s="14">
        <v>1121</v>
      </c>
      <c r="H19" s="14">
        <v>1115</v>
      </c>
      <c r="I19" s="14">
        <v>1102</v>
      </c>
      <c r="J19" s="14">
        <v>1051</v>
      </c>
      <c r="K19" s="14">
        <v>108</v>
      </c>
      <c r="L19" s="14">
        <v>530</v>
      </c>
      <c r="M19" s="14">
        <v>804</v>
      </c>
      <c r="N19" s="14">
        <v>985</v>
      </c>
      <c r="O19" s="14">
        <f>Departures_APData[[#This Row],[2023]]/7*12</f>
        <v>1688.5714285714287</v>
      </c>
      <c r="P19"/>
    </row>
    <row r="20" spans="1:16" x14ac:dyDescent="0.45">
      <c r="A20" s="8" t="s">
        <v>69</v>
      </c>
      <c r="B20" s="44" t="s">
        <v>606</v>
      </c>
      <c r="C20" s="35">
        <v>1024</v>
      </c>
      <c r="D20" s="14">
        <v>974</v>
      </c>
      <c r="E20" s="14">
        <v>1055</v>
      </c>
      <c r="F20" s="14">
        <v>1130</v>
      </c>
      <c r="G20" s="14">
        <v>1152</v>
      </c>
      <c r="H20" s="14">
        <v>1164</v>
      </c>
      <c r="I20" s="14">
        <v>1184</v>
      </c>
      <c r="J20" s="14">
        <v>1029</v>
      </c>
      <c r="K20" s="14">
        <v>160</v>
      </c>
      <c r="L20" s="14">
        <v>587</v>
      </c>
      <c r="M20" s="14">
        <v>805</v>
      </c>
      <c r="N20" s="14">
        <v>1021</v>
      </c>
      <c r="O20" s="14">
        <f>Departures_APData[[#This Row],[2023]]/7*12</f>
        <v>1750.2857142857142</v>
      </c>
      <c r="P20"/>
    </row>
    <row r="21" spans="1:16" x14ac:dyDescent="0.45">
      <c r="A21" s="8" t="s">
        <v>69</v>
      </c>
      <c r="B21" s="44" t="s">
        <v>607</v>
      </c>
      <c r="C21" s="35">
        <v>974</v>
      </c>
      <c r="D21" s="14">
        <v>937</v>
      </c>
      <c r="E21" s="14">
        <v>1014</v>
      </c>
      <c r="F21" s="14">
        <v>1134</v>
      </c>
      <c r="G21" s="14">
        <v>1141</v>
      </c>
      <c r="H21" s="14">
        <v>1115</v>
      </c>
      <c r="I21" s="14">
        <v>1160</v>
      </c>
      <c r="J21" s="14">
        <v>1040</v>
      </c>
      <c r="K21" s="14">
        <v>303</v>
      </c>
      <c r="L21" s="14">
        <v>612</v>
      </c>
      <c r="M21" s="14">
        <v>754</v>
      </c>
      <c r="N21" s="14">
        <v>0</v>
      </c>
      <c r="O21" s="14">
        <f>Departures_APData[[#This Row],[2023]]/7*12</f>
        <v>0</v>
      </c>
      <c r="P21"/>
    </row>
    <row r="22" spans="1:16" x14ac:dyDescent="0.45">
      <c r="A22" s="8" t="s">
        <v>69</v>
      </c>
      <c r="B22" s="44" t="s">
        <v>608</v>
      </c>
      <c r="C22" s="35">
        <v>844</v>
      </c>
      <c r="D22" s="14">
        <v>835</v>
      </c>
      <c r="E22" s="14">
        <v>901</v>
      </c>
      <c r="F22" s="14">
        <v>989</v>
      </c>
      <c r="G22" s="14">
        <v>999</v>
      </c>
      <c r="H22" s="14">
        <v>1001</v>
      </c>
      <c r="I22" s="14">
        <v>996</v>
      </c>
      <c r="J22" s="14">
        <v>965</v>
      </c>
      <c r="K22" s="14">
        <v>396</v>
      </c>
      <c r="L22" s="14">
        <v>562</v>
      </c>
      <c r="M22" s="14">
        <v>681</v>
      </c>
      <c r="N22" s="14">
        <v>0</v>
      </c>
      <c r="O22" s="14">
        <f>Departures_APData[[#This Row],[2023]]/7*12</f>
        <v>0</v>
      </c>
      <c r="P22"/>
    </row>
    <row r="23" spans="1:16" x14ac:dyDescent="0.45">
      <c r="A23" s="8" t="s">
        <v>69</v>
      </c>
      <c r="B23" s="44" t="s">
        <v>609</v>
      </c>
      <c r="C23" s="35">
        <v>878</v>
      </c>
      <c r="D23" s="14">
        <v>905</v>
      </c>
      <c r="E23" s="14">
        <v>950</v>
      </c>
      <c r="F23" s="14">
        <v>1035</v>
      </c>
      <c r="G23" s="14">
        <v>1044</v>
      </c>
      <c r="H23" s="14">
        <v>1022</v>
      </c>
      <c r="I23" s="14">
        <v>1080</v>
      </c>
      <c r="J23" s="14">
        <v>1003</v>
      </c>
      <c r="K23" s="14">
        <v>366</v>
      </c>
      <c r="L23" s="14">
        <v>538</v>
      </c>
      <c r="M23" s="14">
        <v>738</v>
      </c>
      <c r="N23" s="14">
        <v>0</v>
      </c>
      <c r="O23" s="14">
        <f>Departures_APData[[#This Row],[2023]]/7*12</f>
        <v>0</v>
      </c>
      <c r="P23"/>
    </row>
    <row r="24" spans="1:16" x14ac:dyDescent="0.45">
      <c r="A24" s="8" t="s">
        <v>69</v>
      </c>
      <c r="B24" s="44" t="s">
        <v>610</v>
      </c>
      <c r="C24" s="35">
        <v>824</v>
      </c>
      <c r="D24" s="14">
        <v>911</v>
      </c>
      <c r="E24" s="14">
        <v>969</v>
      </c>
      <c r="F24" s="14">
        <v>1065</v>
      </c>
      <c r="G24" s="14">
        <v>1011</v>
      </c>
      <c r="H24" s="14">
        <v>962</v>
      </c>
      <c r="I24" s="14">
        <v>1063</v>
      </c>
      <c r="J24" s="14">
        <v>948</v>
      </c>
      <c r="K24" s="14">
        <v>347</v>
      </c>
      <c r="L24" s="14">
        <v>548</v>
      </c>
      <c r="M24" s="14">
        <v>690</v>
      </c>
      <c r="N24" s="14">
        <v>0</v>
      </c>
      <c r="O24" s="14">
        <f>Departures_APData[[#This Row],[2023]]/7*12</f>
        <v>0</v>
      </c>
      <c r="P24"/>
    </row>
    <row r="25" spans="1:16" ht="14.65" thickBot="1" x14ac:dyDescent="0.5">
      <c r="A25" s="46" t="s">
        <v>69</v>
      </c>
      <c r="B25" s="45" t="s">
        <v>611</v>
      </c>
      <c r="C25" s="37">
        <v>903</v>
      </c>
      <c r="D25" s="38">
        <v>980</v>
      </c>
      <c r="E25" s="38">
        <v>1093</v>
      </c>
      <c r="F25" s="38">
        <v>1113</v>
      </c>
      <c r="G25" s="38">
        <v>1108</v>
      </c>
      <c r="H25" s="38">
        <v>1030</v>
      </c>
      <c r="I25" s="38">
        <v>1136</v>
      </c>
      <c r="J25" s="38">
        <v>658</v>
      </c>
      <c r="K25" s="38">
        <v>447</v>
      </c>
      <c r="L25" s="38">
        <v>686</v>
      </c>
      <c r="M25" s="38">
        <v>818</v>
      </c>
      <c r="N25" s="38">
        <v>0</v>
      </c>
      <c r="O25" s="38">
        <f>Departures_APData[[#This Row],[2023]]/7*12</f>
        <v>0</v>
      </c>
      <c r="P25"/>
    </row>
    <row r="26" spans="1:16" x14ac:dyDescent="0.45">
      <c r="A26" s="8" t="s">
        <v>58</v>
      </c>
      <c r="B26" s="44" t="s">
        <v>600</v>
      </c>
      <c r="C26" s="35">
        <v>11070</v>
      </c>
      <c r="D26" s="14">
        <v>10303</v>
      </c>
      <c r="E26" s="14">
        <v>10748</v>
      </c>
      <c r="F26" s="14">
        <v>11313</v>
      </c>
      <c r="G26" s="14">
        <v>11727</v>
      </c>
      <c r="H26" s="14">
        <v>11441</v>
      </c>
      <c r="I26" s="14">
        <v>11543</v>
      </c>
      <c r="J26" s="14">
        <v>11273</v>
      </c>
      <c r="K26" s="14">
        <v>87</v>
      </c>
      <c r="L26" s="14">
        <v>7802</v>
      </c>
      <c r="M26" s="14">
        <v>9420</v>
      </c>
      <c r="N26" s="14">
        <v>9832</v>
      </c>
      <c r="O26" s="14">
        <f>Departures_APData[[#This Row],[2023]]/7*12</f>
        <v>16854.857142857145</v>
      </c>
      <c r="P26"/>
    </row>
    <row r="27" spans="1:16" x14ac:dyDescent="0.45">
      <c r="A27" s="8" t="s">
        <v>58</v>
      </c>
      <c r="B27" s="44" t="s">
        <v>601</v>
      </c>
      <c r="C27" s="35">
        <v>11088</v>
      </c>
      <c r="D27" s="14">
        <v>10451</v>
      </c>
      <c r="E27" s="14">
        <v>10822</v>
      </c>
      <c r="F27" s="14">
        <v>11693</v>
      </c>
      <c r="G27" s="14">
        <v>12110</v>
      </c>
      <c r="H27" s="14">
        <v>12104</v>
      </c>
      <c r="I27" s="14">
        <v>11453</v>
      </c>
      <c r="J27" s="14">
        <v>11367</v>
      </c>
      <c r="K27" s="14">
        <v>130</v>
      </c>
      <c r="L27" s="14">
        <v>7522</v>
      </c>
      <c r="M27" s="14">
        <v>9654</v>
      </c>
      <c r="N27" s="14">
        <v>10042</v>
      </c>
      <c r="O27" s="14">
        <f>Departures_APData[[#This Row],[2023]]/7*12</f>
        <v>17214.857142857145</v>
      </c>
      <c r="P27"/>
    </row>
    <row r="28" spans="1:16" x14ac:dyDescent="0.45">
      <c r="A28" s="8" t="s">
        <v>58</v>
      </c>
      <c r="B28" s="44" t="s">
        <v>602</v>
      </c>
      <c r="C28" s="35">
        <v>10636</v>
      </c>
      <c r="D28" s="14">
        <v>9913</v>
      </c>
      <c r="E28" s="14">
        <v>10847</v>
      </c>
      <c r="F28" s="14">
        <v>11294</v>
      </c>
      <c r="G28" s="14">
        <v>11681</v>
      </c>
      <c r="H28" s="14">
        <v>11507</v>
      </c>
      <c r="I28" s="14">
        <v>10640</v>
      </c>
      <c r="J28" s="14">
        <v>10819</v>
      </c>
      <c r="K28" s="14">
        <v>603</v>
      </c>
      <c r="L28" s="14">
        <v>6791</v>
      </c>
      <c r="M28" s="14">
        <v>7957</v>
      </c>
      <c r="N28" s="14">
        <v>9658</v>
      </c>
      <c r="O28" s="14">
        <f>Departures_APData[[#This Row],[2023]]/7*12</f>
        <v>16556.571428571428</v>
      </c>
      <c r="P28"/>
    </row>
    <row r="29" spans="1:16" x14ac:dyDescent="0.45">
      <c r="A29" s="8" t="s">
        <v>58</v>
      </c>
      <c r="B29" s="44" t="s">
        <v>603</v>
      </c>
      <c r="C29" s="35">
        <v>11037</v>
      </c>
      <c r="D29" s="14">
        <v>10549</v>
      </c>
      <c r="E29" s="14">
        <v>11160</v>
      </c>
      <c r="F29" s="14">
        <v>12161</v>
      </c>
      <c r="G29" s="14">
        <v>12115</v>
      </c>
      <c r="H29" s="14">
        <v>12015</v>
      </c>
      <c r="I29" s="14">
        <v>11417</v>
      </c>
      <c r="J29" s="14">
        <v>11248</v>
      </c>
      <c r="K29" s="14">
        <v>1301</v>
      </c>
      <c r="L29" s="14">
        <v>3960</v>
      </c>
      <c r="M29" s="14">
        <v>8559</v>
      </c>
      <c r="N29" s="14">
        <v>10140</v>
      </c>
      <c r="O29" s="14">
        <f>Departures_APData[[#This Row],[2023]]/7*12</f>
        <v>17382.857142857145</v>
      </c>
      <c r="P29"/>
    </row>
    <row r="30" spans="1:16" x14ac:dyDescent="0.45">
      <c r="A30" s="8" t="s">
        <v>58</v>
      </c>
      <c r="B30" s="44" t="s">
        <v>604</v>
      </c>
      <c r="C30" s="35">
        <v>11163</v>
      </c>
      <c r="D30" s="14">
        <v>10527</v>
      </c>
      <c r="E30" s="14">
        <v>11219</v>
      </c>
      <c r="F30" s="14">
        <v>11674</v>
      </c>
      <c r="G30" s="14">
        <v>12072</v>
      </c>
      <c r="H30" s="14">
        <v>12186</v>
      </c>
      <c r="I30" s="14">
        <v>11553</v>
      </c>
      <c r="J30" s="14">
        <v>11120</v>
      </c>
      <c r="K30" s="14">
        <v>1802</v>
      </c>
      <c r="L30" s="14">
        <v>5532</v>
      </c>
      <c r="M30" s="14">
        <v>8713</v>
      </c>
      <c r="N30" s="14">
        <v>10143</v>
      </c>
      <c r="O30" s="14">
        <f>Departures_APData[[#This Row],[2023]]/7*12</f>
        <v>17388</v>
      </c>
      <c r="P30"/>
    </row>
    <row r="31" spans="1:16" x14ac:dyDescent="0.45">
      <c r="A31" s="8" t="s">
        <v>58</v>
      </c>
      <c r="B31" s="44" t="s">
        <v>605</v>
      </c>
      <c r="C31" s="35">
        <v>10608</v>
      </c>
      <c r="D31" s="14">
        <v>10277</v>
      </c>
      <c r="E31" s="14">
        <v>10932</v>
      </c>
      <c r="F31" s="14">
        <v>11790</v>
      </c>
      <c r="G31" s="14">
        <v>12126</v>
      </c>
      <c r="H31" s="14">
        <v>11695</v>
      </c>
      <c r="I31" s="14">
        <v>11271</v>
      </c>
      <c r="J31" s="14">
        <v>11150</v>
      </c>
      <c r="K31" s="14">
        <v>3347</v>
      </c>
      <c r="L31" s="14">
        <v>7179</v>
      </c>
      <c r="M31" s="14">
        <v>8777</v>
      </c>
      <c r="N31" s="14">
        <v>10308</v>
      </c>
      <c r="O31" s="14">
        <f>Departures_APData[[#This Row],[2023]]/7*12</f>
        <v>17670.857142857145</v>
      </c>
      <c r="P31"/>
    </row>
    <row r="32" spans="1:16" x14ac:dyDescent="0.45">
      <c r="A32" s="8" t="s">
        <v>58</v>
      </c>
      <c r="B32" s="44" t="s">
        <v>606</v>
      </c>
      <c r="C32" s="35">
        <v>11287</v>
      </c>
      <c r="D32" s="14">
        <v>10839</v>
      </c>
      <c r="E32" s="14">
        <v>11872</v>
      </c>
      <c r="F32" s="14">
        <v>12461</v>
      </c>
      <c r="G32" s="14">
        <v>12337</v>
      </c>
      <c r="H32" s="14">
        <v>12198</v>
      </c>
      <c r="I32" s="14">
        <v>12019</v>
      </c>
      <c r="J32" s="14">
        <v>11784</v>
      </c>
      <c r="K32" s="14">
        <v>4860</v>
      </c>
      <c r="L32" s="14">
        <v>8274</v>
      </c>
      <c r="M32" s="14">
        <v>9264</v>
      </c>
      <c r="N32" s="14">
        <v>10842</v>
      </c>
      <c r="O32" s="14">
        <f>Departures_APData[[#This Row],[2023]]/7*12</f>
        <v>18586.285714285714</v>
      </c>
      <c r="P32"/>
    </row>
    <row r="33" spans="1:16" x14ac:dyDescent="0.45">
      <c r="A33" s="8" t="s">
        <v>58</v>
      </c>
      <c r="B33" s="44" t="s">
        <v>607</v>
      </c>
      <c r="C33" s="35">
        <v>10231</v>
      </c>
      <c r="D33" s="14">
        <v>10693</v>
      </c>
      <c r="E33" s="14">
        <v>11171</v>
      </c>
      <c r="F33" s="14">
        <v>12286</v>
      </c>
      <c r="G33" s="14">
        <v>12100</v>
      </c>
      <c r="H33" s="14">
        <v>11807</v>
      </c>
      <c r="I33" s="14">
        <v>11722</v>
      </c>
      <c r="J33" s="14">
        <v>11185</v>
      </c>
      <c r="K33" s="14">
        <v>5668</v>
      </c>
      <c r="L33" s="14">
        <v>8247</v>
      </c>
      <c r="M33" s="14">
        <v>9373</v>
      </c>
      <c r="N33" s="14">
        <v>0</v>
      </c>
      <c r="O33" s="14">
        <f>Departures_APData[[#This Row],[2023]]/7*12</f>
        <v>0</v>
      </c>
      <c r="P33"/>
    </row>
    <row r="34" spans="1:16" x14ac:dyDescent="0.45">
      <c r="A34" s="8" t="s">
        <v>58</v>
      </c>
      <c r="B34" s="44" t="s">
        <v>608</v>
      </c>
      <c r="C34" s="35">
        <v>9966</v>
      </c>
      <c r="D34" s="14">
        <v>10353</v>
      </c>
      <c r="E34" s="14">
        <v>10754</v>
      </c>
      <c r="F34" s="14">
        <v>11824</v>
      </c>
      <c r="G34" s="14">
        <v>11641</v>
      </c>
      <c r="H34" s="14">
        <v>11750</v>
      </c>
      <c r="I34" s="14">
        <v>11128</v>
      </c>
      <c r="J34" s="14">
        <v>11702</v>
      </c>
      <c r="K34" s="14">
        <v>7721</v>
      </c>
      <c r="L34" s="14">
        <v>9101</v>
      </c>
      <c r="M34" s="14">
        <v>9582</v>
      </c>
      <c r="N34" s="14">
        <v>0</v>
      </c>
      <c r="O34" s="14">
        <f>Departures_APData[[#This Row],[2023]]/7*12</f>
        <v>0</v>
      </c>
      <c r="P34"/>
    </row>
    <row r="35" spans="1:16" x14ac:dyDescent="0.45">
      <c r="A35" s="8" t="s">
        <v>58</v>
      </c>
      <c r="B35" s="44" t="s">
        <v>609</v>
      </c>
      <c r="C35" s="35">
        <v>9988</v>
      </c>
      <c r="D35" s="14">
        <v>10751</v>
      </c>
      <c r="E35" s="14">
        <v>10773</v>
      </c>
      <c r="F35" s="14">
        <v>11643</v>
      </c>
      <c r="G35" s="14">
        <v>11522</v>
      </c>
      <c r="H35" s="14">
        <v>11830</v>
      </c>
      <c r="I35" s="14">
        <v>11161</v>
      </c>
      <c r="J35" s="14">
        <v>11231</v>
      </c>
      <c r="K35" s="14">
        <v>5506</v>
      </c>
      <c r="L35" s="14">
        <v>8406</v>
      </c>
      <c r="M35" s="14">
        <v>9239</v>
      </c>
      <c r="N35" s="14">
        <v>0</v>
      </c>
      <c r="O35" s="14">
        <f>Departures_APData[[#This Row],[2023]]/7*12</f>
        <v>0</v>
      </c>
      <c r="P35"/>
    </row>
    <row r="36" spans="1:16" x14ac:dyDescent="0.45">
      <c r="A36" s="8" t="s">
        <v>58</v>
      </c>
      <c r="B36" s="44" t="s">
        <v>610</v>
      </c>
      <c r="C36" s="35">
        <v>9429</v>
      </c>
      <c r="D36" s="14">
        <v>10239</v>
      </c>
      <c r="E36" s="14">
        <v>10582</v>
      </c>
      <c r="F36" s="14">
        <v>11694</v>
      </c>
      <c r="G36" s="14">
        <v>11127</v>
      </c>
      <c r="H36" s="14">
        <v>10576</v>
      </c>
      <c r="I36" s="14">
        <v>10470</v>
      </c>
      <c r="J36" s="14">
        <v>10536</v>
      </c>
      <c r="K36" s="14">
        <v>4788</v>
      </c>
      <c r="L36" s="14">
        <v>8251</v>
      </c>
      <c r="M36" s="14">
        <v>8748</v>
      </c>
      <c r="N36" s="14">
        <v>0</v>
      </c>
      <c r="O36" s="14">
        <f>Departures_APData[[#This Row],[2023]]/7*12</f>
        <v>0</v>
      </c>
      <c r="P36"/>
    </row>
    <row r="37" spans="1:16" ht="14.65" thickBot="1" x14ac:dyDescent="0.5">
      <c r="A37" s="46" t="s">
        <v>58</v>
      </c>
      <c r="B37" s="45" t="s">
        <v>611</v>
      </c>
      <c r="C37" s="37">
        <v>10415</v>
      </c>
      <c r="D37" s="38">
        <v>11116</v>
      </c>
      <c r="E37" s="38">
        <v>12159</v>
      </c>
      <c r="F37" s="38">
        <v>12477</v>
      </c>
      <c r="G37" s="38">
        <v>12288</v>
      </c>
      <c r="H37" s="38">
        <v>11856</v>
      </c>
      <c r="I37" s="38">
        <v>11767</v>
      </c>
      <c r="J37" s="38">
        <v>7667</v>
      </c>
      <c r="K37" s="38">
        <v>7156</v>
      </c>
      <c r="L37" s="38">
        <v>9566</v>
      </c>
      <c r="M37" s="38">
        <v>10080</v>
      </c>
      <c r="N37" s="38">
        <v>0</v>
      </c>
      <c r="O37" s="38">
        <f>Departures_APData[[#This Row],[2023]]/7*12</f>
        <v>0</v>
      </c>
      <c r="P37"/>
    </row>
    <row r="38" spans="1:16" x14ac:dyDescent="0.45">
      <c r="A38" s="8" t="s">
        <v>70</v>
      </c>
      <c r="B38" s="44" t="s">
        <v>600</v>
      </c>
      <c r="C38" s="35">
        <v>6966</v>
      </c>
      <c r="D38" s="14">
        <v>9456</v>
      </c>
      <c r="E38" s="14">
        <v>7983</v>
      </c>
      <c r="F38" s="14">
        <v>7766</v>
      </c>
      <c r="G38" s="14">
        <v>8262</v>
      </c>
      <c r="H38" s="14">
        <v>6265</v>
      </c>
      <c r="I38" s="14">
        <v>6017</v>
      </c>
      <c r="J38" s="14">
        <v>5859</v>
      </c>
      <c r="K38" s="14">
        <v>562</v>
      </c>
      <c r="L38" s="14">
        <v>4461</v>
      </c>
      <c r="M38" s="14">
        <v>4730</v>
      </c>
      <c r="N38" s="14">
        <v>5107</v>
      </c>
      <c r="O38" s="14">
        <f>Departures_APData[[#This Row],[2023]]/7*12</f>
        <v>8754.8571428571431</v>
      </c>
      <c r="P38"/>
    </row>
    <row r="39" spans="1:16" x14ac:dyDescent="0.45">
      <c r="A39" s="8" t="s">
        <v>70</v>
      </c>
      <c r="B39" s="44" t="s">
        <v>601</v>
      </c>
      <c r="C39" s="35">
        <v>7752</v>
      </c>
      <c r="D39" s="14">
        <v>7847</v>
      </c>
      <c r="E39" s="14">
        <v>7727</v>
      </c>
      <c r="F39" s="14">
        <v>8596</v>
      </c>
      <c r="G39" s="14">
        <v>8469</v>
      </c>
      <c r="H39" s="14">
        <v>6391</v>
      </c>
      <c r="I39" s="14">
        <v>7440</v>
      </c>
      <c r="J39" s="14">
        <v>6664</v>
      </c>
      <c r="K39" s="14">
        <v>894</v>
      </c>
      <c r="L39" s="14">
        <v>4544</v>
      </c>
      <c r="M39" s="14">
        <v>5676</v>
      </c>
      <c r="N39" s="14">
        <v>5254</v>
      </c>
      <c r="O39" s="14">
        <f>Departures_APData[[#This Row],[2023]]/7*12</f>
        <v>9006.8571428571431</v>
      </c>
      <c r="P39"/>
    </row>
    <row r="40" spans="1:16" x14ac:dyDescent="0.45">
      <c r="A40" s="8" t="s">
        <v>70</v>
      </c>
      <c r="B40" s="44" t="s">
        <v>602</v>
      </c>
      <c r="C40" s="35">
        <v>6073</v>
      </c>
      <c r="D40" s="14">
        <v>6912</v>
      </c>
      <c r="E40" s="14">
        <v>7361</v>
      </c>
      <c r="F40" s="14">
        <v>7928</v>
      </c>
      <c r="G40" s="14">
        <v>7048</v>
      </c>
      <c r="H40" s="14">
        <v>5723</v>
      </c>
      <c r="I40" s="14">
        <v>6355</v>
      </c>
      <c r="J40" s="14">
        <v>6091</v>
      </c>
      <c r="K40" s="14">
        <v>3534</v>
      </c>
      <c r="L40" s="14">
        <v>4680</v>
      </c>
      <c r="M40" s="14">
        <v>5053</v>
      </c>
      <c r="N40" s="14">
        <v>4385</v>
      </c>
      <c r="O40" s="14">
        <f>Departures_APData[[#This Row],[2023]]/7*12</f>
        <v>7517.1428571428569</v>
      </c>
      <c r="P40"/>
    </row>
    <row r="41" spans="1:16" x14ac:dyDescent="0.45">
      <c r="A41" s="8" t="s">
        <v>70</v>
      </c>
      <c r="B41" s="44" t="s">
        <v>603</v>
      </c>
      <c r="C41" s="35">
        <v>6585</v>
      </c>
      <c r="D41" s="14">
        <v>6961</v>
      </c>
      <c r="E41" s="14">
        <v>8322</v>
      </c>
      <c r="F41" s="14">
        <v>7336</v>
      </c>
      <c r="G41" s="14">
        <v>7655</v>
      </c>
      <c r="H41" s="14">
        <v>6348</v>
      </c>
      <c r="I41" s="14">
        <v>6649</v>
      </c>
      <c r="J41" s="14">
        <v>6328</v>
      </c>
      <c r="K41" s="14">
        <v>4186</v>
      </c>
      <c r="L41" s="14">
        <v>4243</v>
      </c>
      <c r="M41" s="14">
        <v>5052</v>
      </c>
      <c r="N41" s="14">
        <v>5077</v>
      </c>
      <c r="O41" s="14">
        <f>Departures_APData[[#This Row],[2023]]/7*12</f>
        <v>8703.4285714285725</v>
      </c>
      <c r="P41"/>
    </row>
    <row r="42" spans="1:16" x14ac:dyDescent="0.45">
      <c r="A42" s="8" t="s">
        <v>70</v>
      </c>
      <c r="B42" s="44" t="s">
        <v>604</v>
      </c>
      <c r="C42" s="35">
        <v>6473</v>
      </c>
      <c r="D42" s="14">
        <v>6310</v>
      </c>
      <c r="E42" s="14">
        <v>7937</v>
      </c>
      <c r="F42" s="14">
        <v>7501</v>
      </c>
      <c r="G42" s="14">
        <v>8549</v>
      </c>
      <c r="H42" s="14">
        <v>5819</v>
      </c>
      <c r="I42" s="14">
        <v>5998</v>
      </c>
      <c r="J42" s="14">
        <v>7412</v>
      </c>
      <c r="K42" s="14">
        <v>4139</v>
      </c>
      <c r="L42" s="14">
        <v>4401</v>
      </c>
      <c r="M42" s="14">
        <v>4934</v>
      </c>
      <c r="N42" s="14">
        <v>5366</v>
      </c>
      <c r="O42" s="14">
        <f>Departures_APData[[#This Row],[2023]]/7*12</f>
        <v>9198.8571428571431</v>
      </c>
      <c r="P42"/>
    </row>
    <row r="43" spans="1:16" x14ac:dyDescent="0.45">
      <c r="A43" s="8" t="s">
        <v>70</v>
      </c>
      <c r="B43" s="44" t="s">
        <v>605</v>
      </c>
      <c r="C43" s="35">
        <v>6029</v>
      </c>
      <c r="D43" s="14">
        <v>6408</v>
      </c>
      <c r="E43" s="14">
        <v>7183</v>
      </c>
      <c r="F43" s="14">
        <v>7494</v>
      </c>
      <c r="G43" s="14">
        <v>8781</v>
      </c>
      <c r="H43" s="14">
        <v>5861</v>
      </c>
      <c r="I43" s="14">
        <v>5739</v>
      </c>
      <c r="J43" s="14">
        <v>5423</v>
      </c>
      <c r="K43" s="14">
        <v>5228</v>
      </c>
      <c r="L43" s="14">
        <v>3513</v>
      </c>
      <c r="M43" s="14">
        <v>4665</v>
      </c>
      <c r="N43" s="14">
        <v>4905</v>
      </c>
      <c r="O43" s="14">
        <f>Departures_APData[[#This Row],[2023]]/7*12</f>
        <v>8408.5714285714275</v>
      </c>
      <c r="P43"/>
    </row>
    <row r="44" spans="1:16" x14ac:dyDescent="0.45">
      <c r="A44" s="8" t="s">
        <v>70</v>
      </c>
      <c r="B44" s="44" t="s">
        <v>606</v>
      </c>
      <c r="C44" s="35">
        <v>5819</v>
      </c>
      <c r="D44" s="14">
        <v>7012</v>
      </c>
      <c r="E44" s="14">
        <v>7443</v>
      </c>
      <c r="F44" s="14">
        <v>8590</v>
      </c>
      <c r="G44" s="14">
        <v>7396</v>
      </c>
      <c r="H44" s="14">
        <v>5891</v>
      </c>
      <c r="I44" s="14">
        <v>5808</v>
      </c>
      <c r="J44" s="14">
        <v>5781</v>
      </c>
      <c r="K44" s="14">
        <v>4330</v>
      </c>
      <c r="L44" s="14">
        <v>4042</v>
      </c>
      <c r="M44" s="14">
        <v>6021</v>
      </c>
      <c r="N44" s="14">
        <v>4133</v>
      </c>
      <c r="O44" s="14">
        <f>Departures_APData[[#This Row],[2023]]/7*12</f>
        <v>7085.1428571428569</v>
      </c>
      <c r="P44"/>
    </row>
    <row r="45" spans="1:16" x14ac:dyDescent="0.45">
      <c r="A45" s="8" t="s">
        <v>70</v>
      </c>
      <c r="B45" s="44" t="s">
        <v>607</v>
      </c>
      <c r="C45" s="35">
        <v>7536</v>
      </c>
      <c r="D45" s="14">
        <v>7615</v>
      </c>
      <c r="E45" s="14">
        <v>7635</v>
      </c>
      <c r="F45" s="14">
        <v>7863</v>
      </c>
      <c r="G45" s="14">
        <v>6421</v>
      </c>
      <c r="H45" s="14">
        <v>5635</v>
      </c>
      <c r="I45" s="14">
        <v>5878</v>
      </c>
      <c r="J45" s="14">
        <v>5379</v>
      </c>
      <c r="K45" s="14">
        <v>4442</v>
      </c>
      <c r="L45" s="14">
        <v>3963</v>
      </c>
      <c r="M45" s="14">
        <v>5209</v>
      </c>
      <c r="N45" s="14">
        <v>0</v>
      </c>
      <c r="O45" s="14">
        <f>Departures_APData[[#This Row],[2023]]/7*12</f>
        <v>0</v>
      </c>
      <c r="P45"/>
    </row>
    <row r="46" spans="1:16" x14ac:dyDescent="0.45">
      <c r="A46" s="8" t="s">
        <v>70</v>
      </c>
      <c r="B46" s="44" t="s">
        <v>608</v>
      </c>
      <c r="C46" s="35">
        <v>6276</v>
      </c>
      <c r="D46" s="14">
        <v>6257</v>
      </c>
      <c r="E46" s="14">
        <v>6287</v>
      </c>
      <c r="F46" s="14">
        <v>6194</v>
      </c>
      <c r="G46" s="14">
        <v>5749</v>
      </c>
      <c r="H46" s="14">
        <v>5069</v>
      </c>
      <c r="I46" s="14">
        <v>5098</v>
      </c>
      <c r="J46" s="14">
        <v>4415</v>
      </c>
      <c r="K46" s="14">
        <v>3779</v>
      </c>
      <c r="L46" s="14">
        <v>3099</v>
      </c>
      <c r="M46" s="14">
        <v>4237</v>
      </c>
      <c r="N46" s="14">
        <v>0</v>
      </c>
      <c r="O46" s="14">
        <f>Departures_APData[[#This Row],[2023]]/7*12</f>
        <v>0</v>
      </c>
      <c r="P46"/>
    </row>
    <row r="47" spans="1:16" x14ac:dyDescent="0.45">
      <c r="A47" s="8" t="s">
        <v>70</v>
      </c>
      <c r="B47" s="44" t="s">
        <v>609</v>
      </c>
      <c r="C47" s="35">
        <v>6978</v>
      </c>
      <c r="D47" s="14">
        <v>7585</v>
      </c>
      <c r="E47" s="14">
        <v>7623</v>
      </c>
      <c r="F47" s="14">
        <v>6308</v>
      </c>
      <c r="G47" s="14">
        <v>4961</v>
      </c>
      <c r="H47" s="14">
        <v>5002</v>
      </c>
      <c r="I47" s="14">
        <v>4988</v>
      </c>
      <c r="J47" s="14">
        <v>4355</v>
      </c>
      <c r="K47" s="14">
        <v>4029</v>
      </c>
      <c r="L47" s="14">
        <v>4077</v>
      </c>
      <c r="M47" s="14">
        <v>4276</v>
      </c>
      <c r="N47" s="14">
        <v>0</v>
      </c>
      <c r="O47" s="14">
        <f>Departures_APData[[#This Row],[2023]]/7*12</f>
        <v>0</v>
      </c>
      <c r="P47"/>
    </row>
    <row r="48" spans="1:16" x14ac:dyDescent="0.45">
      <c r="A48" s="8" t="s">
        <v>70</v>
      </c>
      <c r="B48" s="44" t="s">
        <v>610</v>
      </c>
      <c r="C48" s="35">
        <v>7785</v>
      </c>
      <c r="D48" s="14">
        <v>7567</v>
      </c>
      <c r="E48" s="14">
        <v>6736</v>
      </c>
      <c r="F48" s="14">
        <v>7107</v>
      </c>
      <c r="G48" s="14">
        <v>5523</v>
      </c>
      <c r="H48" s="14">
        <v>5781</v>
      </c>
      <c r="I48" s="14">
        <v>5428</v>
      </c>
      <c r="J48" s="14">
        <v>3171</v>
      </c>
      <c r="K48" s="14">
        <v>4464</v>
      </c>
      <c r="L48" s="14">
        <v>4393</v>
      </c>
      <c r="M48" s="14">
        <v>4323</v>
      </c>
      <c r="N48" s="14">
        <v>0</v>
      </c>
      <c r="O48" s="14">
        <f>Departures_APData[[#This Row],[2023]]/7*12</f>
        <v>0</v>
      </c>
      <c r="P48"/>
    </row>
    <row r="49" spans="1:16" x14ac:dyDescent="0.45">
      <c r="A49" s="8" t="s">
        <v>70</v>
      </c>
      <c r="B49" s="44" t="s">
        <v>611</v>
      </c>
      <c r="C49" s="35">
        <v>7121</v>
      </c>
      <c r="D49" s="14">
        <v>7274</v>
      </c>
      <c r="E49" s="14">
        <v>8473</v>
      </c>
      <c r="F49" s="14">
        <v>7961</v>
      </c>
      <c r="G49" s="14">
        <v>7121</v>
      </c>
      <c r="H49" s="14">
        <v>5674</v>
      </c>
      <c r="I49" s="14">
        <v>5799</v>
      </c>
      <c r="J49" s="14">
        <v>4862</v>
      </c>
      <c r="K49" s="14">
        <v>4514</v>
      </c>
      <c r="L49" s="14">
        <v>6730</v>
      </c>
      <c r="M49" s="14">
        <v>5132</v>
      </c>
      <c r="N49" s="14">
        <v>0</v>
      </c>
      <c r="O49" s="14">
        <f>Departures_APData[[#This Row],[2023]]/7*12</f>
        <v>0</v>
      </c>
      <c r="P49"/>
    </row>
    <row r="50" spans="1:16" x14ac:dyDescent="0.45">
      <c r="B50" s="23"/>
      <c r="P50"/>
    </row>
    <row r="51" spans="1:16" x14ac:dyDescent="0.45">
      <c r="B51" s="23"/>
      <c r="P51"/>
    </row>
    <row r="52" spans="1:16" x14ac:dyDescent="0.45">
      <c r="B52" s="23"/>
      <c r="P52"/>
    </row>
    <row r="53" spans="1:16" x14ac:dyDescent="0.45"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A05D-E63F-4696-A02F-6AAAAA126602}">
  <sheetPr codeName="Sheet26">
    <tabColor rgb="FFFFC000"/>
  </sheetPr>
  <dimension ref="A1:S49"/>
  <sheetViews>
    <sheetView topLeftCell="A40" zoomScale="114" workbookViewId="0">
      <selection activeCell="O27" sqref="O27"/>
    </sheetView>
  </sheetViews>
  <sheetFormatPr defaultRowHeight="14.25" x14ac:dyDescent="0.45"/>
  <cols>
    <col min="1" max="1" width="12.86328125" customWidth="1"/>
    <col min="2" max="2" width="10.59765625" style="20" bestFit="1" customWidth="1"/>
    <col min="3" max="3" width="11.59765625" style="1" bestFit="1" customWidth="1"/>
    <col min="4" max="10" width="11.1328125" style="1" bestFit="1" customWidth="1"/>
    <col min="11" max="11" width="10.1328125" style="1" bestFit="1" customWidth="1"/>
    <col min="12" max="14" width="11.1328125" style="1" bestFit="1" customWidth="1"/>
    <col min="15" max="15" width="11.59765625" style="1" bestFit="1" customWidth="1"/>
    <col min="16" max="16" width="13.59765625" style="1" bestFit="1" customWidth="1"/>
  </cols>
  <sheetData>
    <row r="1" spans="1:19" s="2" customFormat="1" ht="14.65" thickBot="1" x14ac:dyDescent="0.5">
      <c r="A1" s="46" t="s">
        <v>587</v>
      </c>
      <c r="B1" s="47" t="s">
        <v>585</v>
      </c>
      <c r="C1" s="58" t="s">
        <v>588</v>
      </c>
      <c r="D1" s="59" t="s">
        <v>589</v>
      </c>
      <c r="E1" s="59" t="s">
        <v>590</v>
      </c>
      <c r="F1" s="59" t="s">
        <v>591</v>
      </c>
      <c r="G1" s="59" t="s">
        <v>592</v>
      </c>
      <c r="H1" s="59" t="s">
        <v>593</v>
      </c>
      <c r="I1" s="59" t="s">
        <v>594</v>
      </c>
      <c r="J1" s="59" t="s">
        <v>595</v>
      </c>
      <c r="K1" s="59" t="s">
        <v>596</v>
      </c>
      <c r="L1" s="59" t="s">
        <v>597</v>
      </c>
      <c r="M1" s="59" t="s">
        <v>598</v>
      </c>
      <c r="N1" s="59" t="s">
        <v>599</v>
      </c>
      <c r="O1" s="60" t="s">
        <v>203</v>
      </c>
      <c r="P1" s="3"/>
      <c r="Q1" s="3"/>
      <c r="R1" s="3"/>
      <c r="S1" s="3"/>
    </row>
    <row r="2" spans="1:19" x14ac:dyDescent="0.45">
      <c r="A2" s="8" t="s">
        <v>64</v>
      </c>
      <c r="B2" s="44" t="s">
        <v>600</v>
      </c>
      <c r="C2" s="56">
        <v>422447</v>
      </c>
      <c r="D2" s="57">
        <v>424414</v>
      </c>
      <c r="E2" s="57">
        <v>446470</v>
      </c>
      <c r="F2" s="57">
        <v>454819</v>
      </c>
      <c r="G2" s="57">
        <v>469330</v>
      </c>
      <c r="H2" s="57">
        <v>525298</v>
      </c>
      <c r="I2" s="57">
        <v>510399</v>
      </c>
      <c r="J2" s="57">
        <v>498956</v>
      </c>
      <c r="K2" s="57">
        <v>529</v>
      </c>
      <c r="L2" s="57">
        <v>77542</v>
      </c>
      <c r="M2" s="57">
        <v>317264</v>
      </c>
      <c r="N2" s="57">
        <v>411765</v>
      </c>
      <c r="O2" s="61">
        <f>Departures_PassData[[#This Row],[2023]]/7*12</f>
        <v>705882.85714285716</v>
      </c>
      <c r="P2" s="43"/>
    </row>
    <row r="3" spans="1:19" x14ac:dyDescent="0.45">
      <c r="A3" s="8" t="s">
        <v>64</v>
      </c>
      <c r="B3" s="44" t="s">
        <v>601</v>
      </c>
      <c r="C3" s="35">
        <v>358673</v>
      </c>
      <c r="D3" s="14">
        <v>380855</v>
      </c>
      <c r="E3" s="14">
        <v>395013</v>
      </c>
      <c r="F3" s="14">
        <v>397075</v>
      </c>
      <c r="G3" s="14">
        <v>418611</v>
      </c>
      <c r="H3" s="14">
        <v>445321</v>
      </c>
      <c r="I3" s="14">
        <v>437526</v>
      </c>
      <c r="J3" s="14">
        <v>447258</v>
      </c>
      <c r="K3" s="14">
        <v>302</v>
      </c>
      <c r="L3" s="14">
        <v>80936</v>
      </c>
      <c r="M3" s="14">
        <v>294790</v>
      </c>
      <c r="N3" s="14">
        <v>366199</v>
      </c>
      <c r="O3" s="36">
        <f>Departures_PassData[[#This Row],[2023]]/7*12</f>
        <v>627769.71428571432</v>
      </c>
      <c r="P3"/>
    </row>
    <row r="4" spans="1:19" x14ac:dyDescent="0.45">
      <c r="A4" s="8" t="s">
        <v>64</v>
      </c>
      <c r="B4" s="44" t="s">
        <v>602</v>
      </c>
      <c r="C4" s="35">
        <v>396558</v>
      </c>
      <c r="D4" s="14">
        <v>410539</v>
      </c>
      <c r="E4" s="14">
        <v>409578</v>
      </c>
      <c r="F4" s="14">
        <v>410907</v>
      </c>
      <c r="G4" s="14">
        <v>420323</v>
      </c>
      <c r="H4" s="14">
        <v>437763</v>
      </c>
      <c r="I4" s="14">
        <v>476506</v>
      </c>
      <c r="J4" s="14">
        <v>500617</v>
      </c>
      <c r="K4" s="14">
        <v>664</v>
      </c>
      <c r="L4" s="14">
        <v>90243</v>
      </c>
      <c r="M4" s="14">
        <v>301393</v>
      </c>
      <c r="N4" s="14">
        <v>380592</v>
      </c>
      <c r="O4" s="36">
        <f>Departures_PassData[[#This Row],[2023]]/7*12</f>
        <v>652443.42857142864</v>
      </c>
      <c r="P4"/>
    </row>
    <row r="5" spans="1:19" x14ac:dyDescent="0.45">
      <c r="A5" s="8" t="s">
        <v>64</v>
      </c>
      <c r="B5" s="44" t="s">
        <v>603</v>
      </c>
      <c r="C5" s="35">
        <v>368849</v>
      </c>
      <c r="D5" s="14">
        <v>383778</v>
      </c>
      <c r="E5" s="14">
        <v>401715</v>
      </c>
      <c r="F5" s="14">
        <v>405355</v>
      </c>
      <c r="G5" s="14">
        <v>432250</v>
      </c>
      <c r="H5" s="14">
        <v>476858</v>
      </c>
      <c r="I5" s="14">
        <v>465362</v>
      </c>
      <c r="J5" s="14">
        <v>452520</v>
      </c>
      <c r="K5" s="14">
        <v>60</v>
      </c>
      <c r="L5" s="14">
        <v>88315</v>
      </c>
      <c r="M5" s="14">
        <v>306269</v>
      </c>
      <c r="N5" s="14">
        <v>377613</v>
      </c>
      <c r="O5" s="36">
        <f>Departures_PassData[[#This Row],[2023]]/7*12</f>
        <v>647336.57142857136</v>
      </c>
      <c r="P5"/>
    </row>
    <row r="6" spans="1:19" x14ac:dyDescent="0.45">
      <c r="A6" s="8" t="s">
        <v>64</v>
      </c>
      <c r="B6" s="44" t="s">
        <v>604</v>
      </c>
      <c r="C6" s="35">
        <v>420431</v>
      </c>
      <c r="D6" s="14">
        <v>447433</v>
      </c>
      <c r="E6" s="14">
        <v>475661</v>
      </c>
      <c r="F6" s="14">
        <v>478709</v>
      </c>
      <c r="G6" s="14">
        <v>500201</v>
      </c>
      <c r="H6" s="14">
        <v>511823</v>
      </c>
      <c r="I6" s="14">
        <v>530294</v>
      </c>
      <c r="J6" s="14">
        <v>544585</v>
      </c>
      <c r="K6" s="14">
        <v>15</v>
      </c>
      <c r="L6" s="14">
        <v>101203</v>
      </c>
      <c r="M6" s="14">
        <v>354428</v>
      </c>
      <c r="N6" s="14">
        <v>435093</v>
      </c>
      <c r="O6" s="36">
        <f>Departures_PassData[[#This Row],[2023]]/7*12</f>
        <v>745873.71428571432</v>
      </c>
      <c r="P6"/>
    </row>
    <row r="7" spans="1:19" x14ac:dyDescent="0.45">
      <c r="A7" s="8" t="s">
        <v>64</v>
      </c>
      <c r="B7" s="44" t="s">
        <v>605</v>
      </c>
      <c r="C7" s="35">
        <v>410233</v>
      </c>
      <c r="D7" s="14">
        <v>429981</v>
      </c>
      <c r="E7" s="14">
        <v>418834</v>
      </c>
      <c r="F7" s="14">
        <v>434505</v>
      </c>
      <c r="G7" s="14">
        <v>461045</v>
      </c>
      <c r="H7" s="14">
        <v>488408</v>
      </c>
      <c r="I7" s="14">
        <v>508740</v>
      </c>
      <c r="J7" s="14">
        <v>508358</v>
      </c>
      <c r="K7" s="14">
        <v>59</v>
      </c>
      <c r="L7" s="14">
        <v>118273</v>
      </c>
      <c r="M7" s="14">
        <v>341297</v>
      </c>
      <c r="N7" s="14">
        <v>417421</v>
      </c>
      <c r="O7" s="36">
        <f>Departures_PassData[[#This Row],[2023]]/7*12</f>
        <v>715578.85714285716</v>
      </c>
      <c r="P7"/>
    </row>
    <row r="8" spans="1:19" x14ac:dyDescent="0.45">
      <c r="A8" s="8" t="s">
        <v>64</v>
      </c>
      <c r="B8" s="44" t="s">
        <v>606</v>
      </c>
      <c r="C8" s="35">
        <v>396969</v>
      </c>
      <c r="D8" s="14">
        <v>410364</v>
      </c>
      <c r="E8" s="14">
        <v>419783</v>
      </c>
      <c r="F8" s="14">
        <v>445034</v>
      </c>
      <c r="G8" s="14">
        <v>475290</v>
      </c>
      <c r="H8" s="14">
        <v>486570</v>
      </c>
      <c r="I8" s="14">
        <v>486496</v>
      </c>
      <c r="J8" s="14">
        <v>485891</v>
      </c>
      <c r="K8" s="14">
        <v>44238</v>
      </c>
      <c r="L8" s="14">
        <v>154558</v>
      </c>
      <c r="M8" s="14">
        <v>345063</v>
      </c>
      <c r="N8" s="14">
        <v>421362</v>
      </c>
      <c r="O8" s="36">
        <f>Departures_PassData[[#This Row],[2023]]/7*12</f>
        <v>722334.85714285716</v>
      </c>
      <c r="P8"/>
    </row>
    <row r="9" spans="1:19" x14ac:dyDescent="0.45">
      <c r="A9" s="8" t="s">
        <v>64</v>
      </c>
      <c r="B9" s="44" t="s">
        <v>607</v>
      </c>
      <c r="C9" s="35">
        <v>410027</v>
      </c>
      <c r="D9" s="14">
        <v>435144</v>
      </c>
      <c r="E9" s="14">
        <v>437378</v>
      </c>
      <c r="F9" s="14">
        <v>448056</v>
      </c>
      <c r="G9" s="14">
        <v>480681</v>
      </c>
      <c r="H9" s="14">
        <v>506576</v>
      </c>
      <c r="I9" s="14">
        <v>513241</v>
      </c>
      <c r="J9" s="14">
        <v>506125</v>
      </c>
      <c r="K9" s="14">
        <v>58733</v>
      </c>
      <c r="L9" s="14">
        <v>180889</v>
      </c>
      <c r="M9" s="14">
        <v>358655</v>
      </c>
      <c r="N9" s="14">
        <v>0</v>
      </c>
      <c r="O9" s="36">
        <f>Departures_PassData[[#This Row],[2023]]/7*12</f>
        <v>0</v>
      </c>
      <c r="P9"/>
    </row>
    <row r="10" spans="1:19" x14ac:dyDescent="0.45">
      <c r="A10" s="8" t="s">
        <v>64</v>
      </c>
      <c r="B10" s="44" t="s">
        <v>608</v>
      </c>
      <c r="C10" s="35">
        <v>478124</v>
      </c>
      <c r="D10" s="14">
        <v>507325</v>
      </c>
      <c r="E10" s="14">
        <v>508717</v>
      </c>
      <c r="F10" s="14">
        <v>523491</v>
      </c>
      <c r="G10" s="14">
        <v>566664</v>
      </c>
      <c r="H10" s="14">
        <v>596163</v>
      </c>
      <c r="I10" s="14">
        <v>599649</v>
      </c>
      <c r="J10" s="14">
        <v>596496</v>
      </c>
      <c r="K10" s="14">
        <v>105026</v>
      </c>
      <c r="L10" s="14">
        <v>132381</v>
      </c>
      <c r="M10" s="14">
        <v>454607</v>
      </c>
      <c r="N10" s="14">
        <v>0</v>
      </c>
      <c r="O10" s="36">
        <f>Departures_PassData[[#This Row],[2023]]/7*12</f>
        <v>0</v>
      </c>
      <c r="P10"/>
    </row>
    <row r="11" spans="1:19" x14ac:dyDescent="0.45">
      <c r="A11" s="8" t="s">
        <v>64</v>
      </c>
      <c r="B11" s="44" t="s">
        <v>609</v>
      </c>
      <c r="C11" s="35">
        <v>422634</v>
      </c>
      <c r="D11" s="14">
        <v>441366</v>
      </c>
      <c r="E11" s="14">
        <v>446559</v>
      </c>
      <c r="F11" s="14">
        <v>464585</v>
      </c>
      <c r="G11" s="14">
        <v>499721</v>
      </c>
      <c r="H11" s="14">
        <v>511480</v>
      </c>
      <c r="I11" s="14">
        <v>511055</v>
      </c>
      <c r="J11" s="14">
        <v>516015</v>
      </c>
      <c r="K11" s="14">
        <v>87125</v>
      </c>
      <c r="L11" s="14">
        <v>173157</v>
      </c>
      <c r="M11" s="14">
        <v>407254</v>
      </c>
      <c r="N11" s="14">
        <v>0</v>
      </c>
      <c r="O11" s="36">
        <f>Departures_PassData[[#This Row],[2023]]/7*12</f>
        <v>0</v>
      </c>
      <c r="P11"/>
    </row>
    <row r="12" spans="1:19" x14ac:dyDescent="0.45">
      <c r="A12" s="8" t="s">
        <v>64</v>
      </c>
      <c r="B12" s="44" t="s">
        <v>610</v>
      </c>
      <c r="C12" s="35">
        <v>374929</v>
      </c>
      <c r="D12" s="14">
        <v>388918</v>
      </c>
      <c r="E12" s="14">
        <v>377807</v>
      </c>
      <c r="F12" s="14">
        <v>414230</v>
      </c>
      <c r="G12" s="14">
        <v>438840</v>
      </c>
      <c r="H12" s="14">
        <v>450639</v>
      </c>
      <c r="I12" s="14">
        <v>444862</v>
      </c>
      <c r="J12" s="14">
        <v>444758</v>
      </c>
      <c r="K12" s="14">
        <v>47811</v>
      </c>
      <c r="L12" s="14">
        <v>198158</v>
      </c>
      <c r="M12" s="14">
        <v>357198</v>
      </c>
      <c r="N12" s="14">
        <v>0</v>
      </c>
      <c r="O12" s="36">
        <f>Departures_PassData[[#This Row],[2023]]/7*12</f>
        <v>0</v>
      </c>
      <c r="P12"/>
    </row>
    <row r="13" spans="1:19" ht="14.65" thickBot="1" x14ac:dyDescent="0.5">
      <c r="A13" s="46" t="s">
        <v>64</v>
      </c>
      <c r="B13" s="45" t="s">
        <v>611</v>
      </c>
      <c r="C13" s="37">
        <v>454289</v>
      </c>
      <c r="D13" s="38">
        <v>456662</v>
      </c>
      <c r="E13" s="38">
        <v>460555</v>
      </c>
      <c r="F13" s="38">
        <v>483853</v>
      </c>
      <c r="G13" s="38">
        <v>527326</v>
      </c>
      <c r="H13" s="38">
        <v>534618</v>
      </c>
      <c r="I13" s="38">
        <v>542384</v>
      </c>
      <c r="J13" s="38">
        <v>320965</v>
      </c>
      <c r="K13" s="38">
        <v>67350</v>
      </c>
      <c r="L13" s="38">
        <v>288831</v>
      </c>
      <c r="M13" s="38">
        <v>429720</v>
      </c>
      <c r="N13" s="38">
        <v>0</v>
      </c>
      <c r="O13" s="39">
        <f>Departures_PassData[[#This Row],[2023]]/7*12</f>
        <v>0</v>
      </c>
      <c r="P13"/>
    </row>
    <row r="14" spans="1:19" x14ac:dyDescent="0.45">
      <c r="A14" s="8" t="s">
        <v>69</v>
      </c>
      <c r="B14" s="44" t="s">
        <v>600</v>
      </c>
      <c r="C14" s="56">
        <v>40103</v>
      </c>
      <c r="D14" s="57">
        <v>41746</v>
      </c>
      <c r="E14" s="57">
        <v>46226</v>
      </c>
      <c r="F14" s="57">
        <v>42684</v>
      </c>
      <c r="G14" s="57">
        <v>44998</v>
      </c>
      <c r="H14" s="57">
        <v>47810</v>
      </c>
      <c r="I14" s="57">
        <v>44301</v>
      </c>
      <c r="J14" s="57">
        <v>47838</v>
      </c>
      <c r="K14" s="57">
        <v>60</v>
      </c>
      <c r="L14" s="57">
        <v>11592</v>
      </c>
      <c r="M14" s="57">
        <v>28092</v>
      </c>
      <c r="N14" s="57">
        <v>33539</v>
      </c>
      <c r="O14" s="61">
        <f>Departures_PassData[[#This Row],[2023]]/7*12</f>
        <v>57495.42857142858</v>
      </c>
      <c r="P14"/>
    </row>
    <row r="15" spans="1:19" x14ac:dyDescent="0.45">
      <c r="A15" s="8" t="s">
        <v>69</v>
      </c>
      <c r="B15" s="44" t="s">
        <v>601</v>
      </c>
      <c r="C15" s="35">
        <v>42356</v>
      </c>
      <c r="D15" s="14">
        <v>45109</v>
      </c>
      <c r="E15" s="14">
        <v>46030</v>
      </c>
      <c r="F15" s="14">
        <v>45367</v>
      </c>
      <c r="G15" s="14">
        <v>49233</v>
      </c>
      <c r="H15" s="14">
        <v>51326</v>
      </c>
      <c r="I15" s="14">
        <v>47208</v>
      </c>
      <c r="J15" s="14">
        <v>46383</v>
      </c>
      <c r="K15" s="14">
        <v>0</v>
      </c>
      <c r="L15" s="14">
        <v>12864</v>
      </c>
      <c r="M15" s="14">
        <v>29326</v>
      </c>
      <c r="N15" s="14">
        <v>35250</v>
      </c>
      <c r="O15" s="36">
        <f>Departures_PassData[[#This Row],[2023]]/7*12</f>
        <v>60428.57142857142</v>
      </c>
      <c r="P15"/>
    </row>
    <row r="16" spans="1:19" x14ac:dyDescent="0.45">
      <c r="A16" s="8" t="s">
        <v>69</v>
      </c>
      <c r="B16" s="44" t="s">
        <v>602</v>
      </c>
      <c r="C16" s="35">
        <v>40174</v>
      </c>
      <c r="D16" s="14">
        <v>42987</v>
      </c>
      <c r="E16" s="14">
        <v>45072</v>
      </c>
      <c r="F16" s="14">
        <v>43029</v>
      </c>
      <c r="G16" s="14">
        <v>47678</v>
      </c>
      <c r="H16" s="14">
        <v>45518</v>
      </c>
      <c r="I16" s="14">
        <v>44149</v>
      </c>
      <c r="J16" s="14">
        <v>45766</v>
      </c>
      <c r="K16" s="14">
        <v>0</v>
      </c>
      <c r="L16" s="14">
        <v>11165</v>
      </c>
      <c r="M16" s="14">
        <v>28742</v>
      </c>
      <c r="N16" s="14">
        <v>35142</v>
      </c>
      <c r="O16" s="36">
        <f>Departures_PassData[[#This Row],[2023]]/7*12</f>
        <v>60243.42857142858</v>
      </c>
      <c r="P16"/>
    </row>
    <row r="17" spans="1:16" x14ac:dyDescent="0.45">
      <c r="A17" s="8" t="s">
        <v>69</v>
      </c>
      <c r="B17" s="44" t="s">
        <v>603</v>
      </c>
      <c r="C17" s="35">
        <v>43511</v>
      </c>
      <c r="D17" s="14">
        <v>46673</v>
      </c>
      <c r="E17" s="14">
        <v>49232</v>
      </c>
      <c r="F17" s="14">
        <v>48738</v>
      </c>
      <c r="G17" s="14">
        <v>54222</v>
      </c>
      <c r="H17" s="14">
        <v>52204</v>
      </c>
      <c r="I17" s="14">
        <v>47205</v>
      </c>
      <c r="J17" s="14">
        <v>51082</v>
      </c>
      <c r="K17" s="14">
        <v>0</v>
      </c>
      <c r="L17" s="14">
        <v>9698</v>
      </c>
      <c r="M17" s="14">
        <v>31705</v>
      </c>
      <c r="N17" s="14">
        <v>39318</v>
      </c>
      <c r="O17" s="36">
        <f>Departures_PassData[[#This Row],[2023]]/7*12</f>
        <v>67402.28571428571</v>
      </c>
      <c r="P17"/>
    </row>
    <row r="18" spans="1:16" x14ac:dyDescent="0.45">
      <c r="A18" s="8" t="s">
        <v>69</v>
      </c>
      <c r="B18" s="44" t="s">
        <v>604</v>
      </c>
      <c r="C18" s="35">
        <v>44595</v>
      </c>
      <c r="D18" s="14">
        <v>48613</v>
      </c>
      <c r="E18" s="14">
        <v>51778</v>
      </c>
      <c r="F18" s="14">
        <v>51982</v>
      </c>
      <c r="G18" s="14">
        <v>54198</v>
      </c>
      <c r="H18" s="14">
        <v>50385</v>
      </c>
      <c r="I18" s="14">
        <v>49077</v>
      </c>
      <c r="J18" s="14">
        <v>52659</v>
      </c>
      <c r="K18" s="14">
        <v>0</v>
      </c>
      <c r="L18" s="14">
        <v>12359</v>
      </c>
      <c r="M18" s="14">
        <v>32156</v>
      </c>
      <c r="N18" s="14">
        <v>40252</v>
      </c>
      <c r="O18" s="36">
        <f>Departures_PassData[[#This Row],[2023]]/7*12</f>
        <v>69003.42857142858</v>
      </c>
      <c r="P18"/>
    </row>
    <row r="19" spans="1:16" x14ac:dyDescent="0.45">
      <c r="A19" s="8" t="s">
        <v>69</v>
      </c>
      <c r="B19" s="44" t="s">
        <v>605</v>
      </c>
      <c r="C19" s="35">
        <v>44730</v>
      </c>
      <c r="D19" s="14">
        <v>48273</v>
      </c>
      <c r="E19" s="14">
        <v>47269</v>
      </c>
      <c r="F19" s="14">
        <v>47663</v>
      </c>
      <c r="G19" s="14">
        <v>52553</v>
      </c>
      <c r="H19" s="14">
        <v>50005</v>
      </c>
      <c r="I19" s="14">
        <v>50111</v>
      </c>
      <c r="J19" s="14">
        <v>50519</v>
      </c>
      <c r="K19" s="14">
        <v>0</v>
      </c>
      <c r="L19" s="14">
        <v>15221</v>
      </c>
      <c r="M19" s="14">
        <v>31234</v>
      </c>
      <c r="N19" s="14">
        <v>39326</v>
      </c>
      <c r="O19" s="36">
        <f>Departures_PassData[[#This Row],[2023]]/7*12</f>
        <v>67416</v>
      </c>
      <c r="P19"/>
    </row>
    <row r="20" spans="1:16" x14ac:dyDescent="0.45">
      <c r="A20" s="8" t="s">
        <v>69</v>
      </c>
      <c r="B20" s="44" t="s">
        <v>606</v>
      </c>
      <c r="C20" s="35">
        <v>45849</v>
      </c>
      <c r="D20" s="14">
        <v>49081</v>
      </c>
      <c r="E20" s="14">
        <v>50034</v>
      </c>
      <c r="F20" s="14">
        <v>49486</v>
      </c>
      <c r="G20" s="14">
        <v>52142</v>
      </c>
      <c r="H20" s="14">
        <v>50856</v>
      </c>
      <c r="I20" s="14">
        <v>48449</v>
      </c>
      <c r="J20" s="14">
        <v>46484</v>
      </c>
      <c r="K20" s="14">
        <v>1211</v>
      </c>
      <c r="L20" s="14">
        <v>19634</v>
      </c>
      <c r="M20" s="14">
        <v>32217</v>
      </c>
      <c r="N20" s="14">
        <v>38558</v>
      </c>
      <c r="O20" s="36">
        <f>Departures_PassData[[#This Row],[2023]]/7*12</f>
        <v>66099.42857142858</v>
      </c>
      <c r="P20"/>
    </row>
    <row r="21" spans="1:16" x14ac:dyDescent="0.45">
      <c r="A21" s="8" t="s">
        <v>69</v>
      </c>
      <c r="B21" s="44" t="s">
        <v>607</v>
      </c>
      <c r="C21" s="35">
        <v>41526</v>
      </c>
      <c r="D21" s="14">
        <v>45082</v>
      </c>
      <c r="E21" s="14">
        <v>45640</v>
      </c>
      <c r="F21" s="14">
        <v>47984</v>
      </c>
      <c r="G21" s="14">
        <v>46636</v>
      </c>
      <c r="H21" s="14">
        <v>46798</v>
      </c>
      <c r="I21" s="14">
        <v>48935</v>
      </c>
      <c r="J21" s="14">
        <v>44965</v>
      </c>
      <c r="K21" s="14">
        <v>5774</v>
      </c>
      <c r="L21" s="14">
        <v>20622</v>
      </c>
      <c r="M21" s="14">
        <v>30996</v>
      </c>
      <c r="N21" s="14">
        <v>0</v>
      </c>
      <c r="O21" s="36">
        <f>Departures_PassData[[#This Row],[2023]]/7*12</f>
        <v>0</v>
      </c>
      <c r="P21"/>
    </row>
    <row r="22" spans="1:16" x14ac:dyDescent="0.45">
      <c r="A22" s="8" t="s">
        <v>69</v>
      </c>
      <c r="B22" s="44" t="s">
        <v>608</v>
      </c>
      <c r="C22" s="35">
        <v>35853</v>
      </c>
      <c r="D22" s="14">
        <v>36384</v>
      </c>
      <c r="E22" s="14">
        <v>35498</v>
      </c>
      <c r="F22" s="14">
        <v>40293</v>
      </c>
      <c r="G22" s="14">
        <v>40738</v>
      </c>
      <c r="H22" s="14">
        <v>43532</v>
      </c>
      <c r="I22" s="14">
        <v>44321</v>
      </c>
      <c r="J22" s="14">
        <v>41257</v>
      </c>
      <c r="K22" s="14">
        <v>9124</v>
      </c>
      <c r="L22" s="14">
        <v>16346</v>
      </c>
      <c r="M22" s="14">
        <v>30242</v>
      </c>
      <c r="N22" s="14">
        <v>0</v>
      </c>
      <c r="O22" s="36">
        <f>Departures_PassData[[#This Row],[2023]]/7*12</f>
        <v>0</v>
      </c>
      <c r="P22"/>
    </row>
    <row r="23" spans="1:16" x14ac:dyDescent="0.45">
      <c r="A23" s="8" t="s">
        <v>69</v>
      </c>
      <c r="B23" s="44" t="s">
        <v>609</v>
      </c>
      <c r="C23" s="35">
        <v>31835</v>
      </c>
      <c r="D23" s="14">
        <v>33937</v>
      </c>
      <c r="E23" s="14">
        <v>33878</v>
      </c>
      <c r="F23" s="14">
        <v>36593</v>
      </c>
      <c r="G23" s="14">
        <v>38809</v>
      </c>
      <c r="H23" s="14">
        <v>37735</v>
      </c>
      <c r="I23" s="14">
        <v>36744</v>
      </c>
      <c r="J23" s="14">
        <v>34600</v>
      </c>
      <c r="K23" s="14">
        <v>6124</v>
      </c>
      <c r="L23" s="14">
        <v>14750</v>
      </c>
      <c r="M23" s="14">
        <v>24299</v>
      </c>
      <c r="N23" s="14">
        <v>0</v>
      </c>
      <c r="O23" s="36">
        <f>Departures_PassData[[#This Row],[2023]]/7*12</f>
        <v>0</v>
      </c>
      <c r="P23"/>
    </row>
    <row r="24" spans="1:16" x14ac:dyDescent="0.45">
      <c r="A24" s="8" t="s">
        <v>69</v>
      </c>
      <c r="B24" s="44" t="s">
        <v>610</v>
      </c>
      <c r="C24" s="35">
        <v>34868</v>
      </c>
      <c r="D24" s="14">
        <v>36605</v>
      </c>
      <c r="E24" s="14">
        <v>34683</v>
      </c>
      <c r="F24" s="14">
        <v>38310</v>
      </c>
      <c r="G24" s="14">
        <v>38504</v>
      </c>
      <c r="H24" s="14">
        <v>36855</v>
      </c>
      <c r="I24" s="14">
        <v>38007</v>
      </c>
      <c r="J24" s="14">
        <v>34918</v>
      </c>
      <c r="K24" s="14">
        <v>5673</v>
      </c>
      <c r="L24" s="14">
        <v>17349</v>
      </c>
      <c r="M24" s="14">
        <v>25625</v>
      </c>
      <c r="N24" s="14">
        <v>0</v>
      </c>
      <c r="O24" s="36">
        <f>Departures_PassData[[#This Row],[2023]]/7*12</f>
        <v>0</v>
      </c>
      <c r="P24"/>
    </row>
    <row r="25" spans="1:16" ht="14.65" thickBot="1" x14ac:dyDescent="0.5">
      <c r="A25" s="46" t="s">
        <v>69</v>
      </c>
      <c r="B25" s="45" t="s">
        <v>611</v>
      </c>
      <c r="C25" s="37">
        <v>42169</v>
      </c>
      <c r="D25" s="38">
        <v>44499</v>
      </c>
      <c r="E25" s="38">
        <v>45871</v>
      </c>
      <c r="F25" s="38">
        <v>48401</v>
      </c>
      <c r="G25" s="38">
        <v>46093</v>
      </c>
      <c r="H25" s="38">
        <v>47545</v>
      </c>
      <c r="I25" s="38">
        <v>49540</v>
      </c>
      <c r="J25" s="38">
        <v>21489</v>
      </c>
      <c r="K25" s="38">
        <v>9256</v>
      </c>
      <c r="L25" s="38">
        <v>25574</v>
      </c>
      <c r="M25" s="38">
        <v>33179</v>
      </c>
      <c r="N25" s="38">
        <v>0</v>
      </c>
      <c r="O25" s="39">
        <f>Departures_PassData[[#This Row],[2023]]/7*12</f>
        <v>0</v>
      </c>
      <c r="P25"/>
    </row>
    <row r="26" spans="1:16" x14ac:dyDescent="0.45">
      <c r="A26" s="8" t="s">
        <v>58</v>
      </c>
      <c r="B26" s="44" t="s">
        <v>600</v>
      </c>
      <c r="C26" s="56">
        <v>1051836</v>
      </c>
      <c r="D26" s="57">
        <v>1013922</v>
      </c>
      <c r="E26" s="57">
        <v>1008603</v>
      </c>
      <c r="F26" s="57">
        <v>1096061</v>
      </c>
      <c r="G26" s="57">
        <v>1136767</v>
      </c>
      <c r="H26" s="57">
        <v>1229508</v>
      </c>
      <c r="I26" s="57">
        <v>1213402</v>
      </c>
      <c r="J26" s="57">
        <v>1260748</v>
      </c>
      <c r="K26" s="57">
        <v>0</v>
      </c>
      <c r="L26" s="57">
        <v>793579</v>
      </c>
      <c r="M26" s="57">
        <v>956892</v>
      </c>
      <c r="N26" s="57">
        <v>1027258</v>
      </c>
      <c r="O26" s="61">
        <f>Departures_PassData[[#This Row],[2023]]/7*12</f>
        <v>1761013.7142857146</v>
      </c>
      <c r="P26"/>
    </row>
    <row r="27" spans="1:16" x14ac:dyDescent="0.45">
      <c r="A27" s="8" t="s">
        <v>58</v>
      </c>
      <c r="B27" s="44" t="s">
        <v>601</v>
      </c>
      <c r="C27" s="35">
        <v>967368</v>
      </c>
      <c r="D27" s="14">
        <v>947795</v>
      </c>
      <c r="E27" s="14">
        <v>905604</v>
      </c>
      <c r="F27" s="14">
        <v>1008734</v>
      </c>
      <c r="G27" s="14">
        <v>1076225</v>
      </c>
      <c r="H27" s="14">
        <v>1138021</v>
      </c>
      <c r="I27" s="14">
        <v>1132939</v>
      </c>
      <c r="J27" s="14">
        <v>1119124</v>
      </c>
      <c r="K27" s="14">
        <v>0</v>
      </c>
      <c r="L27" s="14">
        <v>693725</v>
      </c>
      <c r="M27" s="14">
        <v>912652</v>
      </c>
      <c r="N27" s="14">
        <v>998563</v>
      </c>
      <c r="O27" s="36">
        <f>Departures_PassData[[#This Row],[2023]]/7*12</f>
        <v>1711822.2857142854</v>
      </c>
      <c r="P27"/>
    </row>
    <row r="28" spans="1:16" x14ac:dyDescent="0.45">
      <c r="A28" s="8" t="s">
        <v>58</v>
      </c>
      <c r="B28" s="44" t="s">
        <v>602</v>
      </c>
      <c r="C28" s="35">
        <v>938219</v>
      </c>
      <c r="D28" s="14">
        <v>902540</v>
      </c>
      <c r="E28" s="14">
        <v>920088</v>
      </c>
      <c r="F28" s="14">
        <v>970451</v>
      </c>
      <c r="G28" s="14">
        <v>1023220</v>
      </c>
      <c r="H28" s="14">
        <v>1059765</v>
      </c>
      <c r="I28" s="14">
        <v>1105495</v>
      </c>
      <c r="J28" s="14">
        <v>1201563</v>
      </c>
      <c r="K28" s="14">
        <v>39586</v>
      </c>
      <c r="L28" s="14">
        <v>538819</v>
      </c>
      <c r="M28" s="14">
        <v>779332</v>
      </c>
      <c r="N28" s="14">
        <v>957632</v>
      </c>
      <c r="O28" s="36">
        <f>Departures_PassData[[#This Row],[2023]]/7*12</f>
        <v>1641654.857142857</v>
      </c>
      <c r="P28"/>
    </row>
    <row r="29" spans="1:16" x14ac:dyDescent="0.45">
      <c r="A29" s="8" t="s">
        <v>58</v>
      </c>
      <c r="B29" s="44" t="s">
        <v>603</v>
      </c>
      <c r="C29" s="35">
        <v>998584</v>
      </c>
      <c r="D29" s="14">
        <v>946448</v>
      </c>
      <c r="E29" s="14">
        <v>986299</v>
      </c>
      <c r="F29" s="14">
        <v>1099862</v>
      </c>
      <c r="G29" s="14">
        <v>1147473</v>
      </c>
      <c r="H29" s="14">
        <v>1215575</v>
      </c>
      <c r="I29" s="14">
        <v>1189855</v>
      </c>
      <c r="J29" s="14">
        <v>1216867</v>
      </c>
      <c r="K29" s="14">
        <v>105759</v>
      </c>
      <c r="L29" s="14">
        <v>270897</v>
      </c>
      <c r="M29" s="14">
        <v>865713</v>
      </c>
      <c r="N29" s="14">
        <v>1047261</v>
      </c>
      <c r="O29" s="36">
        <f>Departures_PassData[[#This Row],[2023]]/7*12</f>
        <v>1795304.5714285714</v>
      </c>
      <c r="P29"/>
    </row>
    <row r="30" spans="1:16" x14ac:dyDescent="0.45">
      <c r="A30" s="8" t="s">
        <v>58</v>
      </c>
      <c r="B30" s="44" t="s">
        <v>604</v>
      </c>
      <c r="C30" s="35">
        <v>989207</v>
      </c>
      <c r="D30" s="14">
        <v>966156</v>
      </c>
      <c r="E30" s="14">
        <v>990100</v>
      </c>
      <c r="F30" s="14">
        <v>1090019</v>
      </c>
      <c r="G30" s="14">
        <v>1102051</v>
      </c>
      <c r="H30" s="14">
        <v>1165527</v>
      </c>
      <c r="I30" s="14">
        <v>1202626</v>
      </c>
      <c r="J30" s="14">
        <v>1240668</v>
      </c>
      <c r="K30" s="14">
        <v>186911</v>
      </c>
      <c r="L30" s="14">
        <v>475165</v>
      </c>
      <c r="M30" s="14">
        <v>864547</v>
      </c>
      <c r="N30" s="14">
        <v>997426</v>
      </c>
      <c r="O30" s="36">
        <f>Departures_PassData[[#This Row],[2023]]/7*12</f>
        <v>1709873.142857143</v>
      </c>
      <c r="P30"/>
    </row>
    <row r="31" spans="1:16" x14ac:dyDescent="0.45">
      <c r="A31" s="8" t="s">
        <v>58</v>
      </c>
      <c r="B31" s="44" t="s">
        <v>605</v>
      </c>
      <c r="C31" s="35">
        <v>1024874</v>
      </c>
      <c r="D31" s="14">
        <v>993600</v>
      </c>
      <c r="E31" s="14">
        <v>978390</v>
      </c>
      <c r="F31" s="14">
        <v>1095803</v>
      </c>
      <c r="G31" s="14">
        <v>1158764</v>
      </c>
      <c r="H31" s="14">
        <v>1193474</v>
      </c>
      <c r="I31" s="14">
        <v>1202603</v>
      </c>
      <c r="J31" s="14">
        <v>1301637</v>
      </c>
      <c r="K31" s="14">
        <v>341758</v>
      </c>
      <c r="L31" s="14">
        <v>704234</v>
      </c>
      <c r="M31" s="14">
        <v>901012</v>
      </c>
      <c r="N31" s="14">
        <v>1070002</v>
      </c>
      <c r="O31" s="36">
        <f>Departures_PassData[[#This Row],[2023]]/7*12</f>
        <v>1834289.142857143</v>
      </c>
      <c r="P31"/>
    </row>
    <row r="32" spans="1:16" x14ac:dyDescent="0.45">
      <c r="A32" s="8" t="s">
        <v>58</v>
      </c>
      <c r="B32" s="44" t="s">
        <v>606</v>
      </c>
      <c r="C32" s="35">
        <v>1080305</v>
      </c>
      <c r="D32" s="14">
        <v>1027741</v>
      </c>
      <c r="E32" s="14">
        <v>1095393</v>
      </c>
      <c r="F32" s="14">
        <v>1200840</v>
      </c>
      <c r="G32" s="14">
        <v>1246830</v>
      </c>
      <c r="H32" s="14">
        <v>1278641</v>
      </c>
      <c r="I32" s="14">
        <v>1268444</v>
      </c>
      <c r="J32" s="14">
        <v>1293941</v>
      </c>
      <c r="K32" s="14">
        <v>468849</v>
      </c>
      <c r="L32" s="14">
        <v>825301</v>
      </c>
      <c r="M32" s="14">
        <v>968458</v>
      </c>
      <c r="N32" s="14">
        <v>1134169</v>
      </c>
      <c r="O32" s="36">
        <f>Departures_PassData[[#This Row],[2023]]/7*12</f>
        <v>1944289.7142857146</v>
      </c>
      <c r="P32"/>
    </row>
    <row r="33" spans="1:16" x14ac:dyDescent="0.45">
      <c r="A33" s="8" t="s">
        <v>58</v>
      </c>
      <c r="B33" s="44" t="s">
        <v>607</v>
      </c>
      <c r="C33" s="35">
        <v>1005959</v>
      </c>
      <c r="D33" s="14">
        <v>985385</v>
      </c>
      <c r="E33" s="14">
        <v>1022678</v>
      </c>
      <c r="F33" s="14">
        <v>1174386</v>
      </c>
      <c r="G33" s="14">
        <v>1157265</v>
      </c>
      <c r="H33" s="14">
        <v>1199064</v>
      </c>
      <c r="I33" s="14">
        <v>1234370</v>
      </c>
      <c r="J33" s="14">
        <v>1255511</v>
      </c>
      <c r="K33" s="14">
        <v>538966</v>
      </c>
      <c r="L33" s="14">
        <v>803441</v>
      </c>
      <c r="M33" s="14">
        <v>939368</v>
      </c>
      <c r="N33" s="14">
        <v>0</v>
      </c>
      <c r="O33" s="36">
        <f>Departures_PassData[[#This Row],[2023]]/7*12</f>
        <v>0</v>
      </c>
      <c r="P33"/>
    </row>
    <row r="34" spans="1:16" x14ac:dyDescent="0.45">
      <c r="A34" s="8" t="s">
        <v>58</v>
      </c>
      <c r="B34" s="44" t="s">
        <v>608</v>
      </c>
      <c r="C34" s="35">
        <v>998521</v>
      </c>
      <c r="D34" s="14">
        <v>1017192</v>
      </c>
      <c r="E34" s="14">
        <v>1069473</v>
      </c>
      <c r="F34" s="14">
        <v>1238597</v>
      </c>
      <c r="G34" s="14">
        <v>1253056</v>
      </c>
      <c r="H34" s="14">
        <v>1280418</v>
      </c>
      <c r="I34" s="14">
        <v>1306944</v>
      </c>
      <c r="J34" s="14">
        <v>1402674</v>
      </c>
      <c r="K34" s="14">
        <v>758286</v>
      </c>
      <c r="L34" s="14">
        <v>890524</v>
      </c>
      <c r="M34" s="14">
        <v>1040681</v>
      </c>
      <c r="N34" s="14">
        <v>0</v>
      </c>
      <c r="O34" s="36">
        <f>Departures_PassData[[#This Row],[2023]]/7*12</f>
        <v>0</v>
      </c>
      <c r="P34"/>
    </row>
    <row r="35" spans="1:16" x14ac:dyDescent="0.45">
      <c r="A35" s="8" t="s">
        <v>58</v>
      </c>
      <c r="B35" s="44" t="s">
        <v>609</v>
      </c>
      <c r="C35" s="35">
        <v>900561</v>
      </c>
      <c r="D35" s="14">
        <v>919478</v>
      </c>
      <c r="E35" s="14">
        <v>930018</v>
      </c>
      <c r="F35" s="14">
        <v>1073744</v>
      </c>
      <c r="G35" s="14">
        <v>1070434</v>
      </c>
      <c r="H35" s="14">
        <v>1121304</v>
      </c>
      <c r="I35" s="14">
        <v>1134543</v>
      </c>
      <c r="J35" s="14">
        <v>1229256</v>
      </c>
      <c r="K35" s="14">
        <v>447140</v>
      </c>
      <c r="L35" s="14">
        <v>815270</v>
      </c>
      <c r="M35" s="14">
        <v>927150</v>
      </c>
      <c r="N35" s="14">
        <v>0</v>
      </c>
      <c r="O35" s="36">
        <f>Departures_PassData[[#This Row],[2023]]/7*12</f>
        <v>0</v>
      </c>
      <c r="P35"/>
    </row>
    <row r="36" spans="1:16" x14ac:dyDescent="0.45">
      <c r="A36" s="8" t="s">
        <v>58</v>
      </c>
      <c r="B36" s="44" t="s">
        <v>610</v>
      </c>
      <c r="C36" s="35">
        <v>939811</v>
      </c>
      <c r="D36" s="14">
        <v>940764</v>
      </c>
      <c r="E36" s="14">
        <v>969116</v>
      </c>
      <c r="F36" s="14">
        <v>1112095</v>
      </c>
      <c r="G36" s="14">
        <v>1079998</v>
      </c>
      <c r="H36" s="14">
        <v>1106929</v>
      </c>
      <c r="I36" s="14">
        <v>1134289</v>
      </c>
      <c r="J36" s="14">
        <v>1210226</v>
      </c>
      <c r="K36" s="14">
        <v>435270</v>
      </c>
      <c r="L36" s="14">
        <v>818483</v>
      </c>
      <c r="M36" s="14">
        <v>909809</v>
      </c>
      <c r="N36" s="14">
        <v>0</v>
      </c>
      <c r="O36" s="36">
        <f>Departures_PassData[[#This Row],[2023]]/7*12</f>
        <v>0</v>
      </c>
      <c r="P36"/>
    </row>
    <row r="37" spans="1:16" ht="14.65" thickBot="1" x14ac:dyDescent="0.5">
      <c r="A37" s="46" t="s">
        <v>58</v>
      </c>
      <c r="B37" s="45" t="s">
        <v>611</v>
      </c>
      <c r="C37" s="37">
        <v>1067837</v>
      </c>
      <c r="D37" s="38">
        <v>1040556</v>
      </c>
      <c r="E37" s="38">
        <v>1160704</v>
      </c>
      <c r="F37" s="38">
        <v>1241363</v>
      </c>
      <c r="G37" s="38">
        <v>1240564</v>
      </c>
      <c r="H37" s="38">
        <v>1254262</v>
      </c>
      <c r="I37" s="38">
        <v>1357551</v>
      </c>
      <c r="J37" s="38">
        <v>794171</v>
      </c>
      <c r="K37" s="38">
        <v>700833</v>
      </c>
      <c r="L37" s="38">
        <v>984583</v>
      </c>
      <c r="M37" s="38">
        <v>1050004</v>
      </c>
      <c r="N37" s="38">
        <v>0</v>
      </c>
      <c r="O37" s="39">
        <f>Departures_PassData[[#This Row],[2023]]/7*12</f>
        <v>0</v>
      </c>
      <c r="P37"/>
    </row>
    <row r="38" spans="1:16" x14ac:dyDescent="0.45">
      <c r="A38" s="8" t="s">
        <v>70</v>
      </c>
      <c r="B38" s="44" t="s">
        <v>600</v>
      </c>
      <c r="C38" s="56">
        <v>6035</v>
      </c>
      <c r="D38" s="57">
        <v>6934</v>
      </c>
      <c r="E38" s="57">
        <v>6753</v>
      </c>
      <c r="F38" s="57">
        <v>6673</v>
      </c>
      <c r="G38" s="57">
        <v>5950</v>
      </c>
      <c r="H38" s="57">
        <v>5230</v>
      </c>
      <c r="I38" s="57">
        <v>4991</v>
      </c>
      <c r="J38" s="57">
        <v>4519</v>
      </c>
      <c r="K38" s="57">
        <v>14321</v>
      </c>
      <c r="L38" s="57">
        <v>3904</v>
      </c>
      <c r="M38" s="57">
        <v>7274</v>
      </c>
      <c r="N38" s="57">
        <v>6052</v>
      </c>
      <c r="O38" s="61">
        <f>Departures_PassData[[#This Row],[2023]]/7*12</f>
        <v>10374.857142857143</v>
      </c>
      <c r="P38"/>
    </row>
    <row r="39" spans="1:16" x14ac:dyDescent="0.45">
      <c r="A39" s="8" t="s">
        <v>70</v>
      </c>
      <c r="B39" s="44" t="s">
        <v>601</v>
      </c>
      <c r="C39" s="35">
        <v>5883</v>
      </c>
      <c r="D39" s="14">
        <v>6416</v>
      </c>
      <c r="E39" s="14">
        <v>7451</v>
      </c>
      <c r="F39" s="14">
        <v>5019</v>
      </c>
      <c r="G39" s="14">
        <v>6294</v>
      </c>
      <c r="H39" s="14">
        <v>5493</v>
      </c>
      <c r="I39" s="14">
        <v>5690</v>
      </c>
      <c r="J39" s="14">
        <v>4631</v>
      </c>
      <c r="K39" s="14">
        <v>5556</v>
      </c>
      <c r="L39" s="14">
        <v>3192</v>
      </c>
      <c r="M39" s="14">
        <v>6241</v>
      </c>
      <c r="N39" s="14">
        <v>5668</v>
      </c>
      <c r="O39" s="36">
        <f>Departures_PassData[[#This Row],[2023]]/7*12</f>
        <v>9716.5714285714275</v>
      </c>
      <c r="P39"/>
    </row>
    <row r="40" spans="1:16" x14ac:dyDescent="0.45">
      <c r="A40" s="8" t="s">
        <v>70</v>
      </c>
      <c r="B40" s="44" t="s">
        <v>602</v>
      </c>
      <c r="C40" s="35">
        <v>5855</v>
      </c>
      <c r="D40" s="14">
        <v>6974</v>
      </c>
      <c r="E40" s="14">
        <v>6579</v>
      </c>
      <c r="F40" s="14">
        <v>5902</v>
      </c>
      <c r="G40" s="14">
        <v>4781</v>
      </c>
      <c r="H40" s="14">
        <v>5285</v>
      </c>
      <c r="I40" s="14">
        <v>5536</v>
      </c>
      <c r="J40" s="14">
        <v>4062</v>
      </c>
      <c r="K40" s="14">
        <v>12673</v>
      </c>
      <c r="L40" s="14">
        <v>3358</v>
      </c>
      <c r="M40" s="14">
        <v>6463</v>
      </c>
      <c r="N40" s="14">
        <v>5860</v>
      </c>
      <c r="O40" s="36">
        <f>Departures_PassData[[#This Row],[2023]]/7*12</f>
        <v>10045.714285714286</v>
      </c>
      <c r="P40"/>
    </row>
    <row r="41" spans="1:16" x14ac:dyDescent="0.45">
      <c r="A41" s="8" t="s">
        <v>70</v>
      </c>
      <c r="B41" s="44" t="s">
        <v>603</v>
      </c>
      <c r="C41" s="35">
        <v>4843</v>
      </c>
      <c r="D41" s="14">
        <v>6541</v>
      </c>
      <c r="E41" s="14">
        <v>8637</v>
      </c>
      <c r="F41" s="14">
        <v>6387</v>
      </c>
      <c r="G41" s="14">
        <v>5687</v>
      </c>
      <c r="H41" s="14">
        <v>5340</v>
      </c>
      <c r="I41" s="14">
        <v>5351</v>
      </c>
      <c r="J41" s="14">
        <v>6249</v>
      </c>
      <c r="K41" s="14">
        <v>13803</v>
      </c>
      <c r="L41" s="14">
        <v>2928</v>
      </c>
      <c r="M41" s="14">
        <v>6651</v>
      </c>
      <c r="N41" s="14">
        <v>6139</v>
      </c>
      <c r="O41" s="36">
        <f>Departures_PassData[[#This Row],[2023]]/7*12</f>
        <v>10524</v>
      </c>
      <c r="P41"/>
    </row>
    <row r="42" spans="1:16" x14ac:dyDescent="0.45">
      <c r="A42" s="8" t="s">
        <v>70</v>
      </c>
      <c r="B42" s="44" t="s">
        <v>604</v>
      </c>
      <c r="C42" s="35">
        <v>6049</v>
      </c>
      <c r="D42" s="14">
        <v>7367</v>
      </c>
      <c r="E42" s="14">
        <v>7193</v>
      </c>
      <c r="F42" s="14">
        <v>6632</v>
      </c>
      <c r="G42" s="14">
        <v>5505</v>
      </c>
      <c r="H42" s="14">
        <v>5366</v>
      </c>
      <c r="I42" s="14">
        <v>5680</v>
      </c>
      <c r="J42" s="14">
        <v>5907</v>
      </c>
      <c r="K42" s="14">
        <v>16894</v>
      </c>
      <c r="L42" s="14">
        <v>3355</v>
      </c>
      <c r="M42" s="14">
        <v>5401</v>
      </c>
      <c r="N42" s="14">
        <v>5562</v>
      </c>
      <c r="O42" s="36">
        <f>Departures_PassData[[#This Row],[2023]]/7*12</f>
        <v>9534.8571428571431</v>
      </c>
      <c r="P42"/>
    </row>
    <row r="43" spans="1:16" x14ac:dyDescent="0.45">
      <c r="A43" s="8" t="s">
        <v>70</v>
      </c>
      <c r="B43" s="44" t="s">
        <v>605</v>
      </c>
      <c r="C43" s="35">
        <v>5121</v>
      </c>
      <c r="D43" s="14">
        <v>5790</v>
      </c>
      <c r="E43" s="14">
        <v>6650</v>
      </c>
      <c r="F43" s="14">
        <v>5247</v>
      </c>
      <c r="G43" s="14">
        <v>4943</v>
      </c>
      <c r="H43" s="14">
        <v>4475</v>
      </c>
      <c r="I43" s="14">
        <v>4818</v>
      </c>
      <c r="J43" s="14">
        <v>4974</v>
      </c>
      <c r="K43" s="14">
        <v>13736</v>
      </c>
      <c r="L43" s="14">
        <v>4192</v>
      </c>
      <c r="M43" s="14">
        <v>4894</v>
      </c>
      <c r="N43" s="14">
        <v>4403</v>
      </c>
      <c r="O43" s="36">
        <f>Departures_PassData[[#This Row],[2023]]/7*12</f>
        <v>7548</v>
      </c>
      <c r="P43"/>
    </row>
    <row r="44" spans="1:16" x14ac:dyDescent="0.45">
      <c r="A44" s="8" t="s">
        <v>70</v>
      </c>
      <c r="B44" s="44" t="s">
        <v>606</v>
      </c>
      <c r="C44" s="35">
        <v>6422</v>
      </c>
      <c r="D44" s="14">
        <v>9011</v>
      </c>
      <c r="E44" s="14">
        <v>7367</v>
      </c>
      <c r="F44" s="14">
        <v>7887</v>
      </c>
      <c r="G44" s="14">
        <v>5511</v>
      </c>
      <c r="H44" s="14">
        <v>5207</v>
      </c>
      <c r="I44" s="14">
        <v>5859</v>
      </c>
      <c r="J44" s="14">
        <v>4684</v>
      </c>
      <c r="K44" s="14">
        <v>3721</v>
      </c>
      <c r="L44" s="14">
        <v>5077</v>
      </c>
      <c r="M44" s="14">
        <v>6626</v>
      </c>
      <c r="N44" s="14">
        <v>5361</v>
      </c>
      <c r="O44" s="36">
        <f>Departures_PassData[[#This Row],[2023]]/7*12</f>
        <v>9190.2857142857138</v>
      </c>
      <c r="P44"/>
    </row>
    <row r="45" spans="1:16" x14ac:dyDescent="0.45">
      <c r="A45" s="8" t="s">
        <v>70</v>
      </c>
      <c r="B45" s="44" t="s">
        <v>607</v>
      </c>
      <c r="C45" s="35">
        <v>6815</v>
      </c>
      <c r="D45" s="14">
        <v>6845</v>
      </c>
      <c r="E45" s="14">
        <v>7256</v>
      </c>
      <c r="F45" s="14">
        <v>5190</v>
      </c>
      <c r="G45" s="14">
        <v>5383</v>
      </c>
      <c r="H45" s="14">
        <v>5849</v>
      </c>
      <c r="I45" s="14">
        <v>4903</v>
      </c>
      <c r="J45" s="14">
        <v>4734</v>
      </c>
      <c r="K45" s="14">
        <v>3191</v>
      </c>
      <c r="L45" s="14">
        <v>5878</v>
      </c>
      <c r="M45" s="14">
        <v>5902</v>
      </c>
      <c r="N45" s="14">
        <v>0</v>
      </c>
      <c r="O45" s="36">
        <f>Departures_PassData[[#This Row],[2023]]/7*12</f>
        <v>0</v>
      </c>
      <c r="P45"/>
    </row>
    <row r="46" spans="1:16" x14ac:dyDescent="0.45">
      <c r="A46" s="8" t="s">
        <v>70</v>
      </c>
      <c r="B46" s="44" t="s">
        <v>608</v>
      </c>
      <c r="C46" s="35">
        <v>6393</v>
      </c>
      <c r="D46" s="14">
        <v>8035</v>
      </c>
      <c r="E46" s="14">
        <v>5205</v>
      </c>
      <c r="F46" s="14">
        <v>5506</v>
      </c>
      <c r="G46" s="14">
        <v>5054</v>
      </c>
      <c r="H46" s="14">
        <v>5669</v>
      </c>
      <c r="I46" s="14">
        <v>5035</v>
      </c>
      <c r="J46" s="14">
        <v>5433</v>
      </c>
      <c r="K46" s="14">
        <v>4054</v>
      </c>
      <c r="L46" s="14">
        <v>5534</v>
      </c>
      <c r="M46" s="14">
        <v>8617</v>
      </c>
      <c r="N46" s="14">
        <v>0</v>
      </c>
      <c r="O46" s="36">
        <f>Departures_PassData[[#This Row],[2023]]/7*12</f>
        <v>0</v>
      </c>
      <c r="P46"/>
    </row>
    <row r="47" spans="1:16" x14ac:dyDescent="0.45">
      <c r="A47" s="8" t="s">
        <v>70</v>
      </c>
      <c r="B47" s="44" t="s">
        <v>609</v>
      </c>
      <c r="C47" s="35">
        <v>5585</v>
      </c>
      <c r="D47" s="14">
        <v>5033</v>
      </c>
      <c r="E47" s="14">
        <v>4373</v>
      </c>
      <c r="F47" s="14">
        <v>4398</v>
      </c>
      <c r="G47" s="14">
        <v>4161</v>
      </c>
      <c r="H47" s="14">
        <v>4629</v>
      </c>
      <c r="I47" s="14">
        <v>3948</v>
      </c>
      <c r="J47" s="14">
        <v>4656</v>
      </c>
      <c r="K47" s="14">
        <v>2540</v>
      </c>
      <c r="L47" s="14">
        <v>4393</v>
      </c>
      <c r="M47" s="14">
        <v>4625</v>
      </c>
      <c r="N47" s="14">
        <v>0</v>
      </c>
      <c r="O47" s="36">
        <f>Departures_PassData[[#This Row],[2023]]/7*12</f>
        <v>0</v>
      </c>
      <c r="P47"/>
    </row>
    <row r="48" spans="1:16" x14ac:dyDescent="0.45">
      <c r="A48" s="8" t="s">
        <v>70</v>
      </c>
      <c r="B48" s="44" t="s">
        <v>610</v>
      </c>
      <c r="C48" s="35">
        <v>6599</v>
      </c>
      <c r="D48" s="14">
        <v>6523</v>
      </c>
      <c r="E48" s="14">
        <v>5039</v>
      </c>
      <c r="F48" s="14">
        <v>6200</v>
      </c>
      <c r="G48" s="14">
        <v>4407</v>
      </c>
      <c r="H48" s="14">
        <v>5141</v>
      </c>
      <c r="I48" s="14">
        <v>4509</v>
      </c>
      <c r="J48" s="14">
        <v>4033</v>
      </c>
      <c r="K48" s="14">
        <v>3049</v>
      </c>
      <c r="L48" s="14">
        <v>4342</v>
      </c>
      <c r="M48" s="14">
        <v>4269</v>
      </c>
      <c r="N48" s="14">
        <v>0</v>
      </c>
      <c r="O48" s="36">
        <f>Departures_PassData[[#This Row],[2023]]/7*12</f>
        <v>0</v>
      </c>
      <c r="P48"/>
    </row>
    <row r="49" spans="1:16" ht="14.65" thickBot="1" x14ac:dyDescent="0.5">
      <c r="A49" s="46" t="s">
        <v>70</v>
      </c>
      <c r="B49" s="45" t="s">
        <v>611</v>
      </c>
      <c r="C49" s="37">
        <v>7472</v>
      </c>
      <c r="D49" s="38">
        <v>6369</v>
      </c>
      <c r="E49" s="38">
        <v>6300</v>
      </c>
      <c r="F49" s="38">
        <v>6184</v>
      </c>
      <c r="G49" s="38">
        <v>5556</v>
      </c>
      <c r="H49" s="38">
        <v>4588</v>
      </c>
      <c r="I49" s="38">
        <v>4322</v>
      </c>
      <c r="J49" s="38">
        <v>3693</v>
      </c>
      <c r="K49" s="38">
        <v>3707</v>
      </c>
      <c r="L49" s="38">
        <v>6368</v>
      </c>
      <c r="M49" s="38">
        <v>4883</v>
      </c>
      <c r="N49" s="38">
        <v>0</v>
      </c>
      <c r="O49" s="39">
        <f>Departures_PassData[[#This Row],[2023]]/7*12</f>
        <v>0</v>
      </c>
      <c r="P49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563A-67DB-4E95-A5E1-DD0660A3E4C2}">
  <sheetPr codeName="Sheet27">
    <tabColor theme="4" tint="0.59999389629810485"/>
  </sheetPr>
  <dimension ref="A1:S49"/>
  <sheetViews>
    <sheetView topLeftCell="A29" workbookViewId="0">
      <selection activeCell="D42" sqref="D42"/>
    </sheetView>
  </sheetViews>
  <sheetFormatPr defaultRowHeight="14.25" x14ac:dyDescent="0.45"/>
  <cols>
    <col min="1" max="1" width="12.86328125" customWidth="1"/>
    <col min="2" max="2" width="10.59765625" style="20" bestFit="1" customWidth="1"/>
    <col min="3" max="3" width="11.59765625" style="1" bestFit="1" customWidth="1"/>
    <col min="4" max="10" width="11.1328125" style="1" bestFit="1" customWidth="1"/>
    <col min="11" max="11" width="10.1328125" style="1" bestFit="1" customWidth="1"/>
    <col min="12" max="13" width="11.1328125" style="1" bestFit="1" customWidth="1"/>
    <col min="14" max="14" width="11.1328125" style="1" customWidth="1"/>
    <col min="15" max="15" width="11.1328125" style="1" bestFit="1" customWidth="1"/>
    <col min="16" max="16" width="13.59765625" style="1" bestFit="1" customWidth="1"/>
  </cols>
  <sheetData>
    <row r="1" spans="1:19" s="2" customFormat="1" ht="14.65" thickBot="1" x14ac:dyDescent="0.5">
      <c r="A1" s="46" t="s">
        <v>587</v>
      </c>
      <c r="B1" s="47" t="s">
        <v>585</v>
      </c>
      <c r="C1" s="50" t="s">
        <v>588</v>
      </c>
      <c r="D1" s="51" t="s">
        <v>589</v>
      </c>
      <c r="E1" s="51" t="s">
        <v>590</v>
      </c>
      <c r="F1" s="51" t="s">
        <v>591</v>
      </c>
      <c r="G1" s="51" t="s">
        <v>592</v>
      </c>
      <c r="H1" s="51" t="s">
        <v>593</v>
      </c>
      <c r="I1" s="51" t="s">
        <v>594</v>
      </c>
      <c r="J1" s="51" t="s">
        <v>595</v>
      </c>
      <c r="K1" s="51" t="s">
        <v>596</v>
      </c>
      <c r="L1" s="51" t="s">
        <v>597</v>
      </c>
      <c r="M1" s="51" t="s">
        <v>598</v>
      </c>
      <c r="N1" s="51" t="s">
        <v>599</v>
      </c>
      <c r="O1" s="51" t="s">
        <v>203</v>
      </c>
      <c r="P1" s="3"/>
      <c r="Q1" s="3"/>
      <c r="R1" s="3"/>
      <c r="S1" s="3"/>
    </row>
    <row r="2" spans="1:19" x14ac:dyDescent="0.45">
      <c r="A2" s="8" t="s">
        <v>64</v>
      </c>
      <c r="B2" s="44" t="s">
        <v>600</v>
      </c>
      <c r="C2" s="18">
        <v>2928</v>
      </c>
      <c r="D2" s="5">
        <v>2976</v>
      </c>
      <c r="E2" s="5">
        <v>2942</v>
      </c>
      <c r="F2" s="5">
        <v>3098</v>
      </c>
      <c r="G2" s="5">
        <v>3039</v>
      </c>
      <c r="H2" s="5">
        <v>3152</v>
      </c>
      <c r="I2" s="5">
        <v>3166</v>
      </c>
      <c r="J2" s="5">
        <v>3187</v>
      </c>
      <c r="K2" s="5">
        <v>324</v>
      </c>
      <c r="L2" s="5">
        <v>1547</v>
      </c>
      <c r="M2" s="5">
        <v>2494</v>
      </c>
      <c r="N2" s="5">
        <v>3031</v>
      </c>
      <c r="O2" s="5">
        <f>N2/7*12</f>
        <v>5196</v>
      </c>
      <c r="P2"/>
    </row>
    <row r="3" spans="1:19" x14ac:dyDescent="0.45">
      <c r="A3" s="8" t="s">
        <v>64</v>
      </c>
      <c r="B3" s="44" t="s">
        <v>601</v>
      </c>
      <c r="C3" s="18">
        <v>2963</v>
      </c>
      <c r="D3" s="5">
        <v>3158</v>
      </c>
      <c r="E3" s="5">
        <v>2950</v>
      </c>
      <c r="F3" s="5">
        <v>3086</v>
      </c>
      <c r="G3" s="5">
        <v>3097</v>
      </c>
      <c r="H3" s="5">
        <v>3241</v>
      </c>
      <c r="I3" s="5">
        <v>3198</v>
      </c>
      <c r="J3" s="5">
        <v>3229</v>
      </c>
      <c r="K3" s="5">
        <v>446</v>
      </c>
      <c r="L3" s="5">
        <v>1668</v>
      </c>
      <c r="M3" s="5">
        <v>2569</v>
      </c>
      <c r="N3" s="5">
        <v>3081</v>
      </c>
      <c r="O3" s="5">
        <f t="shared" ref="O3:O49" si="0">N3/7*12</f>
        <v>5281.7142857142862</v>
      </c>
      <c r="P3"/>
    </row>
    <row r="4" spans="1:19" x14ac:dyDescent="0.45">
      <c r="A4" s="8" t="s">
        <v>64</v>
      </c>
      <c r="B4" s="44" t="s">
        <v>602</v>
      </c>
      <c r="C4" s="18">
        <v>2921</v>
      </c>
      <c r="D4" s="5">
        <v>3068</v>
      </c>
      <c r="E4" s="5">
        <v>2861</v>
      </c>
      <c r="F4" s="5">
        <v>2989</v>
      </c>
      <c r="G4" s="5">
        <v>2966</v>
      </c>
      <c r="H4" s="5">
        <v>3119</v>
      </c>
      <c r="I4" s="5">
        <v>3084</v>
      </c>
      <c r="J4" s="5">
        <v>3144</v>
      </c>
      <c r="K4" s="5">
        <v>438</v>
      </c>
      <c r="L4" s="5">
        <v>1678</v>
      </c>
      <c r="M4" s="5">
        <v>2454</v>
      </c>
      <c r="N4" s="5">
        <v>2972</v>
      </c>
      <c r="O4" s="5">
        <f t="shared" si="0"/>
        <v>5094.8571428571431</v>
      </c>
      <c r="P4"/>
    </row>
    <row r="5" spans="1:19" x14ac:dyDescent="0.45">
      <c r="A5" s="8" t="s">
        <v>64</v>
      </c>
      <c r="B5" s="44" t="s">
        <v>603</v>
      </c>
      <c r="C5" s="18">
        <v>3065</v>
      </c>
      <c r="D5" s="5">
        <v>3227</v>
      </c>
      <c r="E5" s="5">
        <v>3065</v>
      </c>
      <c r="F5" s="5">
        <v>3116</v>
      </c>
      <c r="G5" s="5">
        <v>3134</v>
      </c>
      <c r="H5" s="5">
        <v>3309</v>
      </c>
      <c r="I5" s="5">
        <v>3238</v>
      </c>
      <c r="J5" s="5">
        <v>3394</v>
      </c>
      <c r="K5" s="5">
        <v>461</v>
      </c>
      <c r="L5" s="5">
        <v>1659</v>
      </c>
      <c r="M5" s="5">
        <v>2618</v>
      </c>
      <c r="N5" s="5">
        <v>3111</v>
      </c>
      <c r="O5" s="5">
        <f t="shared" si="0"/>
        <v>5333.1428571428569</v>
      </c>
      <c r="P5"/>
    </row>
    <row r="6" spans="1:19" x14ac:dyDescent="0.45">
      <c r="A6" s="8" t="s">
        <v>64</v>
      </c>
      <c r="B6" s="44" t="s">
        <v>604</v>
      </c>
      <c r="C6" s="18">
        <v>3069</v>
      </c>
      <c r="D6" s="5">
        <v>3232</v>
      </c>
      <c r="E6" s="5">
        <v>3071</v>
      </c>
      <c r="F6" s="5">
        <v>3070</v>
      </c>
      <c r="G6" s="5">
        <v>3174</v>
      </c>
      <c r="H6" s="5">
        <v>3330</v>
      </c>
      <c r="I6" s="5">
        <v>3256</v>
      </c>
      <c r="J6" s="5">
        <v>3357</v>
      </c>
      <c r="K6" s="5">
        <v>447</v>
      </c>
      <c r="L6" s="5">
        <v>1783</v>
      </c>
      <c r="M6" s="5">
        <v>2700</v>
      </c>
      <c r="N6" s="5">
        <v>3220</v>
      </c>
      <c r="O6" s="5">
        <f t="shared" si="0"/>
        <v>5520</v>
      </c>
      <c r="P6"/>
    </row>
    <row r="7" spans="1:19" x14ac:dyDescent="0.45">
      <c r="A7" s="8" t="s">
        <v>64</v>
      </c>
      <c r="B7" s="44" t="s">
        <v>605</v>
      </c>
      <c r="C7" s="18">
        <v>2908</v>
      </c>
      <c r="D7" s="5">
        <v>3119</v>
      </c>
      <c r="E7" s="5">
        <v>2957</v>
      </c>
      <c r="F7" s="5">
        <v>2988</v>
      </c>
      <c r="G7" s="5">
        <v>3098</v>
      </c>
      <c r="H7" s="5">
        <v>3214</v>
      </c>
      <c r="I7" s="5">
        <v>3138</v>
      </c>
      <c r="J7" s="5">
        <v>3233</v>
      </c>
      <c r="K7" s="5">
        <v>479</v>
      </c>
      <c r="L7" s="5">
        <v>1848</v>
      </c>
      <c r="M7" s="5">
        <v>2659</v>
      </c>
      <c r="N7" s="5">
        <v>3169</v>
      </c>
      <c r="O7" s="5">
        <f t="shared" si="0"/>
        <v>5432.5714285714284</v>
      </c>
      <c r="P7"/>
    </row>
    <row r="8" spans="1:19" x14ac:dyDescent="0.45">
      <c r="A8" s="8" t="s">
        <v>64</v>
      </c>
      <c r="B8" s="44" t="s">
        <v>606</v>
      </c>
      <c r="C8" s="18">
        <v>3101</v>
      </c>
      <c r="D8" s="5">
        <v>3283</v>
      </c>
      <c r="E8" s="5">
        <v>3111</v>
      </c>
      <c r="F8" s="5">
        <v>3213</v>
      </c>
      <c r="G8" s="5">
        <v>3227</v>
      </c>
      <c r="H8" s="5">
        <v>3334</v>
      </c>
      <c r="I8" s="5">
        <v>3314</v>
      </c>
      <c r="J8" s="5">
        <v>3359</v>
      </c>
      <c r="K8" s="5">
        <v>1021</v>
      </c>
      <c r="L8" s="5">
        <v>2060</v>
      </c>
      <c r="M8" s="5">
        <v>2806</v>
      </c>
      <c r="N8" s="5">
        <v>3399</v>
      </c>
      <c r="O8" s="5">
        <f t="shared" si="0"/>
        <v>5826.8571428571431</v>
      </c>
      <c r="P8"/>
    </row>
    <row r="9" spans="1:19" x14ac:dyDescent="0.45">
      <c r="A9" s="8" t="s">
        <v>64</v>
      </c>
      <c r="B9" s="44" t="s">
        <v>607</v>
      </c>
      <c r="C9" s="18">
        <v>3069</v>
      </c>
      <c r="D9" s="5">
        <v>3315</v>
      </c>
      <c r="E9" s="5">
        <v>3109</v>
      </c>
      <c r="F9" s="5">
        <v>3005</v>
      </c>
      <c r="G9" s="5">
        <v>3192</v>
      </c>
      <c r="H9" s="5">
        <v>3288</v>
      </c>
      <c r="I9" s="5">
        <v>3320</v>
      </c>
      <c r="J9" s="5">
        <v>3204</v>
      </c>
      <c r="K9" s="5">
        <v>1237</v>
      </c>
      <c r="L9" s="5">
        <v>2108</v>
      </c>
      <c r="M9" s="5">
        <v>2825</v>
      </c>
      <c r="N9" s="5">
        <v>0</v>
      </c>
      <c r="O9" s="5">
        <f t="shared" si="0"/>
        <v>0</v>
      </c>
      <c r="P9"/>
    </row>
    <row r="10" spans="1:19" x14ac:dyDescent="0.45">
      <c r="A10" s="8" t="s">
        <v>64</v>
      </c>
      <c r="B10" s="44" t="s">
        <v>608</v>
      </c>
      <c r="C10" s="18">
        <v>3136</v>
      </c>
      <c r="D10" s="5">
        <v>3325</v>
      </c>
      <c r="E10" s="5">
        <v>3202</v>
      </c>
      <c r="F10" s="5">
        <v>3095</v>
      </c>
      <c r="G10" s="5">
        <v>3275</v>
      </c>
      <c r="H10" s="5">
        <v>3371</v>
      </c>
      <c r="I10" s="5">
        <v>3484</v>
      </c>
      <c r="J10" s="5">
        <v>3504</v>
      </c>
      <c r="K10" s="5">
        <v>1491</v>
      </c>
      <c r="L10" s="5">
        <v>1929</v>
      </c>
      <c r="M10" s="5">
        <v>3065</v>
      </c>
      <c r="N10" s="5">
        <v>0</v>
      </c>
      <c r="O10" s="5">
        <f t="shared" si="0"/>
        <v>0</v>
      </c>
      <c r="P10"/>
    </row>
    <row r="11" spans="1:19" x14ac:dyDescent="0.45">
      <c r="A11" s="8" t="s">
        <v>64</v>
      </c>
      <c r="B11" s="44" t="s">
        <v>609</v>
      </c>
      <c r="C11" s="18">
        <v>3049</v>
      </c>
      <c r="D11" s="5">
        <v>3300</v>
      </c>
      <c r="E11" s="5">
        <v>3199</v>
      </c>
      <c r="F11" s="5">
        <v>3073</v>
      </c>
      <c r="G11" s="5">
        <v>3296</v>
      </c>
      <c r="H11" s="5">
        <v>3357</v>
      </c>
      <c r="I11" s="5">
        <v>3388</v>
      </c>
      <c r="J11" s="5">
        <v>3449</v>
      </c>
      <c r="K11" s="5">
        <v>1297</v>
      </c>
      <c r="L11" s="5">
        <v>2028</v>
      </c>
      <c r="M11" s="5">
        <v>3024</v>
      </c>
      <c r="N11" s="5">
        <v>0</v>
      </c>
      <c r="O11" s="5">
        <f t="shared" si="0"/>
        <v>0</v>
      </c>
      <c r="P11"/>
    </row>
    <row r="12" spans="1:19" x14ac:dyDescent="0.45">
      <c r="A12" s="8" t="s">
        <v>64</v>
      </c>
      <c r="B12" s="44" t="s">
        <v>610</v>
      </c>
      <c r="C12" s="18">
        <v>2815</v>
      </c>
      <c r="D12" s="5">
        <v>2992</v>
      </c>
      <c r="E12" s="5">
        <v>2879</v>
      </c>
      <c r="F12" s="5">
        <v>2932</v>
      </c>
      <c r="G12" s="5">
        <v>2964</v>
      </c>
      <c r="H12" s="5">
        <v>3015</v>
      </c>
      <c r="I12" s="5">
        <v>3049</v>
      </c>
      <c r="J12" s="5">
        <v>3162</v>
      </c>
      <c r="K12" s="5">
        <v>1187</v>
      </c>
      <c r="L12" s="5">
        <v>2020</v>
      </c>
      <c r="M12" s="5">
        <v>2765</v>
      </c>
      <c r="N12" s="5">
        <v>0</v>
      </c>
      <c r="O12" s="5">
        <f t="shared" si="0"/>
        <v>0</v>
      </c>
      <c r="P12"/>
    </row>
    <row r="13" spans="1:19" ht="14.65" thickBot="1" x14ac:dyDescent="0.5">
      <c r="A13" s="46" t="s">
        <v>64</v>
      </c>
      <c r="B13" s="45" t="s">
        <v>611</v>
      </c>
      <c r="C13" s="40">
        <v>3119</v>
      </c>
      <c r="D13" s="41">
        <v>3320</v>
      </c>
      <c r="E13" s="41">
        <v>3223</v>
      </c>
      <c r="F13" s="41">
        <v>3138</v>
      </c>
      <c r="G13" s="41">
        <v>3260</v>
      </c>
      <c r="H13" s="41">
        <v>3317</v>
      </c>
      <c r="I13" s="41">
        <v>3383</v>
      </c>
      <c r="J13" s="41">
        <v>2302</v>
      </c>
      <c r="K13" s="41">
        <v>1469</v>
      </c>
      <c r="L13" s="41">
        <v>2415</v>
      </c>
      <c r="M13" s="41">
        <v>3176</v>
      </c>
      <c r="N13" s="41">
        <v>0</v>
      </c>
      <c r="O13" s="41">
        <f t="shared" si="0"/>
        <v>0</v>
      </c>
      <c r="P13"/>
    </row>
    <row r="14" spans="1:19" x14ac:dyDescent="0.45">
      <c r="A14" s="8" t="s">
        <v>69</v>
      </c>
      <c r="B14" s="44" t="s">
        <v>600</v>
      </c>
      <c r="C14" s="18">
        <v>898</v>
      </c>
      <c r="D14" s="5">
        <v>903</v>
      </c>
      <c r="E14" s="5">
        <v>997</v>
      </c>
      <c r="F14" s="5">
        <v>1079</v>
      </c>
      <c r="G14" s="5">
        <v>1095</v>
      </c>
      <c r="H14" s="5">
        <v>1069</v>
      </c>
      <c r="I14" s="5">
        <v>971</v>
      </c>
      <c r="J14" s="5">
        <v>992</v>
      </c>
      <c r="K14" s="5">
        <v>68</v>
      </c>
      <c r="L14" s="5">
        <v>506</v>
      </c>
      <c r="M14" s="5">
        <v>685</v>
      </c>
      <c r="N14" s="5">
        <v>877</v>
      </c>
      <c r="O14" s="5">
        <f t="shared" si="0"/>
        <v>1503.4285714285716</v>
      </c>
      <c r="P14"/>
    </row>
    <row r="15" spans="1:19" x14ac:dyDescent="0.45">
      <c r="A15" s="8" t="s">
        <v>69</v>
      </c>
      <c r="B15" s="44" t="s">
        <v>601</v>
      </c>
      <c r="C15" s="18">
        <v>962</v>
      </c>
      <c r="D15" s="5">
        <v>947</v>
      </c>
      <c r="E15" s="5">
        <v>1010</v>
      </c>
      <c r="F15" s="5">
        <v>1143</v>
      </c>
      <c r="G15" s="5">
        <v>1124</v>
      </c>
      <c r="H15" s="5">
        <v>1154</v>
      </c>
      <c r="I15" s="5">
        <v>1005</v>
      </c>
      <c r="J15" s="5">
        <v>992</v>
      </c>
      <c r="K15" s="5">
        <v>83</v>
      </c>
      <c r="L15" s="5">
        <v>533</v>
      </c>
      <c r="M15" s="5">
        <v>831</v>
      </c>
      <c r="N15" s="5">
        <v>966</v>
      </c>
      <c r="O15" s="5">
        <f t="shared" si="0"/>
        <v>1656</v>
      </c>
      <c r="P15"/>
    </row>
    <row r="16" spans="1:19" x14ac:dyDescent="0.45">
      <c r="A16" s="8" t="s">
        <v>69</v>
      </c>
      <c r="B16" s="44" t="s">
        <v>602</v>
      </c>
      <c r="C16" s="18">
        <v>955</v>
      </c>
      <c r="D16" s="5">
        <v>910</v>
      </c>
      <c r="E16" s="5">
        <v>1013</v>
      </c>
      <c r="F16" s="5">
        <v>1076</v>
      </c>
      <c r="G16" s="5">
        <v>1083</v>
      </c>
      <c r="H16" s="5">
        <v>1119</v>
      </c>
      <c r="I16" s="5">
        <v>931</v>
      </c>
      <c r="J16" s="5">
        <v>952</v>
      </c>
      <c r="K16" s="5">
        <v>97</v>
      </c>
      <c r="L16" s="5">
        <v>523</v>
      </c>
      <c r="M16" s="5">
        <v>811</v>
      </c>
      <c r="N16" s="5">
        <v>966</v>
      </c>
      <c r="O16" s="5">
        <f t="shared" si="0"/>
        <v>1656</v>
      </c>
      <c r="P16"/>
    </row>
    <row r="17" spans="1:16" x14ac:dyDescent="0.45">
      <c r="A17" s="8" t="s">
        <v>69</v>
      </c>
      <c r="B17" s="44" t="s">
        <v>603</v>
      </c>
      <c r="C17" s="18">
        <v>1011</v>
      </c>
      <c r="D17" s="5">
        <v>940</v>
      </c>
      <c r="E17" s="5">
        <v>1088</v>
      </c>
      <c r="F17" s="5">
        <v>1119</v>
      </c>
      <c r="G17" s="5">
        <v>1130</v>
      </c>
      <c r="H17" s="5">
        <v>1172</v>
      </c>
      <c r="I17" s="5">
        <v>988</v>
      </c>
      <c r="J17" s="5">
        <v>1018</v>
      </c>
      <c r="K17" s="5">
        <v>102</v>
      </c>
      <c r="L17" s="5">
        <v>508</v>
      </c>
      <c r="M17" s="5">
        <v>837</v>
      </c>
      <c r="N17" s="5">
        <v>1012</v>
      </c>
      <c r="O17" s="5">
        <f t="shared" si="0"/>
        <v>1734.8571428571431</v>
      </c>
      <c r="P17"/>
    </row>
    <row r="18" spans="1:16" x14ac:dyDescent="0.45">
      <c r="A18" s="8" t="s">
        <v>69</v>
      </c>
      <c r="B18" s="44" t="s">
        <v>604</v>
      </c>
      <c r="C18" s="18">
        <v>996</v>
      </c>
      <c r="D18" s="5">
        <v>958</v>
      </c>
      <c r="E18" s="5">
        <v>1058</v>
      </c>
      <c r="F18" s="5">
        <v>1116</v>
      </c>
      <c r="G18" s="5">
        <v>1161</v>
      </c>
      <c r="H18" s="5">
        <v>1155</v>
      </c>
      <c r="I18" s="5">
        <v>1027</v>
      </c>
      <c r="J18" s="5">
        <v>1024</v>
      </c>
      <c r="K18" s="5">
        <v>103</v>
      </c>
      <c r="L18" s="5">
        <v>573</v>
      </c>
      <c r="M18" s="5">
        <v>832</v>
      </c>
      <c r="N18" s="5">
        <v>1024</v>
      </c>
      <c r="O18" s="5">
        <f t="shared" si="0"/>
        <v>1755.4285714285713</v>
      </c>
      <c r="P18"/>
    </row>
    <row r="19" spans="1:16" x14ac:dyDescent="0.45">
      <c r="A19" s="8" t="s">
        <v>69</v>
      </c>
      <c r="B19" s="44" t="s">
        <v>605</v>
      </c>
      <c r="C19" s="18">
        <v>959</v>
      </c>
      <c r="D19" s="5">
        <v>937</v>
      </c>
      <c r="E19" s="5">
        <v>1013</v>
      </c>
      <c r="F19" s="5">
        <v>1082</v>
      </c>
      <c r="G19" s="5">
        <v>1123</v>
      </c>
      <c r="H19" s="5">
        <v>1116</v>
      </c>
      <c r="I19" s="5">
        <v>1098</v>
      </c>
      <c r="J19" s="5">
        <v>1053</v>
      </c>
      <c r="K19" s="5">
        <v>120</v>
      </c>
      <c r="L19" s="5">
        <v>539</v>
      </c>
      <c r="M19" s="5">
        <v>810</v>
      </c>
      <c r="N19" s="5">
        <v>994</v>
      </c>
      <c r="O19" s="5">
        <f t="shared" si="0"/>
        <v>1704</v>
      </c>
      <c r="P19"/>
    </row>
    <row r="20" spans="1:16" x14ac:dyDescent="0.45">
      <c r="A20" s="8" t="s">
        <v>69</v>
      </c>
      <c r="B20" s="44" t="s">
        <v>606</v>
      </c>
      <c r="C20" s="18">
        <v>1030</v>
      </c>
      <c r="D20" s="5">
        <v>972</v>
      </c>
      <c r="E20" s="5">
        <v>1051</v>
      </c>
      <c r="F20" s="5">
        <v>1132</v>
      </c>
      <c r="G20" s="5">
        <v>1151</v>
      </c>
      <c r="H20" s="5">
        <v>1163</v>
      </c>
      <c r="I20" s="5">
        <v>1179</v>
      </c>
      <c r="J20" s="5">
        <v>1024</v>
      </c>
      <c r="K20" s="5">
        <v>166</v>
      </c>
      <c r="L20" s="5">
        <v>589</v>
      </c>
      <c r="M20" s="5">
        <v>809</v>
      </c>
      <c r="N20" s="5">
        <v>1027</v>
      </c>
      <c r="O20" s="5">
        <f t="shared" si="0"/>
        <v>1760.5714285714287</v>
      </c>
      <c r="P20"/>
    </row>
    <row r="21" spans="1:16" x14ac:dyDescent="0.45">
      <c r="A21" s="8" t="s">
        <v>69</v>
      </c>
      <c r="B21" s="44" t="s">
        <v>607</v>
      </c>
      <c r="C21" s="18">
        <v>979</v>
      </c>
      <c r="D21" s="5">
        <v>937</v>
      </c>
      <c r="E21" s="5">
        <v>1017</v>
      </c>
      <c r="F21" s="5">
        <v>1133</v>
      </c>
      <c r="G21" s="5">
        <v>1130</v>
      </c>
      <c r="H21" s="5">
        <v>1115</v>
      </c>
      <c r="I21" s="5">
        <v>1152</v>
      </c>
      <c r="J21" s="5">
        <v>1024</v>
      </c>
      <c r="K21" s="5">
        <v>306</v>
      </c>
      <c r="L21" s="5">
        <v>612</v>
      </c>
      <c r="M21" s="5">
        <v>754</v>
      </c>
      <c r="N21" s="5">
        <v>0</v>
      </c>
      <c r="O21" s="5">
        <f t="shared" si="0"/>
        <v>0</v>
      </c>
      <c r="P21"/>
    </row>
    <row r="22" spans="1:16" x14ac:dyDescent="0.45">
      <c r="A22" s="8" t="s">
        <v>69</v>
      </c>
      <c r="B22" s="44" t="s">
        <v>608</v>
      </c>
      <c r="C22" s="18">
        <v>848</v>
      </c>
      <c r="D22" s="5">
        <v>833</v>
      </c>
      <c r="E22" s="5">
        <v>899</v>
      </c>
      <c r="F22" s="5">
        <v>987</v>
      </c>
      <c r="G22" s="5">
        <v>989</v>
      </c>
      <c r="H22" s="5">
        <v>997</v>
      </c>
      <c r="I22" s="5">
        <v>993</v>
      </c>
      <c r="J22" s="5">
        <v>952</v>
      </c>
      <c r="K22" s="5">
        <v>402</v>
      </c>
      <c r="L22" s="5">
        <v>575</v>
      </c>
      <c r="M22" s="5">
        <v>691</v>
      </c>
      <c r="N22" s="5">
        <v>0</v>
      </c>
      <c r="O22" s="5">
        <f t="shared" si="0"/>
        <v>0</v>
      </c>
      <c r="P22"/>
    </row>
    <row r="23" spans="1:16" x14ac:dyDescent="0.45">
      <c r="A23" s="8" t="s">
        <v>69</v>
      </c>
      <c r="B23" s="44" t="s">
        <v>609</v>
      </c>
      <c r="C23" s="18">
        <v>882</v>
      </c>
      <c r="D23" s="5">
        <v>900</v>
      </c>
      <c r="E23" s="5">
        <v>940</v>
      </c>
      <c r="F23" s="5">
        <v>1034</v>
      </c>
      <c r="G23" s="5">
        <v>1036</v>
      </c>
      <c r="H23" s="5">
        <v>1024</v>
      </c>
      <c r="I23" s="5">
        <v>1069</v>
      </c>
      <c r="J23" s="5">
        <v>998</v>
      </c>
      <c r="K23" s="5">
        <v>372</v>
      </c>
      <c r="L23" s="5">
        <v>551</v>
      </c>
      <c r="M23" s="5">
        <v>754</v>
      </c>
      <c r="N23" s="5">
        <v>0</v>
      </c>
      <c r="O23" s="5">
        <f t="shared" si="0"/>
        <v>0</v>
      </c>
      <c r="P23"/>
    </row>
    <row r="24" spans="1:16" x14ac:dyDescent="0.45">
      <c r="A24" s="8" t="s">
        <v>69</v>
      </c>
      <c r="B24" s="44" t="s">
        <v>610</v>
      </c>
      <c r="C24" s="18">
        <v>828</v>
      </c>
      <c r="D24" s="5">
        <v>913</v>
      </c>
      <c r="E24" s="5">
        <v>974</v>
      </c>
      <c r="F24" s="5">
        <v>1059</v>
      </c>
      <c r="G24" s="5">
        <v>1012</v>
      </c>
      <c r="H24" s="5">
        <v>953</v>
      </c>
      <c r="I24" s="5">
        <v>1064</v>
      </c>
      <c r="J24" s="5">
        <v>940</v>
      </c>
      <c r="K24" s="5">
        <v>349</v>
      </c>
      <c r="L24" s="5">
        <v>557</v>
      </c>
      <c r="M24" s="5">
        <v>709</v>
      </c>
      <c r="N24" s="5">
        <v>0</v>
      </c>
      <c r="O24" s="5">
        <f t="shared" si="0"/>
        <v>0</v>
      </c>
      <c r="P24"/>
    </row>
    <row r="25" spans="1:16" ht="14.65" thickBot="1" x14ac:dyDescent="0.5">
      <c r="A25" s="46" t="s">
        <v>69</v>
      </c>
      <c r="B25" s="45" t="s">
        <v>611</v>
      </c>
      <c r="C25" s="40">
        <v>903</v>
      </c>
      <c r="D25" s="41">
        <v>981</v>
      </c>
      <c r="E25" s="41">
        <v>1097</v>
      </c>
      <c r="F25" s="41">
        <v>1113</v>
      </c>
      <c r="G25" s="41">
        <v>1104</v>
      </c>
      <c r="H25" s="41">
        <v>1027</v>
      </c>
      <c r="I25" s="41">
        <v>1136</v>
      </c>
      <c r="J25" s="41">
        <v>651</v>
      </c>
      <c r="K25" s="41">
        <v>456</v>
      </c>
      <c r="L25" s="41">
        <v>689</v>
      </c>
      <c r="M25" s="41">
        <v>831</v>
      </c>
      <c r="N25" s="41">
        <v>0</v>
      </c>
      <c r="O25" s="41">
        <f t="shared" si="0"/>
        <v>0</v>
      </c>
      <c r="P25"/>
    </row>
    <row r="26" spans="1:16" x14ac:dyDescent="0.45">
      <c r="A26" s="8" t="s">
        <v>58</v>
      </c>
      <c r="B26" s="44" t="s">
        <v>600</v>
      </c>
      <c r="C26" s="18">
        <v>11027</v>
      </c>
      <c r="D26" s="5">
        <v>10325</v>
      </c>
      <c r="E26" s="5">
        <v>10745</v>
      </c>
      <c r="F26" s="5">
        <v>11294</v>
      </c>
      <c r="G26" s="5">
        <v>11662</v>
      </c>
      <c r="H26" s="5">
        <v>11397</v>
      </c>
      <c r="I26" s="5">
        <v>11496</v>
      </c>
      <c r="J26" s="5">
        <v>11239</v>
      </c>
      <c r="K26" s="5">
        <v>83</v>
      </c>
      <c r="L26" s="5">
        <v>7796</v>
      </c>
      <c r="M26" s="5">
        <v>9404</v>
      </c>
      <c r="N26" s="5">
        <v>9803</v>
      </c>
      <c r="O26" s="5">
        <f t="shared" si="0"/>
        <v>16805.142857142855</v>
      </c>
      <c r="P26"/>
    </row>
    <row r="27" spans="1:16" x14ac:dyDescent="0.45">
      <c r="A27" s="8" t="s">
        <v>58</v>
      </c>
      <c r="B27" s="44" t="s">
        <v>601</v>
      </c>
      <c r="C27" s="18">
        <v>11078</v>
      </c>
      <c r="D27" s="5">
        <v>10442</v>
      </c>
      <c r="E27" s="5">
        <v>10819</v>
      </c>
      <c r="F27" s="5">
        <v>11671</v>
      </c>
      <c r="G27" s="5">
        <v>12053</v>
      </c>
      <c r="H27" s="5">
        <v>12074</v>
      </c>
      <c r="I27" s="5">
        <v>11499</v>
      </c>
      <c r="J27" s="5">
        <v>11342</v>
      </c>
      <c r="K27" s="5">
        <v>129</v>
      </c>
      <c r="L27" s="5">
        <v>7503</v>
      </c>
      <c r="M27" s="5">
        <v>9611</v>
      </c>
      <c r="N27" s="5">
        <v>10020</v>
      </c>
      <c r="O27" s="5">
        <f t="shared" si="0"/>
        <v>17177.142857142855</v>
      </c>
      <c r="P27"/>
    </row>
    <row r="28" spans="1:16" x14ac:dyDescent="0.45">
      <c r="A28" s="8" t="s">
        <v>58</v>
      </c>
      <c r="B28" s="44" t="s">
        <v>602</v>
      </c>
      <c r="C28" s="18">
        <v>10450</v>
      </c>
      <c r="D28" s="5">
        <v>9900</v>
      </c>
      <c r="E28" s="5">
        <v>10844</v>
      </c>
      <c r="F28" s="5">
        <v>11264</v>
      </c>
      <c r="G28" s="5">
        <v>11607</v>
      </c>
      <c r="H28" s="5">
        <v>11451</v>
      </c>
      <c r="I28" s="5">
        <v>10596</v>
      </c>
      <c r="J28" s="5">
        <v>10792</v>
      </c>
      <c r="K28" s="5">
        <v>603</v>
      </c>
      <c r="L28" s="5">
        <v>6776</v>
      </c>
      <c r="M28" s="5">
        <v>7928</v>
      </c>
      <c r="N28" s="5">
        <v>9635</v>
      </c>
      <c r="O28" s="5">
        <f t="shared" si="0"/>
        <v>16517.142857142855</v>
      </c>
      <c r="P28"/>
    </row>
    <row r="29" spans="1:16" x14ac:dyDescent="0.45">
      <c r="A29" s="8" t="s">
        <v>58</v>
      </c>
      <c r="B29" s="44" t="s">
        <v>603</v>
      </c>
      <c r="C29" s="18">
        <v>11041</v>
      </c>
      <c r="D29" s="5">
        <v>10555</v>
      </c>
      <c r="E29" s="5">
        <v>11212</v>
      </c>
      <c r="F29" s="5">
        <v>12139</v>
      </c>
      <c r="G29" s="5">
        <v>12036</v>
      </c>
      <c r="H29" s="5">
        <v>11969</v>
      </c>
      <c r="I29" s="5">
        <v>11354</v>
      </c>
      <c r="J29" s="5">
        <v>11224</v>
      </c>
      <c r="K29" s="5">
        <v>1302</v>
      </c>
      <c r="L29" s="5">
        <v>3952</v>
      </c>
      <c r="M29" s="5">
        <v>8540</v>
      </c>
      <c r="N29" s="5">
        <v>10114</v>
      </c>
      <c r="O29" s="5">
        <f t="shared" si="0"/>
        <v>17338.285714285714</v>
      </c>
      <c r="P29"/>
    </row>
    <row r="30" spans="1:16" x14ac:dyDescent="0.45">
      <c r="A30" s="8" t="s">
        <v>58</v>
      </c>
      <c r="B30" s="44" t="s">
        <v>604</v>
      </c>
      <c r="C30" s="18">
        <v>11043</v>
      </c>
      <c r="D30" s="5">
        <v>10542</v>
      </c>
      <c r="E30" s="5">
        <v>11219</v>
      </c>
      <c r="F30" s="5">
        <v>11639</v>
      </c>
      <c r="G30" s="5">
        <v>12008</v>
      </c>
      <c r="H30" s="5">
        <v>12108</v>
      </c>
      <c r="I30" s="5">
        <v>11492</v>
      </c>
      <c r="J30" s="5">
        <v>11094</v>
      </c>
      <c r="K30" s="5">
        <v>1804</v>
      </c>
      <c r="L30" s="5">
        <v>5510</v>
      </c>
      <c r="M30" s="5">
        <v>8696</v>
      </c>
      <c r="N30" s="5">
        <v>10122</v>
      </c>
      <c r="O30" s="5">
        <f t="shared" si="0"/>
        <v>17352</v>
      </c>
      <c r="P30"/>
    </row>
    <row r="31" spans="1:16" x14ac:dyDescent="0.45">
      <c r="A31" s="8" t="s">
        <v>58</v>
      </c>
      <c r="B31" s="44" t="s">
        <v>605</v>
      </c>
      <c r="C31" s="18">
        <v>10598</v>
      </c>
      <c r="D31" s="5">
        <v>10273</v>
      </c>
      <c r="E31" s="5">
        <v>10900</v>
      </c>
      <c r="F31" s="5">
        <v>11761</v>
      </c>
      <c r="G31" s="5">
        <v>12059</v>
      </c>
      <c r="H31" s="5">
        <v>11642</v>
      </c>
      <c r="I31" s="5">
        <v>11207</v>
      </c>
      <c r="J31" s="5">
        <v>11113</v>
      </c>
      <c r="K31" s="5">
        <v>3344</v>
      </c>
      <c r="L31" s="5">
        <v>7145</v>
      </c>
      <c r="M31" s="5">
        <v>8748</v>
      </c>
      <c r="N31" s="5">
        <v>10283</v>
      </c>
      <c r="O31" s="5">
        <f t="shared" si="0"/>
        <v>17628</v>
      </c>
      <c r="P31"/>
    </row>
    <row r="32" spans="1:16" x14ac:dyDescent="0.45">
      <c r="A32" s="8" t="s">
        <v>58</v>
      </c>
      <c r="B32" s="44" t="s">
        <v>606</v>
      </c>
      <c r="C32" s="18">
        <v>11268</v>
      </c>
      <c r="D32" s="5">
        <v>10832</v>
      </c>
      <c r="E32" s="5">
        <v>11845</v>
      </c>
      <c r="F32" s="5">
        <v>12441</v>
      </c>
      <c r="G32" s="5">
        <v>12283</v>
      </c>
      <c r="H32" s="5">
        <v>12150</v>
      </c>
      <c r="I32" s="5">
        <v>11958</v>
      </c>
      <c r="J32" s="5">
        <v>11737</v>
      </c>
      <c r="K32" s="5">
        <v>4850</v>
      </c>
      <c r="L32" s="5">
        <v>8239</v>
      </c>
      <c r="M32" s="5">
        <v>9251</v>
      </c>
      <c r="N32" s="5">
        <v>10813</v>
      </c>
      <c r="O32" s="5">
        <f t="shared" si="0"/>
        <v>18536.571428571428</v>
      </c>
      <c r="P32"/>
    </row>
    <row r="33" spans="1:16" x14ac:dyDescent="0.45">
      <c r="A33" s="8" t="s">
        <v>58</v>
      </c>
      <c r="B33" s="44" t="s">
        <v>607</v>
      </c>
      <c r="C33" s="18">
        <v>10218</v>
      </c>
      <c r="D33" s="5">
        <v>10686</v>
      </c>
      <c r="E33" s="5">
        <v>11148</v>
      </c>
      <c r="F33" s="5">
        <v>12260</v>
      </c>
      <c r="G33" s="5">
        <v>12075</v>
      </c>
      <c r="H33" s="5">
        <v>11748</v>
      </c>
      <c r="I33" s="5">
        <v>11665</v>
      </c>
      <c r="J33" s="5">
        <v>11140</v>
      </c>
      <c r="K33" s="5">
        <v>5643</v>
      </c>
      <c r="L33" s="5">
        <v>8211</v>
      </c>
      <c r="M33" s="5">
        <v>9349</v>
      </c>
      <c r="N33" s="5">
        <v>0</v>
      </c>
      <c r="O33" s="5">
        <f t="shared" si="0"/>
        <v>0</v>
      </c>
      <c r="P33"/>
    </row>
    <row r="34" spans="1:16" x14ac:dyDescent="0.45">
      <c r="A34" s="8" t="s">
        <v>58</v>
      </c>
      <c r="B34" s="44" t="s">
        <v>608</v>
      </c>
      <c r="C34" s="18">
        <v>9991</v>
      </c>
      <c r="D34" s="5">
        <v>10363</v>
      </c>
      <c r="E34" s="5">
        <v>10729</v>
      </c>
      <c r="F34" s="5">
        <v>11808</v>
      </c>
      <c r="G34" s="5">
        <v>11601</v>
      </c>
      <c r="H34" s="5">
        <v>11695</v>
      </c>
      <c r="I34" s="5">
        <v>11103</v>
      </c>
      <c r="J34" s="5">
        <v>11628</v>
      </c>
      <c r="K34" s="5">
        <v>7706</v>
      </c>
      <c r="L34" s="5">
        <v>9074</v>
      </c>
      <c r="M34" s="5">
        <v>9564</v>
      </c>
      <c r="N34" s="5">
        <v>0</v>
      </c>
      <c r="O34" s="5">
        <f t="shared" si="0"/>
        <v>0</v>
      </c>
      <c r="P34"/>
    </row>
    <row r="35" spans="1:16" x14ac:dyDescent="0.45">
      <c r="A35" s="8" t="s">
        <v>58</v>
      </c>
      <c r="B35" s="44" t="s">
        <v>609</v>
      </c>
      <c r="C35" s="18">
        <v>9965</v>
      </c>
      <c r="D35" s="5">
        <v>10724</v>
      </c>
      <c r="E35" s="5">
        <v>10747</v>
      </c>
      <c r="F35" s="5">
        <v>11674</v>
      </c>
      <c r="G35" s="5">
        <v>11486</v>
      </c>
      <c r="H35" s="5">
        <v>11783</v>
      </c>
      <c r="I35" s="5">
        <v>11109</v>
      </c>
      <c r="J35" s="5">
        <v>11195</v>
      </c>
      <c r="K35" s="5">
        <v>5496</v>
      </c>
      <c r="L35" s="5">
        <v>8389</v>
      </c>
      <c r="M35" s="5">
        <v>9209</v>
      </c>
      <c r="N35" s="5">
        <v>0</v>
      </c>
      <c r="O35" s="5">
        <f t="shared" si="0"/>
        <v>0</v>
      </c>
      <c r="P35"/>
    </row>
    <row r="36" spans="1:16" x14ac:dyDescent="0.45">
      <c r="A36" s="8" t="s">
        <v>58</v>
      </c>
      <c r="B36" s="44" t="s">
        <v>610</v>
      </c>
      <c r="C36" s="18">
        <v>9411</v>
      </c>
      <c r="D36" s="5">
        <v>10218</v>
      </c>
      <c r="E36" s="5">
        <v>10561</v>
      </c>
      <c r="F36" s="5">
        <v>11651</v>
      </c>
      <c r="G36" s="5">
        <v>11086</v>
      </c>
      <c r="H36" s="5">
        <v>10539</v>
      </c>
      <c r="I36" s="5">
        <v>10454</v>
      </c>
      <c r="J36" s="5">
        <v>10524</v>
      </c>
      <c r="K36" s="5">
        <v>4785</v>
      </c>
      <c r="L36" s="5">
        <v>8237</v>
      </c>
      <c r="M36" s="5">
        <v>8731</v>
      </c>
      <c r="N36" s="5">
        <v>0</v>
      </c>
      <c r="O36" s="5">
        <f t="shared" si="0"/>
        <v>0</v>
      </c>
      <c r="P36"/>
    </row>
    <row r="37" spans="1:16" ht="14.65" thickBot="1" x14ac:dyDescent="0.5">
      <c r="A37" s="46" t="s">
        <v>58</v>
      </c>
      <c r="B37" s="45" t="s">
        <v>611</v>
      </c>
      <c r="C37" s="40">
        <v>10404</v>
      </c>
      <c r="D37" s="41">
        <v>11096</v>
      </c>
      <c r="E37" s="41">
        <v>12146</v>
      </c>
      <c r="F37" s="41">
        <v>12437</v>
      </c>
      <c r="G37" s="41">
        <v>12249</v>
      </c>
      <c r="H37" s="41">
        <v>11813</v>
      </c>
      <c r="I37" s="41">
        <v>11735</v>
      </c>
      <c r="J37" s="41">
        <v>7665</v>
      </c>
      <c r="K37" s="41">
        <v>7151</v>
      </c>
      <c r="L37" s="41">
        <v>9553</v>
      </c>
      <c r="M37" s="41">
        <v>10045</v>
      </c>
      <c r="N37" s="41">
        <v>0</v>
      </c>
      <c r="O37" s="41">
        <f t="shared" si="0"/>
        <v>0</v>
      </c>
      <c r="P37"/>
    </row>
    <row r="38" spans="1:16" x14ac:dyDescent="0.45">
      <c r="A38" s="8" t="s">
        <v>70</v>
      </c>
      <c r="B38" s="44" t="s">
        <v>600</v>
      </c>
      <c r="C38" s="18">
        <v>7178</v>
      </c>
      <c r="D38" s="5">
        <v>9318</v>
      </c>
      <c r="E38" s="5">
        <v>7923</v>
      </c>
      <c r="F38" s="5">
        <v>7966</v>
      </c>
      <c r="G38" s="5">
        <v>8399</v>
      </c>
      <c r="H38" s="5">
        <v>6721</v>
      </c>
      <c r="I38" s="5">
        <v>6102</v>
      </c>
      <c r="J38" s="5">
        <v>5899</v>
      </c>
      <c r="K38" s="5">
        <v>572</v>
      </c>
      <c r="L38" s="5">
        <v>4615</v>
      </c>
      <c r="M38" s="5">
        <v>4794</v>
      </c>
      <c r="N38" s="5">
        <v>5219</v>
      </c>
      <c r="O38" s="5">
        <f t="shared" si="0"/>
        <v>8946.8571428571431</v>
      </c>
      <c r="P38"/>
    </row>
    <row r="39" spans="1:16" x14ac:dyDescent="0.45">
      <c r="A39" s="8" t="s">
        <v>70</v>
      </c>
      <c r="B39" s="44" t="s">
        <v>601</v>
      </c>
      <c r="C39" s="18">
        <v>7631</v>
      </c>
      <c r="D39" s="5">
        <v>7740</v>
      </c>
      <c r="E39" s="5">
        <v>7774</v>
      </c>
      <c r="F39" s="5">
        <v>8769</v>
      </c>
      <c r="G39" s="5">
        <v>8591</v>
      </c>
      <c r="H39" s="5">
        <v>6919</v>
      </c>
      <c r="I39" s="5">
        <v>7497</v>
      </c>
      <c r="J39" s="5">
        <v>6679</v>
      </c>
      <c r="K39" s="5">
        <v>873</v>
      </c>
      <c r="L39" s="5">
        <v>4678</v>
      </c>
      <c r="M39" s="5">
        <v>5805</v>
      </c>
      <c r="N39" s="5">
        <v>5299</v>
      </c>
      <c r="O39" s="5">
        <f t="shared" si="0"/>
        <v>9084</v>
      </c>
      <c r="P39"/>
    </row>
    <row r="40" spans="1:16" x14ac:dyDescent="0.45">
      <c r="A40" s="8" t="s">
        <v>70</v>
      </c>
      <c r="B40" s="44" t="s">
        <v>602</v>
      </c>
      <c r="C40" s="18">
        <v>6458</v>
      </c>
      <c r="D40" s="5">
        <v>6785</v>
      </c>
      <c r="E40" s="5">
        <v>7418</v>
      </c>
      <c r="F40" s="5">
        <v>8059</v>
      </c>
      <c r="G40" s="5">
        <v>7089</v>
      </c>
      <c r="H40" s="5">
        <v>6109</v>
      </c>
      <c r="I40" s="5">
        <v>6448</v>
      </c>
      <c r="J40" s="5">
        <v>6109</v>
      </c>
      <c r="K40" s="5">
        <v>3543</v>
      </c>
      <c r="L40" s="5">
        <v>4736</v>
      </c>
      <c r="M40" s="5">
        <v>5166</v>
      </c>
      <c r="N40" s="5">
        <v>4407</v>
      </c>
      <c r="O40" s="5">
        <f t="shared" si="0"/>
        <v>7554.8571428571431</v>
      </c>
      <c r="P40"/>
    </row>
    <row r="41" spans="1:16" x14ac:dyDescent="0.45">
      <c r="A41" s="8" t="s">
        <v>70</v>
      </c>
      <c r="B41" s="44" t="s">
        <v>603</v>
      </c>
      <c r="C41" s="18">
        <v>6445</v>
      </c>
      <c r="D41" s="5">
        <v>6826</v>
      </c>
      <c r="E41" s="5">
        <v>8221</v>
      </c>
      <c r="F41" s="5">
        <v>7445</v>
      </c>
      <c r="G41" s="5">
        <v>7762</v>
      </c>
      <c r="H41" s="5">
        <v>6524</v>
      </c>
      <c r="I41" s="5">
        <v>6773</v>
      </c>
      <c r="J41" s="5">
        <v>6386</v>
      </c>
      <c r="K41" s="5">
        <v>4192</v>
      </c>
      <c r="L41" s="5">
        <v>4329</v>
      </c>
      <c r="M41" s="5">
        <v>5116</v>
      </c>
      <c r="N41" s="5">
        <v>5093</v>
      </c>
      <c r="O41" s="5">
        <f t="shared" si="0"/>
        <v>8730.8571428571431</v>
      </c>
      <c r="P41"/>
    </row>
    <row r="42" spans="1:16" x14ac:dyDescent="0.45">
      <c r="A42" s="8" t="s">
        <v>70</v>
      </c>
      <c r="B42" s="44" t="s">
        <v>604</v>
      </c>
      <c r="C42" s="18">
        <v>6750</v>
      </c>
      <c r="D42" s="5">
        <v>6312</v>
      </c>
      <c r="E42" s="5">
        <v>8072</v>
      </c>
      <c r="F42" s="5">
        <v>7999</v>
      </c>
      <c r="G42" s="5">
        <v>8635</v>
      </c>
      <c r="H42" s="5">
        <v>5979</v>
      </c>
      <c r="I42" s="5">
        <v>6013</v>
      </c>
      <c r="J42" s="5">
        <v>7441</v>
      </c>
      <c r="K42" s="5">
        <v>4089</v>
      </c>
      <c r="L42" s="5">
        <v>4404</v>
      </c>
      <c r="M42" s="5">
        <v>4975</v>
      </c>
      <c r="N42" s="5">
        <v>5391</v>
      </c>
      <c r="O42" s="5">
        <f t="shared" si="0"/>
        <v>9241.7142857142862</v>
      </c>
      <c r="P42"/>
    </row>
    <row r="43" spans="1:16" x14ac:dyDescent="0.45">
      <c r="A43" s="8" t="s">
        <v>70</v>
      </c>
      <c r="B43" s="44" t="s">
        <v>605</v>
      </c>
      <c r="C43" s="18">
        <v>5909</v>
      </c>
      <c r="D43" s="5">
        <v>6275</v>
      </c>
      <c r="E43" s="5">
        <v>7373</v>
      </c>
      <c r="F43" s="5">
        <v>7636</v>
      </c>
      <c r="G43" s="5">
        <v>8881</v>
      </c>
      <c r="H43" s="5">
        <v>5997</v>
      </c>
      <c r="I43" s="5">
        <v>5825</v>
      </c>
      <c r="J43" s="5">
        <v>5485</v>
      </c>
      <c r="K43" s="5">
        <v>5186</v>
      </c>
      <c r="L43" s="5">
        <v>3535</v>
      </c>
      <c r="M43" s="5">
        <v>4748</v>
      </c>
      <c r="N43" s="5">
        <v>4891</v>
      </c>
      <c r="O43" s="5">
        <f t="shared" si="0"/>
        <v>8384.5714285714275</v>
      </c>
      <c r="P43"/>
    </row>
    <row r="44" spans="1:16" x14ac:dyDescent="0.45">
      <c r="A44" s="8" t="s">
        <v>70</v>
      </c>
      <c r="B44" s="44" t="s">
        <v>606</v>
      </c>
      <c r="C44" s="18">
        <v>5687</v>
      </c>
      <c r="D44" s="5">
        <v>6906</v>
      </c>
      <c r="E44" s="5">
        <v>7604</v>
      </c>
      <c r="F44" s="5">
        <v>8668</v>
      </c>
      <c r="G44" s="5">
        <v>7508</v>
      </c>
      <c r="H44" s="5">
        <v>6029</v>
      </c>
      <c r="I44" s="5">
        <v>5930</v>
      </c>
      <c r="J44" s="5">
        <v>5814</v>
      </c>
      <c r="K44" s="5">
        <v>4370</v>
      </c>
      <c r="L44" s="5">
        <v>4118</v>
      </c>
      <c r="M44" s="5">
        <v>6101</v>
      </c>
      <c r="N44" s="5">
        <v>4168</v>
      </c>
      <c r="O44" s="5">
        <f t="shared" si="0"/>
        <v>7145.1428571428569</v>
      </c>
      <c r="P44"/>
    </row>
    <row r="45" spans="1:16" x14ac:dyDescent="0.45">
      <c r="A45" s="8" t="s">
        <v>70</v>
      </c>
      <c r="B45" s="44" t="s">
        <v>607</v>
      </c>
      <c r="C45" s="18">
        <v>7446</v>
      </c>
      <c r="D45" s="5">
        <v>7537</v>
      </c>
      <c r="E45" s="5">
        <v>7702</v>
      </c>
      <c r="F45" s="5">
        <v>7967</v>
      </c>
      <c r="G45" s="5">
        <v>6620</v>
      </c>
      <c r="H45" s="5">
        <v>5739</v>
      </c>
      <c r="I45" s="5">
        <v>6024</v>
      </c>
      <c r="J45" s="5">
        <v>5514</v>
      </c>
      <c r="K45" s="5">
        <v>4507</v>
      </c>
      <c r="L45" s="5">
        <v>4082</v>
      </c>
      <c r="M45" s="5">
        <v>5323</v>
      </c>
      <c r="N45" s="5">
        <v>0</v>
      </c>
      <c r="O45" s="5">
        <f t="shared" si="0"/>
        <v>0</v>
      </c>
      <c r="P45"/>
    </row>
    <row r="46" spans="1:16" x14ac:dyDescent="0.45">
      <c r="A46" s="8" t="s">
        <v>70</v>
      </c>
      <c r="B46" s="44" t="s">
        <v>608</v>
      </c>
      <c r="C46" s="18">
        <v>6102</v>
      </c>
      <c r="D46" s="5">
        <v>6077</v>
      </c>
      <c r="E46" s="5">
        <v>6395</v>
      </c>
      <c r="F46" s="5">
        <v>6346</v>
      </c>
      <c r="G46" s="5">
        <v>5835</v>
      </c>
      <c r="H46" s="5">
        <v>5158</v>
      </c>
      <c r="I46" s="5">
        <v>5173</v>
      </c>
      <c r="J46" s="5">
        <v>4530</v>
      </c>
      <c r="K46" s="5">
        <v>3847</v>
      </c>
      <c r="L46" s="5">
        <v>3136</v>
      </c>
      <c r="M46" s="5">
        <v>4355</v>
      </c>
      <c r="N46" s="5">
        <v>0</v>
      </c>
      <c r="O46" s="5">
        <f t="shared" si="0"/>
        <v>0</v>
      </c>
      <c r="P46"/>
    </row>
    <row r="47" spans="1:16" x14ac:dyDescent="0.45">
      <c r="A47" s="8" t="s">
        <v>70</v>
      </c>
      <c r="B47" s="44" t="s">
        <v>609</v>
      </c>
      <c r="C47" s="18">
        <v>6902</v>
      </c>
      <c r="D47" s="5">
        <v>7510</v>
      </c>
      <c r="E47" s="5">
        <v>7657</v>
      </c>
      <c r="F47" s="5">
        <v>6266</v>
      </c>
      <c r="G47" s="5">
        <v>5034</v>
      </c>
      <c r="H47" s="5">
        <v>5099</v>
      </c>
      <c r="I47" s="5">
        <v>4798</v>
      </c>
      <c r="J47" s="5">
        <v>4401</v>
      </c>
      <c r="K47" s="5">
        <v>4070</v>
      </c>
      <c r="L47" s="5">
        <v>4102</v>
      </c>
      <c r="M47" s="5">
        <v>4310</v>
      </c>
      <c r="N47" s="5">
        <v>0</v>
      </c>
      <c r="O47" s="5">
        <f t="shared" si="0"/>
        <v>0</v>
      </c>
      <c r="P47"/>
    </row>
    <row r="48" spans="1:16" x14ac:dyDescent="0.45">
      <c r="A48" s="8" t="s">
        <v>70</v>
      </c>
      <c r="B48" s="44" t="s">
        <v>610</v>
      </c>
      <c r="C48" s="18">
        <v>7669</v>
      </c>
      <c r="D48" s="5">
        <v>7482</v>
      </c>
      <c r="E48" s="5">
        <v>6862</v>
      </c>
      <c r="F48" s="5">
        <v>7266</v>
      </c>
      <c r="G48" s="5">
        <v>5701</v>
      </c>
      <c r="H48" s="5">
        <v>5921</v>
      </c>
      <c r="I48" s="5">
        <v>5473</v>
      </c>
      <c r="J48" s="5">
        <v>4544</v>
      </c>
      <c r="K48" s="5">
        <v>4359</v>
      </c>
      <c r="L48" s="5">
        <v>4500</v>
      </c>
      <c r="M48" s="5">
        <v>4338</v>
      </c>
      <c r="N48" s="5">
        <v>0</v>
      </c>
      <c r="O48" s="5">
        <f t="shared" si="0"/>
        <v>0</v>
      </c>
      <c r="P48"/>
    </row>
    <row r="49" spans="1:15" x14ac:dyDescent="0.45">
      <c r="A49" s="8" t="s">
        <v>70</v>
      </c>
      <c r="B49" s="44" t="s">
        <v>611</v>
      </c>
      <c r="C49" s="18">
        <v>6957</v>
      </c>
      <c r="D49" s="5">
        <v>7124</v>
      </c>
      <c r="E49" s="5">
        <v>8619</v>
      </c>
      <c r="F49" s="5">
        <v>8047</v>
      </c>
      <c r="G49" s="5">
        <v>7587</v>
      </c>
      <c r="H49" s="5">
        <v>5776</v>
      </c>
      <c r="I49" s="5">
        <v>5814</v>
      </c>
      <c r="J49" s="5">
        <v>4880</v>
      </c>
      <c r="K49" s="5">
        <v>4455</v>
      </c>
      <c r="L49" s="5">
        <v>6789</v>
      </c>
      <c r="M49" s="5">
        <v>5171</v>
      </c>
      <c r="N49" s="5">
        <v>0</v>
      </c>
      <c r="O49" s="5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2F7B-8A14-4216-B358-9C6ADEC6F28C}">
  <sheetPr codeName="Sheet28">
    <tabColor theme="4" tint="0.59999389629810485"/>
  </sheetPr>
  <dimension ref="A1:T49"/>
  <sheetViews>
    <sheetView topLeftCell="A14" workbookViewId="0">
      <selection activeCell="D42" sqref="D42"/>
    </sheetView>
  </sheetViews>
  <sheetFormatPr defaultRowHeight="14.25" x14ac:dyDescent="0.45"/>
  <cols>
    <col min="1" max="1" width="12.86328125" customWidth="1"/>
    <col min="2" max="2" width="10.59765625" style="20" bestFit="1" customWidth="1"/>
    <col min="3" max="3" width="11.59765625" style="1" bestFit="1" customWidth="1"/>
    <col min="4" max="10" width="11.1328125" style="1" bestFit="1" customWidth="1"/>
    <col min="11" max="11" width="10.1328125" style="1" bestFit="1" customWidth="1"/>
    <col min="12" max="14" width="11.1328125" style="1" bestFit="1" customWidth="1"/>
    <col min="15" max="16" width="11.59765625" style="1" bestFit="1" customWidth="1"/>
    <col min="17" max="17" width="13.59765625" style="1" bestFit="1" customWidth="1"/>
  </cols>
  <sheetData>
    <row r="1" spans="1:20" s="2" customFormat="1" ht="14.65" thickBot="1" x14ac:dyDescent="0.5">
      <c r="A1" s="46" t="s">
        <v>587</v>
      </c>
      <c r="B1" s="47" t="s">
        <v>585</v>
      </c>
      <c r="C1" s="50" t="s">
        <v>588</v>
      </c>
      <c r="D1" s="51" t="s">
        <v>589</v>
      </c>
      <c r="E1" s="51" t="s">
        <v>590</v>
      </c>
      <c r="F1" s="51" t="s">
        <v>591</v>
      </c>
      <c r="G1" s="51" t="s">
        <v>592</v>
      </c>
      <c r="H1" s="51" t="s">
        <v>593</v>
      </c>
      <c r="I1" s="51" t="s">
        <v>594</v>
      </c>
      <c r="J1" s="51" t="s">
        <v>595</v>
      </c>
      <c r="K1" s="51" t="s">
        <v>596</v>
      </c>
      <c r="L1" s="51" t="s">
        <v>597</v>
      </c>
      <c r="M1" s="51" t="s">
        <v>598</v>
      </c>
      <c r="N1" s="51" t="s">
        <v>599</v>
      </c>
      <c r="O1" s="62" t="s">
        <v>203</v>
      </c>
      <c r="Q1" s="3"/>
      <c r="R1" s="3"/>
      <c r="S1" s="3"/>
      <c r="T1" s="3"/>
    </row>
    <row r="2" spans="1:20" x14ac:dyDescent="0.45">
      <c r="A2" s="8" t="s">
        <v>64</v>
      </c>
      <c r="B2" s="44" t="s">
        <v>600</v>
      </c>
      <c r="C2" s="63">
        <v>385017</v>
      </c>
      <c r="D2" s="64">
        <v>386368</v>
      </c>
      <c r="E2" s="64">
        <v>412104</v>
      </c>
      <c r="F2" s="64">
        <v>396464</v>
      </c>
      <c r="G2" s="64">
        <v>418694</v>
      </c>
      <c r="H2" s="64">
        <v>482026</v>
      </c>
      <c r="I2" s="64">
        <v>456949</v>
      </c>
      <c r="J2" s="64">
        <v>480285</v>
      </c>
      <c r="K2" s="64">
        <v>490</v>
      </c>
      <c r="L2" s="64">
        <v>74440</v>
      </c>
      <c r="M2" s="64">
        <v>293465</v>
      </c>
      <c r="N2" s="64">
        <v>370965</v>
      </c>
      <c r="O2" s="65">
        <f>Arrivals_pass[[#This Row],[2023]]/7*12</f>
        <v>635940</v>
      </c>
      <c r="Q2"/>
    </row>
    <row r="3" spans="1:20" x14ac:dyDescent="0.45">
      <c r="A3" s="8" t="s">
        <v>64</v>
      </c>
      <c r="B3" s="44" t="s">
        <v>601</v>
      </c>
      <c r="C3" s="18">
        <v>353371</v>
      </c>
      <c r="D3" s="5">
        <v>368723</v>
      </c>
      <c r="E3" s="5">
        <v>391002</v>
      </c>
      <c r="F3" s="5">
        <v>391498</v>
      </c>
      <c r="G3" s="5">
        <v>394010</v>
      </c>
      <c r="H3" s="5">
        <v>422560</v>
      </c>
      <c r="I3" s="5">
        <v>424288</v>
      </c>
      <c r="J3" s="5">
        <v>419630</v>
      </c>
      <c r="K3" s="5">
        <v>288</v>
      </c>
      <c r="L3" s="5">
        <v>77835</v>
      </c>
      <c r="M3" s="5">
        <v>265425</v>
      </c>
      <c r="N3" s="5">
        <v>340406</v>
      </c>
      <c r="O3" s="19">
        <f>Arrivals_pass[[#This Row],[2023]]/7*12</f>
        <v>583553.14285714284</v>
      </c>
      <c r="Q3"/>
    </row>
    <row r="4" spans="1:20" x14ac:dyDescent="0.45">
      <c r="A4" s="8" t="s">
        <v>64</v>
      </c>
      <c r="B4" s="44" t="s">
        <v>602</v>
      </c>
      <c r="C4" s="18">
        <v>343458</v>
      </c>
      <c r="D4" s="5">
        <v>361927</v>
      </c>
      <c r="E4" s="5">
        <v>365910</v>
      </c>
      <c r="F4" s="5">
        <v>356375</v>
      </c>
      <c r="G4" s="5">
        <v>368012</v>
      </c>
      <c r="H4" s="5">
        <v>394464</v>
      </c>
      <c r="I4" s="5">
        <v>402538</v>
      </c>
      <c r="J4" s="5">
        <v>433554</v>
      </c>
      <c r="K4" s="5">
        <v>112</v>
      </c>
      <c r="L4" s="5">
        <v>82141</v>
      </c>
      <c r="M4" s="5">
        <v>254162</v>
      </c>
      <c r="N4" s="5">
        <v>334373</v>
      </c>
      <c r="O4" s="19">
        <f>Arrivals_pass[[#This Row],[2023]]/7*12</f>
        <v>573210.85714285716</v>
      </c>
      <c r="Q4"/>
    </row>
    <row r="5" spans="1:20" x14ac:dyDescent="0.45">
      <c r="A5" s="8" t="s">
        <v>64</v>
      </c>
      <c r="B5" s="44" t="s">
        <v>603</v>
      </c>
      <c r="C5" s="18">
        <v>449729</v>
      </c>
      <c r="D5" s="5">
        <v>459415</v>
      </c>
      <c r="E5" s="5">
        <v>461818</v>
      </c>
      <c r="F5" s="5">
        <v>485895</v>
      </c>
      <c r="G5" s="5">
        <v>514541</v>
      </c>
      <c r="H5" s="5">
        <v>533901</v>
      </c>
      <c r="I5" s="5">
        <v>554888</v>
      </c>
      <c r="J5" s="5">
        <v>542656</v>
      </c>
      <c r="K5" s="5">
        <v>292</v>
      </c>
      <c r="L5" s="5">
        <v>78988</v>
      </c>
      <c r="M5" s="5">
        <v>357653</v>
      </c>
      <c r="N5" s="5">
        <v>442619</v>
      </c>
      <c r="O5" s="19">
        <f>Arrivals_pass[[#This Row],[2023]]/7*12</f>
        <v>758775.42857142864</v>
      </c>
      <c r="Q5"/>
    </row>
    <row r="6" spans="1:20" x14ac:dyDescent="0.45">
      <c r="A6" s="8" t="s">
        <v>64</v>
      </c>
      <c r="B6" s="44" t="s">
        <v>604</v>
      </c>
      <c r="C6" s="18">
        <v>397809</v>
      </c>
      <c r="D6" s="5">
        <v>427906</v>
      </c>
      <c r="E6" s="5">
        <v>444552</v>
      </c>
      <c r="F6" s="5">
        <v>436939</v>
      </c>
      <c r="G6" s="5">
        <v>458644</v>
      </c>
      <c r="H6" s="5">
        <v>473898</v>
      </c>
      <c r="I6" s="5">
        <v>492329</v>
      </c>
      <c r="J6" s="5">
        <v>493300</v>
      </c>
      <c r="K6" s="5">
        <v>290</v>
      </c>
      <c r="L6" s="5">
        <v>95034</v>
      </c>
      <c r="M6" s="5">
        <v>326817</v>
      </c>
      <c r="N6" s="5">
        <v>390667</v>
      </c>
      <c r="O6" s="19">
        <f>Arrivals_pass[[#This Row],[2023]]/7*12</f>
        <v>669714.85714285716</v>
      </c>
      <c r="Q6"/>
    </row>
    <row r="7" spans="1:20" x14ac:dyDescent="0.45">
      <c r="A7" s="8" t="s">
        <v>64</v>
      </c>
      <c r="B7" s="44" t="s">
        <v>605</v>
      </c>
      <c r="C7" s="18">
        <v>412356</v>
      </c>
      <c r="D7" s="5">
        <v>430184</v>
      </c>
      <c r="E7" s="5">
        <v>425398</v>
      </c>
      <c r="F7" s="5">
        <v>433032</v>
      </c>
      <c r="G7" s="5">
        <v>457177</v>
      </c>
      <c r="H7" s="5">
        <v>478553</v>
      </c>
      <c r="I7" s="5">
        <v>490483</v>
      </c>
      <c r="J7" s="5">
        <v>500463</v>
      </c>
      <c r="K7" s="5">
        <v>0</v>
      </c>
      <c r="L7" s="5">
        <v>115721</v>
      </c>
      <c r="M7" s="5">
        <v>328574</v>
      </c>
      <c r="N7" s="5">
        <v>400634</v>
      </c>
      <c r="O7" s="19">
        <f>Arrivals_pass[[#This Row],[2023]]/7*12</f>
        <v>686801.14285714284</v>
      </c>
      <c r="Q7"/>
    </row>
    <row r="8" spans="1:20" x14ac:dyDescent="0.45">
      <c r="A8" s="8" t="s">
        <v>64</v>
      </c>
      <c r="B8" s="44" t="s">
        <v>606</v>
      </c>
      <c r="C8" s="18">
        <v>438440</v>
      </c>
      <c r="D8" s="5">
        <v>449565</v>
      </c>
      <c r="E8" s="5">
        <v>450966</v>
      </c>
      <c r="F8" s="5">
        <v>479473</v>
      </c>
      <c r="G8" s="5">
        <v>510438</v>
      </c>
      <c r="H8" s="5">
        <v>531321</v>
      </c>
      <c r="I8" s="5">
        <v>534210</v>
      </c>
      <c r="J8" s="5">
        <v>526361</v>
      </c>
      <c r="K8" s="5">
        <v>44137</v>
      </c>
      <c r="L8" s="5">
        <v>170961</v>
      </c>
      <c r="M8" s="5">
        <v>374844</v>
      </c>
      <c r="N8" s="5">
        <v>461239</v>
      </c>
      <c r="O8" s="19">
        <f>Arrivals_pass[[#This Row],[2023]]/7*12</f>
        <v>790695.42857142852</v>
      </c>
      <c r="Q8"/>
    </row>
    <row r="9" spans="1:20" x14ac:dyDescent="0.45">
      <c r="A9" s="8" t="s">
        <v>64</v>
      </c>
      <c r="B9" s="44" t="s">
        <v>607</v>
      </c>
      <c r="C9" s="18">
        <v>401128</v>
      </c>
      <c r="D9" s="5">
        <v>427974</v>
      </c>
      <c r="E9" s="5">
        <v>424253</v>
      </c>
      <c r="F9" s="5">
        <v>437057</v>
      </c>
      <c r="G9" s="5">
        <v>457517</v>
      </c>
      <c r="H9" s="5">
        <v>478048</v>
      </c>
      <c r="I9" s="5">
        <v>493080</v>
      </c>
      <c r="J9" s="5">
        <v>476705</v>
      </c>
      <c r="K9" s="5">
        <v>66777</v>
      </c>
      <c r="L9" s="5">
        <v>193527</v>
      </c>
      <c r="M9" s="5">
        <v>352647</v>
      </c>
      <c r="N9" s="5">
        <v>0</v>
      </c>
      <c r="O9" s="19">
        <f>Arrivals_pass[[#This Row],[2023]]/7*12</f>
        <v>0</v>
      </c>
      <c r="Q9"/>
    </row>
    <row r="10" spans="1:20" x14ac:dyDescent="0.45">
      <c r="A10" s="8" t="s">
        <v>64</v>
      </c>
      <c r="B10" s="44" t="s">
        <v>608</v>
      </c>
      <c r="C10" s="18">
        <v>460309</v>
      </c>
      <c r="D10" s="5">
        <v>485086</v>
      </c>
      <c r="E10" s="5">
        <v>482242</v>
      </c>
      <c r="F10" s="5">
        <v>494430</v>
      </c>
      <c r="G10" s="5">
        <v>542820</v>
      </c>
      <c r="H10" s="5">
        <v>558861</v>
      </c>
      <c r="I10" s="5">
        <v>569891</v>
      </c>
      <c r="J10" s="5">
        <v>566805</v>
      </c>
      <c r="K10" s="5">
        <v>117613</v>
      </c>
      <c r="L10" s="5">
        <v>147836</v>
      </c>
      <c r="M10" s="5">
        <v>434515</v>
      </c>
      <c r="N10" s="5">
        <v>0</v>
      </c>
      <c r="O10" s="19">
        <f>Arrivals_pass[[#This Row],[2023]]/7*12</f>
        <v>0</v>
      </c>
      <c r="Q10"/>
    </row>
    <row r="11" spans="1:20" x14ac:dyDescent="0.45">
      <c r="A11" s="8" t="s">
        <v>64</v>
      </c>
      <c r="B11" s="44" t="s">
        <v>609</v>
      </c>
      <c r="C11" s="18">
        <v>459580</v>
      </c>
      <c r="D11" s="5">
        <v>484089</v>
      </c>
      <c r="E11" s="5">
        <v>480663</v>
      </c>
      <c r="F11" s="5">
        <v>500631</v>
      </c>
      <c r="G11" s="5">
        <v>537857</v>
      </c>
      <c r="H11" s="5">
        <v>558611</v>
      </c>
      <c r="I11" s="5">
        <v>553051</v>
      </c>
      <c r="J11" s="5">
        <v>567329</v>
      </c>
      <c r="K11" s="5">
        <v>63822</v>
      </c>
      <c r="L11" s="5">
        <v>163707</v>
      </c>
      <c r="M11" s="5">
        <v>432421</v>
      </c>
      <c r="N11" s="5">
        <v>0</v>
      </c>
      <c r="O11" s="19">
        <f>Arrivals_pass[[#This Row],[2023]]/7*12</f>
        <v>0</v>
      </c>
      <c r="Q11"/>
    </row>
    <row r="12" spans="1:20" x14ac:dyDescent="0.45">
      <c r="A12" s="8" t="s">
        <v>64</v>
      </c>
      <c r="B12" s="44" t="s">
        <v>610</v>
      </c>
      <c r="C12" s="18">
        <v>382677</v>
      </c>
      <c r="D12" s="5">
        <v>393688</v>
      </c>
      <c r="E12" s="5">
        <v>387069</v>
      </c>
      <c r="F12" s="5">
        <v>415935</v>
      </c>
      <c r="G12" s="5">
        <v>442801</v>
      </c>
      <c r="H12" s="5">
        <v>450302</v>
      </c>
      <c r="I12" s="5">
        <v>444997</v>
      </c>
      <c r="J12" s="5">
        <v>442555</v>
      </c>
      <c r="K12" s="5">
        <v>44376</v>
      </c>
      <c r="L12" s="5">
        <v>201303</v>
      </c>
      <c r="M12" s="5">
        <v>354846</v>
      </c>
      <c r="N12" s="5">
        <v>0</v>
      </c>
      <c r="O12" s="19">
        <f>Arrivals_pass[[#This Row],[2023]]/7*12</f>
        <v>0</v>
      </c>
      <c r="Q12"/>
    </row>
    <row r="13" spans="1:20" ht="14.65" thickBot="1" x14ac:dyDescent="0.5">
      <c r="A13" s="46" t="s">
        <v>64</v>
      </c>
      <c r="B13" s="45" t="s">
        <v>611</v>
      </c>
      <c r="C13" s="40">
        <v>431053</v>
      </c>
      <c r="D13" s="41">
        <v>412070</v>
      </c>
      <c r="E13" s="41">
        <v>437357</v>
      </c>
      <c r="F13" s="41">
        <v>455514</v>
      </c>
      <c r="G13" s="41">
        <v>468464</v>
      </c>
      <c r="H13" s="41">
        <v>493603</v>
      </c>
      <c r="I13" s="41">
        <v>487600</v>
      </c>
      <c r="J13" s="41">
        <v>238207</v>
      </c>
      <c r="K13" s="41">
        <v>64026</v>
      </c>
      <c r="L13" s="41">
        <v>259331</v>
      </c>
      <c r="M13" s="41">
        <v>380556</v>
      </c>
      <c r="N13" s="41">
        <v>0</v>
      </c>
      <c r="O13" s="42">
        <f>Arrivals_pass[[#This Row],[2023]]/7*12</f>
        <v>0</v>
      </c>
      <c r="Q13"/>
    </row>
    <row r="14" spans="1:20" x14ac:dyDescent="0.45">
      <c r="A14" s="8" t="s">
        <v>69</v>
      </c>
      <c r="B14" s="44" t="s">
        <v>600</v>
      </c>
      <c r="C14" s="63">
        <v>41797</v>
      </c>
      <c r="D14" s="64">
        <v>43145</v>
      </c>
      <c r="E14" s="64">
        <v>46562</v>
      </c>
      <c r="F14" s="64">
        <v>45008</v>
      </c>
      <c r="G14" s="64">
        <v>47362</v>
      </c>
      <c r="H14" s="64">
        <v>46725</v>
      </c>
      <c r="I14" s="64">
        <v>45646</v>
      </c>
      <c r="J14" s="64">
        <v>46842</v>
      </c>
      <c r="K14" s="64">
        <v>36</v>
      </c>
      <c r="L14" s="64">
        <v>11240</v>
      </c>
      <c r="M14" s="64">
        <v>28195</v>
      </c>
      <c r="N14" s="64">
        <v>34181</v>
      </c>
      <c r="O14" s="65">
        <f>Arrivals_pass[[#This Row],[2023]]/7*12</f>
        <v>58596</v>
      </c>
      <c r="Q14"/>
    </row>
    <row r="15" spans="1:20" x14ac:dyDescent="0.45">
      <c r="A15" s="8" t="s">
        <v>69</v>
      </c>
      <c r="B15" s="44" t="s">
        <v>601</v>
      </c>
      <c r="C15" s="18">
        <v>40011</v>
      </c>
      <c r="D15" s="5">
        <v>43665</v>
      </c>
      <c r="E15" s="5">
        <v>46701</v>
      </c>
      <c r="F15" s="5">
        <v>45133</v>
      </c>
      <c r="G15" s="5">
        <v>47000</v>
      </c>
      <c r="H15" s="5">
        <v>49510</v>
      </c>
      <c r="I15" s="5">
        <v>45869</v>
      </c>
      <c r="J15" s="5">
        <v>46378</v>
      </c>
      <c r="K15" s="5">
        <v>0</v>
      </c>
      <c r="L15" s="5">
        <v>11781</v>
      </c>
      <c r="M15" s="5">
        <v>29045</v>
      </c>
      <c r="N15" s="5">
        <v>36096</v>
      </c>
      <c r="O15" s="19">
        <f>Arrivals_pass[[#This Row],[2023]]/7*12</f>
        <v>61878.857142857145</v>
      </c>
      <c r="Q15"/>
    </row>
    <row r="16" spans="1:20" x14ac:dyDescent="0.45">
      <c r="A16" s="8" t="s">
        <v>69</v>
      </c>
      <c r="B16" s="44" t="s">
        <v>602</v>
      </c>
      <c r="C16" s="18">
        <v>37353</v>
      </c>
      <c r="D16" s="5">
        <v>40670</v>
      </c>
      <c r="E16" s="5">
        <v>42845</v>
      </c>
      <c r="F16" s="5">
        <v>40471</v>
      </c>
      <c r="G16" s="5">
        <v>45375</v>
      </c>
      <c r="H16" s="5">
        <v>44826</v>
      </c>
      <c r="I16" s="5">
        <v>42153</v>
      </c>
      <c r="J16" s="5">
        <v>42618</v>
      </c>
      <c r="K16" s="5">
        <v>0</v>
      </c>
      <c r="L16" s="5">
        <v>9920</v>
      </c>
      <c r="M16" s="5">
        <v>27485</v>
      </c>
      <c r="N16" s="5">
        <v>33459</v>
      </c>
      <c r="O16" s="19">
        <f>Arrivals_pass[[#This Row],[2023]]/7*12</f>
        <v>57358.285714285717</v>
      </c>
      <c r="Q16"/>
    </row>
    <row r="17" spans="1:17" x14ac:dyDescent="0.45">
      <c r="A17" s="8" t="s">
        <v>69</v>
      </c>
      <c r="B17" s="44" t="s">
        <v>603</v>
      </c>
      <c r="C17" s="18">
        <v>42354</v>
      </c>
      <c r="D17" s="5">
        <v>44548</v>
      </c>
      <c r="E17" s="5">
        <v>46237</v>
      </c>
      <c r="F17" s="5">
        <v>47170</v>
      </c>
      <c r="G17" s="5">
        <v>51037</v>
      </c>
      <c r="H17" s="5">
        <v>50288</v>
      </c>
      <c r="I17" s="5">
        <v>48141</v>
      </c>
      <c r="J17" s="5">
        <v>49439</v>
      </c>
      <c r="K17" s="5">
        <v>0</v>
      </c>
      <c r="L17" s="5">
        <v>9200</v>
      </c>
      <c r="M17" s="5">
        <v>32727</v>
      </c>
      <c r="N17" s="5">
        <v>39846</v>
      </c>
      <c r="O17" s="19">
        <f>Arrivals_pass[[#This Row],[2023]]/7*12</f>
        <v>68307.42857142858</v>
      </c>
      <c r="Q17"/>
    </row>
    <row r="18" spans="1:17" x14ac:dyDescent="0.45">
      <c r="A18" s="8" t="s">
        <v>69</v>
      </c>
      <c r="B18" s="44" t="s">
        <v>604</v>
      </c>
      <c r="C18" s="18">
        <v>47192</v>
      </c>
      <c r="D18" s="5">
        <v>51739</v>
      </c>
      <c r="E18" s="5">
        <v>54430</v>
      </c>
      <c r="F18" s="5">
        <v>54224</v>
      </c>
      <c r="G18" s="5">
        <v>57698</v>
      </c>
      <c r="H18" s="5">
        <v>54568</v>
      </c>
      <c r="I18" s="5">
        <v>53853</v>
      </c>
      <c r="J18" s="5">
        <v>56698</v>
      </c>
      <c r="K18" s="5">
        <v>0</v>
      </c>
      <c r="L18" s="5">
        <v>13590</v>
      </c>
      <c r="M18" s="5">
        <v>34431</v>
      </c>
      <c r="N18" s="5">
        <v>42907</v>
      </c>
      <c r="O18" s="19">
        <f>Arrivals_pass[[#This Row],[2023]]/7*12</f>
        <v>73554.857142857145</v>
      </c>
      <c r="Q18"/>
    </row>
    <row r="19" spans="1:17" x14ac:dyDescent="0.45">
      <c r="A19" s="8" t="s">
        <v>69</v>
      </c>
      <c r="B19" s="44" t="s">
        <v>605</v>
      </c>
      <c r="C19" s="18">
        <v>43179</v>
      </c>
      <c r="D19" s="5">
        <v>47740</v>
      </c>
      <c r="E19" s="5">
        <v>47321</v>
      </c>
      <c r="F19" s="5">
        <v>48330</v>
      </c>
      <c r="G19" s="5">
        <v>52594</v>
      </c>
      <c r="H19" s="5">
        <v>49764</v>
      </c>
      <c r="I19" s="5">
        <v>49289</v>
      </c>
      <c r="J19" s="5">
        <v>51060</v>
      </c>
      <c r="K19" s="5">
        <v>0</v>
      </c>
      <c r="L19" s="5">
        <v>15175</v>
      </c>
      <c r="M19" s="5">
        <v>33459</v>
      </c>
      <c r="N19" s="5">
        <v>41121</v>
      </c>
      <c r="O19" s="19">
        <f>Arrivals_pass[[#This Row],[2023]]/7*12</f>
        <v>70493.142857142855</v>
      </c>
      <c r="Q19"/>
    </row>
    <row r="20" spans="1:17" x14ac:dyDescent="0.45">
      <c r="A20" s="8" t="s">
        <v>69</v>
      </c>
      <c r="B20" s="44" t="s">
        <v>606</v>
      </c>
      <c r="C20" s="18">
        <v>43097</v>
      </c>
      <c r="D20" s="5">
        <v>48147</v>
      </c>
      <c r="E20" s="5">
        <v>50798</v>
      </c>
      <c r="F20" s="5">
        <v>50851</v>
      </c>
      <c r="G20" s="5">
        <v>52244</v>
      </c>
      <c r="H20" s="5">
        <v>51820</v>
      </c>
      <c r="I20" s="5">
        <v>50852</v>
      </c>
      <c r="J20" s="5">
        <v>47523</v>
      </c>
      <c r="K20" s="5">
        <v>1170</v>
      </c>
      <c r="L20" s="5">
        <v>19403</v>
      </c>
      <c r="M20" s="5">
        <v>32886</v>
      </c>
      <c r="N20" s="5">
        <v>40509</v>
      </c>
      <c r="O20" s="19">
        <f>Arrivals_pass[[#This Row],[2023]]/7*12</f>
        <v>69444</v>
      </c>
      <c r="Q20"/>
    </row>
    <row r="21" spans="1:17" x14ac:dyDescent="0.45">
      <c r="A21" s="8" t="s">
        <v>69</v>
      </c>
      <c r="B21" s="44" t="s">
        <v>607</v>
      </c>
      <c r="C21" s="18">
        <v>44428</v>
      </c>
      <c r="D21" s="5">
        <v>47620</v>
      </c>
      <c r="E21" s="5">
        <v>47857</v>
      </c>
      <c r="F21" s="5">
        <v>49676</v>
      </c>
      <c r="G21" s="5">
        <v>48235</v>
      </c>
      <c r="H21" s="5">
        <v>50547</v>
      </c>
      <c r="I21" s="5">
        <v>51635</v>
      </c>
      <c r="J21" s="5">
        <v>46773</v>
      </c>
      <c r="K21" s="5">
        <v>5671</v>
      </c>
      <c r="L21" s="5">
        <v>20711</v>
      </c>
      <c r="M21" s="5">
        <v>33317</v>
      </c>
      <c r="N21" s="5">
        <v>0</v>
      </c>
      <c r="O21" s="19">
        <f>Arrivals_pass[[#This Row],[2023]]/7*12</f>
        <v>0</v>
      </c>
      <c r="Q21"/>
    </row>
    <row r="22" spans="1:17" x14ac:dyDescent="0.45">
      <c r="A22" s="8" t="s">
        <v>69</v>
      </c>
      <c r="B22" s="44" t="s">
        <v>608</v>
      </c>
      <c r="C22" s="18">
        <v>37596</v>
      </c>
      <c r="D22" s="5">
        <v>38734</v>
      </c>
      <c r="E22" s="5">
        <v>39368</v>
      </c>
      <c r="F22" s="5">
        <v>42591</v>
      </c>
      <c r="G22" s="5">
        <v>44189</v>
      </c>
      <c r="H22" s="5">
        <v>44765</v>
      </c>
      <c r="I22" s="5">
        <v>45333</v>
      </c>
      <c r="J22" s="5">
        <v>41564</v>
      </c>
      <c r="K22" s="5">
        <v>8534</v>
      </c>
      <c r="L22" s="5">
        <v>15101</v>
      </c>
      <c r="M22" s="5">
        <v>29485</v>
      </c>
      <c r="N22" s="5">
        <v>0</v>
      </c>
      <c r="O22" s="19">
        <f>Arrivals_pass[[#This Row],[2023]]/7*12</f>
        <v>0</v>
      </c>
      <c r="Q22"/>
    </row>
    <row r="23" spans="1:17" x14ac:dyDescent="0.45">
      <c r="A23" s="8" t="s">
        <v>69</v>
      </c>
      <c r="B23" s="44" t="s">
        <v>609</v>
      </c>
      <c r="C23" s="18">
        <v>32657</v>
      </c>
      <c r="D23" s="5">
        <v>35402</v>
      </c>
      <c r="E23" s="5">
        <v>33518</v>
      </c>
      <c r="F23" s="5">
        <v>38119</v>
      </c>
      <c r="G23" s="5">
        <v>38236</v>
      </c>
      <c r="H23" s="5">
        <v>38018</v>
      </c>
      <c r="I23" s="5">
        <v>37784</v>
      </c>
      <c r="J23" s="5">
        <v>35816</v>
      </c>
      <c r="K23" s="5">
        <v>6900</v>
      </c>
      <c r="L23" s="5">
        <v>15460</v>
      </c>
      <c r="M23" s="5">
        <v>25056</v>
      </c>
      <c r="N23" s="5">
        <v>0</v>
      </c>
      <c r="O23" s="19">
        <f>Arrivals_pass[[#This Row],[2023]]/7*12</f>
        <v>0</v>
      </c>
      <c r="Q23"/>
    </row>
    <row r="24" spans="1:17" x14ac:dyDescent="0.45">
      <c r="A24" s="8" t="s">
        <v>69</v>
      </c>
      <c r="B24" s="44" t="s">
        <v>610</v>
      </c>
      <c r="C24" s="18">
        <v>34013</v>
      </c>
      <c r="D24" s="5">
        <v>36455</v>
      </c>
      <c r="E24" s="5">
        <v>35446</v>
      </c>
      <c r="F24" s="5">
        <v>38843</v>
      </c>
      <c r="G24" s="5">
        <v>38330</v>
      </c>
      <c r="H24" s="5">
        <v>37583</v>
      </c>
      <c r="I24" s="5">
        <v>37178</v>
      </c>
      <c r="J24" s="5">
        <v>34802</v>
      </c>
      <c r="K24" s="5">
        <v>6187</v>
      </c>
      <c r="L24" s="5">
        <v>17498</v>
      </c>
      <c r="M24" s="5">
        <v>25390</v>
      </c>
      <c r="N24" s="5">
        <v>0</v>
      </c>
      <c r="O24" s="19">
        <f>Arrivals_pass[[#This Row],[2023]]/7*12</f>
        <v>0</v>
      </c>
      <c r="Q24"/>
    </row>
    <row r="25" spans="1:17" ht="14.65" thickBot="1" x14ac:dyDescent="0.5">
      <c r="A25" s="46" t="s">
        <v>69</v>
      </c>
      <c r="B25" s="45" t="s">
        <v>611</v>
      </c>
      <c r="C25" s="40">
        <v>39578</v>
      </c>
      <c r="D25" s="41">
        <v>41172</v>
      </c>
      <c r="E25" s="41">
        <v>42952</v>
      </c>
      <c r="F25" s="41">
        <v>44558</v>
      </c>
      <c r="G25" s="41">
        <v>44917</v>
      </c>
      <c r="H25" s="41">
        <v>44001</v>
      </c>
      <c r="I25" s="41">
        <v>47236</v>
      </c>
      <c r="J25" s="41">
        <v>22873</v>
      </c>
      <c r="K25" s="41">
        <v>8902</v>
      </c>
      <c r="L25" s="41">
        <v>24112</v>
      </c>
      <c r="M25" s="41">
        <v>33048</v>
      </c>
      <c r="N25" s="41">
        <v>0</v>
      </c>
      <c r="O25" s="42">
        <f>Arrivals_pass[[#This Row],[2023]]/7*12</f>
        <v>0</v>
      </c>
      <c r="Q25"/>
    </row>
    <row r="26" spans="1:17" x14ac:dyDescent="0.45">
      <c r="A26" s="8" t="s">
        <v>58</v>
      </c>
      <c r="B26" s="44" t="s">
        <v>600</v>
      </c>
      <c r="C26" s="63">
        <v>1051430</v>
      </c>
      <c r="D26" s="64">
        <v>1009518</v>
      </c>
      <c r="E26" s="64">
        <v>1007686</v>
      </c>
      <c r="F26" s="64">
        <v>1093401</v>
      </c>
      <c r="G26" s="64">
        <v>1137242</v>
      </c>
      <c r="H26" s="64">
        <v>1226635</v>
      </c>
      <c r="I26" s="64">
        <v>1207335</v>
      </c>
      <c r="J26" s="64">
        <v>1256053</v>
      </c>
      <c r="K26" s="64">
        <v>0</v>
      </c>
      <c r="L26" s="64">
        <v>793761</v>
      </c>
      <c r="M26" s="64">
        <v>959559</v>
      </c>
      <c r="N26" s="64">
        <v>1025056</v>
      </c>
      <c r="O26" s="65">
        <f>Arrivals_pass[[#This Row],[2023]]/7*12</f>
        <v>1757238.857142857</v>
      </c>
      <c r="Q26"/>
    </row>
    <row r="27" spans="1:17" x14ac:dyDescent="0.45">
      <c r="A27" s="8" t="s">
        <v>58</v>
      </c>
      <c r="B27" s="44" t="s">
        <v>601</v>
      </c>
      <c r="C27" s="18">
        <v>962795</v>
      </c>
      <c r="D27" s="5">
        <v>944646</v>
      </c>
      <c r="E27" s="5">
        <v>899367</v>
      </c>
      <c r="F27" s="5">
        <v>1004678</v>
      </c>
      <c r="G27" s="5">
        <v>1071249</v>
      </c>
      <c r="H27" s="5">
        <v>1130785</v>
      </c>
      <c r="I27" s="5">
        <v>1129534</v>
      </c>
      <c r="J27" s="5">
        <v>1112811</v>
      </c>
      <c r="K27" s="5">
        <v>0</v>
      </c>
      <c r="L27" s="5">
        <v>692224</v>
      </c>
      <c r="M27" s="5">
        <v>910410</v>
      </c>
      <c r="N27" s="5">
        <v>995436</v>
      </c>
      <c r="O27" s="19">
        <f>Arrivals_pass[[#This Row],[2023]]/7*12</f>
        <v>1706461.7142857146</v>
      </c>
      <c r="Q27"/>
    </row>
    <row r="28" spans="1:17" x14ac:dyDescent="0.45">
      <c r="A28" s="8" t="s">
        <v>58</v>
      </c>
      <c r="B28" s="44" t="s">
        <v>602</v>
      </c>
      <c r="C28" s="18">
        <v>933698</v>
      </c>
      <c r="D28" s="5">
        <v>896791</v>
      </c>
      <c r="E28" s="5">
        <v>912352</v>
      </c>
      <c r="F28" s="5">
        <v>966291</v>
      </c>
      <c r="G28" s="5">
        <v>1007955</v>
      </c>
      <c r="H28" s="5">
        <v>1050640</v>
      </c>
      <c r="I28" s="5">
        <v>1099802</v>
      </c>
      <c r="J28" s="5">
        <v>1194119</v>
      </c>
      <c r="K28" s="5">
        <v>38886</v>
      </c>
      <c r="L28" s="5">
        <v>537028</v>
      </c>
      <c r="M28" s="5">
        <v>778427</v>
      </c>
      <c r="N28" s="5">
        <v>951987</v>
      </c>
      <c r="O28" s="19">
        <f>Arrivals_pass[[#This Row],[2023]]/7*12</f>
        <v>1631977.7142857146</v>
      </c>
      <c r="Q28"/>
    </row>
    <row r="29" spans="1:17" x14ac:dyDescent="0.45">
      <c r="A29" s="8" t="s">
        <v>58</v>
      </c>
      <c r="B29" s="44" t="s">
        <v>603</v>
      </c>
      <c r="C29" s="18">
        <v>996140</v>
      </c>
      <c r="D29" s="5">
        <v>945395</v>
      </c>
      <c r="E29" s="5">
        <v>985931</v>
      </c>
      <c r="F29" s="5">
        <v>1101209</v>
      </c>
      <c r="G29" s="5">
        <v>1149917</v>
      </c>
      <c r="H29" s="5">
        <v>1211751</v>
      </c>
      <c r="I29" s="5">
        <v>1190194</v>
      </c>
      <c r="J29" s="5">
        <v>1215906</v>
      </c>
      <c r="K29" s="5">
        <v>105155</v>
      </c>
      <c r="L29" s="5">
        <v>268795</v>
      </c>
      <c r="M29" s="5">
        <v>867786</v>
      </c>
      <c r="N29" s="5">
        <v>1048865</v>
      </c>
      <c r="O29" s="19">
        <f>Arrivals_pass[[#This Row],[2023]]/7*12</f>
        <v>1798054.2857142854</v>
      </c>
      <c r="Q29"/>
    </row>
    <row r="30" spans="1:17" x14ac:dyDescent="0.45">
      <c r="A30" s="8" t="s">
        <v>58</v>
      </c>
      <c r="B30" s="44" t="s">
        <v>604</v>
      </c>
      <c r="C30" s="18">
        <v>987537</v>
      </c>
      <c r="D30" s="5">
        <v>966266</v>
      </c>
      <c r="E30" s="5">
        <v>988917</v>
      </c>
      <c r="F30" s="5">
        <v>1089401</v>
      </c>
      <c r="G30" s="5">
        <v>1101582</v>
      </c>
      <c r="H30" s="5">
        <v>1161765</v>
      </c>
      <c r="I30" s="5">
        <v>1199505</v>
      </c>
      <c r="J30" s="5">
        <v>1237706</v>
      </c>
      <c r="K30" s="5">
        <v>185902</v>
      </c>
      <c r="L30" s="5">
        <v>474708</v>
      </c>
      <c r="M30" s="5">
        <v>865448</v>
      </c>
      <c r="N30" s="5">
        <v>996103</v>
      </c>
      <c r="O30" s="19">
        <f>Arrivals_pass[[#This Row],[2023]]/7*12</f>
        <v>1707605.142857143</v>
      </c>
      <c r="Q30"/>
    </row>
    <row r="31" spans="1:17" x14ac:dyDescent="0.45">
      <c r="A31" s="8" t="s">
        <v>58</v>
      </c>
      <c r="B31" s="44" t="s">
        <v>605</v>
      </c>
      <c r="C31" s="18">
        <v>1016439</v>
      </c>
      <c r="D31" s="5">
        <v>986040</v>
      </c>
      <c r="E31" s="5">
        <v>974010</v>
      </c>
      <c r="F31" s="5">
        <v>1092541</v>
      </c>
      <c r="G31" s="5">
        <v>1156825</v>
      </c>
      <c r="H31" s="5">
        <v>1190021</v>
      </c>
      <c r="I31" s="5">
        <v>1198122</v>
      </c>
      <c r="J31" s="5">
        <v>1300979</v>
      </c>
      <c r="K31" s="5">
        <v>339788</v>
      </c>
      <c r="L31" s="5">
        <v>702382</v>
      </c>
      <c r="M31" s="5">
        <v>901729</v>
      </c>
      <c r="N31" s="5">
        <v>1068763</v>
      </c>
      <c r="O31" s="19">
        <f>Arrivals_pass[[#This Row],[2023]]/7*12</f>
        <v>1832165.142857143</v>
      </c>
      <c r="Q31"/>
    </row>
    <row r="32" spans="1:17" x14ac:dyDescent="0.45">
      <c r="A32" s="8" t="s">
        <v>58</v>
      </c>
      <c r="B32" s="44" t="s">
        <v>606</v>
      </c>
      <c r="C32" s="18">
        <v>1073586</v>
      </c>
      <c r="D32" s="5">
        <v>1026228</v>
      </c>
      <c r="E32" s="5">
        <v>1094251</v>
      </c>
      <c r="F32" s="5">
        <v>1197399</v>
      </c>
      <c r="G32" s="5">
        <v>1244299</v>
      </c>
      <c r="H32" s="5">
        <v>1274889</v>
      </c>
      <c r="I32" s="5">
        <v>1262389</v>
      </c>
      <c r="J32" s="5">
        <v>1295499</v>
      </c>
      <c r="K32" s="5">
        <v>466213</v>
      </c>
      <c r="L32" s="5">
        <v>825231</v>
      </c>
      <c r="M32" s="5">
        <v>966968</v>
      </c>
      <c r="N32" s="5">
        <v>1129375</v>
      </c>
      <c r="O32" s="19">
        <f>Arrivals_pass[[#This Row],[2023]]/7*12</f>
        <v>1936071.4285714286</v>
      </c>
      <c r="Q32"/>
    </row>
    <row r="33" spans="1:17" x14ac:dyDescent="0.45">
      <c r="A33" s="8" t="s">
        <v>58</v>
      </c>
      <c r="B33" s="44" t="s">
        <v>607</v>
      </c>
      <c r="C33" s="18">
        <v>1004202</v>
      </c>
      <c r="D33" s="5">
        <v>985049</v>
      </c>
      <c r="E33" s="5">
        <v>1020180</v>
      </c>
      <c r="F33" s="5">
        <v>1171497</v>
      </c>
      <c r="G33" s="5">
        <v>1155383</v>
      </c>
      <c r="H33" s="5">
        <v>1195621</v>
      </c>
      <c r="I33" s="5">
        <v>1228630</v>
      </c>
      <c r="J33" s="5">
        <v>1255928</v>
      </c>
      <c r="K33" s="5">
        <v>540172</v>
      </c>
      <c r="L33" s="5">
        <v>801129</v>
      </c>
      <c r="M33" s="5">
        <v>931888</v>
      </c>
      <c r="N33" s="5">
        <v>0</v>
      </c>
      <c r="O33" s="19">
        <f>Arrivals_pass[[#This Row],[2023]]/7*12</f>
        <v>0</v>
      </c>
      <c r="Q33"/>
    </row>
    <row r="34" spans="1:17" x14ac:dyDescent="0.45">
      <c r="A34" s="8" t="s">
        <v>58</v>
      </c>
      <c r="B34" s="44" t="s">
        <v>608</v>
      </c>
      <c r="C34" s="18">
        <v>1010795</v>
      </c>
      <c r="D34" s="5">
        <v>1021628</v>
      </c>
      <c r="E34" s="5">
        <v>1073146</v>
      </c>
      <c r="F34" s="5">
        <v>1237210</v>
      </c>
      <c r="G34" s="5">
        <v>1258217</v>
      </c>
      <c r="H34" s="5">
        <v>1282592</v>
      </c>
      <c r="I34" s="5">
        <v>1312641</v>
      </c>
      <c r="J34" s="5">
        <v>1415962</v>
      </c>
      <c r="K34" s="5">
        <v>756634</v>
      </c>
      <c r="L34" s="5">
        <v>891621</v>
      </c>
      <c r="M34" s="5">
        <v>1031699</v>
      </c>
      <c r="N34" s="5">
        <v>0</v>
      </c>
      <c r="O34" s="19">
        <f>Arrivals_pass[[#This Row],[2023]]/7*12</f>
        <v>0</v>
      </c>
      <c r="Q34"/>
    </row>
    <row r="35" spans="1:17" x14ac:dyDescent="0.45">
      <c r="A35" s="8" t="s">
        <v>58</v>
      </c>
      <c r="B35" s="44" t="s">
        <v>609</v>
      </c>
      <c r="C35" s="18">
        <v>889864</v>
      </c>
      <c r="D35" s="5">
        <v>907381</v>
      </c>
      <c r="E35" s="5">
        <v>920415</v>
      </c>
      <c r="F35" s="5">
        <v>1065106</v>
      </c>
      <c r="G35" s="5">
        <v>1061049</v>
      </c>
      <c r="H35" s="5">
        <v>1103952</v>
      </c>
      <c r="I35" s="5">
        <v>1124151</v>
      </c>
      <c r="J35" s="5">
        <v>1221302</v>
      </c>
      <c r="K35" s="5">
        <v>447269</v>
      </c>
      <c r="L35" s="5">
        <v>809975</v>
      </c>
      <c r="M35" s="5">
        <v>928552</v>
      </c>
      <c r="N35" s="5">
        <v>0</v>
      </c>
      <c r="O35" s="19">
        <f>Arrivals_pass[[#This Row],[2023]]/7*12</f>
        <v>0</v>
      </c>
      <c r="Q35"/>
    </row>
    <row r="36" spans="1:17" x14ac:dyDescent="0.45">
      <c r="A36" s="8" t="s">
        <v>58</v>
      </c>
      <c r="B36" s="44" t="s">
        <v>610</v>
      </c>
      <c r="C36" s="18">
        <v>938406</v>
      </c>
      <c r="D36" s="5">
        <v>939366</v>
      </c>
      <c r="E36" s="5">
        <v>968400</v>
      </c>
      <c r="F36" s="5">
        <v>1106893</v>
      </c>
      <c r="G36" s="5">
        <v>1075804</v>
      </c>
      <c r="H36" s="5">
        <v>1100694</v>
      </c>
      <c r="I36" s="5">
        <v>1132327</v>
      </c>
      <c r="J36" s="5">
        <v>1208772</v>
      </c>
      <c r="K36" s="5">
        <v>434315</v>
      </c>
      <c r="L36" s="5">
        <v>819323</v>
      </c>
      <c r="M36" s="5">
        <v>906696</v>
      </c>
      <c r="N36" s="5">
        <v>0</v>
      </c>
      <c r="O36" s="19">
        <f>Arrivals_pass[[#This Row],[2023]]/7*12</f>
        <v>0</v>
      </c>
      <c r="Q36"/>
    </row>
    <row r="37" spans="1:17" ht="14.65" thickBot="1" x14ac:dyDescent="0.5">
      <c r="A37" s="46" t="s">
        <v>58</v>
      </c>
      <c r="B37" s="45" t="s">
        <v>611</v>
      </c>
      <c r="C37" s="40">
        <v>1070994</v>
      </c>
      <c r="D37" s="41">
        <v>1038496</v>
      </c>
      <c r="E37" s="41">
        <v>1157355</v>
      </c>
      <c r="F37" s="41">
        <v>1239547</v>
      </c>
      <c r="G37" s="41">
        <v>1239421</v>
      </c>
      <c r="H37" s="41">
        <v>1251168</v>
      </c>
      <c r="I37" s="41">
        <v>1355418</v>
      </c>
      <c r="J37" s="41">
        <v>786199</v>
      </c>
      <c r="K37" s="41">
        <v>699245</v>
      </c>
      <c r="L37" s="41">
        <v>983456</v>
      </c>
      <c r="M37" s="41">
        <v>1049892</v>
      </c>
      <c r="N37" s="41">
        <v>0</v>
      </c>
      <c r="O37" s="42">
        <f>Arrivals_pass[[#This Row],[2023]]/7*12</f>
        <v>0</v>
      </c>
      <c r="Q37"/>
    </row>
    <row r="38" spans="1:17" x14ac:dyDescent="0.45">
      <c r="A38" s="8" t="s">
        <v>70</v>
      </c>
      <c r="B38" s="44" t="s">
        <v>600</v>
      </c>
      <c r="C38" s="63">
        <v>6186</v>
      </c>
      <c r="D38" s="64">
        <v>6178</v>
      </c>
      <c r="E38" s="64">
        <v>7278</v>
      </c>
      <c r="F38" s="64">
        <v>5554</v>
      </c>
      <c r="G38" s="64">
        <v>6477</v>
      </c>
      <c r="H38" s="64">
        <v>5543</v>
      </c>
      <c r="I38" s="64">
        <v>5290</v>
      </c>
      <c r="J38" s="64">
        <v>5138</v>
      </c>
      <c r="K38" s="64">
        <v>4655</v>
      </c>
      <c r="L38" s="64">
        <v>3818</v>
      </c>
      <c r="M38" s="64">
        <v>7388</v>
      </c>
      <c r="N38" s="64">
        <v>6702</v>
      </c>
      <c r="O38" s="65">
        <f>Arrivals_pass[[#This Row],[2023]]/7*12</f>
        <v>11489.142857142857</v>
      </c>
      <c r="Q38"/>
    </row>
    <row r="39" spans="1:17" x14ac:dyDescent="0.45">
      <c r="A39" s="8" t="s">
        <v>70</v>
      </c>
      <c r="B39" s="44" t="s">
        <v>601</v>
      </c>
      <c r="C39" s="18">
        <v>5269</v>
      </c>
      <c r="D39" s="5">
        <v>5804</v>
      </c>
      <c r="E39" s="5">
        <v>7073</v>
      </c>
      <c r="F39" s="5">
        <v>5458</v>
      </c>
      <c r="G39" s="5">
        <v>5980</v>
      </c>
      <c r="H39" s="5">
        <v>5086</v>
      </c>
      <c r="I39" s="5">
        <v>4786</v>
      </c>
      <c r="J39" s="5">
        <v>4392</v>
      </c>
      <c r="K39" s="5">
        <v>4033</v>
      </c>
      <c r="L39" s="5">
        <v>3149</v>
      </c>
      <c r="M39" s="5">
        <v>5460</v>
      </c>
      <c r="N39" s="5">
        <v>5286</v>
      </c>
      <c r="O39" s="19">
        <f>Arrivals_pass[[#This Row],[2023]]/7*12</f>
        <v>9061.7142857142862</v>
      </c>
      <c r="Q39"/>
    </row>
    <row r="40" spans="1:17" x14ac:dyDescent="0.45">
      <c r="A40" s="8" t="s">
        <v>70</v>
      </c>
      <c r="B40" s="44" t="s">
        <v>602</v>
      </c>
      <c r="C40" s="18">
        <v>5781</v>
      </c>
      <c r="D40" s="5">
        <v>6307</v>
      </c>
      <c r="E40" s="5">
        <v>5230</v>
      </c>
      <c r="F40" s="5">
        <v>5634</v>
      </c>
      <c r="G40" s="5">
        <v>5854</v>
      </c>
      <c r="H40" s="5">
        <v>5302</v>
      </c>
      <c r="I40" s="5">
        <v>5524</v>
      </c>
      <c r="J40" s="5">
        <v>3899</v>
      </c>
      <c r="K40" s="5">
        <v>5848</v>
      </c>
      <c r="L40" s="5">
        <v>3384</v>
      </c>
      <c r="M40" s="5">
        <v>6107</v>
      </c>
      <c r="N40" s="5">
        <v>5555</v>
      </c>
      <c r="O40" s="19">
        <f>Arrivals_pass[[#This Row],[2023]]/7*12</f>
        <v>9522.8571428571431</v>
      </c>
      <c r="Q40"/>
    </row>
    <row r="41" spans="1:17" x14ac:dyDescent="0.45">
      <c r="A41" s="8" t="s">
        <v>70</v>
      </c>
      <c r="B41" s="44" t="s">
        <v>603</v>
      </c>
      <c r="C41" s="18">
        <v>5444</v>
      </c>
      <c r="D41" s="5">
        <v>7159</v>
      </c>
      <c r="E41" s="5">
        <v>6726</v>
      </c>
      <c r="F41" s="5">
        <v>6047</v>
      </c>
      <c r="G41" s="5">
        <v>5754</v>
      </c>
      <c r="H41" s="5">
        <v>6612</v>
      </c>
      <c r="I41" s="5">
        <v>5583</v>
      </c>
      <c r="J41" s="5">
        <v>6157</v>
      </c>
      <c r="K41" s="5">
        <v>5626</v>
      </c>
      <c r="L41" s="5">
        <v>2798</v>
      </c>
      <c r="M41" s="5">
        <v>7193</v>
      </c>
      <c r="N41" s="5">
        <v>5700</v>
      </c>
      <c r="O41" s="19">
        <f>Arrivals_pass[[#This Row],[2023]]/7*12</f>
        <v>9771.4285714285725</v>
      </c>
      <c r="Q41"/>
    </row>
    <row r="42" spans="1:17" x14ac:dyDescent="0.45">
      <c r="A42" s="8" t="s">
        <v>70</v>
      </c>
      <c r="B42" s="44" t="s">
        <v>604</v>
      </c>
      <c r="C42" s="18">
        <v>5523</v>
      </c>
      <c r="D42" s="5">
        <v>6826</v>
      </c>
      <c r="E42" s="5">
        <v>7359</v>
      </c>
      <c r="F42" s="5">
        <v>6501</v>
      </c>
      <c r="G42" s="5">
        <v>5896</v>
      </c>
      <c r="H42" s="5">
        <v>8713</v>
      </c>
      <c r="I42" s="5">
        <v>5115</v>
      </c>
      <c r="J42" s="5">
        <v>5581</v>
      </c>
      <c r="K42" s="5">
        <v>8098</v>
      </c>
      <c r="L42" s="5">
        <v>3615</v>
      </c>
      <c r="M42" s="5">
        <v>6154</v>
      </c>
      <c r="N42" s="5">
        <v>5586</v>
      </c>
      <c r="O42" s="19">
        <f>Arrivals_pass[[#This Row],[2023]]/7*12</f>
        <v>9576</v>
      </c>
      <c r="Q42"/>
    </row>
    <row r="43" spans="1:17" x14ac:dyDescent="0.45">
      <c r="A43" s="8" t="s">
        <v>70</v>
      </c>
      <c r="B43" s="44" t="s">
        <v>605</v>
      </c>
      <c r="C43" s="18">
        <v>5626</v>
      </c>
      <c r="D43" s="5">
        <v>5648</v>
      </c>
      <c r="E43" s="5">
        <v>6850</v>
      </c>
      <c r="F43" s="5">
        <v>6408</v>
      </c>
      <c r="G43" s="5">
        <v>5934</v>
      </c>
      <c r="H43" s="5">
        <v>5060</v>
      </c>
      <c r="I43" s="5">
        <v>5071</v>
      </c>
      <c r="J43" s="5">
        <v>4189</v>
      </c>
      <c r="K43" s="5">
        <v>8942</v>
      </c>
      <c r="L43" s="5">
        <v>4255</v>
      </c>
      <c r="M43" s="5">
        <v>5654</v>
      </c>
      <c r="N43" s="5">
        <v>4220</v>
      </c>
      <c r="O43" s="19">
        <f>Arrivals_pass[[#This Row],[2023]]/7*12</f>
        <v>7234.2857142857147</v>
      </c>
      <c r="Q43"/>
    </row>
    <row r="44" spans="1:17" x14ac:dyDescent="0.45">
      <c r="A44" s="8" t="s">
        <v>70</v>
      </c>
      <c r="B44" s="44" t="s">
        <v>606</v>
      </c>
      <c r="C44" s="18">
        <v>6781</v>
      </c>
      <c r="D44" s="5">
        <v>9835</v>
      </c>
      <c r="E44" s="5">
        <v>6839</v>
      </c>
      <c r="F44" s="5">
        <v>9868</v>
      </c>
      <c r="G44" s="5">
        <v>6127</v>
      </c>
      <c r="H44" s="5">
        <v>5589</v>
      </c>
      <c r="I44" s="5">
        <v>5635</v>
      </c>
      <c r="J44" s="5">
        <v>5138</v>
      </c>
      <c r="K44" s="5">
        <v>3703</v>
      </c>
      <c r="L44" s="5">
        <v>5446</v>
      </c>
      <c r="M44" s="5">
        <v>6563</v>
      </c>
      <c r="N44" s="5">
        <v>5966</v>
      </c>
      <c r="O44" s="19">
        <f>Arrivals_pass[[#This Row],[2023]]/7*12</f>
        <v>10227.428571428572</v>
      </c>
      <c r="Q44"/>
    </row>
    <row r="45" spans="1:17" x14ac:dyDescent="0.45">
      <c r="A45" s="8" t="s">
        <v>70</v>
      </c>
      <c r="B45" s="44" t="s">
        <v>607</v>
      </c>
      <c r="C45" s="18">
        <v>6456</v>
      </c>
      <c r="D45" s="5">
        <v>7153</v>
      </c>
      <c r="E45" s="5">
        <v>6938</v>
      </c>
      <c r="F45" s="5">
        <v>6233</v>
      </c>
      <c r="G45" s="5">
        <v>4848</v>
      </c>
      <c r="H45" s="5">
        <v>5992</v>
      </c>
      <c r="I45" s="5">
        <v>5005</v>
      </c>
      <c r="J45" s="5">
        <v>5022</v>
      </c>
      <c r="K45" s="5">
        <v>4083</v>
      </c>
      <c r="L45" s="5">
        <v>6170</v>
      </c>
      <c r="M45" s="5">
        <v>5859</v>
      </c>
      <c r="N45" s="5">
        <v>0</v>
      </c>
      <c r="O45" s="19">
        <f>Arrivals_pass[[#This Row],[2023]]/7*12</f>
        <v>0</v>
      </c>
      <c r="Q45"/>
    </row>
    <row r="46" spans="1:17" x14ac:dyDescent="0.45">
      <c r="A46" s="8" t="s">
        <v>70</v>
      </c>
      <c r="B46" s="44" t="s">
        <v>608</v>
      </c>
      <c r="C46" s="18">
        <v>5935</v>
      </c>
      <c r="D46" s="5">
        <v>6284</v>
      </c>
      <c r="E46" s="5">
        <v>4796</v>
      </c>
      <c r="F46" s="5">
        <v>7148</v>
      </c>
      <c r="G46" s="5">
        <v>5803</v>
      </c>
      <c r="H46" s="5">
        <v>4675</v>
      </c>
      <c r="I46" s="5">
        <v>4446</v>
      </c>
      <c r="J46" s="5">
        <v>5483</v>
      </c>
      <c r="K46" s="5">
        <v>3891</v>
      </c>
      <c r="L46" s="5">
        <v>4117</v>
      </c>
      <c r="M46" s="5">
        <v>8039</v>
      </c>
      <c r="N46" s="5">
        <v>0</v>
      </c>
      <c r="O46" s="19">
        <f>Arrivals_pass[[#This Row],[2023]]/7*12</f>
        <v>0</v>
      </c>
      <c r="Q46"/>
    </row>
    <row r="47" spans="1:17" x14ac:dyDescent="0.45">
      <c r="A47" s="8" t="s">
        <v>70</v>
      </c>
      <c r="B47" s="44" t="s">
        <v>609</v>
      </c>
      <c r="C47" s="18">
        <v>5330</v>
      </c>
      <c r="D47" s="5">
        <v>6006</v>
      </c>
      <c r="E47" s="5">
        <v>4967</v>
      </c>
      <c r="F47" s="5">
        <v>4339</v>
      </c>
      <c r="G47" s="5">
        <v>4699</v>
      </c>
      <c r="H47" s="5">
        <v>5074</v>
      </c>
      <c r="I47" s="5">
        <v>3671</v>
      </c>
      <c r="J47" s="5">
        <v>4741</v>
      </c>
      <c r="K47" s="5">
        <v>2444</v>
      </c>
      <c r="L47" s="5">
        <v>4710</v>
      </c>
      <c r="M47" s="5">
        <v>5174</v>
      </c>
      <c r="N47" s="5">
        <v>0</v>
      </c>
      <c r="O47" s="19">
        <f>Arrivals_pass[[#This Row],[2023]]/7*12</f>
        <v>0</v>
      </c>
      <c r="Q47"/>
    </row>
    <row r="48" spans="1:17" x14ac:dyDescent="0.45">
      <c r="A48" s="8" t="s">
        <v>70</v>
      </c>
      <c r="B48" s="44" t="s">
        <v>610</v>
      </c>
      <c r="C48" s="18">
        <v>6431</v>
      </c>
      <c r="D48" s="5">
        <v>6267</v>
      </c>
      <c r="E48" s="5">
        <v>4757</v>
      </c>
      <c r="F48" s="5">
        <v>6764</v>
      </c>
      <c r="G48" s="5">
        <v>4687</v>
      </c>
      <c r="H48" s="5">
        <v>5394</v>
      </c>
      <c r="I48" s="5">
        <v>3988</v>
      </c>
      <c r="J48" s="5">
        <v>3676</v>
      </c>
      <c r="K48" s="5">
        <v>2732</v>
      </c>
      <c r="L48" s="5">
        <v>4312</v>
      </c>
      <c r="M48" s="5">
        <v>4126</v>
      </c>
      <c r="N48" s="5">
        <v>0</v>
      </c>
      <c r="O48" s="19">
        <f>Arrivals_pass[[#This Row],[2023]]/7*12</f>
        <v>0</v>
      </c>
      <c r="Q48"/>
    </row>
    <row r="49" spans="1:17" ht="14.65" thickBot="1" x14ac:dyDescent="0.5">
      <c r="A49" s="46" t="s">
        <v>70</v>
      </c>
      <c r="B49" s="45" t="s">
        <v>611</v>
      </c>
      <c r="C49" s="40">
        <v>6974</v>
      </c>
      <c r="D49" s="41">
        <v>6338</v>
      </c>
      <c r="E49" s="41">
        <v>6195</v>
      </c>
      <c r="F49" s="41">
        <v>5611</v>
      </c>
      <c r="G49" s="41">
        <v>5983</v>
      </c>
      <c r="H49" s="41">
        <v>3766</v>
      </c>
      <c r="I49" s="41">
        <v>3800</v>
      </c>
      <c r="J49" s="41">
        <v>3040</v>
      </c>
      <c r="K49" s="41">
        <v>3902</v>
      </c>
      <c r="L49" s="41">
        <v>6744</v>
      </c>
      <c r="M49" s="41">
        <v>6169</v>
      </c>
      <c r="N49" s="41">
        <v>0</v>
      </c>
      <c r="O49" s="42">
        <f>Arrivals_pass[[#This Row],[2023]]/7*12</f>
        <v>0</v>
      </c>
      <c r="Q49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67FF-8435-4BA3-AECD-27690A933987}">
  <sheetPr codeName="Sheet29">
    <tabColor rgb="FF7030A0"/>
  </sheetPr>
  <dimension ref="A1:AR71"/>
  <sheetViews>
    <sheetView zoomScale="80" zoomScaleNormal="80" workbookViewId="0">
      <selection activeCell="B2" sqref="B2"/>
    </sheetView>
  </sheetViews>
  <sheetFormatPr defaultRowHeight="14.25" x14ac:dyDescent="0.45"/>
  <cols>
    <col min="1" max="1" width="11.86328125" bestFit="1" customWidth="1"/>
    <col min="2" max="2" width="10.59765625" style="20" bestFit="1" customWidth="1"/>
    <col min="3" max="10" width="11.1328125" style="1" bestFit="1" customWidth="1"/>
    <col min="11" max="11" width="10.1328125" style="1" bestFit="1" customWidth="1"/>
    <col min="12" max="14" width="11.1328125" style="1" bestFit="1" customWidth="1"/>
    <col min="15" max="15" width="11.59765625" style="1" bestFit="1" customWidth="1"/>
    <col min="16" max="22" width="11.1328125" style="1" bestFit="1" customWidth="1"/>
    <col min="23" max="23" width="10.1328125" style="1" bestFit="1" customWidth="1"/>
    <col min="24" max="26" width="11.1328125" style="1" bestFit="1" customWidth="1"/>
    <col min="27" max="27" width="13.86328125" style="1" bestFit="1" customWidth="1"/>
    <col min="28" max="38" width="11.1328125" style="1" bestFit="1" customWidth="1"/>
    <col min="39" max="40" width="11.59765625" style="1" bestFit="1" customWidth="1"/>
    <col min="41" max="41" width="13.59765625" style="1" bestFit="1" customWidth="1"/>
  </cols>
  <sheetData>
    <row r="1" spans="1:44" ht="14.65" thickBot="1" x14ac:dyDescent="0.5">
      <c r="A1" s="8"/>
      <c r="C1" s="622" t="s">
        <v>612</v>
      </c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9"/>
      <c r="O1" s="623" t="s">
        <v>613</v>
      </c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5"/>
      <c r="AA1" s="626" t="s">
        <v>614</v>
      </c>
      <c r="AB1" s="508"/>
      <c r="AC1" s="508"/>
      <c r="AD1" s="508"/>
      <c r="AE1" s="508"/>
      <c r="AF1" s="508"/>
      <c r="AG1" s="508"/>
      <c r="AH1" s="508"/>
      <c r="AI1" s="508"/>
      <c r="AJ1" s="508"/>
      <c r="AK1" s="508"/>
      <c r="AL1" s="509"/>
      <c r="AP1" s="1"/>
      <c r="AQ1" s="1"/>
      <c r="AR1" s="1"/>
    </row>
    <row r="2" spans="1:44" s="2" customFormat="1" ht="14.65" thickBot="1" x14ac:dyDescent="0.5">
      <c r="A2" s="8"/>
      <c r="B2" s="25" t="s">
        <v>585</v>
      </c>
      <c r="C2" s="26">
        <v>2012</v>
      </c>
      <c r="D2" s="27">
        <v>2013</v>
      </c>
      <c r="E2" s="27">
        <v>2014</v>
      </c>
      <c r="F2" s="27">
        <v>2015</v>
      </c>
      <c r="G2" s="27">
        <v>2016</v>
      </c>
      <c r="H2" s="27">
        <v>2017</v>
      </c>
      <c r="I2" s="27">
        <v>2018</v>
      </c>
      <c r="J2" s="27">
        <v>2019</v>
      </c>
      <c r="K2" s="27">
        <v>2020</v>
      </c>
      <c r="L2" s="27">
        <v>2021</v>
      </c>
      <c r="M2" s="27">
        <v>2022</v>
      </c>
      <c r="N2" s="28">
        <v>2023</v>
      </c>
      <c r="O2" s="29">
        <v>2012</v>
      </c>
      <c r="P2" s="29">
        <v>2013</v>
      </c>
      <c r="Q2" s="29">
        <v>2014</v>
      </c>
      <c r="R2" s="29">
        <v>2015</v>
      </c>
      <c r="S2" s="29">
        <v>2016</v>
      </c>
      <c r="T2" s="29">
        <v>2017</v>
      </c>
      <c r="U2" s="29">
        <v>2018</v>
      </c>
      <c r="V2" s="29">
        <v>2019</v>
      </c>
      <c r="W2" s="29">
        <v>2020</v>
      </c>
      <c r="X2" s="29">
        <v>2021</v>
      </c>
      <c r="Y2" s="29">
        <v>2022</v>
      </c>
      <c r="Z2" s="29">
        <v>2023</v>
      </c>
      <c r="AA2" s="30">
        <v>2012</v>
      </c>
      <c r="AB2" s="31">
        <v>2013</v>
      </c>
      <c r="AC2" s="32">
        <v>2014</v>
      </c>
      <c r="AD2" s="31">
        <v>2015</v>
      </c>
      <c r="AE2" s="32">
        <v>2016</v>
      </c>
      <c r="AF2" s="31">
        <v>2017</v>
      </c>
      <c r="AG2" s="32">
        <v>2018</v>
      </c>
      <c r="AH2" s="31">
        <v>2019</v>
      </c>
      <c r="AI2" s="32">
        <v>2020</v>
      </c>
      <c r="AJ2" s="31">
        <v>2021</v>
      </c>
      <c r="AK2" s="31">
        <v>2022</v>
      </c>
      <c r="AL2" s="33">
        <v>2023</v>
      </c>
      <c r="AM2" s="3"/>
      <c r="AO2" s="3"/>
      <c r="AP2" s="3"/>
      <c r="AQ2" s="3"/>
      <c r="AR2" s="3"/>
    </row>
    <row r="3" spans="1:44" x14ac:dyDescent="0.45">
      <c r="A3" s="8"/>
      <c r="B3" s="21">
        <v>45017</v>
      </c>
      <c r="C3" s="18">
        <v>2928</v>
      </c>
      <c r="D3" s="5">
        <v>2976</v>
      </c>
      <c r="E3" s="5">
        <v>2942</v>
      </c>
      <c r="F3" s="5">
        <v>3098</v>
      </c>
      <c r="G3" s="5">
        <v>3039</v>
      </c>
      <c r="H3" s="5">
        <v>3152</v>
      </c>
      <c r="I3" s="5">
        <v>3166</v>
      </c>
      <c r="J3" s="5">
        <v>3187</v>
      </c>
      <c r="K3" s="5">
        <v>324</v>
      </c>
      <c r="L3" s="5">
        <v>1547</v>
      </c>
      <c r="M3" s="5">
        <v>2494</v>
      </c>
      <c r="N3" s="19">
        <v>3031</v>
      </c>
      <c r="O3" s="14">
        <v>2944</v>
      </c>
      <c r="P3" s="14">
        <v>2776</v>
      </c>
      <c r="Q3" s="14">
        <v>2941</v>
      </c>
      <c r="R3" s="14">
        <v>3100</v>
      </c>
      <c r="S3" s="14">
        <v>3034</v>
      </c>
      <c r="T3" s="14">
        <v>3148</v>
      </c>
      <c r="U3" s="14">
        <v>3155</v>
      </c>
      <c r="V3" s="14">
        <v>3178</v>
      </c>
      <c r="W3" s="14">
        <v>318</v>
      </c>
      <c r="X3" s="14">
        <v>1541</v>
      </c>
      <c r="Y3" s="14">
        <v>2459</v>
      </c>
      <c r="Z3" s="14">
        <v>3013</v>
      </c>
      <c r="AA3" s="11">
        <v>5872</v>
      </c>
      <c r="AB3" s="34">
        <v>5752</v>
      </c>
      <c r="AC3" s="34">
        <v>5883</v>
      </c>
      <c r="AD3" s="34">
        <v>6198</v>
      </c>
      <c r="AE3" s="34">
        <v>6073</v>
      </c>
      <c r="AF3" s="34">
        <v>6300</v>
      </c>
      <c r="AG3" s="34">
        <v>6321</v>
      </c>
      <c r="AH3" s="34">
        <v>6365</v>
      </c>
      <c r="AI3" s="34">
        <v>642</v>
      </c>
      <c r="AJ3" s="34">
        <v>3088</v>
      </c>
      <c r="AK3" s="34">
        <v>4953</v>
      </c>
      <c r="AL3" s="9">
        <v>6044</v>
      </c>
      <c r="AO3"/>
    </row>
    <row r="4" spans="1:44" x14ac:dyDescent="0.45">
      <c r="A4" s="8"/>
      <c r="B4" s="21">
        <v>45048</v>
      </c>
      <c r="C4" s="18">
        <v>2963</v>
      </c>
      <c r="D4" s="5">
        <v>3158</v>
      </c>
      <c r="E4" s="5">
        <v>2950</v>
      </c>
      <c r="F4" s="5">
        <v>3086</v>
      </c>
      <c r="G4" s="5">
        <v>3097</v>
      </c>
      <c r="H4" s="5">
        <v>3241</v>
      </c>
      <c r="I4" s="5">
        <v>3198</v>
      </c>
      <c r="J4" s="5">
        <v>3229</v>
      </c>
      <c r="K4" s="5">
        <v>446</v>
      </c>
      <c r="L4" s="5">
        <v>1668</v>
      </c>
      <c r="M4" s="5">
        <v>2569</v>
      </c>
      <c r="N4" s="19">
        <v>3081</v>
      </c>
      <c r="O4" s="14">
        <v>2721</v>
      </c>
      <c r="P4" s="14">
        <v>2925</v>
      </c>
      <c r="Q4" s="14">
        <v>2952</v>
      </c>
      <c r="R4" s="14">
        <v>3079</v>
      </c>
      <c r="S4" s="14">
        <v>3093</v>
      </c>
      <c r="T4" s="14">
        <v>3232</v>
      </c>
      <c r="U4" s="14">
        <v>3159</v>
      </c>
      <c r="V4" s="14">
        <v>3208</v>
      </c>
      <c r="W4" s="14">
        <v>428</v>
      </c>
      <c r="X4" s="14">
        <v>1646</v>
      </c>
      <c r="Y4" s="14">
        <v>2552</v>
      </c>
      <c r="Z4" s="14">
        <v>3068</v>
      </c>
      <c r="AA4" s="11">
        <v>5684</v>
      </c>
      <c r="AB4" s="34">
        <v>6083</v>
      </c>
      <c r="AC4" s="34">
        <v>5902</v>
      </c>
      <c r="AD4" s="34">
        <v>6165</v>
      </c>
      <c r="AE4" s="34">
        <v>6190</v>
      </c>
      <c r="AF4" s="34">
        <v>6473</v>
      </c>
      <c r="AG4" s="34">
        <v>6357</v>
      </c>
      <c r="AH4" s="34">
        <v>6437</v>
      </c>
      <c r="AI4" s="34">
        <v>874</v>
      </c>
      <c r="AJ4" s="34">
        <v>3314</v>
      </c>
      <c r="AK4" s="34">
        <v>5121</v>
      </c>
      <c r="AL4" s="9">
        <v>6149</v>
      </c>
      <c r="AO4"/>
    </row>
    <row r="5" spans="1:44" x14ac:dyDescent="0.45">
      <c r="A5" s="8"/>
      <c r="B5" s="21">
        <v>45080</v>
      </c>
      <c r="C5" s="18">
        <v>2921</v>
      </c>
      <c r="D5" s="5">
        <v>3068</v>
      </c>
      <c r="E5" s="5">
        <v>2861</v>
      </c>
      <c r="F5" s="5">
        <v>2989</v>
      </c>
      <c r="G5" s="5">
        <v>2966</v>
      </c>
      <c r="H5" s="5">
        <v>3119</v>
      </c>
      <c r="I5" s="5">
        <v>3084</v>
      </c>
      <c r="J5" s="5">
        <v>3144</v>
      </c>
      <c r="K5" s="5">
        <v>438</v>
      </c>
      <c r="L5" s="5">
        <v>1678</v>
      </c>
      <c r="M5" s="5">
        <v>2454</v>
      </c>
      <c r="N5" s="19">
        <v>2972</v>
      </c>
      <c r="O5" s="14">
        <v>2916</v>
      </c>
      <c r="P5" s="14">
        <v>2837</v>
      </c>
      <c r="Q5" s="14">
        <v>2864</v>
      </c>
      <c r="R5" s="14">
        <v>2993</v>
      </c>
      <c r="S5" s="14">
        <v>2960</v>
      </c>
      <c r="T5" s="14">
        <v>3119</v>
      </c>
      <c r="U5" s="14">
        <v>3083</v>
      </c>
      <c r="V5" s="14">
        <v>3132</v>
      </c>
      <c r="W5" s="14">
        <v>441</v>
      </c>
      <c r="X5" s="14">
        <v>1665</v>
      </c>
      <c r="Y5" s="14">
        <v>2431</v>
      </c>
      <c r="Z5" s="14">
        <v>2951</v>
      </c>
      <c r="AA5" s="11">
        <v>5837</v>
      </c>
      <c r="AB5" s="34">
        <v>5905</v>
      </c>
      <c r="AC5" s="34">
        <v>5725</v>
      </c>
      <c r="AD5" s="34">
        <v>5982</v>
      </c>
      <c r="AE5" s="34">
        <v>5926</v>
      </c>
      <c r="AF5" s="34">
        <v>6238</v>
      </c>
      <c r="AG5" s="34">
        <v>6167</v>
      </c>
      <c r="AH5" s="34">
        <v>6276</v>
      </c>
      <c r="AI5" s="34">
        <v>879</v>
      </c>
      <c r="AJ5" s="34">
        <v>3343</v>
      </c>
      <c r="AK5" s="34">
        <v>4885</v>
      </c>
      <c r="AL5" s="9">
        <v>5923</v>
      </c>
      <c r="AO5"/>
    </row>
    <row r="6" spans="1:44" x14ac:dyDescent="0.45">
      <c r="A6" s="8"/>
      <c r="B6" s="21">
        <v>45111</v>
      </c>
      <c r="C6" s="18">
        <v>3065</v>
      </c>
      <c r="D6" s="5">
        <v>3227</v>
      </c>
      <c r="E6" s="5">
        <v>3065</v>
      </c>
      <c r="F6" s="5">
        <v>3116</v>
      </c>
      <c r="G6" s="5">
        <v>3134</v>
      </c>
      <c r="H6" s="5">
        <v>3309</v>
      </c>
      <c r="I6" s="5">
        <v>3238</v>
      </c>
      <c r="J6" s="5">
        <v>3394</v>
      </c>
      <c r="K6" s="5">
        <v>461</v>
      </c>
      <c r="L6" s="5">
        <v>1659</v>
      </c>
      <c r="M6" s="5">
        <v>2618</v>
      </c>
      <c r="N6" s="19">
        <v>3111</v>
      </c>
      <c r="O6" s="14">
        <v>2820</v>
      </c>
      <c r="P6" s="14">
        <v>2994</v>
      </c>
      <c r="Q6" s="14">
        <v>3058</v>
      </c>
      <c r="R6" s="14">
        <v>3123</v>
      </c>
      <c r="S6" s="14">
        <v>3124</v>
      </c>
      <c r="T6" s="14">
        <v>3297</v>
      </c>
      <c r="U6" s="14">
        <v>3225</v>
      </c>
      <c r="V6" s="14">
        <v>3369</v>
      </c>
      <c r="W6" s="14">
        <v>440</v>
      </c>
      <c r="X6" s="14">
        <v>1647</v>
      </c>
      <c r="Y6" s="14">
        <v>2599</v>
      </c>
      <c r="Z6" s="14">
        <v>3089</v>
      </c>
      <c r="AA6" s="11">
        <v>5885</v>
      </c>
      <c r="AB6" s="34">
        <v>6221</v>
      </c>
      <c r="AC6" s="34">
        <v>6123</v>
      </c>
      <c r="AD6" s="34">
        <v>6239</v>
      </c>
      <c r="AE6" s="34">
        <v>6258</v>
      </c>
      <c r="AF6" s="34">
        <v>6606</v>
      </c>
      <c r="AG6" s="34">
        <v>6463</v>
      </c>
      <c r="AH6" s="34">
        <v>6763</v>
      </c>
      <c r="AI6" s="34">
        <v>901</v>
      </c>
      <c r="AJ6" s="34">
        <v>3306</v>
      </c>
      <c r="AK6" s="34">
        <v>5217</v>
      </c>
      <c r="AL6" s="9">
        <v>6200</v>
      </c>
      <c r="AO6"/>
    </row>
    <row r="7" spans="1:44" x14ac:dyDescent="0.45">
      <c r="A7" s="8"/>
      <c r="B7" s="21">
        <v>45143</v>
      </c>
      <c r="C7" s="18">
        <v>3069</v>
      </c>
      <c r="D7" s="5">
        <v>3232</v>
      </c>
      <c r="E7" s="5">
        <v>3071</v>
      </c>
      <c r="F7" s="5">
        <v>3070</v>
      </c>
      <c r="G7" s="5">
        <v>3174</v>
      </c>
      <c r="H7" s="5">
        <v>3330</v>
      </c>
      <c r="I7" s="5">
        <v>3256</v>
      </c>
      <c r="J7" s="5">
        <v>3357</v>
      </c>
      <c r="K7" s="5">
        <v>447</v>
      </c>
      <c r="L7" s="5">
        <v>1783</v>
      </c>
      <c r="M7" s="5">
        <v>2700</v>
      </c>
      <c r="N7" s="19">
        <v>3220</v>
      </c>
      <c r="O7" s="14">
        <v>3075</v>
      </c>
      <c r="P7" s="14">
        <v>3016</v>
      </c>
      <c r="Q7" s="14">
        <v>3077</v>
      </c>
      <c r="R7" s="14">
        <v>3066</v>
      </c>
      <c r="S7" s="14">
        <v>3171</v>
      </c>
      <c r="T7" s="14">
        <v>3331</v>
      </c>
      <c r="U7" s="14">
        <v>3232</v>
      </c>
      <c r="V7" s="14">
        <v>3331</v>
      </c>
      <c r="W7" s="14">
        <v>415</v>
      </c>
      <c r="X7" s="14">
        <v>1763</v>
      </c>
      <c r="Y7" s="14">
        <v>2681</v>
      </c>
      <c r="Z7" s="14">
        <v>3203</v>
      </c>
      <c r="AA7" s="11">
        <v>6144</v>
      </c>
      <c r="AB7" s="34">
        <v>6248</v>
      </c>
      <c r="AC7" s="34">
        <v>6148</v>
      </c>
      <c r="AD7" s="34">
        <v>6136</v>
      </c>
      <c r="AE7" s="34">
        <v>6345</v>
      </c>
      <c r="AF7" s="34">
        <v>6661</v>
      </c>
      <c r="AG7" s="34">
        <v>6488</v>
      </c>
      <c r="AH7" s="34">
        <v>6688</v>
      </c>
      <c r="AI7" s="34">
        <v>862</v>
      </c>
      <c r="AJ7" s="34">
        <v>3546</v>
      </c>
      <c r="AK7" s="34">
        <v>5381</v>
      </c>
      <c r="AL7" s="9">
        <v>6423</v>
      </c>
      <c r="AO7"/>
    </row>
    <row r="8" spans="1:44" x14ac:dyDescent="0.45">
      <c r="A8" s="8"/>
      <c r="B8" s="21">
        <v>45175</v>
      </c>
      <c r="C8" s="18">
        <v>2908</v>
      </c>
      <c r="D8" s="5">
        <v>3119</v>
      </c>
      <c r="E8" s="5">
        <v>2957</v>
      </c>
      <c r="F8" s="5">
        <v>2988</v>
      </c>
      <c r="G8" s="5">
        <v>3098</v>
      </c>
      <c r="H8" s="5">
        <v>3214</v>
      </c>
      <c r="I8" s="5">
        <v>3138</v>
      </c>
      <c r="J8" s="5">
        <v>3233</v>
      </c>
      <c r="K8" s="5">
        <v>479</v>
      </c>
      <c r="L8" s="5">
        <v>1848</v>
      </c>
      <c r="M8" s="5">
        <v>2659</v>
      </c>
      <c r="N8" s="19">
        <v>3169</v>
      </c>
      <c r="O8" s="14">
        <v>2680</v>
      </c>
      <c r="P8" s="14">
        <v>2913</v>
      </c>
      <c r="Q8" s="14">
        <v>2962</v>
      </c>
      <c r="R8" s="14">
        <v>2986</v>
      </c>
      <c r="S8" s="14">
        <v>3092</v>
      </c>
      <c r="T8" s="14">
        <v>3197</v>
      </c>
      <c r="U8" s="14">
        <v>3116</v>
      </c>
      <c r="V8" s="14">
        <v>3210</v>
      </c>
      <c r="W8" s="14">
        <v>452</v>
      </c>
      <c r="X8" s="14">
        <v>1828</v>
      </c>
      <c r="Y8" s="14">
        <v>2639</v>
      </c>
      <c r="Z8" s="14">
        <v>3141</v>
      </c>
      <c r="AA8" s="11">
        <v>5588</v>
      </c>
      <c r="AB8" s="34">
        <v>6032</v>
      </c>
      <c r="AC8" s="34">
        <v>5919</v>
      </c>
      <c r="AD8" s="34">
        <v>5974</v>
      </c>
      <c r="AE8" s="34">
        <v>6190</v>
      </c>
      <c r="AF8" s="34">
        <v>6411</v>
      </c>
      <c r="AG8" s="34">
        <v>6254</v>
      </c>
      <c r="AH8" s="34">
        <v>6443</v>
      </c>
      <c r="AI8" s="34">
        <v>931</v>
      </c>
      <c r="AJ8" s="34">
        <v>3676</v>
      </c>
      <c r="AK8" s="34">
        <v>5298</v>
      </c>
      <c r="AL8" s="9">
        <v>6310</v>
      </c>
      <c r="AO8"/>
    </row>
    <row r="9" spans="1:44" x14ac:dyDescent="0.45">
      <c r="A9" s="8" t="s">
        <v>64</v>
      </c>
      <c r="B9" s="21">
        <v>45206</v>
      </c>
      <c r="C9" s="18">
        <v>3101</v>
      </c>
      <c r="D9" s="5">
        <v>3283</v>
      </c>
      <c r="E9" s="5">
        <v>3111</v>
      </c>
      <c r="F9" s="5">
        <v>3213</v>
      </c>
      <c r="G9" s="5">
        <v>3227</v>
      </c>
      <c r="H9" s="5">
        <v>3334</v>
      </c>
      <c r="I9" s="5">
        <v>3314</v>
      </c>
      <c r="J9" s="5">
        <v>3359</v>
      </c>
      <c r="K9" s="5">
        <v>1021</v>
      </c>
      <c r="L9" s="5">
        <v>2060</v>
      </c>
      <c r="M9" s="5">
        <v>2806</v>
      </c>
      <c r="N9" s="19">
        <v>3399</v>
      </c>
      <c r="O9" s="14">
        <v>2830</v>
      </c>
      <c r="P9" s="14">
        <v>3050</v>
      </c>
      <c r="Q9" s="14">
        <v>3105</v>
      </c>
      <c r="R9" s="14">
        <v>3203</v>
      </c>
      <c r="S9" s="14">
        <v>3224</v>
      </c>
      <c r="T9" s="14">
        <v>3325</v>
      </c>
      <c r="U9" s="14">
        <v>3287</v>
      </c>
      <c r="V9" s="14">
        <v>3337</v>
      </c>
      <c r="W9" s="14">
        <v>1018</v>
      </c>
      <c r="X9" s="14">
        <v>2038</v>
      </c>
      <c r="Y9" s="14">
        <v>2785</v>
      </c>
      <c r="Z9" s="14">
        <v>3372</v>
      </c>
      <c r="AA9" s="11">
        <v>5931</v>
      </c>
      <c r="AB9" s="34">
        <v>6333</v>
      </c>
      <c r="AC9" s="34">
        <v>6216</v>
      </c>
      <c r="AD9" s="34">
        <v>6416</v>
      </c>
      <c r="AE9" s="34">
        <v>6451</v>
      </c>
      <c r="AF9" s="34">
        <v>6659</v>
      </c>
      <c r="AG9" s="34">
        <v>6601</v>
      </c>
      <c r="AH9" s="34">
        <v>6696</v>
      </c>
      <c r="AI9" s="34">
        <v>2039</v>
      </c>
      <c r="AJ9" s="34">
        <v>4098</v>
      </c>
      <c r="AK9" s="34">
        <v>5591</v>
      </c>
      <c r="AL9" s="9">
        <v>6771</v>
      </c>
      <c r="AO9"/>
    </row>
    <row r="10" spans="1:44" x14ac:dyDescent="0.45">
      <c r="A10" s="8"/>
      <c r="B10" s="21">
        <v>45238</v>
      </c>
      <c r="C10" s="18">
        <v>3069</v>
      </c>
      <c r="D10" s="5">
        <v>3315</v>
      </c>
      <c r="E10" s="5">
        <v>3109</v>
      </c>
      <c r="F10" s="5">
        <v>3005</v>
      </c>
      <c r="G10" s="5">
        <v>3192</v>
      </c>
      <c r="H10" s="5">
        <v>3288</v>
      </c>
      <c r="I10" s="5">
        <v>3320</v>
      </c>
      <c r="J10" s="5">
        <v>3204</v>
      </c>
      <c r="K10" s="5">
        <v>1237</v>
      </c>
      <c r="L10" s="5">
        <v>2108</v>
      </c>
      <c r="M10" s="5">
        <v>2825</v>
      </c>
      <c r="N10" s="19">
        <v>0</v>
      </c>
      <c r="O10" s="14">
        <v>2827</v>
      </c>
      <c r="P10" s="14">
        <v>3097</v>
      </c>
      <c r="Q10" s="14">
        <v>3100</v>
      </c>
      <c r="R10" s="14">
        <v>2999</v>
      </c>
      <c r="S10" s="14">
        <v>3207</v>
      </c>
      <c r="T10" s="14">
        <v>3270</v>
      </c>
      <c r="U10" s="14">
        <v>3308</v>
      </c>
      <c r="V10" s="14">
        <v>3183</v>
      </c>
      <c r="W10" s="14">
        <v>1216</v>
      </c>
      <c r="X10" s="14">
        <v>2084</v>
      </c>
      <c r="Y10" s="14">
        <v>2818</v>
      </c>
      <c r="Z10" s="14">
        <v>0</v>
      </c>
      <c r="AA10" s="11">
        <v>5896</v>
      </c>
      <c r="AB10" s="34">
        <v>6412</v>
      </c>
      <c r="AC10" s="34">
        <v>6209</v>
      </c>
      <c r="AD10" s="34">
        <v>6004</v>
      </c>
      <c r="AE10" s="34">
        <v>6399</v>
      </c>
      <c r="AF10" s="34">
        <v>6558</v>
      </c>
      <c r="AG10" s="34">
        <v>6628</v>
      </c>
      <c r="AH10" s="34">
        <v>6387</v>
      </c>
      <c r="AI10" s="34">
        <v>2453</v>
      </c>
      <c r="AJ10" s="34">
        <v>4192</v>
      </c>
      <c r="AK10" s="34">
        <v>5643</v>
      </c>
      <c r="AL10" s="9">
        <v>0</v>
      </c>
      <c r="AO10"/>
    </row>
    <row r="11" spans="1:44" x14ac:dyDescent="0.45">
      <c r="A11" s="8"/>
      <c r="B11" s="21">
        <v>45269</v>
      </c>
      <c r="C11" s="18">
        <v>3136</v>
      </c>
      <c r="D11" s="5">
        <v>3325</v>
      </c>
      <c r="E11" s="5">
        <v>3202</v>
      </c>
      <c r="F11" s="5">
        <v>3095</v>
      </c>
      <c r="G11" s="5">
        <v>3275</v>
      </c>
      <c r="H11" s="5">
        <v>3371</v>
      </c>
      <c r="I11" s="5">
        <v>3484</v>
      </c>
      <c r="J11" s="5">
        <v>3504</v>
      </c>
      <c r="K11" s="5">
        <v>1491</v>
      </c>
      <c r="L11" s="5">
        <v>1929</v>
      </c>
      <c r="M11" s="5">
        <v>3065</v>
      </c>
      <c r="N11" s="19">
        <v>0</v>
      </c>
      <c r="O11" s="14">
        <v>2911</v>
      </c>
      <c r="P11" s="14">
        <v>3137</v>
      </c>
      <c r="Q11" s="14">
        <v>3183</v>
      </c>
      <c r="R11" s="14">
        <v>3108</v>
      </c>
      <c r="S11" s="14">
        <v>3288</v>
      </c>
      <c r="T11" s="14">
        <v>3349</v>
      </c>
      <c r="U11" s="14">
        <v>3468</v>
      </c>
      <c r="V11" s="14">
        <v>3481</v>
      </c>
      <c r="W11" s="14">
        <v>1495</v>
      </c>
      <c r="X11" s="14">
        <v>1886</v>
      </c>
      <c r="Y11" s="14">
        <v>3036</v>
      </c>
      <c r="Z11" s="14">
        <v>0</v>
      </c>
      <c r="AA11" s="11">
        <v>6047</v>
      </c>
      <c r="AB11" s="34">
        <v>6462</v>
      </c>
      <c r="AC11" s="34">
        <v>6385</v>
      </c>
      <c r="AD11" s="34">
        <v>6203</v>
      </c>
      <c r="AE11" s="34">
        <v>6563</v>
      </c>
      <c r="AF11" s="34">
        <v>6720</v>
      </c>
      <c r="AG11" s="34">
        <v>6952</v>
      </c>
      <c r="AH11" s="34">
        <v>6985</v>
      </c>
      <c r="AI11" s="34">
        <v>2986</v>
      </c>
      <c r="AJ11" s="34">
        <v>3815</v>
      </c>
      <c r="AK11" s="34">
        <v>6101</v>
      </c>
      <c r="AL11" s="9">
        <v>0</v>
      </c>
      <c r="AO11"/>
    </row>
    <row r="12" spans="1:44" x14ac:dyDescent="0.45">
      <c r="A12" s="8"/>
      <c r="B12" s="21">
        <v>44936</v>
      </c>
      <c r="C12" s="18">
        <v>3049</v>
      </c>
      <c r="D12" s="5">
        <v>3300</v>
      </c>
      <c r="E12" s="5">
        <v>3199</v>
      </c>
      <c r="F12" s="5">
        <v>3073</v>
      </c>
      <c r="G12" s="5">
        <v>3296</v>
      </c>
      <c r="H12" s="5">
        <v>3357</v>
      </c>
      <c r="I12" s="5">
        <v>3388</v>
      </c>
      <c r="J12" s="5">
        <v>3449</v>
      </c>
      <c r="K12" s="5">
        <v>1297</v>
      </c>
      <c r="L12" s="5">
        <v>2028</v>
      </c>
      <c r="M12" s="5">
        <v>3024</v>
      </c>
      <c r="N12" s="19">
        <v>0</v>
      </c>
      <c r="O12" s="14">
        <v>2868</v>
      </c>
      <c r="P12" s="14">
        <v>3121</v>
      </c>
      <c r="Q12" s="14">
        <v>3198</v>
      </c>
      <c r="R12" s="14">
        <v>3064</v>
      </c>
      <c r="S12" s="14">
        <v>3295</v>
      </c>
      <c r="T12" s="14">
        <v>3345</v>
      </c>
      <c r="U12" s="14">
        <v>3376</v>
      </c>
      <c r="V12" s="14">
        <v>3434</v>
      </c>
      <c r="W12" s="14">
        <v>1296</v>
      </c>
      <c r="X12" s="14">
        <v>1999</v>
      </c>
      <c r="Y12" s="14">
        <v>3005</v>
      </c>
      <c r="Z12" s="14">
        <v>0</v>
      </c>
      <c r="AA12" s="11">
        <v>5917</v>
      </c>
      <c r="AB12" s="34">
        <v>6421</v>
      </c>
      <c r="AC12" s="34">
        <v>6397</v>
      </c>
      <c r="AD12" s="34">
        <v>6137</v>
      </c>
      <c r="AE12" s="34">
        <v>6591</v>
      </c>
      <c r="AF12" s="34">
        <v>6702</v>
      </c>
      <c r="AG12" s="34">
        <v>6764</v>
      </c>
      <c r="AH12" s="34">
        <v>6883</v>
      </c>
      <c r="AI12" s="34">
        <v>2593</v>
      </c>
      <c r="AJ12" s="34">
        <v>4027</v>
      </c>
      <c r="AK12" s="34">
        <v>6029</v>
      </c>
      <c r="AL12" s="9">
        <v>0</v>
      </c>
      <c r="AO12"/>
    </row>
    <row r="13" spans="1:44" x14ac:dyDescent="0.45">
      <c r="A13" s="8"/>
      <c r="B13" s="21">
        <v>44968</v>
      </c>
      <c r="C13" s="18">
        <v>2815</v>
      </c>
      <c r="D13" s="5">
        <v>2992</v>
      </c>
      <c r="E13" s="5">
        <v>2879</v>
      </c>
      <c r="F13" s="5">
        <v>2932</v>
      </c>
      <c r="G13" s="5">
        <v>2964</v>
      </c>
      <c r="H13" s="5">
        <v>3015</v>
      </c>
      <c r="I13" s="5">
        <v>3049</v>
      </c>
      <c r="J13" s="5">
        <v>3162</v>
      </c>
      <c r="K13" s="5">
        <v>1187</v>
      </c>
      <c r="L13" s="5">
        <v>2020</v>
      </c>
      <c r="M13" s="5">
        <v>2765</v>
      </c>
      <c r="N13" s="19">
        <v>0</v>
      </c>
      <c r="O13" s="14">
        <v>2615</v>
      </c>
      <c r="P13" s="14">
        <v>2797</v>
      </c>
      <c r="Q13" s="14">
        <v>2879</v>
      </c>
      <c r="R13" s="14">
        <v>2922</v>
      </c>
      <c r="S13" s="14">
        <v>2974</v>
      </c>
      <c r="T13" s="14">
        <v>2997</v>
      </c>
      <c r="U13" s="14">
        <v>3037</v>
      </c>
      <c r="V13" s="14">
        <v>3159</v>
      </c>
      <c r="W13" s="14">
        <v>1182</v>
      </c>
      <c r="X13" s="14">
        <v>2013</v>
      </c>
      <c r="Y13" s="14">
        <v>2759</v>
      </c>
      <c r="Z13" s="14">
        <v>0</v>
      </c>
      <c r="AA13" s="11">
        <v>5430</v>
      </c>
      <c r="AB13" s="34">
        <v>5789</v>
      </c>
      <c r="AC13" s="34">
        <v>5758</v>
      </c>
      <c r="AD13" s="34">
        <v>5854</v>
      </c>
      <c r="AE13" s="34">
        <v>5938</v>
      </c>
      <c r="AF13" s="34">
        <v>6012</v>
      </c>
      <c r="AG13" s="34">
        <v>6086</v>
      </c>
      <c r="AH13" s="34">
        <v>6321</v>
      </c>
      <c r="AI13" s="34">
        <v>2369</v>
      </c>
      <c r="AJ13" s="34">
        <v>4033</v>
      </c>
      <c r="AK13" s="34">
        <v>5524</v>
      </c>
      <c r="AL13" s="9">
        <v>0</v>
      </c>
      <c r="AO13"/>
    </row>
    <row r="14" spans="1:44" x14ac:dyDescent="0.45">
      <c r="A14" s="8"/>
      <c r="B14" s="21">
        <v>44997</v>
      </c>
      <c r="C14" s="18">
        <v>3119</v>
      </c>
      <c r="D14" s="5">
        <v>3320</v>
      </c>
      <c r="E14" s="5">
        <v>3223</v>
      </c>
      <c r="F14" s="5">
        <v>3138</v>
      </c>
      <c r="G14" s="5">
        <v>3260</v>
      </c>
      <c r="H14" s="5">
        <v>3317</v>
      </c>
      <c r="I14" s="5">
        <v>3383</v>
      </c>
      <c r="J14" s="5">
        <v>2302</v>
      </c>
      <c r="K14" s="5">
        <v>1469</v>
      </c>
      <c r="L14" s="5">
        <v>2415</v>
      </c>
      <c r="M14" s="5">
        <v>3176</v>
      </c>
      <c r="N14" s="19">
        <v>0</v>
      </c>
      <c r="O14" s="14">
        <v>2900</v>
      </c>
      <c r="P14" s="14">
        <v>3110</v>
      </c>
      <c r="Q14" s="14">
        <v>3218</v>
      </c>
      <c r="R14" s="14">
        <v>3138</v>
      </c>
      <c r="S14" s="14">
        <v>3252</v>
      </c>
      <c r="T14" s="14">
        <v>3319</v>
      </c>
      <c r="U14" s="14">
        <v>3373</v>
      </c>
      <c r="V14" s="14">
        <v>2278</v>
      </c>
      <c r="W14" s="14">
        <v>1459</v>
      </c>
      <c r="X14" s="14">
        <v>2404</v>
      </c>
      <c r="Y14" s="14">
        <v>3169</v>
      </c>
      <c r="Z14" s="14">
        <v>0</v>
      </c>
      <c r="AA14" s="11">
        <v>6019</v>
      </c>
      <c r="AB14" s="34">
        <v>6430</v>
      </c>
      <c r="AC14" s="34">
        <v>6441</v>
      </c>
      <c r="AD14" s="34">
        <v>6276</v>
      </c>
      <c r="AE14" s="34">
        <v>6512</v>
      </c>
      <c r="AF14" s="34">
        <v>6636</v>
      </c>
      <c r="AG14" s="34">
        <v>6756</v>
      </c>
      <c r="AH14" s="34">
        <v>4580</v>
      </c>
      <c r="AI14" s="34">
        <v>2928</v>
      </c>
      <c r="AJ14" s="34">
        <v>4819</v>
      </c>
      <c r="AK14" s="34">
        <v>6345</v>
      </c>
      <c r="AL14" s="9">
        <v>0</v>
      </c>
      <c r="AO14"/>
    </row>
    <row r="15" spans="1:44" x14ac:dyDescent="0.45">
      <c r="A15" s="8"/>
      <c r="B15" s="22" t="s">
        <v>52</v>
      </c>
      <c r="C15" s="12">
        <v>36143</v>
      </c>
      <c r="D15" s="15">
        <v>38315</v>
      </c>
      <c r="E15" s="15">
        <v>36569</v>
      </c>
      <c r="F15" s="15">
        <v>36803</v>
      </c>
      <c r="G15" s="15">
        <v>37722</v>
      </c>
      <c r="H15" s="15">
        <v>39047</v>
      </c>
      <c r="I15" s="15">
        <v>39018</v>
      </c>
      <c r="J15" s="15">
        <v>38524</v>
      </c>
      <c r="K15" s="15">
        <v>10297</v>
      </c>
      <c r="L15" s="15">
        <v>22743</v>
      </c>
      <c r="M15" s="15">
        <v>33155</v>
      </c>
      <c r="N15" s="16">
        <v>21983</v>
      </c>
      <c r="O15" s="15">
        <v>34107</v>
      </c>
      <c r="P15" s="15">
        <v>35773</v>
      </c>
      <c r="Q15" s="15">
        <v>36537</v>
      </c>
      <c r="R15" s="15">
        <v>36781</v>
      </c>
      <c r="S15" s="15">
        <v>37714</v>
      </c>
      <c r="T15" s="15">
        <v>38929</v>
      </c>
      <c r="U15" s="15">
        <v>38819</v>
      </c>
      <c r="V15" s="15">
        <v>38300</v>
      </c>
      <c r="W15" s="15">
        <v>10160</v>
      </c>
      <c r="X15" s="15">
        <v>22514</v>
      </c>
      <c r="Y15" s="15">
        <v>32933</v>
      </c>
      <c r="Z15" s="15">
        <v>21837</v>
      </c>
      <c r="AA15" s="12">
        <v>70250</v>
      </c>
      <c r="AB15" s="15">
        <v>74088</v>
      </c>
      <c r="AC15" s="15">
        <v>73106</v>
      </c>
      <c r="AD15" s="15">
        <v>73584</v>
      </c>
      <c r="AE15" s="15">
        <v>75436</v>
      </c>
      <c r="AF15" s="15">
        <v>77976</v>
      </c>
      <c r="AG15" s="15">
        <v>77837</v>
      </c>
      <c r="AH15" s="15">
        <v>76824</v>
      </c>
      <c r="AI15" s="15">
        <v>20457</v>
      </c>
      <c r="AJ15" s="15">
        <v>45257</v>
      </c>
      <c r="AK15" s="15">
        <v>66088</v>
      </c>
      <c r="AL15" s="16">
        <v>43820</v>
      </c>
      <c r="AO15"/>
    </row>
    <row r="16" spans="1:44" x14ac:dyDescent="0.45">
      <c r="A16" s="8"/>
      <c r="B16" s="21">
        <v>45017</v>
      </c>
      <c r="C16" s="18">
        <v>898</v>
      </c>
      <c r="D16" s="5">
        <v>903</v>
      </c>
      <c r="E16" s="5">
        <v>997</v>
      </c>
      <c r="F16" s="5">
        <v>1079</v>
      </c>
      <c r="G16" s="5">
        <v>1095</v>
      </c>
      <c r="H16" s="5">
        <v>1069</v>
      </c>
      <c r="I16" s="5">
        <v>971</v>
      </c>
      <c r="J16" s="5">
        <v>992</v>
      </c>
      <c r="K16" s="5">
        <v>68</v>
      </c>
      <c r="L16" s="5">
        <v>506</v>
      </c>
      <c r="M16" s="5">
        <v>685</v>
      </c>
      <c r="N16" s="19">
        <v>877</v>
      </c>
      <c r="O16" s="14">
        <v>935</v>
      </c>
      <c r="P16" s="14">
        <v>905</v>
      </c>
      <c r="Q16" s="14">
        <v>995</v>
      </c>
      <c r="R16" s="14">
        <v>1081</v>
      </c>
      <c r="S16" s="14">
        <v>1086</v>
      </c>
      <c r="T16" s="14">
        <v>1069</v>
      </c>
      <c r="U16" s="14">
        <v>973</v>
      </c>
      <c r="V16" s="14">
        <v>997</v>
      </c>
      <c r="W16" s="14">
        <v>67</v>
      </c>
      <c r="X16" s="14">
        <v>501</v>
      </c>
      <c r="Y16" s="14">
        <v>680</v>
      </c>
      <c r="Z16" s="14">
        <v>871</v>
      </c>
      <c r="AA16" s="11">
        <v>1833</v>
      </c>
      <c r="AB16" s="34">
        <v>1808</v>
      </c>
      <c r="AC16" s="34">
        <v>1992</v>
      </c>
      <c r="AD16" s="34">
        <v>2160</v>
      </c>
      <c r="AE16" s="34">
        <v>2181</v>
      </c>
      <c r="AF16" s="34">
        <v>2138</v>
      </c>
      <c r="AG16" s="34">
        <v>1944</v>
      </c>
      <c r="AH16" s="34">
        <v>1989</v>
      </c>
      <c r="AI16" s="34">
        <v>135</v>
      </c>
      <c r="AJ16" s="34">
        <v>1007</v>
      </c>
      <c r="AK16" s="34">
        <v>1365</v>
      </c>
      <c r="AL16" s="9">
        <v>1748</v>
      </c>
      <c r="AO16"/>
    </row>
    <row r="17" spans="1:41" x14ac:dyDescent="0.45">
      <c r="A17" s="8"/>
      <c r="B17" s="21">
        <v>45048</v>
      </c>
      <c r="C17" s="18">
        <v>962</v>
      </c>
      <c r="D17" s="5">
        <v>947</v>
      </c>
      <c r="E17" s="5">
        <v>1010</v>
      </c>
      <c r="F17" s="5">
        <v>1143</v>
      </c>
      <c r="G17" s="5">
        <v>1124</v>
      </c>
      <c r="H17" s="5">
        <v>1154</v>
      </c>
      <c r="I17" s="5">
        <v>1005</v>
      </c>
      <c r="J17" s="5">
        <v>992</v>
      </c>
      <c r="K17" s="5">
        <v>83</v>
      </c>
      <c r="L17" s="5">
        <v>533</v>
      </c>
      <c r="M17" s="5">
        <v>831</v>
      </c>
      <c r="N17" s="19">
        <v>966</v>
      </c>
      <c r="O17" s="14">
        <v>959</v>
      </c>
      <c r="P17" s="14">
        <v>946</v>
      </c>
      <c r="Q17" s="14">
        <v>1008</v>
      </c>
      <c r="R17" s="14">
        <v>1149</v>
      </c>
      <c r="S17" s="14">
        <v>1125</v>
      </c>
      <c r="T17" s="14">
        <v>1153</v>
      </c>
      <c r="U17" s="14">
        <v>1006</v>
      </c>
      <c r="V17" s="14">
        <v>994</v>
      </c>
      <c r="W17" s="14">
        <v>84</v>
      </c>
      <c r="X17" s="14">
        <v>530</v>
      </c>
      <c r="Y17" s="14">
        <v>831</v>
      </c>
      <c r="Z17" s="14">
        <v>958</v>
      </c>
      <c r="AA17" s="11">
        <v>1921</v>
      </c>
      <c r="AB17" s="34">
        <v>1893</v>
      </c>
      <c r="AC17" s="34">
        <v>2018</v>
      </c>
      <c r="AD17" s="34">
        <v>2292</v>
      </c>
      <c r="AE17" s="34">
        <v>2249</v>
      </c>
      <c r="AF17" s="34">
        <v>2307</v>
      </c>
      <c r="AG17" s="34">
        <v>2011</v>
      </c>
      <c r="AH17" s="34">
        <v>1986</v>
      </c>
      <c r="AI17" s="34">
        <v>167</v>
      </c>
      <c r="AJ17" s="34">
        <v>1063</v>
      </c>
      <c r="AK17" s="34">
        <v>1662</v>
      </c>
      <c r="AL17" s="9">
        <v>1924</v>
      </c>
      <c r="AO17"/>
    </row>
    <row r="18" spans="1:41" x14ac:dyDescent="0.45">
      <c r="A18" s="8"/>
      <c r="B18" s="21">
        <v>45080</v>
      </c>
      <c r="C18" s="18">
        <v>955</v>
      </c>
      <c r="D18" s="5">
        <v>910</v>
      </c>
      <c r="E18" s="5">
        <v>1013</v>
      </c>
      <c r="F18" s="5">
        <v>1076</v>
      </c>
      <c r="G18" s="5">
        <v>1083</v>
      </c>
      <c r="H18" s="5">
        <v>1119</v>
      </c>
      <c r="I18" s="5">
        <v>931</v>
      </c>
      <c r="J18" s="5">
        <v>952</v>
      </c>
      <c r="K18" s="5">
        <v>97</v>
      </c>
      <c r="L18" s="5">
        <v>523</v>
      </c>
      <c r="M18" s="5">
        <v>811</v>
      </c>
      <c r="N18" s="19">
        <v>966</v>
      </c>
      <c r="O18" s="14">
        <v>998</v>
      </c>
      <c r="P18" s="14">
        <v>909</v>
      </c>
      <c r="Q18" s="14">
        <v>1013</v>
      </c>
      <c r="R18" s="14">
        <v>1075</v>
      </c>
      <c r="S18" s="14">
        <v>1083</v>
      </c>
      <c r="T18" s="14">
        <v>1121</v>
      </c>
      <c r="U18" s="14">
        <v>933</v>
      </c>
      <c r="V18" s="14">
        <v>952</v>
      </c>
      <c r="W18" s="14">
        <v>91</v>
      </c>
      <c r="X18" s="14">
        <v>521</v>
      </c>
      <c r="Y18" s="14">
        <v>807</v>
      </c>
      <c r="Z18" s="14">
        <v>961</v>
      </c>
      <c r="AA18" s="11">
        <v>1953</v>
      </c>
      <c r="AB18" s="34">
        <v>1819</v>
      </c>
      <c r="AC18" s="34">
        <v>2026</v>
      </c>
      <c r="AD18" s="34">
        <v>2151</v>
      </c>
      <c r="AE18" s="34">
        <v>2166</v>
      </c>
      <c r="AF18" s="34">
        <v>2240</v>
      </c>
      <c r="AG18" s="34">
        <v>1864</v>
      </c>
      <c r="AH18" s="34">
        <v>1904</v>
      </c>
      <c r="AI18" s="34">
        <v>188</v>
      </c>
      <c r="AJ18" s="34">
        <v>1044</v>
      </c>
      <c r="AK18" s="34">
        <v>1618</v>
      </c>
      <c r="AL18" s="9">
        <v>1927</v>
      </c>
      <c r="AO18"/>
    </row>
    <row r="19" spans="1:41" x14ac:dyDescent="0.45">
      <c r="A19" s="8"/>
      <c r="B19" s="21">
        <v>45111</v>
      </c>
      <c r="C19" s="18">
        <v>1011</v>
      </c>
      <c r="D19" s="5">
        <v>940</v>
      </c>
      <c r="E19" s="5">
        <v>1088</v>
      </c>
      <c r="F19" s="5">
        <v>1119</v>
      </c>
      <c r="G19" s="5">
        <v>1130</v>
      </c>
      <c r="H19" s="5">
        <v>1172</v>
      </c>
      <c r="I19" s="5">
        <v>988</v>
      </c>
      <c r="J19" s="5">
        <v>1018</v>
      </c>
      <c r="K19" s="5">
        <v>102</v>
      </c>
      <c r="L19" s="5">
        <v>508</v>
      </c>
      <c r="M19" s="5">
        <v>837</v>
      </c>
      <c r="N19" s="19">
        <v>1012</v>
      </c>
      <c r="O19" s="14">
        <v>1012</v>
      </c>
      <c r="P19" s="14">
        <v>936</v>
      </c>
      <c r="Q19" s="14">
        <v>1076</v>
      </c>
      <c r="R19" s="14">
        <v>1119</v>
      </c>
      <c r="S19" s="14">
        <v>1129</v>
      </c>
      <c r="T19" s="14">
        <v>1172</v>
      </c>
      <c r="U19" s="14">
        <v>988</v>
      </c>
      <c r="V19" s="14">
        <v>1025</v>
      </c>
      <c r="W19" s="14">
        <v>101</v>
      </c>
      <c r="X19" s="14">
        <v>500</v>
      </c>
      <c r="Y19" s="14">
        <v>832</v>
      </c>
      <c r="Z19" s="14">
        <v>1005</v>
      </c>
      <c r="AA19" s="11">
        <v>2023</v>
      </c>
      <c r="AB19" s="34">
        <v>1876</v>
      </c>
      <c r="AC19" s="34">
        <v>2164</v>
      </c>
      <c r="AD19" s="34">
        <v>2238</v>
      </c>
      <c r="AE19" s="34">
        <v>2259</v>
      </c>
      <c r="AF19" s="34">
        <v>2344</v>
      </c>
      <c r="AG19" s="34">
        <v>1976</v>
      </c>
      <c r="AH19" s="34">
        <v>2043</v>
      </c>
      <c r="AI19" s="34">
        <v>203</v>
      </c>
      <c r="AJ19" s="34">
        <v>1008</v>
      </c>
      <c r="AK19" s="34">
        <v>1669</v>
      </c>
      <c r="AL19" s="9">
        <v>2017</v>
      </c>
      <c r="AO19"/>
    </row>
    <row r="20" spans="1:41" x14ac:dyDescent="0.45">
      <c r="A20" s="8"/>
      <c r="B20" s="21">
        <v>45143</v>
      </c>
      <c r="C20" s="18">
        <v>996</v>
      </c>
      <c r="D20" s="5">
        <v>958</v>
      </c>
      <c r="E20" s="5">
        <v>1058</v>
      </c>
      <c r="F20" s="5">
        <v>1116</v>
      </c>
      <c r="G20" s="5">
        <v>1161</v>
      </c>
      <c r="H20" s="5">
        <v>1155</v>
      </c>
      <c r="I20" s="5">
        <v>1027</v>
      </c>
      <c r="J20" s="5">
        <v>1024</v>
      </c>
      <c r="K20" s="5">
        <v>103</v>
      </c>
      <c r="L20" s="5">
        <v>573</v>
      </c>
      <c r="M20" s="5">
        <v>832</v>
      </c>
      <c r="N20" s="19">
        <v>1024</v>
      </c>
      <c r="O20" s="14">
        <v>1020</v>
      </c>
      <c r="P20" s="14">
        <v>959</v>
      </c>
      <c r="Q20" s="14">
        <v>1055</v>
      </c>
      <c r="R20" s="14">
        <v>1120</v>
      </c>
      <c r="S20" s="14">
        <v>1150</v>
      </c>
      <c r="T20" s="14">
        <v>1161</v>
      </c>
      <c r="U20" s="14">
        <v>1029</v>
      </c>
      <c r="V20" s="14">
        <v>1027</v>
      </c>
      <c r="W20" s="14">
        <v>82</v>
      </c>
      <c r="X20" s="14">
        <v>564</v>
      </c>
      <c r="Y20" s="14">
        <v>823</v>
      </c>
      <c r="Z20" s="14">
        <v>1017</v>
      </c>
      <c r="AA20" s="11">
        <v>2016</v>
      </c>
      <c r="AB20" s="34">
        <v>1917</v>
      </c>
      <c r="AC20" s="34">
        <v>2113</v>
      </c>
      <c r="AD20" s="34">
        <v>2236</v>
      </c>
      <c r="AE20" s="34">
        <v>2311</v>
      </c>
      <c r="AF20" s="34">
        <v>2316</v>
      </c>
      <c r="AG20" s="34">
        <v>2056</v>
      </c>
      <c r="AH20" s="34">
        <v>2051</v>
      </c>
      <c r="AI20" s="34">
        <v>185</v>
      </c>
      <c r="AJ20" s="34">
        <v>1137</v>
      </c>
      <c r="AK20" s="34">
        <v>1655</v>
      </c>
      <c r="AL20" s="9">
        <v>2041</v>
      </c>
      <c r="AO20"/>
    </row>
    <row r="21" spans="1:41" x14ac:dyDescent="0.45">
      <c r="A21" s="8"/>
      <c r="B21" s="21">
        <v>45175</v>
      </c>
      <c r="C21" s="18">
        <v>959</v>
      </c>
      <c r="D21" s="5">
        <v>937</v>
      </c>
      <c r="E21" s="5">
        <v>1013</v>
      </c>
      <c r="F21" s="5">
        <v>1082</v>
      </c>
      <c r="G21" s="5">
        <v>1123</v>
      </c>
      <c r="H21" s="5">
        <v>1116</v>
      </c>
      <c r="I21" s="5">
        <v>1098</v>
      </c>
      <c r="J21" s="5">
        <v>1053</v>
      </c>
      <c r="K21" s="5">
        <v>120</v>
      </c>
      <c r="L21" s="5">
        <v>539</v>
      </c>
      <c r="M21" s="5">
        <v>810</v>
      </c>
      <c r="N21" s="19">
        <v>994</v>
      </c>
      <c r="O21" s="14">
        <v>956</v>
      </c>
      <c r="P21" s="14">
        <v>935</v>
      </c>
      <c r="Q21" s="14">
        <v>1013</v>
      </c>
      <c r="R21" s="14">
        <v>1082</v>
      </c>
      <c r="S21" s="14">
        <v>1121</v>
      </c>
      <c r="T21" s="14">
        <v>1115</v>
      </c>
      <c r="U21" s="14">
        <v>1102</v>
      </c>
      <c r="V21" s="14">
        <v>1051</v>
      </c>
      <c r="W21" s="14">
        <v>108</v>
      </c>
      <c r="X21" s="14">
        <v>530</v>
      </c>
      <c r="Y21" s="14">
        <v>804</v>
      </c>
      <c r="Z21" s="14">
        <v>985</v>
      </c>
      <c r="AA21" s="11">
        <v>1915</v>
      </c>
      <c r="AB21" s="34">
        <v>1872</v>
      </c>
      <c r="AC21" s="34">
        <v>2026</v>
      </c>
      <c r="AD21" s="34">
        <v>2164</v>
      </c>
      <c r="AE21" s="34">
        <v>2244</v>
      </c>
      <c r="AF21" s="34">
        <v>2231</v>
      </c>
      <c r="AG21" s="34">
        <v>2200</v>
      </c>
      <c r="AH21" s="34">
        <v>2104</v>
      </c>
      <c r="AI21" s="34">
        <v>228</v>
      </c>
      <c r="AJ21" s="34">
        <v>1069</v>
      </c>
      <c r="AK21" s="34">
        <v>1614</v>
      </c>
      <c r="AL21" s="9">
        <v>1979</v>
      </c>
      <c r="AO21"/>
    </row>
    <row r="22" spans="1:41" x14ac:dyDescent="0.45">
      <c r="A22" s="8" t="s">
        <v>69</v>
      </c>
      <c r="B22" s="21">
        <v>45206</v>
      </c>
      <c r="C22" s="18">
        <v>1030</v>
      </c>
      <c r="D22" s="5">
        <v>972</v>
      </c>
      <c r="E22" s="5">
        <v>1051</v>
      </c>
      <c r="F22" s="5">
        <v>1132</v>
      </c>
      <c r="G22" s="5">
        <v>1151</v>
      </c>
      <c r="H22" s="5">
        <v>1163</v>
      </c>
      <c r="I22" s="5">
        <v>1179</v>
      </c>
      <c r="J22" s="5">
        <v>1024</v>
      </c>
      <c r="K22" s="5">
        <v>166</v>
      </c>
      <c r="L22" s="5">
        <v>589</v>
      </c>
      <c r="M22" s="5">
        <v>809</v>
      </c>
      <c r="N22" s="19">
        <v>1027</v>
      </c>
      <c r="O22" s="14">
        <v>1024</v>
      </c>
      <c r="P22" s="14">
        <v>974</v>
      </c>
      <c r="Q22" s="14">
        <v>1055</v>
      </c>
      <c r="R22" s="14">
        <v>1130</v>
      </c>
      <c r="S22" s="14">
        <v>1152</v>
      </c>
      <c r="T22" s="14">
        <v>1164</v>
      </c>
      <c r="U22" s="14">
        <v>1184</v>
      </c>
      <c r="V22" s="14">
        <v>1029</v>
      </c>
      <c r="W22" s="14">
        <v>160</v>
      </c>
      <c r="X22" s="14">
        <v>587</v>
      </c>
      <c r="Y22" s="14">
        <v>805</v>
      </c>
      <c r="Z22" s="14">
        <v>1021</v>
      </c>
      <c r="AA22" s="11">
        <v>2054</v>
      </c>
      <c r="AB22" s="34">
        <v>1946</v>
      </c>
      <c r="AC22" s="34">
        <v>2106</v>
      </c>
      <c r="AD22" s="34">
        <v>2262</v>
      </c>
      <c r="AE22" s="34">
        <v>2303</v>
      </c>
      <c r="AF22" s="34">
        <v>2327</v>
      </c>
      <c r="AG22" s="34">
        <v>2363</v>
      </c>
      <c r="AH22" s="34">
        <v>2053</v>
      </c>
      <c r="AI22" s="34">
        <v>326</v>
      </c>
      <c r="AJ22" s="34">
        <v>1176</v>
      </c>
      <c r="AK22" s="34">
        <v>1614</v>
      </c>
      <c r="AL22" s="9">
        <v>2048</v>
      </c>
      <c r="AO22"/>
    </row>
    <row r="23" spans="1:41" x14ac:dyDescent="0.45">
      <c r="A23" s="8"/>
      <c r="B23" s="21">
        <v>45238</v>
      </c>
      <c r="C23" s="18">
        <v>979</v>
      </c>
      <c r="D23" s="5">
        <v>937</v>
      </c>
      <c r="E23" s="5">
        <v>1017</v>
      </c>
      <c r="F23" s="5">
        <v>1133</v>
      </c>
      <c r="G23" s="5">
        <v>1130</v>
      </c>
      <c r="H23" s="5">
        <v>1115</v>
      </c>
      <c r="I23" s="5">
        <v>1152</v>
      </c>
      <c r="J23" s="5">
        <v>1024</v>
      </c>
      <c r="K23" s="5">
        <v>306</v>
      </c>
      <c r="L23" s="5">
        <v>612</v>
      </c>
      <c r="M23" s="5">
        <v>754</v>
      </c>
      <c r="N23" s="19">
        <v>0</v>
      </c>
      <c r="O23" s="14">
        <v>974</v>
      </c>
      <c r="P23" s="14">
        <v>937</v>
      </c>
      <c r="Q23" s="14">
        <v>1014</v>
      </c>
      <c r="R23" s="14">
        <v>1134</v>
      </c>
      <c r="S23" s="14">
        <v>1141</v>
      </c>
      <c r="T23" s="14">
        <v>1115</v>
      </c>
      <c r="U23" s="14">
        <v>1160</v>
      </c>
      <c r="V23" s="14">
        <v>1040</v>
      </c>
      <c r="W23" s="14">
        <v>303</v>
      </c>
      <c r="X23" s="14">
        <v>612</v>
      </c>
      <c r="Y23" s="14">
        <v>754</v>
      </c>
      <c r="Z23" s="14">
        <v>0</v>
      </c>
      <c r="AA23" s="11">
        <v>1953</v>
      </c>
      <c r="AB23" s="34">
        <v>1874</v>
      </c>
      <c r="AC23" s="34">
        <v>2031</v>
      </c>
      <c r="AD23" s="34">
        <v>2267</v>
      </c>
      <c r="AE23" s="34">
        <v>2271</v>
      </c>
      <c r="AF23" s="34">
        <v>2230</v>
      </c>
      <c r="AG23" s="34">
        <v>2312</v>
      </c>
      <c r="AH23" s="34">
        <v>2064</v>
      </c>
      <c r="AI23" s="34">
        <v>609</v>
      </c>
      <c r="AJ23" s="34">
        <v>1224</v>
      </c>
      <c r="AK23" s="34">
        <v>1508</v>
      </c>
      <c r="AL23" s="9">
        <v>0</v>
      </c>
      <c r="AO23"/>
    </row>
    <row r="24" spans="1:41" x14ac:dyDescent="0.45">
      <c r="A24" s="8"/>
      <c r="B24" s="21">
        <v>45269</v>
      </c>
      <c r="C24" s="18">
        <v>848</v>
      </c>
      <c r="D24" s="5">
        <v>833</v>
      </c>
      <c r="E24" s="5">
        <v>899</v>
      </c>
      <c r="F24" s="5">
        <v>987</v>
      </c>
      <c r="G24" s="5">
        <v>989</v>
      </c>
      <c r="H24" s="5">
        <v>997</v>
      </c>
      <c r="I24" s="5">
        <v>993</v>
      </c>
      <c r="J24" s="5">
        <v>952</v>
      </c>
      <c r="K24" s="5">
        <v>402</v>
      </c>
      <c r="L24" s="5">
        <v>575</v>
      </c>
      <c r="M24" s="5">
        <v>691</v>
      </c>
      <c r="N24" s="19">
        <v>0</v>
      </c>
      <c r="O24" s="14">
        <v>844</v>
      </c>
      <c r="P24" s="14">
        <v>835</v>
      </c>
      <c r="Q24" s="14">
        <v>901</v>
      </c>
      <c r="R24" s="14">
        <v>989</v>
      </c>
      <c r="S24" s="14">
        <v>999</v>
      </c>
      <c r="T24" s="14">
        <v>1001</v>
      </c>
      <c r="U24" s="14">
        <v>996</v>
      </c>
      <c r="V24" s="14">
        <v>965</v>
      </c>
      <c r="W24" s="14">
        <v>396</v>
      </c>
      <c r="X24" s="14">
        <v>562</v>
      </c>
      <c r="Y24" s="14">
        <v>681</v>
      </c>
      <c r="Z24" s="14">
        <v>0</v>
      </c>
      <c r="AA24" s="11">
        <v>1692</v>
      </c>
      <c r="AB24" s="34">
        <v>1668</v>
      </c>
      <c r="AC24" s="34">
        <v>1800</v>
      </c>
      <c r="AD24" s="34">
        <v>1976</v>
      </c>
      <c r="AE24" s="34">
        <v>1988</v>
      </c>
      <c r="AF24" s="34">
        <v>1998</v>
      </c>
      <c r="AG24" s="34">
        <v>1989</v>
      </c>
      <c r="AH24" s="34">
        <v>1917</v>
      </c>
      <c r="AI24" s="34">
        <v>798</v>
      </c>
      <c r="AJ24" s="34">
        <v>1137</v>
      </c>
      <c r="AK24" s="34">
        <v>1372</v>
      </c>
      <c r="AL24" s="9">
        <v>0</v>
      </c>
      <c r="AO24"/>
    </row>
    <row r="25" spans="1:41" x14ac:dyDescent="0.45">
      <c r="A25" s="8"/>
      <c r="B25" s="21">
        <v>44936</v>
      </c>
      <c r="C25" s="18">
        <v>882</v>
      </c>
      <c r="D25" s="5">
        <v>900</v>
      </c>
      <c r="E25" s="5">
        <v>940</v>
      </c>
      <c r="F25" s="5">
        <v>1034</v>
      </c>
      <c r="G25" s="5">
        <v>1036</v>
      </c>
      <c r="H25" s="5">
        <v>1024</v>
      </c>
      <c r="I25" s="5">
        <v>1069</v>
      </c>
      <c r="J25" s="5">
        <v>998</v>
      </c>
      <c r="K25" s="5">
        <v>372</v>
      </c>
      <c r="L25" s="5">
        <v>551</v>
      </c>
      <c r="M25" s="5">
        <v>754</v>
      </c>
      <c r="N25" s="19">
        <v>0</v>
      </c>
      <c r="O25" s="14">
        <v>878</v>
      </c>
      <c r="P25" s="14">
        <v>905</v>
      </c>
      <c r="Q25" s="14">
        <v>950</v>
      </c>
      <c r="R25" s="14">
        <v>1035</v>
      </c>
      <c r="S25" s="14">
        <v>1044</v>
      </c>
      <c r="T25" s="14">
        <v>1022</v>
      </c>
      <c r="U25" s="14">
        <v>1080</v>
      </c>
      <c r="V25" s="14">
        <v>1003</v>
      </c>
      <c r="W25" s="14">
        <v>366</v>
      </c>
      <c r="X25" s="14">
        <v>538</v>
      </c>
      <c r="Y25" s="14">
        <v>738</v>
      </c>
      <c r="Z25" s="14">
        <v>0</v>
      </c>
      <c r="AA25" s="11">
        <v>1760</v>
      </c>
      <c r="AB25" s="34">
        <v>1805</v>
      </c>
      <c r="AC25" s="34">
        <v>1890</v>
      </c>
      <c r="AD25" s="34">
        <v>2069</v>
      </c>
      <c r="AE25" s="34">
        <v>2080</v>
      </c>
      <c r="AF25" s="34">
        <v>2046</v>
      </c>
      <c r="AG25" s="34">
        <v>2149</v>
      </c>
      <c r="AH25" s="34">
        <v>2001</v>
      </c>
      <c r="AI25" s="34">
        <v>738</v>
      </c>
      <c r="AJ25" s="34">
        <v>1089</v>
      </c>
      <c r="AK25" s="34">
        <v>1492</v>
      </c>
      <c r="AL25" s="9">
        <v>0</v>
      </c>
      <c r="AO25"/>
    </row>
    <row r="26" spans="1:41" x14ac:dyDescent="0.45">
      <c r="A26" s="8"/>
      <c r="B26" s="21">
        <v>44968</v>
      </c>
      <c r="C26" s="18">
        <v>828</v>
      </c>
      <c r="D26" s="5">
        <v>913</v>
      </c>
      <c r="E26" s="5">
        <v>974</v>
      </c>
      <c r="F26" s="5">
        <v>1059</v>
      </c>
      <c r="G26" s="5">
        <v>1012</v>
      </c>
      <c r="H26" s="5">
        <v>953</v>
      </c>
      <c r="I26" s="5">
        <v>1064</v>
      </c>
      <c r="J26" s="5">
        <v>940</v>
      </c>
      <c r="K26" s="5">
        <v>349</v>
      </c>
      <c r="L26" s="5">
        <v>557</v>
      </c>
      <c r="M26" s="5">
        <v>709</v>
      </c>
      <c r="N26" s="19">
        <v>0</v>
      </c>
      <c r="O26" s="14">
        <v>824</v>
      </c>
      <c r="P26" s="14">
        <v>911</v>
      </c>
      <c r="Q26" s="14">
        <v>969</v>
      </c>
      <c r="R26" s="14">
        <v>1065</v>
      </c>
      <c r="S26" s="14">
        <v>1011</v>
      </c>
      <c r="T26" s="14">
        <v>962</v>
      </c>
      <c r="U26" s="14">
        <v>1063</v>
      </c>
      <c r="V26" s="14">
        <v>948</v>
      </c>
      <c r="W26" s="14">
        <v>347</v>
      </c>
      <c r="X26" s="14">
        <v>548</v>
      </c>
      <c r="Y26" s="14">
        <v>690</v>
      </c>
      <c r="Z26" s="14">
        <v>0</v>
      </c>
      <c r="AA26" s="11">
        <v>1652</v>
      </c>
      <c r="AB26" s="34">
        <v>1824</v>
      </c>
      <c r="AC26" s="34">
        <v>1943</v>
      </c>
      <c r="AD26" s="34">
        <v>2124</v>
      </c>
      <c r="AE26" s="34">
        <v>2023</v>
      </c>
      <c r="AF26" s="34">
        <v>1915</v>
      </c>
      <c r="AG26" s="34">
        <v>2127</v>
      </c>
      <c r="AH26" s="34">
        <v>1888</v>
      </c>
      <c r="AI26" s="34">
        <v>696</v>
      </c>
      <c r="AJ26" s="34">
        <v>1105</v>
      </c>
      <c r="AK26" s="34">
        <v>1399</v>
      </c>
      <c r="AL26" s="9">
        <v>0</v>
      </c>
      <c r="AO26"/>
    </row>
    <row r="27" spans="1:41" x14ac:dyDescent="0.45">
      <c r="A27" s="8"/>
      <c r="B27" s="21">
        <v>44997</v>
      </c>
      <c r="C27" s="18">
        <v>903</v>
      </c>
      <c r="D27" s="5">
        <v>981</v>
      </c>
      <c r="E27" s="5">
        <v>1097</v>
      </c>
      <c r="F27" s="5">
        <v>1113</v>
      </c>
      <c r="G27" s="5">
        <v>1104</v>
      </c>
      <c r="H27" s="5">
        <v>1027</v>
      </c>
      <c r="I27" s="5">
        <v>1136</v>
      </c>
      <c r="J27" s="5">
        <v>651</v>
      </c>
      <c r="K27" s="5">
        <v>456</v>
      </c>
      <c r="L27" s="5">
        <v>689</v>
      </c>
      <c r="M27" s="5">
        <v>831</v>
      </c>
      <c r="N27" s="19">
        <v>0</v>
      </c>
      <c r="O27" s="14">
        <v>903</v>
      </c>
      <c r="P27" s="14">
        <v>980</v>
      </c>
      <c r="Q27" s="14">
        <v>1093</v>
      </c>
      <c r="R27" s="14">
        <v>1113</v>
      </c>
      <c r="S27" s="14">
        <v>1108</v>
      </c>
      <c r="T27" s="14">
        <v>1030</v>
      </c>
      <c r="U27" s="14">
        <v>1136</v>
      </c>
      <c r="V27" s="14">
        <v>658</v>
      </c>
      <c r="W27" s="14">
        <v>447</v>
      </c>
      <c r="X27" s="14">
        <v>686</v>
      </c>
      <c r="Y27" s="14">
        <v>818</v>
      </c>
      <c r="Z27" s="14">
        <v>0</v>
      </c>
      <c r="AA27" s="11">
        <v>1806</v>
      </c>
      <c r="AB27" s="34">
        <v>1961</v>
      </c>
      <c r="AC27" s="34">
        <v>2190</v>
      </c>
      <c r="AD27" s="34">
        <v>2226</v>
      </c>
      <c r="AE27" s="34">
        <v>2212</v>
      </c>
      <c r="AF27" s="34">
        <v>2057</v>
      </c>
      <c r="AG27" s="34">
        <v>2272</v>
      </c>
      <c r="AH27" s="34">
        <v>1309</v>
      </c>
      <c r="AI27" s="34">
        <v>903</v>
      </c>
      <c r="AJ27" s="34">
        <v>1375</v>
      </c>
      <c r="AK27" s="34">
        <v>1649</v>
      </c>
      <c r="AL27" s="9">
        <v>0</v>
      </c>
      <c r="AO27"/>
    </row>
    <row r="28" spans="1:41" x14ac:dyDescent="0.45">
      <c r="A28" s="8"/>
      <c r="B28" s="22" t="s">
        <v>52</v>
      </c>
      <c r="C28" s="12">
        <v>11251</v>
      </c>
      <c r="D28" s="15">
        <v>11131</v>
      </c>
      <c r="E28" s="15">
        <v>12157</v>
      </c>
      <c r="F28" s="15">
        <v>13073</v>
      </c>
      <c r="G28" s="15">
        <v>13138</v>
      </c>
      <c r="H28" s="15">
        <v>13064</v>
      </c>
      <c r="I28" s="15">
        <v>12613</v>
      </c>
      <c r="J28" s="15">
        <v>11620</v>
      </c>
      <c r="K28" s="15">
        <v>2624</v>
      </c>
      <c r="L28" s="15">
        <v>6755</v>
      </c>
      <c r="M28" s="15">
        <v>9354</v>
      </c>
      <c r="N28" s="16">
        <v>6866</v>
      </c>
      <c r="O28" s="15">
        <v>11327</v>
      </c>
      <c r="P28" s="15">
        <v>11132</v>
      </c>
      <c r="Q28" s="15">
        <v>12142</v>
      </c>
      <c r="R28" s="15">
        <v>13092</v>
      </c>
      <c r="S28" s="15">
        <v>13149</v>
      </c>
      <c r="T28" s="15">
        <v>13085</v>
      </c>
      <c r="U28" s="15">
        <v>12650</v>
      </c>
      <c r="V28" s="15">
        <v>11689</v>
      </c>
      <c r="W28" s="15">
        <v>2552</v>
      </c>
      <c r="X28" s="15">
        <v>6679</v>
      </c>
      <c r="Y28" s="15">
        <v>9263</v>
      </c>
      <c r="Z28" s="15">
        <v>6818</v>
      </c>
      <c r="AA28" s="12">
        <v>22578</v>
      </c>
      <c r="AB28" s="15">
        <v>22263</v>
      </c>
      <c r="AC28" s="15">
        <v>24299</v>
      </c>
      <c r="AD28" s="15">
        <v>26165</v>
      </c>
      <c r="AE28" s="15">
        <v>26287</v>
      </c>
      <c r="AF28" s="15">
        <v>26149</v>
      </c>
      <c r="AG28" s="15">
        <v>25263</v>
      </c>
      <c r="AH28" s="15">
        <v>23309</v>
      </c>
      <c r="AI28" s="15">
        <v>5176</v>
      </c>
      <c r="AJ28" s="15">
        <v>13434</v>
      </c>
      <c r="AK28" s="15">
        <v>18617</v>
      </c>
      <c r="AL28" s="16">
        <v>13684</v>
      </c>
      <c r="AO28"/>
    </row>
    <row r="29" spans="1:41" x14ac:dyDescent="0.45">
      <c r="A29" s="8"/>
      <c r="B29" s="21">
        <v>45017</v>
      </c>
      <c r="C29" s="18">
        <v>11027</v>
      </c>
      <c r="D29" s="5">
        <v>10325</v>
      </c>
      <c r="E29" s="5">
        <v>10745</v>
      </c>
      <c r="F29" s="5">
        <v>11294</v>
      </c>
      <c r="G29" s="5">
        <v>11662</v>
      </c>
      <c r="H29" s="5">
        <v>11397</v>
      </c>
      <c r="I29" s="5">
        <v>11496</v>
      </c>
      <c r="J29" s="5">
        <v>11239</v>
      </c>
      <c r="K29" s="5">
        <v>83</v>
      </c>
      <c r="L29" s="5">
        <v>7796</v>
      </c>
      <c r="M29" s="5">
        <v>9404</v>
      </c>
      <c r="N29" s="19">
        <v>9803</v>
      </c>
      <c r="O29" s="14">
        <v>11070</v>
      </c>
      <c r="P29" s="14">
        <v>10303</v>
      </c>
      <c r="Q29" s="14">
        <v>10748</v>
      </c>
      <c r="R29" s="14">
        <v>11313</v>
      </c>
      <c r="S29" s="14">
        <v>11727</v>
      </c>
      <c r="T29" s="14">
        <v>11441</v>
      </c>
      <c r="U29" s="14">
        <v>11543</v>
      </c>
      <c r="V29" s="14">
        <v>11273</v>
      </c>
      <c r="W29" s="14">
        <v>87</v>
      </c>
      <c r="X29" s="14">
        <v>7802</v>
      </c>
      <c r="Y29" s="14">
        <v>9420</v>
      </c>
      <c r="Z29" s="14">
        <v>9832</v>
      </c>
      <c r="AA29" s="11">
        <v>22097</v>
      </c>
      <c r="AB29" s="34">
        <v>20628</v>
      </c>
      <c r="AC29" s="34">
        <v>21493</v>
      </c>
      <c r="AD29" s="34">
        <v>22607</v>
      </c>
      <c r="AE29" s="34">
        <v>23389</v>
      </c>
      <c r="AF29" s="34">
        <v>22838</v>
      </c>
      <c r="AG29" s="34">
        <v>23039</v>
      </c>
      <c r="AH29" s="34">
        <v>22512</v>
      </c>
      <c r="AI29" s="34">
        <v>170</v>
      </c>
      <c r="AJ29" s="34">
        <v>15598</v>
      </c>
      <c r="AK29" s="34">
        <v>18824</v>
      </c>
      <c r="AL29" s="9">
        <v>19635</v>
      </c>
      <c r="AO29"/>
    </row>
    <row r="30" spans="1:41" x14ac:dyDescent="0.45">
      <c r="A30" s="8"/>
      <c r="B30" s="21">
        <v>45048</v>
      </c>
      <c r="C30" s="18">
        <v>11078</v>
      </c>
      <c r="D30" s="5">
        <v>10442</v>
      </c>
      <c r="E30" s="5">
        <v>10819</v>
      </c>
      <c r="F30" s="5">
        <v>11671</v>
      </c>
      <c r="G30" s="5">
        <v>12053</v>
      </c>
      <c r="H30" s="5">
        <v>12074</v>
      </c>
      <c r="I30" s="5">
        <v>11499</v>
      </c>
      <c r="J30" s="5">
        <v>11342</v>
      </c>
      <c r="K30" s="5">
        <v>129</v>
      </c>
      <c r="L30" s="5">
        <v>7503</v>
      </c>
      <c r="M30" s="5">
        <v>9611</v>
      </c>
      <c r="N30" s="19">
        <v>10020</v>
      </c>
      <c r="O30" s="14">
        <v>11088</v>
      </c>
      <c r="P30" s="14">
        <v>10451</v>
      </c>
      <c r="Q30" s="14">
        <v>10822</v>
      </c>
      <c r="R30" s="14">
        <v>11693</v>
      </c>
      <c r="S30" s="14">
        <v>12110</v>
      </c>
      <c r="T30" s="14">
        <v>12104</v>
      </c>
      <c r="U30" s="14">
        <v>11453</v>
      </c>
      <c r="V30" s="14">
        <v>11367</v>
      </c>
      <c r="W30" s="14">
        <v>130</v>
      </c>
      <c r="X30" s="14">
        <v>7522</v>
      </c>
      <c r="Y30" s="14">
        <v>9654</v>
      </c>
      <c r="Z30" s="14">
        <v>10042</v>
      </c>
      <c r="AA30" s="11">
        <v>22166</v>
      </c>
      <c r="AB30" s="34">
        <v>20893</v>
      </c>
      <c r="AC30" s="34">
        <v>21641</v>
      </c>
      <c r="AD30" s="34">
        <v>23364</v>
      </c>
      <c r="AE30" s="34">
        <v>24163</v>
      </c>
      <c r="AF30" s="34">
        <v>24178</v>
      </c>
      <c r="AG30" s="34">
        <v>22952</v>
      </c>
      <c r="AH30" s="34">
        <v>22709</v>
      </c>
      <c r="AI30" s="34">
        <v>259</v>
      </c>
      <c r="AJ30" s="34">
        <v>15025</v>
      </c>
      <c r="AK30" s="34">
        <v>19265</v>
      </c>
      <c r="AL30" s="9">
        <v>20062</v>
      </c>
      <c r="AO30"/>
    </row>
    <row r="31" spans="1:41" x14ac:dyDescent="0.45">
      <c r="A31" s="8"/>
      <c r="B31" s="21">
        <v>45080</v>
      </c>
      <c r="C31" s="18">
        <v>10450</v>
      </c>
      <c r="D31" s="5">
        <v>9900</v>
      </c>
      <c r="E31" s="5">
        <v>10844</v>
      </c>
      <c r="F31" s="5">
        <v>11264</v>
      </c>
      <c r="G31" s="5">
        <v>11607</v>
      </c>
      <c r="H31" s="5">
        <v>11451</v>
      </c>
      <c r="I31" s="5">
        <v>10596</v>
      </c>
      <c r="J31" s="5">
        <v>10792</v>
      </c>
      <c r="K31" s="5">
        <v>603</v>
      </c>
      <c r="L31" s="5">
        <v>6776</v>
      </c>
      <c r="M31" s="5">
        <v>7928</v>
      </c>
      <c r="N31" s="19">
        <v>9635</v>
      </c>
      <c r="O31" s="14">
        <v>10636</v>
      </c>
      <c r="P31" s="14">
        <v>9913</v>
      </c>
      <c r="Q31" s="14">
        <v>10847</v>
      </c>
      <c r="R31" s="14">
        <v>11294</v>
      </c>
      <c r="S31" s="14">
        <v>11681</v>
      </c>
      <c r="T31" s="14">
        <v>11507</v>
      </c>
      <c r="U31" s="14">
        <v>10640</v>
      </c>
      <c r="V31" s="14">
        <v>10819</v>
      </c>
      <c r="W31" s="14">
        <v>603</v>
      </c>
      <c r="X31" s="14">
        <v>6791</v>
      </c>
      <c r="Y31" s="14">
        <v>7957</v>
      </c>
      <c r="Z31" s="14">
        <v>9658</v>
      </c>
      <c r="AA31" s="11">
        <v>21086</v>
      </c>
      <c r="AB31" s="34">
        <v>19813</v>
      </c>
      <c r="AC31" s="34">
        <v>21691</v>
      </c>
      <c r="AD31" s="34">
        <v>22558</v>
      </c>
      <c r="AE31" s="34">
        <v>23288</v>
      </c>
      <c r="AF31" s="34">
        <v>22958</v>
      </c>
      <c r="AG31" s="34">
        <v>21236</v>
      </c>
      <c r="AH31" s="34">
        <v>21611</v>
      </c>
      <c r="AI31" s="34">
        <v>1206</v>
      </c>
      <c r="AJ31" s="34">
        <v>13567</v>
      </c>
      <c r="AK31" s="34">
        <v>15885</v>
      </c>
      <c r="AL31" s="9">
        <v>19293</v>
      </c>
      <c r="AO31"/>
    </row>
    <row r="32" spans="1:41" x14ac:dyDescent="0.45">
      <c r="A32" s="8"/>
      <c r="B32" s="21">
        <v>45111</v>
      </c>
      <c r="C32" s="18">
        <v>11041</v>
      </c>
      <c r="D32" s="5">
        <v>10555</v>
      </c>
      <c r="E32" s="5">
        <v>11212</v>
      </c>
      <c r="F32" s="5">
        <v>12139</v>
      </c>
      <c r="G32" s="5">
        <v>12036</v>
      </c>
      <c r="H32" s="5">
        <v>11969</v>
      </c>
      <c r="I32" s="5">
        <v>11354</v>
      </c>
      <c r="J32" s="5">
        <v>11224</v>
      </c>
      <c r="K32" s="5">
        <v>1302</v>
      </c>
      <c r="L32" s="5">
        <v>3952</v>
      </c>
      <c r="M32" s="5">
        <v>8540</v>
      </c>
      <c r="N32" s="19">
        <v>10114</v>
      </c>
      <c r="O32" s="14">
        <v>11037</v>
      </c>
      <c r="P32" s="14">
        <v>10549</v>
      </c>
      <c r="Q32" s="14">
        <v>11160</v>
      </c>
      <c r="R32" s="14">
        <v>12161</v>
      </c>
      <c r="S32" s="14">
        <v>12115</v>
      </c>
      <c r="T32" s="14">
        <v>12015</v>
      </c>
      <c r="U32" s="14">
        <v>11417</v>
      </c>
      <c r="V32" s="14">
        <v>11248</v>
      </c>
      <c r="W32" s="14">
        <v>1301</v>
      </c>
      <c r="X32" s="14">
        <v>3960</v>
      </c>
      <c r="Y32" s="14">
        <v>8559</v>
      </c>
      <c r="Z32" s="14">
        <v>10140</v>
      </c>
      <c r="AA32" s="11">
        <v>22078</v>
      </c>
      <c r="AB32" s="34">
        <v>21104</v>
      </c>
      <c r="AC32" s="34">
        <v>22372</v>
      </c>
      <c r="AD32" s="34">
        <v>24300</v>
      </c>
      <c r="AE32" s="34">
        <v>24151</v>
      </c>
      <c r="AF32" s="34">
        <v>23984</v>
      </c>
      <c r="AG32" s="34">
        <v>22771</v>
      </c>
      <c r="AH32" s="34">
        <v>22472</v>
      </c>
      <c r="AI32" s="34">
        <v>2603</v>
      </c>
      <c r="AJ32" s="34">
        <v>7912</v>
      </c>
      <c r="AK32" s="34">
        <v>17099</v>
      </c>
      <c r="AL32" s="9">
        <v>20254</v>
      </c>
      <c r="AO32"/>
    </row>
    <row r="33" spans="1:41" x14ac:dyDescent="0.45">
      <c r="A33" s="8"/>
      <c r="B33" s="21">
        <v>45143</v>
      </c>
      <c r="C33" s="18">
        <v>11043</v>
      </c>
      <c r="D33" s="5">
        <v>10542</v>
      </c>
      <c r="E33" s="5">
        <v>11219</v>
      </c>
      <c r="F33" s="5">
        <v>11639</v>
      </c>
      <c r="G33" s="5">
        <v>12008</v>
      </c>
      <c r="H33" s="5">
        <v>12108</v>
      </c>
      <c r="I33" s="5">
        <v>11492</v>
      </c>
      <c r="J33" s="5">
        <v>11094</v>
      </c>
      <c r="K33" s="5">
        <v>1804</v>
      </c>
      <c r="L33" s="5">
        <v>5510</v>
      </c>
      <c r="M33" s="5">
        <v>8696</v>
      </c>
      <c r="N33" s="19">
        <v>10122</v>
      </c>
      <c r="O33" s="14">
        <v>11163</v>
      </c>
      <c r="P33" s="14">
        <v>10527</v>
      </c>
      <c r="Q33" s="14">
        <v>11219</v>
      </c>
      <c r="R33" s="14">
        <v>11674</v>
      </c>
      <c r="S33" s="14">
        <v>12072</v>
      </c>
      <c r="T33" s="14">
        <v>12186</v>
      </c>
      <c r="U33" s="14">
        <v>11553</v>
      </c>
      <c r="V33" s="14">
        <v>11120</v>
      </c>
      <c r="W33" s="14">
        <v>1802</v>
      </c>
      <c r="X33" s="14">
        <v>5532</v>
      </c>
      <c r="Y33" s="14">
        <v>8713</v>
      </c>
      <c r="Z33" s="14">
        <v>10143</v>
      </c>
      <c r="AA33" s="11">
        <v>22206</v>
      </c>
      <c r="AB33" s="34">
        <v>21069</v>
      </c>
      <c r="AC33" s="34">
        <v>22438</v>
      </c>
      <c r="AD33" s="34">
        <v>23313</v>
      </c>
      <c r="AE33" s="34">
        <v>24080</v>
      </c>
      <c r="AF33" s="34">
        <v>24294</v>
      </c>
      <c r="AG33" s="34">
        <v>23045</v>
      </c>
      <c r="AH33" s="34">
        <v>22214</v>
      </c>
      <c r="AI33" s="34">
        <v>3606</v>
      </c>
      <c r="AJ33" s="34">
        <v>11042</v>
      </c>
      <c r="AK33" s="34">
        <v>17409</v>
      </c>
      <c r="AL33" s="9">
        <v>20265</v>
      </c>
      <c r="AO33"/>
    </row>
    <row r="34" spans="1:41" x14ac:dyDescent="0.45">
      <c r="A34" s="8"/>
      <c r="B34" s="21">
        <v>45175</v>
      </c>
      <c r="C34" s="18">
        <v>10598</v>
      </c>
      <c r="D34" s="5">
        <v>10273</v>
      </c>
      <c r="E34" s="5">
        <v>10900</v>
      </c>
      <c r="F34" s="5">
        <v>11761</v>
      </c>
      <c r="G34" s="5">
        <v>12059</v>
      </c>
      <c r="H34" s="5">
        <v>11642</v>
      </c>
      <c r="I34" s="5">
        <v>11207</v>
      </c>
      <c r="J34" s="5">
        <v>11113</v>
      </c>
      <c r="K34" s="5">
        <v>3344</v>
      </c>
      <c r="L34" s="5">
        <v>7145</v>
      </c>
      <c r="M34" s="5">
        <v>8748</v>
      </c>
      <c r="N34" s="19">
        <v>10283</v>
      </c>
      <c r="O34" s="14">
        <v>10608</v>
      </c>
      <c r="P34" s="14">
        <v>10277</v>
      </c>
      <c r="Q34" s="14">
        <v>10932</v>
      </c>
      <c r="R34" s="14">
        <v>11790</v>
      </c>
      <c r="S34" s="14">
        <v>12126</v>
      </c>
      <c r="T34" s="14">
        <v>11695</v>
      </c>
      <c r="U34" s="14">
        <v>11271</v>
      </c>
      <c r="V34" s="14">
        <v>11150</v>
      </c>
      <c r="W34" s="14">
        <v>3347</v>
      </c>
      <c r="X34" s="14">
        <v>7179</v>
      </c>
      <c r="Y34" s="14">
        <v>8777</v>
      </c>
      <c r="Z34" s="14">
        <v>10308</v>
      </c>
      <c r="AA34" s="11">
        <v>21206</v>
      </c>
      <c r="AB34" s="34">
        <v>20550</v>
      </c>
      <c r="AC34" s="34">
        <v>21832</v>
      </c>
      <c r="AD34" s="34">
        <v>23551</v>
      </c>
      <c r="AE34" s="34">
        <v>24185</v>
      </c>
      <c r="AF34" s="34">
        <v>23337</v>
      </c>
      <c r="AG34" s="34">
        <v>22478</v>
      </c>
      <c r="AH34" s="34">
        <v>22263</v>
      </c>
      <c r="AI34" s="34">
        <v>6691</v>
      </c>
      <c r="AJ34" s="34">
        <v>14324</v>
      </c>
      <c r="AK34" s="34">
        <v>17525</v>
      </c>
      <c r="AL34" s="9">
        <v>20591</v>
      </c>
      <c r="AO34"/>
    </row>
    <row r="35" spans="1:41" x14ac:dyDescent="0.45">
      <c r="A35" s="8" t="s">
        <v>58</v>
      </c>
      <c r="B35" s="21">
        <v>45206</v>
      </c>
      <c r="C35" s="18">
        <v>11268</v>
      </c>
      <c r="D35" s="5">
        <v>10832</v>
      </c>
      <c r="E35" s="5">
        <v>11845</v>
      </c>
      <c r="F35" s="5">
        <v>12441</v>
      </c>
      <c r="G35" s="5">
        <v>12283</v>
      </c>
      <c r="H35" s="5">
        <v>12150</v>
      </c>
      <c r="I35" s="5">
        <v>11958</v>
      </c>
      <c r="J35" s="5">
        <v>11737</v>
      </c>
      <c r="K35" s="5">
        <v>4850</v>
      </c>
      <c r="L35" s="5">
        <v>8239</v>
      </c>
      <c r="M35" s="5">
        <v>9251</v>
      </c>
      <c r="N35" s="19">
        <v>10813</v>
      </c>
      <c r="O35" s="14">
        <v>11287</v>
      </c>
      <c r="P35" s="14">
        <v>10839</v>
      </c>
      <c r="Q35" s="14">
        <v>11872</v>
      </c>
      <c r="R35" s="14">
        <v>12461</v>
      </c>
      <c r="S35" s="14">
        <v>12337</v>
      </c>
      <c r="T35" s="14">
        <v>12198</v>
      </c>
      <c r="U35" s="14">
        <v>12019</v>
      </c>
      <c r="V35" s="14">
        <v>11784</v>
      </c>
      <c r="W35" s="14">
        <v>4860</v>
      </c>
      <c r="X35" s="14">
        <v>8274</v>
      </c>
      <c r="Y35" s="14">
        <v>9264</v>
      </c>
      <c r="Z35" s="14">
        <v>10842</v>
      </c>
      <c r="AA35" s="11">
        <v>22555</v>
      </c>
      <c r="AB35" s="34">
        <v>21671</v>
      </c>
      <c r="AC35" s="34">
        <v>23717</v>
      </c>
      <c r="AD35" s="34">
        <v>24902</v>
      </c>
      <c r="AE35" s="34">
        <v>24620</v>
      </c>
      <c r="AF35" s="34">
        <v>24348</v>
      </c>
      <c r="AG35" s="34">
        <v>23977</v>
      </c>
      <c r="AH35" s="34">
        <v>23521</v>
      </c>
      <c r="AI35" s="34">
        <v>9710</v>
      </c>
      <c r="AJ35" s="34">
        <v>16513</v>
      </c>
      <c r="AK35" s="34">
        <v>18515</v>
      </c>
      <c r="AL35" s="9">
        <v>21655</v>
      </c>
      <c r="AO35"/>
    </row>
    <row r="36" spans="1:41" x14ac:dyDescent="0.45">
      <c r="A36" s="8"/>
      <c r="B36" s="21">
        <v>45238</v>
      </c>
      <c r="C36" s="18">
        <v>10218</v>
      </c>
      <c r="D36" s="5">
        <v>10686</v>
      </c>
      <c r="E36" s="5">
        <v>11148</v>
      </c>
      <c r="F36" s="5">
        <v>12260</v>
      </c>
      <c r="G36" s="5">
        <v>12075</v>
      </c>
      <c r="H36" s="5">
        <v>11748</v>
      </c>
      <c r="I36" s="5">
        <v>11665</v>
      </c>
      <c r="J36" s="5">
        <v>11140</v>
      </c>
      <c r="K36" s="5">
        <v>5643</v>
      </c>
      <c r="L36" s="5">
        <v>8211</v>
      </c>
      <c r="M36" s="5">
        <v>9349</v>
      </c>
      <c r="N36" s="19">
        <v>0</v>
      </c>
      <c r="O36" s="14">
        <v>10231</v>
      </c>
      <c r="P36" s="14">
        <v>10693</v>
      </c>
      <c r="Q36" s="14">
        <v>11171</v>
      </c>
      <c r="R36" s="14">
        <v>12286</v>
      </c>
      <c r="S36" s="14">
        <v>12100</v>
      </c>
      <c r="T36" s="14">
        <v>11807</v>
      </c>
      <c r="U36" s="14">
        <v>11722</v>
      </c>
      <c r="V36" s="14">
        <v>11185</v>
      </c>
      <c r="W36" s="14">
        <v>5668</v>
      </c>
      <c r="X36" s="14">
        <v>8247</v>
      </c>
      <c r="Y36" s="14">
        <v>9373</v>
      </c>
      <c r="Z36" s="14">
        <v>0</v>
      </c>
      <c r="AA36" s="11">
        <v>20449</v>
      </c>
      <c r="AB36" s="34">
        <v>21379</v>
      </c>
      <c r="AC36" s="34">
        <v>22319</v>
      </c>
      <c r="AD36" s="34">
        <v>24546</v>
      </c>
      <c r="AE36" s="34">
        <v>24175</v>
      </c>
      <c r="AF36" s="34">
        <v>23555</v>
      </c>
      <c r="AG36" s="34">
        <v>23387</v>
      </c>
      <c r="AH36" s="34">
        <v>22325</v>
      </c>
      <c r="AI36" s="34">
        <v>11311</v>
      </c>
      <c r="AJ36" s="34">
        <v>16458</v>
      </c>
      <c r="AK36" s="34">
        <v>18722</v>
      </c>
      <c r="AL36" s="9">
        <v>0</v>
      </c>
      <c r="AO36"/>
    </row>
    <row r="37" spans="1:41" x14ac:dyDescent="0.45">
      <c r="A37" s="8"/>
      <c r="B37" s="21">
        <v>45269</v>
      </c>
      <c r="C37" s="18">
        <v>9991</v>
      </c>
      <c r="D37" s="5">
        <v>10363</v>
      </c>
      <c r="E37" s="5">
        <v>10729</v>
      </c>
      <c r="F37" s="5">
        <v>11808</v>
      </c>
      <c r="G37" s="5">
        <v>11601</v>
      </c>
      <c r="H37" s="5">
        <v>11695</v>
      </c>
      <c r="I37" s="5">
        <v>11103</v>
      </c>
      <c r="J37" s="5">
        <v>11628</v>
      </c>
      <c r="K37" s="5">
        <v>7706</v>
      </c>
      <c r="L37" s="5">
        <v>9074</v>
      </c>
      <c r="M37" s="5">
        <v>9564</v>
      </c>
      <c r="N37" s="19">
        <v>0</v>
      </c>
      <c r="O37" s="14">
        <v>9966</v>
      </c>
      <c r="P37" s="14">
        <v>10353</v>
      </c>
      <c r="Q37" s="14">
        <v>10754</v>
      </c>
      <c r="R37" s="14">
        <v>11824</v>
      </c>
      <c r="S37" s="14">
        <v>11641</v>
      </c>
      <c r="T37" s="14">
        <v>11750</v>
      </c>
      <c r="U37" s="14">
        <v>11128</v>
      </c>
      <c r="V37" s="14">
        <v>11702</v>
      </c>
      <c r="W37" s="14">
        <v>7721</v>
      </c>
      <c r="X37" s="14">
        <v>9101</v>
      </c>
      <c r="Y37" s="14">
        <v>9582</v>
      </c>
      <c r="Z37" s="14">
        <v>0</v>
      </c>
      <c r="AA37" s="11">
        <v>19957</v>
      </c>
      <c r="AB37" s="34">
        <v>20716</v>
      </c>
      <c r="AC37" s="34">
        <v>21483</v>
      </c>
      <c r="AD37" s="34">
        <v>23632</v>
      </c>
      <c r="AE37" s="34">
        <v>23242</v>
      </c>
      <c r="AF37" s="34">
        <v>23445</v>
      </c>
      <c r="AG37" s="34">
        <v>22231</v>
      </c>
      <c r="AH37" s="34">
        <v>23330</v>
      </c>
      <c r="AI37" s="34">
        <v>15427</v>
      </c>
      <c r="AJ37" s="34">
        <v>18175</v>
      </c>
      <c r="AK37" s="34">
        <v>19146</v>
      </c>
      <c r="AL37" s="9">
        <v>0</v>
      </c>
      <c r="AO37"/>
    </row>
    <row r="38" spans="1:41" x14ac:dyDescent="0.45">
      <c r="A38" s="8"/>
      <c r="B38" s="21">
        <v>44936</v>
      </c>
      <c r="C38" s="18">
        <v>9965</v>
      </c>
      <c r="D38" s="5">
        <v>10724</v>
      </c>
      <c r="E38" s="5">
        <v>10747</v>
      </c>
      <c r="F38" s="5">
        <v>11674</v>
      </c>
      <c r="G38" s="5">
        <v>11486</v>
      </c>
      <c r="H38" s="5">
        <v>11783</v>
      </c>
      <c r="I38" s="5">
        <v>11109</v>
      </c>
      <c r="J38" s="5">
        <v>11195</v>
      </c>
      <c r="K38" s="5">
        <v>5496</v>
      </c>
      <c r="L38" s="5">
        <v>8389</v>
      </c>
      <c r="M38" s="5">
        <v>9209</v>
      </c>
      <c r="N38" s="19">
        <v>0</v>
      </c>
      <c r="O38" s="14">
        <v>9988</v>
      </c>
      <c r="P38" s="14">
        <v>10751</v>
      </c>
      <c r="Q38" s="14">
        <v>10773</v>
      </c>
      <c r="R38" s="14">
        <v>11643</v>
      </c>
      <c r="S38" s="14">
        <v>11522</v>
      </c>
      <c r="T38" s="14">
        <v>11830</v>
      </c>
      <c r="U38" s="14">
        <v>11161</v>
      </c>
      <c r="V38" s="14">
        <v>11231</v>
      </c>
      <c r="W38" s="14">
        <v>5506</v>
      </c>
      <c r="X38" s="14">
        <v>8406</v>
      </c>
      <c r="Y38" s="14">
        <v>9239</v>
      </c>
      <c r="Z38" s="14">
        <v>0</v>
      </c>
      <c r="AA38" s="11">
        <v>19953</v>
      </c>
      <c r="AB38" s="34">
        <v>21475</v>
      </c>
      <c r="AC38" s="34">
        <v>21520</v>
      </c>
      <c r="AD38" s="34">
        <v>23317</v>
      </c>
      <c r="AE38" s="34">
        <v>23008</v>
      </c>
      <c r="AF38" s="34">
        <v>23613</v>
      </c>
      <c r="AG38" s="34">
        <v>22270</v>
      </c>
      <c r="AH38" s="34">
        <v>22426</v>
      </c>
      <c r="AI38" s="34">
        <v>11002</v>
      </c>
      <c r="AJ38" s="34">
        <v>16795</v>
      </c>
      <c r="AK38" s="34">
        <v>18448</v>
      </c>
      <c r="AL38" s="9">
        <v>0</v>
      </c>
      <c r="AO38"/>
    </row>
    <row r="39" spans="1:41" x14ac:dyDescent="0.45">
      <c r="A39" s="8"/>
      <c r="B39" s="21">
        <v>44968</v>
      </c>
      <c r="C39" s="18">
        <v>9411</v>
      </c>
      <c r="D39" s="5">
        <v>10218</v>
      </c>
      <c r="E39" s="5">
        <v>10561</v>
      </c>
      <c r="F39" s="5">
        <v>11651</v>
      </c>
      <c r="G39" s="5">
        <v>11086</v>
      </c>
      <c r="H39" s="5">
        <v>10539</v>
      </c>
      <c r="I39" s="5">
        <v>10454</v>
      </c>
      <c r="J39" s="5">
        <v>10524</v>
      </c>
      <c r="K39" s="5">
        <v>4785</v>
      </c>
      <c r="L39" s="5">
        <v>8237</v>
      </c>
      <c r="M39" s="5">
        <v>8731</v>
      </c>
      <c r="N39" s="19">
        <v>0</v>
      </c>
      <c r="O39" s="14">
        <v>9429</v>
      </c>
      <c r="P39" s="14">
        <v>10239</v>
      </c>
      <c r="Q39" s="14">
        <v>10582</v>
      </c>
      <c r="R39" s="14">
        <v>11694</v>
      </c>
      <c r="S39" s="14">
        <v>11127</v>
      </c>
      <c r="T39" s="14">
        <v>10576</v>
      </c>
      <c r="U39" s="14">
        <v>10470</v>
      </c>
      <c r="V39" s="14">
        <v>10536</v>
      </c>
      <c r="W39" s="14">
        <v>4788</v>
      </c>
      <c r="X39" s="14">
        <v>8251</v>
      </c>
      <c r="Y39" s="14">
        <v>8748</v>
      </c>
      <c r="Z39" s="14">
        <v>0</v>
      </c>
      <c r="AA39" s="11">
        <v>18840</v>
      </c>
      <c r="AB39" s="34">
        <v>20457</v>
      </c>
      <c r="AC39" s="34">
        <v>21143</v>
      </c>
      <c r="AD39" s="34">
        <v>23345</v>
      </c>
      <c r="AE39" s="34">
        <v>22213</v>
      </c>
      <c r="AF39" s="34">
        <v>21115</v>
      </c>
      <c r="AG39" s="34">
        <v>20924</v>
      </c>
      <c r="AH39" s="34">
        <v>21060</v>
      </c>
      <c r="AI39" s="34">
        <v>9573</v>
      </c>
      <c r="AJ39" s="34">
        <v>16488</v>
      </c>
      <c r="AK39" s="34">
        <v>17479</v>
      </c>
      <c r="AL39" s="9">
        <v>0</v>
      </c>
      <c r="AO39"/>
    </row>
    <row r="40" spans="1:41" x14ac:dyDescent="0.45">
      <c r="A40" s="8"/>
      <c r="B40" s="21">
        <v>44997</v>
      </c>
      <c r="C40" s="18">
        <v>10404</v>
      </c>
      <c r="D40" s="5">
        <v>11096</v>
      </c>
      <c r="E40" s="5">
        <v>12146</v>
      </c>
      <c r="F40" s="5">
        <v>12437</v>
      </c>
      <c r="G40" s="5">
        <v>12249</v>
      </c>
      <c r="H40" s="5">
        <v>11813</v>
      </c>
      <c r="I40" s="5">
        <v>11735</v>
      </c>
      <c r="J40" s="5">
        <v>7665</v>
      </c>
      <c r="K40" s="5">
        <v>7151</v>
      </c>
      <c r="L40" s="5">
        <v>9553</v>
      </c>
      <c r="M40" s="5">
        <v>10045</v>
      </c>
      <c r="N40" s="19">
        <v>0</v>
      </c>
      <c r="O40" s="14">
        <v>10415</v>
      </c>
      <c r="P40" s="14">
        <v>11116</v>
      </c>
      <c r="Q40" s="14">
        <v>12159</v>
      </c>
      <c r="R40" s="14">
        <v>12477</v>
      </c>
      <c r="S40" s="14">
        <v>12288</v>
      </c>
      <c r="T40" s="14">
        <v>11856</v>
      </c>
      <c r="U40" s="14">
        <v>11767</v>
      </c>
      <c r="V40" s="14">
        <v>7667</v>
      </c>
      <c r="W40" s="14">
        <v>7156</v>
      </c>
      <c r="X40" s="14">
        <v>9566</v>
      </c>
      <c r="Y40" s="14">
        <v>10080</v>
      </c>
      <c r="Z40" s="14">
        <v>0</v>
      </c>
      <c r="AA40" s="11">
        <v>20819</v>
      </c>
      <c r="AB40" s="34">
        <v>22212</v>
      </c>
      <c r="AC40" s="34">
        <v>24305</v>
      </c>
      <c r="AD40" s="34">
        <v>24914</v>
      </c>
      <c r="AE40" s="34">
        <v>24537</v>
      </c>
      <c r="AF40" s="34">
        <v>23669</v>
      </c>
      <c r="AG40" s="34">
        <v>23502</v>
      </c>
      <c r="AH40" s="34">
        <v>15332</v>
      </c>
      <c r="AI40" s="34">
        <v>14307</v>
      </c>
      <c r="AJ40" s="34">
        <v>19119</v>
      </c>
      <c r="AK40" s="34">
        <v>20125</v>
      </c>
      <c r="AL40" s="9">
        <v>0</v>
      </c>
      <c r="AO40"/>
    </row>
    <row r="41" spans="1:41" x14ac:dyDescent="0.45">
      <c r="A41" s="8"/>
      <c r="B41" s="22" t="s">
        <v>52</v>
      </c>
      <c r="C41" s="12">
        <v>126494</v>
      </c>
      <c r="D41" s="15">
        <v>125956</v>
      </c>
      <c r="E41" s="15">
        <v>132915</v>
      </c>
      <c r="F41" s="15">
        <v>142039</v>
      </c>
      <c r="G41" s="15">
        <v>142205</v>
      </c>
      <c r="H41" s="15">
        <v>140369</v>
      </c>
      <c r="I41" s="15">
        <v>135668</v>
      </c>
      <c r="J41" s="15">
        <v>130693</v>
      </c>
      <c r="K41" s="15">
        <v>42896</v>
      </c>
      <c r="L41" s="15">
        <v>90385</v>
      </c>
      <c r="M41" s="15">
        <v>109076</v>
      </c>
      <c r="N41" s="16">
        <v>70790</v>
      </c>
      <c r="O41" s="15">
        <v>126918</v>
      </c>
      <c r="P41" s="15">
        <v>126011</v>
      </c>
      <c r="Q41" s="15">
        <v>133039</v>
      </c>
      <c r="R41" s="15">
        <v>142310</v>
      </c>
      <c r="S41" s="15">
        <v>142846</v>
      </c>
      <c r="T41" s="15">
        <v>140965</v>
      </c>
      <c r="U41" s="15">
        <v>136144</v>
      </c>
      <c r="V41" s="15">
        <v>131082</v>
      </c>
      <c r="W41" s="15">
        <v>42969</v>
      </c>
      <c r="X41" s="15">
        <v>90631</v>
      </c>
      <c r="Y41" s="15">
        <v>109366</v>
      </c>
      <c r="Z41" s="15">
        <v>70965</v>
      </c>
      <c r="AA41" s="12">
        <v>253412</v>
      </c>
      <c r="AB41" s="15">
        <v>251967</v>
      </c>
      <c r="AC41" s="15">
        <v>265954</v>
      </c>
      <c r="AD41" s="15">
        <v>284349</v>
      </c>
      <c r="AE41" s="15">
        <v>285051</v>
      </c>
      <c r="AF41" s="15">
        <v>281334</v>
      </c>
      <c r="AG41" s="15">
        <v>271812</v>
      </c>
      <c r="AH41" s="15">
        <v>261775</v>
      </c>
      <c r="AI41" s="15">
        <v>85865</v>
      </c>
      <c r="AJ41" s="15">
        <v>181016</v>
      </c>
      <c r="AK41" s="15">
        <v>218442</v>
      </c>
      <c r="AL41" s="16">
        <v>141755</v>
      </c>
      <c r="AO41"/>
    </row>
    <row r="42" spans="1:41" x14ac:dyDescent="0.45">
      <c r="A42" s="8"/>
      <c r="B42" s="21">
        <v>45017</v>
      </c>
      <c r="C42" s="18">
        <v>7178</v>
      </c>
      <c r="D42" s="5">
        <v>9318</v>
      </c>
      <c r="E42" s="5">
        <v>7923</v>
      </c>
      <c r="F42" s="5">
        <v>7966</v>
      </c>
      <c r="G42" s="5">
        <v>8399</v>
      </c>
      <c r="H42" s="5">
        <v>6721</v>
      </c>
      <c r="I42" s="5">
        <v>6102</v>
      </c>
      <c r="J42" s="5">
        <v>5899</v>
      </c>
      <c r="K42" s="5">
        <v>572</v>
      </c>
      <c r="L42" s="5">
        <v>4615</v>
      </c>
      <c r="M42" s="5">
        <v>4794</v>
      </c>
      <c r="N42" s="19">
        <v>5219</v>
      </c>
      <c r="O42" s="14">
        <v>6966</v>
      </c>
      <c r="P42" s="14">
        <v>9456</v>
      </c>
      <c r="Q42" s="14">
        <v>7983</v>
      </c>
      <c r="R42" s="14">
        <v>7766</v>
      </c>
      <c r="S42" s="14">
        <v>8262</v>
      </c>
      <c r="T42" s="14">
        <v>6265</v>
      </c>
      <c r="U42" s="14">
        <v>6017</v>
      </c>
      <c r="V42" s="14">
        <v>5859</v>
      </c>
      <c r="W42" s="14">
        <v>562</v>
      </c>
      <c r="X42" s="14">
        <v>4461</v>
      </c>
      <c r="Y42" s="14">
        <v>4730</v>
      </c>
      <c r="Z42" s="14">
        <v>5107</v>
      </c>
      <c r="AA42" s="11">
        <v>14144</v>
      </c>
      <c r="AB42" s="34">
        <v>18774</v>
      </c>
      <c r="AC42" s="34">
        <v>15906</v>
      </c>
      <c r="AD42" s="34">
        <v>15732</v>
      </c>
      <c r="AE42" s="34">
        <v>16661</v>
      </c>
      <c r="AF42" s="34">
        <v>12986</v>
      </c>
      <c r="AG42" s="34">
        <v>12119</v>
      </c>
      <c r="AH42" s="34">
        <v>11758</v>
      </c>
      <c r="AI42" s="34">
        <v>1134</v>
      </c>
      <c r="AJ42" s="34">
        <v>9076</v>
      </c>
      <c r="AK42" s="34">
        <v>9524</v>
      </c>
      <c r="AL42" s="9">
        <v>10326</v>
      </c>
      <c r="AO42"/>
    </row>
    <row r="43" spans="1:41" x14ac:dyDescent="0.45">
      <c r="A43" s="8"/>
      <c r="B43" s="21">
        <v>45048</v>
      </c>
      <c r="C43" s="18">
        <v>7631</v>
      </c>
      <c r="D43" s="5">
        <v>7740</v>
      </c>
      <c r="E43" s="5">
        <v>7774</v>
      </c>
      <c r="F43" s="5">
        <v>8769</v>
      </c>
      <c r="G43" s="5">
        <v>8591</v>
      </c>
      <c r="H43" s="5">
        <v>6919</v>
      </c>
      <c r="I43" s="5">
        <v>7497</v>
      </c>
      <c r="J43" s="5">
        <v>6679</v>
      </c>
      <c r="K43" s="5">
        <v>873</v>
      </c>
      <c r="L43" s="5">
        <v>4678</v>
      </c>
      <c r="M43" s="5">
        <v>5805</v>
      </c>
      <c r="N43" s="19">
        <v>5299</v>
      </c>
      <c r="O43" s="14">
        <v>7752</v>
      </c>
      <c r="P43" s="14">
        <v>7847</v>
      </c>
      <c r="Q43" s="14">
        <v>7727</v>
      </c>
      <c r="R43" s="14">
        <v>8596</v>
      </c>
      <c r="S43" s="14">
        <v>8469</v>
      </c>
      <c r="T43" s="14">
        <v>6391</v>
      </c>
      <c r="U43" s="14">
        <v>7440</v>
      </c>
      <c r="V43" s="14">
        <v>6664</v>
      </c>
      <c r="W43" s="14">
        <v>894</v>
      </c>
      <c r="X43" s="14">
        <v>4544</v>
      </c>
      <c r="Y43" s="14">
        <v>5676</v>
      </c>
      <c r="Z43" s="14">
        <v>5254</v>
      </c>
      <c r="AA43" s="11">
        <v>15383</v>
      </c>
      <c r="AB43" s="34">
        <v>15587</v>
      </c>
      <c r="AC43" s="34">
        <v>15501</v>
      </c>
      <c r="AD43" s="34">
        <v>17365</v>
      </c>
      <c r="AE43" s="34">
        <v>17060</v>
      </c>
      <c r="AF43" s="34">
        <v>13310</v>
      </c>
      <c r="AG43" s="34">
        <v>14937</v>
      </c>
      <c r="AH43" s="34">
        <v>13343</v>
      </c>
      <c r="AI43" s="34">
        <v>1767</v>
      </c>
      <c r="AJ43" s="34">
        <v>9222</v>
      </c>
      <c r="AK43" s="34">
        <v>11481</v>
      </c>
      <c r="AL43" s="9">
        <v>10553</v>
      </c>
      <c r="AO43"/>
    </row>
    <row r="44" spans="1:41" x14ac:dyDescent="0.45">
      <c r="A44" s="8"/>
      <c r="B44" s="21">
        <v>45080</v>
      </c>
      <c r="C44" s="18">
        <v>6458</v>
      </c>
      <c r="D44" s="5">
        <v>6785</v>
      </c>
      <c r="E44" s="5">
        <v>7418</v>
      </c>
      <c r="F44" s="5">
        <v>8059</v>
      </c>
      <c r="G44" s="5">
        <v>7089</v>
      </c>
      <c r="H44" s="5">
        <v>6109</v>
      </c>
      <c r="I44" s="5">
        <v>6448</v>
      </c>
      <c r="J44" s="5">
        <v>6109</v>
      </c>
      <c r="K44" s="5">
        <v>3543</v>
      </c>
      <c r="L44" s="5">
        <v>4736</v>
      </c>
      <c r="M44" s="5">
        <v>5166</v>
      </c>
      <c r="N44" s="19">
        <v>4407</v>
      </c>
      <c r="O44" s="14">
        <v>6073</v>
      </c>
      <c r="P44" s="14">
        <v>6912</v>
      </c>
      <c r="Q44" s="14">
        <v>7361</v>
      </c>
      <c r="R44" s="14">
        <v>7928</v>
      </c>
      <c r="S44" s="14">
        <v>7048</v>
      </c>
      <c r="T44" s="14">
        <v>5723</v>
      </c>
      <c r="U44" s="14">
        <v>6355</v>
      </c>
      <c r="V44" s="14">
        <v>6091</v>
      </c>
      <c r="W44" s="14">
        <v>3534</v>
      </c>
      <c r="X44" s="14">
        <v>4680</v>
      </c>
      <c r="Y44" s="14">
        <v>5053</v>
      </c>
      <c r="Z44" s="14">
        <v>4385</v>
      </c>
      <c r="AA44" s="11">
        <v>12531</v>
      </c>
      <c r="AB44" s="34">
        <v>13697</v>
      </c>
      <c r="AC44" s="34">
        <v>14779</v>
      </c>
      <c r="AD44" s="34">
        <v>15987</v>
      </c>
      <c r="AE44" s="34">
        <v>14137</v>
      </c>
      <c r="AF44" s="34">
        <v>11832</v>
      </c>
      <c r="AG44" s="34">
        <v>12803</v>
      </c>
      <c r="AH44" s="34">
        <v>12200</v>
      </c>
      <c r="AI44" s="34">
        <v>7077</v>
      </c>
      <c r="AJ44" s="34">
        <v>9416</v>
      </c>
      <c r="AK44" s="34">
        <v>10219</v>
      </c>
      <c r="AL44" s="9">
        <v>8792</v>
      </c>
      <c r="AO44"/>
    </row>
    <row r="45" spans="1:41" x14ac:dyDescent="0.45">
      <c r="A45" s="8"/>
      <c r="B45" s="21">
        <v>45111</v>
      </c>
      <c r="C45" s="18">
        <v>6445</v>
      </c>
      <c r="D45" s="5">
        <v>6826</v>
      </c>
      <c r="E45" s="5">
        <v>8221</v>
      </c>
      <c r="F45" s="5">
        <v>7445</v>
      </c>
      <c r="G45" s="5">
        <v>7762</v>
      </c>
      <c r="H45" s="5">
        <v>6524</v>
      </c>
      <c r="I45" s="5">
        <v>6773</v>
      </c>
      <c r="J45" s="5">
        <v>6386</v>
      </c>
      <c r="K45" s="5">
        <v>4192</v>
      </c>
      <c r="L45" s="5">
        <v>4329</v>
      </c>
      <c r="M45" s="5">
        <v>5116</v>
      </c>
      <c r="N45" s="19">
        <v>5093</v>
      </c>
      <c r="O45" s="14">
        <v>6585</v>
      </c>
      <c r="P45" s="14">
        <v>6961</v>
      </c>
      <c r="Q45" s="14">
        <v>8322</v>
      </c>
      <c r="R45" s="14">
        <v>7336</v>
      </c>
      <c r="S45" s="14">
        <v>7655</v>
      </c>
      <c r="T45" s="14">
        <v>6348</v>
      </c>
      <c r="U45" s="14">
        <v>6649</v>
      </c>
      <c r="V45" s="14">
        <v>6328</v>
      </c>
      <c r="W45" s="14">
        <v>4186</v>
      </c>
      <c r="X45" s="14">
        <v>4243</v>
      </c>
      <c r="Y45" s="14">
        <v>5052</v>
      </c>
      <c r="Z45" s="14">
        <v>5077</v>
      </c>
      <c r="AA45" s="11">
        <v>13030</v>
      </c>
      <c r="AB45" s="34">
        <v>13787</v>
      </c>
      <c r="AC45" s="34">
        <v>16543</v>
      </c>
      <c r="AD45" s="34">
        <v>14781</v>
      </c>
      <c r="AE45" s="34">
        <v>15417</v>
      </c>
      <c r="AF45" s="34">
        <v>12872</v>
      </c>
      <c r="AG45" s="34">
        <v>13422</v>
      </c>
      <c r="AH45" s="34">
        <v>12714</v>
      </c>
      <c r="AI45" s="34">
        <v>8378</v>
      </c>
      <c r="AJ45" s="34">
        <v>8572</v>
      </c>
      <c r="AK45" s="34">
        <v>10168</v>
      </c>
      <c r="AL45" s="9">
        <v>10170</v>
      </c>
      <c r="AO45"/>
    </row>
    <row r="46" spans="1:41" x14ac:dyDescent="0.45">
      <c r="A46" s="8"/>
      <c r="B46" s="21">
        <v>45143</v>
      </c>
      <c r="C46" s="18">
        <v>6750</v>
      </c>
      <c r="D46" s="5">
        <v>6312</v>
      </c>
      <c r="E46" s="5">
        <v>8072</v>
      </c>
      <c r="F46" s="5">
        <v>7999</v>
      </c>
      <c r="G46" s="5">
        <v>8635</v>
      </c>
      <c r="H46" s="5">
        <v>5979</v>
      </c>
      <c r="I46" s="5">
        <v>6013</v>
      </c>
      <c r="J46" s="5">
        <v>7441</v>
      </c>
      <c r="K46" s="5">
        <v>4089</v>
      </c>
      <c r="L46" s="5">
        <v>4404</v>
      </c>
      <c r="M46" s="5">
        <v>4975</v>
      </c>
      <c r="N46" s="19">
        <v>5391</v>
      </c>
      <c r="O46" s="14">
        <v>6473</v>
      </c>
      <c r="P46" s="14">
        <v>6310</v>
      </c>
      <c r="Q46" s="14">
        <v>7937</v>
      </c>
      <c r="R46" s="14">
        <v>7501</v>
      </c>
      <c r="S46" s="14">
        <v>8549</v>
      </c>
      <c r="T46" s="14">
        <v>5819</v>
      </c>
      <c r="U46" s="14">
        <v>5998</v>
      </c>
      <c r="V46" s="14">
        <v>7412</v>
      </c>
      <c r="W46" s="14">
        <v>4139</v>
      </c>
      <c r="X46" s="14">
        <v>4401</v>
      </c>
      <c r="Y46" s="14">
        <v>4934</v>
      </c>
      <c r="Z46" s="14">
        <v>5366</v>
      </c>
      <c r="AA46" s="11">
        <v>13223</v>
      </c>
      <c r="AB46" s="34">
        <v>12622</v>
      </c>
      <c r="AC46" s="34">
        <v>16009</v>
      </c>
      <c r="AD46" s="34">
        <v>15500</v>
      </c>
      <c r="AE46" s="34">
        <v>17184</v>
      </c>
      <c r="AF46" s="34">
        <v>11798</v>
      </c>
      <c r="AG46" s="34">
        <v>12011</v>
      </c>
      <c r="AH46" s="34">
        <v>14853</v>
      </c>
      <c r="AI46" s="34">
        <v>8228</v>
      </c>
      <c r="AJ46" s="34">
        <v>8805</v>
      </c>
      <c r="AK46" s="34">
        <v>9909</v>
      </c>
      <c r="AL46" s="9">
        <v>10757</v>
      </c>
      <c r="AO46"/>
    </row>
    <row r="47" spans="1:41" x14ac:dyDescent="0.45">
      <c r="A47" s="8"/>
      <c r="B47" s="21">
        <v>45175</v>
      </c>
      <c r="C47" s="18">
        <v>5909</v>
      </c>
      <c r="D47" s="5">
        <v>6275</v>
      </c>
      <c r="E47" s="5">
        <v>7373</v>
      </c>
      <c r="F47" s="5">
        <v>7636</v>
      </c>
      <c r="G47" s="5">
        <v>8881</v>
      </c>
      <c r="H47" s="5">
        <v>5997</v>
      </c>
      <c r="I47" s="5">
        <v>5825</v>
      </c>
      <c r="J47" s="5">
        <v>5485</v>
      </c>
      <c r="K47" s="5">
        <v>5186</v>
      </c>
      <c r="L47" s="5">
        <v>3535</v>
      </c>
      <c r="M47" s="5">
        <v>4748</v>
      </c>
      <c r="N47" s="19">
        <v>4891</v>
      </c>
      <c r="O47" s="14">
        <v>6029</v>
      </c>
      <c r="P47" s="14">
        <v>6408</v>
      </c>
      <c r="Q47" s="14">
        <v>7183</v>
      </c>
      <c r="R47" s="14">
        <v>7494</v>
      </c>
      <c r="S47" s="14">
        <v>8781</v>
      </c>
      <c r="T47" s="14">
        <v>5861</v>
      </c>
      <c r="U47" s="14">
        <v>5739</v>
      </c>
      <c r="V47" s="14">
        <v>5423</v>
      </c>
      <c r="W47" s="14">
        <v>5228</v>
      </c>
      <c r="X47" s="14">
        <v>3513</v>
      </c>
      <c r="Y47" s="14">
        <v>4665</v>
      </c>
      <c r="Z47" s="14">
        <v>4905</v>
      </c>
      <c r="AA47" s="11">
        <v>11938</v>
      </c>
      <c r="AB47" s="34">
        <v>12683</v>
      </c>
      <c r="AC47" s="34">
        <v>14556</v>
      </c>
      <c r="AD47" s="34">
        <v>15130</v>
      </c>
      <c r="AE47" s="34">
        <v>17662</v>
      </c>
      <c r="AF47" s="34">
        <v>11858</v>
      </c>
      <c r="AG47" s="34">
        <v>11564</v>
      </c>
      <c r="AH47" s="34">
        <v>10908</v>
      </c>
      <c r="AI47" s="34">
        <v>10414</v>
      </c>
      <c r="AJ47" s="34">
        <v>7048</v>
      </c>
      <c r="AK47" s="34">
        <v>9413</v>
      </c>
      <c r="AL47" s="9">
        <v>9796</v>
      </c>
      <c r="AO47"/>
    </row>
    <row r="48" spans="1:41" x14ac:dyDescent="0.45">
      <c r="A48" s="8" t="s">
        <v>70</v>
      </c>
      <c r="B48" s="21">
        <v>45206</v>
      </c>
      <c r="C48" s="18">
        <v>5687</v>
      </c>
      <c r="D48" s="5">
        <v>6906</v>
      </c>
      <c r="E48" s="5">
        <v>7604</v>
      </c>
      <c r="F48" s="5">
        <v>8668</v>
      </c>
      <c r="G48" s="5">
        <v>7508</v>
      </c>
      <c r="H48" s="5">
        <v>6029</v>
      </c>
      <c r="I48" s="5">
        <v>5930</v>
      </c>
      <c r="J48" s="5">
        <v>5814</v>
      </c>
      <c r="K48" s="5">
        <v>4370</v>
      </c>
      <c r="L48" s="5">
        <v>4118</v>
      </c>
      <c r="M48" s="5">
        <v>6101</v>
      </c>
      <c r="N48" s="19">
        <v>4168</v>
      </c>
      <c r="O48" s="14">
        <v>5819</v>
      </c>
      <c r="P48" s="14">
        <v>7012</v>
      </c>
      <c r="Q48" s="14">
        <v>7443</v>
      </c>
      <c r="R48" s="14">
        <v>8590</v>
      </c>
      <c r="S48" s="14">
        <v>7396</v>
      </c>
      <c r="T48" s="14">
        <v>5891</v>
      </c>
      <c r="U48" s="14">
        <v>5808</v>
      </c>
      <c r="V48" s="14">
        <v>5781</v>
      </c>
      <c r="W48" s="14">
        <v>4330</v>
      </c>
      <c r="X48" s="14">
        <v>4042</v>
      </c>
      <c r="Y48" s="14">
        <v>6021</v>
      </c>
      <c r="Z48" s="14">
        <v>4133</v>
      </c>
      <c r="AA48" s="11">
        <v>11506</v>
      </c>
      <c r="AB48" s="34">
        <v>13918</v>
      </c>
      <c r="AC48" s="34">
        <v>15047</v>
      </c>
      <c r="AD48" s="34">
        <v>17258</v>
      </c>
      <c r="AE48" s="34">
        <v>14904</v>
      </c>
      <c r="AF48" s="34">
        <v>11920</v>
      </c>
      <c r="AG48" s="34">
        <v>11738</v>
      </c>
      <c r="AH48" s="34">
        <v>11595</v>
      </c>
      <c r="AI48" s="34">
        <v>8700</v>
      </c>
      <c r="AJ48" s="34">
        <v>8160</v>
      </c>
      <c r="AK48" s="34">
        <v>12122</v>
      </c>
      <c r="AL48" s="9">
        <v>8301</v>
      </c>
      <c r="AO48"/>
    </row>
    <row r="49" spans="1:41" x14ac:dyDescent="0.45">
      <c r="A49" s="8"/>
      <c r="B49" s="21">
        <v>45238</v>
      </c>
      <c r="C49" s="18">
        <v>7446</v>
      </c>
      <c r="D49" s="5">
        <v>7537</v>
      </c>
      <c r="E49" s="5">
        <v>7702</v>
      </c>
      <c r="F49" s="5">
        <v>7967</v>
      </c>
      <c r="G49" s="5">
        <v>6620</v>
      </c>
      <c r="H49" s="5">
        <v>5739</v>
      </c>
      <c r="I49" s="5">
        <v>6024</v>
      </c>
      <c r="J49" s="5">
        <v>5514</v>
      </c>
      <c r="K49" s="5">
        <v>4507</v>
      </c>
      <c r="L49" s="5">
        <v>4082</v>
      </c>
      <c r="M49" s="5">
        <v>5323</v>
      </c>
      <c r="N49" s="19">
        <v>0</v>
      </c>
      <c r="O49" s="14">
        <v>7536</v>
      </c>
      <c r="P49" s="14">
        <v>7615</v>
      </c>
      <c r="Q49" s="14">
        <v>7635</v>
      </c>
      <c r="R49" s="14">
        <v>7863</v>
      </c>
      <c r="S49" s="14">
        <v>6421</v>
      </c>
      <c r="T49" s="14">
        <v>5635</v>
      </c>
      <c r="U49" s="14">
        <v>5878</v>
      </c>
      <c r="V49" s="14">
        <v>5379</v>
      </c>
      <c r="W49" s="14">
        <v>4442</v>
      </c>
      <c r="X49" s="14">
        <v>3963</v>
      </c>
      <c r="Y49" s="14">
        <v>5209</v>
      </c>
      <c r="Z49" s="14">
        <v>0</v>
      </c>
      <c r="AA49" s="11">
        <v>14982</v>
      </c>
      <c r="AB49" s="34">
        <v>15152</v>
      </c>
      <c r="AC49" s="34">
        <v>15337</v>
      </c>
      <c r="AD49" s="34">
        <v>15830</v>
      </c>
      <c r="AE49" s="34">
        <v>13041</v>
      </c>
      <c r="AF49" s="34">
        <v>11374</v>
      </c>
      <c r="AG49" s="34">
        <v>11902</v>
      </c>
      <c r="AH49" s="34">
        <v>10893</v>
      </c>
      <c r="AI49" s="34">
        <v>8949</v>
      </c>
      <c r="AJ49" s="34">
        <v>8045</v>
      </c>
      <c r="AK49" s="34">
        <v>10532</v>
      </c>
      <c r="AL49" s="9">
        <v>0</v>
      </c>
      <c r="AO49"/>
    </row>
    <row r="50" spans="1:41" x14ac:dyDescent="0.45">
      <c r="A50" s="8"/>
      <c r="B50" s="21">
        <v>45269</v>
      </c>
      <c r="C50" s="18">
        <v>6102</v>
      </c>
      <c r="D50" s="5">
        <v>6077</v>
      </c>
      <c r="E50" s="5">
        <v>6395</v>
      </c>
      <c r="F50" s="5">
        <v>6346</v>
      </c>
      <c r="G50" s="5">
        <v>5835</v>
      </c>
      <c r="H50" s="5">
        <v>5158</v>
      </c>
      <c r="I50" s="5">
        <v>5173</v>
      </c>
      <c r="J50" s="5">
        <v>4530</v>
      </c>
      <c r="K50" s="5">
        <v>3847</v>
      </c>
      <c r="L50" s="5">
        <v>3136</v>
      </c>
      <c r="M50" s="5">
        <v>4355</v>
      </c>
      <c r="N50" s="19">
        <v>0</v>
      </c>
      <c r="O50" s="14">
        <v>6276</v>
      </c>
      <c r="P50" s="14">
        <v>6257</v>
      </c>
      <c r="Q50" s="14">
        <v>6287</v>
      </c>
      <c r="R50" s="14">
        <v>6194</v>
      </c>
      <c r="S50" s="14">
        <v>5749</v>
      </c>
      <c r="T50" s="14">
        <v>5069</v>
      </c>
      <c r="U50" s="14">
        <v>5098</v>
      </c>
      <c r="V50" s="14">
        <v>4415</v>
      </c>
      <c r="W50" s="14">
        <v>3779</v>
      </c>
      <c r="X50" s="14">
        <v>3099</v>
      </c>
      <c r="Y50" s="14">
        <v>4237</v>
      </c>
      <c r="Z50" s="14">
        <v>0</v>
      </c>
      <c r="AA50" s="11">
        <v>12378</v>
      </c>
      <c r="AB50" s="34">
        <v>12334</v>
      </c>
      <c r="AC50" s="34">
        <v>12682</v>
      </c>
      <c r="AD50" s="34">
        <v>12540</v>
      </c>
      <c r="AE50" s="34">
        <v>11584</v>
      </c>
      <c r="AF50" s="34">
        <v>10227</v>
      </c>
      <c r="AG50" s="34">
        <v>10271</v>
      </c>
      <c r="AH50" s="34">
        <v>8945</v>
      </c>
      <c r="AI50" s="34">
        <v>7626</v>
      </c>
      <c r="AJ50" s="34">
        <v>6235</v>
      </c>
      <c r="AK50" s="34">
        <v>8592</v>
      </c>
      <c r="AL50" s="9">
        <v>0</v>
      </c>
      <c r="AO50"/>
    </row>
    <row r="51" spans="1:41" x14ac:dyDescent="0.45">
      <c r="A51" s="8"/>
      <c r="B51" s="21">
        <v>44936</v>
      </c>
      <c r="C51" s="18">
        <v>6902</v>
      </c>
      <c r="D51" s="5">
        <v>7510</v>
      </c>
      <c r="E51" s="5">
        <v>7657</v>
      </c>
      <c r="F51" s="5">
        <v>6266</v>
      </c>
      <c r="G51" s="5">
        <v>5034</v>
      </c>
      <c r="H51" s="5">
        <v>5099</v>
      </c>
      <c r="I51" s="5">
        <v>4798</v>
      </c>
      <c r="J51" s="5">
        <v>4401</v>
      </c>
      <c r="K51" s="5">
        <v>4070</v>
      </c>
      <c r="L51" s="5">
        <v>4102</v>
      </c>
      <c r="M51" s="5">
        <v>4310</v>
      </c>
      <c r="N51" s="19">
        <v>0</v>
      </c>
      <c r="O51" s="14">
        <v>6978</v>
      </c>
      <c r="P51" s="14">
        <v>7585</v>
      </c>
      <c r="Q51" s="14">
        <v>7623</v>
      </c>
      <c r="R51" s="14">
        <v>6308</v>
      </c>
      <c r="S51" s="14">
        <v>4961</v>
      </c>
      <c r="T51" s="14">
        <v>5002</v>
      </c>
      <c r="U51" s="14">
        <v>4988</v>
      </c>
      <c r="V51" s="14">
        <v>4355</v>
      </c>
      <c r="W51" s="14">
        <v>4029</v>
      </c>
      <c r="X51" s="14">
        <v>4077</v>
      </c>
      <c r="Y51" s="14">
        <v>4276</v>
      </c>
      <c r="Z51" s="14">
        <v>0</v>
      </c>
      <c r="AA51" s="11">
        <v>13880</v>
      </c>
      <c r="AB51" s="34">
        <v>15095</v>
      </c>
      <c r="AC51" s="34">
        <v>15280</v>
      </c>
      <c r="AD51" s="34">
        <v>12574</v>
      </c>
      <c r="AE51" s="34">
        <v>9995</v>
      </c>
      <c r="AF51" s="34">
        <v>10101</v>
      </c>
      <c r="AG51" s="34">
        <v>9786</v>
      </c>
      <c r="AH51" s="34">
        <v>8756</v>
      </c>
      <c r="AI51" s="34">
        <v>8099</v>
      </c>
      <c r="AJ51" s="34">
        <v>8179</v>
      </c>
      <c r="AK51" s="34">
        <v>8586</v>
      </c>
      <c r="AL51" s="9">
        <v>0</v>
      </c>
      <c r="AO51"/>
    </row>
    <row r="52" spans="1:41" x14ac:dyDescent="0.45">
      <c r="A52" s="8"/>
      <c r="B52" s="21">
        <v>44968</v>
      </c>
      <c r="C52" s="18">
        <v>7669</v>
      </c>
      <c r="D52" s="5">
        <v>7482</v>
      </c>
      <c r="E52" s="5">
        <v>6862</v>
      </c>
      <c r="F52" s="5">
        <v>7266</v>
      </c>
      <c r="G52" s="5">
        <v>5701</v>
      </c>
      <c r="H52" s="5">
        <v>5921</v>
      </c>
      <c r="I52" s="5">
        <v>5473</v>
      </c>
      <c r="J52" s="5">
        <v>4544</v>
      </c>
      <c r="K52" s="5">
        <v>4359</v>
      </c>
      <c r="L52" s="5">
        <v>4500</v>
      </c>
      <c r="M52" s="5">
        <v>4338</v>
      </c>
      <c r="N52" s="19">
        <v>0</v>
      </c>
      <c r="O52" s="14">
        <v>7785</v>
      </c>
      <c r="P52" s="14">
        <v>7567</v>
      </c>
      <c r="Q52" s="14">
        <v>6736</v>
      </c>
      <c r="R52" s="14">
        <v>7107</v>
      </c>
      <c r="S52" s="14">
        <v>5523</v>
      </c>
      <c r="T52" s="14">
        <v>5781</v>
      </c>
      <c r="U52" s="14">
        <v>5428</v>
      </c>
      <c r="V52" s="14">
        <v>3171</v>
      </c>
      <c r="W52" s="14">
        <v>4464</v>
      </c>
      <c r="X52" s="14">
        <v>4393</v>
      </c>
      <c r="Y52" s="14">
        <v>4323</v>
      </c>
      <c r="Z52" s="14">
        <v>0</v>
      </c>
      <c r="AA52" s="11">
        <v>15454</v>
      </c>
      <c r="AB52" s="34">
        <v>15049</v>
      </c>
      <c r="AC52" s="34">
        <v>13598</v>
      </c>
      <c r="AD52" s="34">
        <v>14373</v>
      </c>
      <c r="AE52" s="34">
        <v>11224</v>
      </c>
      <c r="AF52" s="34">
        <v>11702</v>
      </c>
      <c r="AG52" s="34">
        <v>10901</v>
      </c>
      <c r="AH52" s="34">
        <v>7715</v>
      </c>
      <c r="AI52" s="34">
        <v>8823</v>
      </c>
      <c r="AJ52" s="34">
        <v>8893</v>
      </c>
      <c r="AK52" s="34">
        <v>8661</v>
      </c>
      <c r="AL52" s="9">
        <v>0</v>
      </c>
      <c r="AO52"/>
    </row>
    <row r="53" spans="1:41" x14ac:dyDescent="0.45">
      <c r="A53" s="8"/>
      <c r="B53" s="21">
        <v>44997</v>
      </c>
      <c r="C53" s="18">
        <v>6957</v>
      </c>
      <c r="D53" s="5">
        <v>7124</v>
      </c>
      <c r="E53" s="5">
        <v>8619</v>
      </c>
      <c r="F53" s="5">
        <v>8047</v>
      </c>
      <c r="G53" s="5">
        <v>7587</v>
      </c>
      <c r="H53" s="5">
        <v>5776</v>
      </c>
      <c r="I53" s="5">
        <v>5814</v>
      </c>
      <c r="J53" s="5">
        <v>4880</v>
      </c>
      <c r="K53" s="5">
        <v>4455</v>
      </c>
      <c r="L53" s="5">
        <v>6789</v>
      </c>
      <c r="M53" s="5">
        <v>5171</v>
      </c>
      <c r="N53" s="19">
        <v>0</v>
      </c>
      <c r="O53" s="14">
        <v>7121</v>
      </c>
      <c r="P53" s="14">
        <v>7274</v>
      </c>
      <c r="Q53" s="14">
        <v>8473</v>
      </c>
      <c r="R53" s="14">
        <v>7961</v>
      </c>
      <c r="S53" s="14">
        <v>7121</v>
      </c>
      <c r="T53" s="14">
        <v>5674</v>
      </c>
      <c r="U53" s="14">
        <v>5799</v>
      </c>
      <c r="V53" s="14">
        <v>4862</v>
      </c>
      <c r="W53" s="14">
        <v>4514</v>
      </c>
      <c r="X53" s="14">
        <v>6730</v>
      </c>
      <c r="Y53" s="14">
        <v>5132</v>
      </c>
      <c r="Z53" s="14">
        <v>0</v>
      </c>
      <c r="AA53" s="11">
        <v>14078</v>
      </c>
      <c r="AB53" s="34">
        <v>14398</v>
      </c>
      <c r="AC53" s="34">
        <v>17092</v>
      </c>
      <c r="AD53" s="34">
        <v>16008</v>
      </c>
      <c r="AE53" s="34">
        <v>14708</v>
      </c>
      <c r="AF53" s="34">
        <v>11450</v>
      </c>
      <c r="AG53" s="34">
        <v>11613</v>
      </c>
      <c r="AH53" s="34">
        <v>9742</v>
      </c>
      <c r="AI53" s="34">
        <v>8969</v>
      </c>
      <c r="AJ53" s="34">
        <v>13519</v>
      </c>
      <c r="AK53" s="34">
        <v>10303</v>
      </c>
      <c r="AL53" s="9">
        <v>0</v>
      </c>
      <c r="AO53"/>
    </row>
    <row r="54" spans="1:41" ht="14.65" thickBot="1" x14ac:dyDescent="0.5">
      <c r="A54" s="8"/>
      <c r="B54" s="22" t="s">
        <v>52</v>
      </c>
      <c r="C54" s="12">
        <v>81134</v>
      </c>
      <c r="D54" s="15">
        <v>85892</v>
      </c>
      <c r="E54" s="15">
        <v>91620</v>
      </c>
      <c r="F54" s="15">
        <v>92434</v>
      </c>
      <c r="G54" s="15">
        <v>87642</v>
      </c>
      <c r="H54" s="15">
        <v>71971</v>
      </c>
      <c r="I54" s="15">
        <v>71870</v>
      </c>
      <c r="J54" s="15">
        <v>67682</v>
      </c>
      <c r="K54" s="15">
        <v>44063</v>
      </c>
      <c r="L54" s="15">
        <v>53024</v>
      </c>
      <c r="M54" s="15">
        <v>60202</v>
      </c>
      <c r="N54" s="16">
        <v>34468</v>
      </c>
      <c r="O54" s="15">
        <v>81393</v>
      </c>
      <c r="P54" s="15">
        <v>87204</v>
      </c>
      <c r="Q54" s="15">
        <v>90710</v>
      </c>
      <c r="R54" s="15">
        <v>90644</v>
      </c>
      <c r="S54" s="15">
        <v>85935</v>
      </c>
      <c r="T54" s="15">
        <v>69459</v>
      </c>
      <c r="U54" s="15">
        <v>71197</v>
      </c>
      <c r="V54" s="15">
        <v>65740</v>
      </c>
      <c r="W54" s="15">
        <v>44101</v>
      </c>
      <c r="X54" s="15">
        <v>52146</v>
      </c>
      <c r="Y54" s="15">
        <v>59308</v>
      </c>
      <c r="Z54" s="15">
        <v>34227</v>
      </c>
      <c r="AA54" s="12">
        <v>162527</v>
      </c>
      <c r="AB54" s="15">
        <v>173096</v>
      </c>
      <c r="AC54" s="15">
        <v>182330</v>
      </c>
      <c r="AD54" s="15">
        <v>183078</v>
      </c>
      <c r="AE54" s="15">
        <v>173577</v>
      </c>
      <c r="AF54" s="15">
        <v>141430</v>
      </c>
      <c r="AG54" s="15">
        <v>143067</v>
      </c>
      <c r="AH54" s="15">
        <v>133422</v>
      </c>
      <c r="AI54" s="15">
        <v>88164</v>
      </c>
      <c r="AJ54" s="15">
        <v>105170</v>
      </c>
      <c r="AK54" s="15">
        <v>119510</v>
      </c>
      <c r="AL54" s="16">
        <v>68695</v>
      </c>
      <c r="AO54"/>
    </row>
    <row r="55" spans="1:41" x14ac:dyDescent="0.45">
      <c r="A55" s="6"/>
      <c r="B55" s="21">
        <v>45017</v>
      </c>
      <c r="C55" s="18">
        <v>22031</v>
      </c>
      <c r="D55" s="5">
        <v>23522</v>
      </c>
      <c r="E55" s="5">
        <v>22607</v>
      </c>
      <c r="F55" s="5">
        <v>23437</v>
      </c>
      <c r="G55" s="5">
        <v>24195</v>
      </c>
      <c r="H55" s="5">
        <v>22339</v>
      </c>
      <c r="I55" s="5">
        <v>21735</v>
      </c>
      <c r="J55" s="5">
        <v>21317</v>
      </c>
      <c r="K55" s="5">
        <v>1047</v>
      </c>
      <c r="L55" s="5">
        <v>14464</v>
      </c>
      <c r="M55" s="5">
        <v>17377</v>
      </c>
      <c r="N55" s="19">
        <v>18930</v>
      </c>
      <c r="O55" s="14">
        <v>21915</v>
      </c>
      <c r="P55" s="14">
        <v>23440</v>
      </c>
      <c r="Q55" s="14">
        <v>22667</v>
      </c>
      <c r="R55" s="14">
        <v>23260</v>
      </c>
      <c r="S55" s="14">
        <v>24109</v>
      </c>
      <c r="T55" s="14">
        <v>21923</v>
      </c>
      <c r="U55" s="14">
        <v>21688</v>
      </c>
      <c r="V55" s="14">
        <v>21307</v>
      </c>
      <c r="W55" s="14">
        <v>1034</v>
      </c>
      <c r="X55" s="14">
        <v>14305</v>
      </c>
      <c r="Y55" s="14">
        <v>17289</v>
      </c>
      <c r="Z55" s="14">
        <v>18823</v>
      </c>
      <c r="AA55" s="11">
        <v>43946</v>
      </c>
      <c r="AB55" s="34">
        <v>46962</v>
      </c>
      <c r="AC55" s="34">
        <v>45274</v>
      </c>
      <c r="AD55" s="34">
        <v>46697</v>
      </c>
      <c r="AE55" s="34">
        <v>48304</v>
      </c>
      <c r="AF55" s="34">
        <v>44262</v>
      </c>
      <c r="AG55" s="34">
        <v>43423</v>
      </c>
      <c r="AH55" s="34">
        <v>42624</v>
      </c>
      <c r="AI55" s="34">
        <v>2081</v>
      </c>
      <c r="AJ55" s="34">
        <v>28769</v>
      </c>
      <c r="AK55" s="34">
        <v>34666</v>
      </c>
      <c r="AL55" s="9">
        <v>37753</v>
      </c>
      <c r="AO55"/>
    </row>
    <row r="56" spans="1:41" x14ac:dyDescent="0.45">
      <c r="A56" s="7"/>
      <c r="B56" s="21">
        <v>45048</v>
      </c>
      <c r="C56" s="18">
        <v>22634</v>
      </c>
      <c r="D56" s="5">
        <v>22287</v>
      </c>
      <c r="E56" s="5">
        <v>22553</v>
      </c>
      <c r="F56" s="5">
        <v>24669</v>
      </c>
      <c r="G56" s="5">
        <v>24865</v>
      </c>
      <c r="H56" s="5">
        <v>23388</v>
      </c>
      <c r="I56" s="5">
        <v>23199</v>
      </c>
      <c r="J56" s="5">
        <v>22242</v>
      </c>
      <c r="K56" s="5">
        <v>1531</v>
      </c>
      <c r="L56" s="5">
        <v>14382</v>
      </c>
      <c r="M56" s="5">
        <v>18816</v>
      </c>
      <c r="N56" s="19">
        <v>19366</v>
      </c>
      <c r="O56" s="14">
        <v>22520</v>
      </c>
      <c r="P56" s="14">
        <v>22169</v>
      </c>
      <c r="Q56" s="14">
        <v>22509</v>
      </c>
      <c r="R56" s="14">
        <v>24517</v>
      </c>
      <c r="S56" s="14">
        <v>24797</v>
      </c>
      <c r="T56" s="14">
        <v>22880</v>
      </c>
      <c r="U56" s="14">
        <v>23058</v>
      </c>
      <c r="V56" s="14">
        <v>22233</v>
      </c>
      <c r="W56" s="14">
        <v>1536</v>
      </c>
      <c r="X56" s="14">
        <v>14242</v>
      </c>
      <c r="Y56" s="14">
        <v>18713</v>
      </c>
      <c r="Z56" s="14">
        <v>19322</v>
      </c>
      <c r="AA56" s="11">
        <v>45154</v>
      </c>
      <c r="AB56" s="34">
        <v>44456</v>
      </c>
      <c r="AC56" s="34">
        <v>45062</v>
      </c>
      <c r="AD56" s="34">
        <v>49186</v>
      </c>
      <c r="AE56" s="34">
        <v>49662</v>
      </c>
      <c r="AF56" s="34">
        <v>46268</v>
      </c>
      <c r="AG56" s="34">
        <v>46257</v>
      </c>
      <c r="AH56" s="34">
        <v>44475</v>
      </c>
      <c r="AI56" s="34">
        <v>3067</v>
      </c>
      <c r="AJ56" s="34">
        <v>28624</v>
      </c>
      <c r="AK56" s="34">
        <v>37529</v>
      </c>
      <c r="AL56" s="9">
        <v>38688</v>
      </c>
      <c r="AO56"/>
    </row>
    <row r="57" spans="1:41" x14ac:dyDescent="0.45">
      <c r="A57" s="7"/>
      <c r="B57" s="21">
        <v>45080</v>
      </c>
      <c r="C57" s="18">
        <v>20784</v>
      </c>
      <c r="D57" s="5">
        <v>20663</v>
      </c>
      <c r="E57" s="5">
        <v>22136</v>
      </c>
      <c r="F57" s="5">
        <v>23388</v>
      </c>
      <c r="G57" s="5">
        <v>22745</v>
      </c>
      <c r="H57" s="5">
        <v>21798</v>
      </c>
      <c r="I57" s="5">
        <v>21059</v>
      </c>
      <c r="J57" s="5">
        <v>20997</v>
      </c>
      <c r="K57" s="5">
        <v>4681</v>
      </c>
      <c r="L57" s="5">
        <v>13713</v>
      </c>
      <c r="M57" s="5">
        <v>16359</v>
      </c>
      <c r="N57" s="19">
        <v>17980</v>
      </c>
      <c r="O57" s="14">
        <v>20623</v>
      </c>
      <c r="P57" s="14">
        <v>20571</v>
      </c>
      <c r="Q57" s="14">
        <v>22085</v>
      </c>
      <c r="R57" s="14">
        <v>23290</v>
      </c>
      <c r="S57" s="14">
        <v>22772</v>
      </c>
      <c r="T57" s="14">
        <v>21470</v>
      </c>
      <c r="U57" s="14">
        <v>21011</v>
      </c>
      <c r="V57" s="14">
        <v>20994</v>
      </c>
      <c r="W57" s="14">
        <v>4669</v>
      </c>
      <c r="X57" s="14">
        <v>13657</v>
      </c>
      <c r="Y57" s="14">
        <v>16248</v>
      </c>
      <c r="Z57" s="14">
        <v>17955</v>
      </c>
      <c r="AA57" s="11">
        <v>41407</v>
      </c>
      <c r="AB57" s="34">
        <v>41234</v>
      </c>
      <c r="AC57" s="34">
        <v>44221</v>
      </c>
      <c r="AD57" s="34">
        <v>46678</v>
      </c>
      <c r="AE57" s="34">
        <v>45517</v>
      </c>
      <c r="AF57" s="34">
        <v>43268</v>
      </c>
      <c r="AG57" s="34">
        <v>42070</v>
      </c>
      <c r="AH57" s="34">
        <v>41991</v>
      </c>
      <c r="AI57" s="34">
        <v>9350</v>
      </c>
      <c r="AJ57" s="34">
        <v>27370</v>
      </c>
      <c r="AK57" s="34">
        <v>32607</v>
      </c>
      <c r="AL57" s="9">
        <v>35935</v>
      </c>
      <c r="AO57"/>
    </row>
    <row r="58" spans="1:41" x14ac:dyDescent="0.45">
      <c r="A58" s="7"/>
      <c r="B58" s="21">
        <v>45111</v>
      </c>
      <c r="C58" s="18">
        <v>21562</v>
      </c>
      <c r="D58" s="5">
        <v>21548</v>
      </c>
      <c r="E58" s="5">
        <v>23586</v>
      </c>
      <c r="F58" s="5">
        <v>23819</v>
      </c>
      <c r="G58" s="5">
        <v>24062</v>
      </c>
      <c r="H58" s="5">
        <v>22974</v>
      </c>
      <c r="I58" s="5">
        <v>22353</v>
      </c>
      <c r="J58" s="5">
        <v>22022</v>
      </c>
      <c r="K58" s="5">
        <v>6057</v>
      </c>
      <c r="L58" s="5">
        <v>10448</v>
      </c>
      <c r="M58" s="5">
        <v>17111</v>
      </c>
      <c r="N58" s="19">
        <v>19330</v>
      </c>
      <c r="O58" s="14">
        <v>21454</v>
      </c>
      <c r="P58" s="14">
        <v>21440</v>
      </c>
      <c r="Q58" s="14">
        <v>23616</v>
      </c>
      <c r="R58" s="14">
        <v>23739</v>
      </c>
      <c r="S58" s="14">
        <v>24023</v>
      </c>
      <c r="T58" s="14">
        <v>22832</v>
      </c>
      <c r="U58" s="14">
        <v>22279</v>
      </c>
      <c r="V58" s="14">
        <v>21970</v>
      </c>
      <c r="W58" s="14">
        <v>6028</v>
      </c>
      <c r="X58" s="14">
        <v>10350</v>
      </c>
      <c r="Y58" s="14">
        <v>17042</v>
      </c>
      <c r="Z58" s="14">
        <v>19311</v>
      </c>
      <c r="AA58" s="11">
        <v>43016</v>
      </c>
      <c r="AB58" s="34">
        <v>42988</v>
      </c>
      <c r="AC58" s="34">
        <v>47202</v>
      </c>
      <c r="AD58" s="34">
        <v>47558</v>
      </c>
      <c r="AE58" s="34">
        <v>48085</v>
      </c>
      <c r="AF58" s="34">
        <v>45806</v>
      </c>
      <c r="AG58" s="34">
        <v>44632</v>
      </c>
      <c r="AH58" s="34">
        <v>43992</v>
      </c>
      <c r="AI58" s="34">
        <v>12085</v>
      </c>
      <c r="AJ58" s="34">
        <v>20798</v>
      </c>
      <c r="AK58" s="34">
        <v>34153</v>
      </c>
      <c r="AL58" s="9">
        <v>38641</v>
      </c>
      <c r="AO58"/>
    </row>
    <row r="59" spans="1:41" x14ac:dyDescent="0.45">
      <c r="A59" s="7"/>
      <c r="B59" s="21">
        <v>45143</v>
      </c>
      <c r="C59" s="18">
        <v>21858</v>
      </c>
      <c r="D59" s="5">
        <v>21044</v>
      </c>
      <c r="E59" s="5">
        <v>23420</v>
      </c>
      <c r="F59" s="5">
        <v>23824</v>
      </c>
      <c r="G59" s="5">
        <v>24978</v>
      </c>
      <c r="H59" s="5">
        <v>22572</v>
      </c>
      <c r="I59" s="5">
        <v>21788</v>
      </c>
      <c r="J59" s="5">
        <v>22916</v>
      </c>
      <c r="K59" s="5">
        <v>6443</v>
      </c>
      <c r="L59" s="5">
        <v>12270</v>
      </c>
      <c r="M59" s="5">
        <v>17203</v>
      </c>
      <c r="N59" s="19">
        <v>19757</v>
      </c>
      <c r="O59" s="14">
        <v>21731</v>
      </c>
      <c r="P59" s="14">
        <v>20812</v>
      </c>
      <c r="Q59" s="14">
        <v>23288</v>
      </c>
      <c r="R59" s="14">
        <v>23361</v>
      </c>
      <c r="S59" s="14">
        <v>24942</v>
      </c>
      <c r="T59" s="14">
        <v>22497</v>
      </c>
      <c r="U59" s="14">
        <v>21812</v>
      </c>
      <c r="V59" s="14">
        <v>22890</v>
      </c>
      <c r="W59" s="14">
        <v>6438</v>
      </c>
      <c r="X59" s="14">
        <v>12260</v>
      </c>
      <c r="Y59" s="14">
        <v>17151</v>
      </c>
      <c r="Z59" s="14">
        <v>19729</v>
      </c>
      <c r="AA59" s="11">
        <v>43589</v>
      </c>
      <c r="AB59" s="34">
        <v>41856</v>
      </c>
      <c r="AC59" s="34">
        <v>46708</v>
      </c>
      <c r="AD59" s="34">
        <v>47185</v>
      </c>
      <c r="AE59" s="34">
        <v>49920</v>
      </c>
      <c r="AF59" s="34">
        <v>45069</v>
      </c>
      <c r="AG59" s="34">
        <v>43600</v>
      </c>
      <c r="AH59" s="34">
        <v>45806</v>
      </c>
      <c r="AI59" s="34">
        <v>12881</v>
      </c>
      <c r="AJ59" s="34">
        <v>24530</v>
      </c>
      <c r="AK59" s="34">
        <v>34354</v>
      </c>
      <c r="AL59" s="9">
        <v>39486</v>
      </c>
      <c r="AO59"/>
    </row>
    <row r="60" spans="1:41" x14ac:dyDescent="0.45">
      <c r="A60" s="7"/>
      <c r="B60" s="21">
        <v>45175</v>
      </c>
      <c r="C60" s="18">
        <v>20374</v>
      </c>
      <c r="D60" s="5">
        <v>20604</v>
      </c>
      <c r="E60" s="5">
        <v>22243</v>
      </c>
      <c r="F60" s="5">
        <v>23467</v>
      </c>
      <c r="G60" s="5">
        <v>25161</v>
      </c>
      <c r="H60" s="5">
        <v>21969</v>
      </c>
      <c r="I60" s="5">
        <v>21268</v>
      </c>
      <c r="J60" s="5">
        <v>20884</v>
      </c>
      <c r="K60" s="5">
        <v>9129</v>
      </c>
      <c r="L60" s="5">
        <v>13067</v>
      </c>
      <c r="M60" s="5">
        <v>16965</v>
      </c>
      <c r="N60" s="19">
        <v>19337</v>
      </c>
      <c r="O60" s="14">
        <v>20273</v>
      </c>
      <c r="P60" s="14">
        <v>20533</v>
      </c>
      <c r="Q60" s="14">
        <v>22090</v>
      </c>
      <c r="R60" s="14">
        <v>23352</v>
      </c>
      <c r="S60" s="14">
        <v>25120</v>
      </c>
      <c r="T60" s="14">
        <v>21868</v>
      </c>
      <c r="U60" s="14">
        <v>21228</v>
      </c>
      <c r="V60" s="14">
        <v>20834</v>
      </c>
      <c r="W60" s="14">
        <v>9135</v>
      </c>
      <c r="X60" s="14">
        <v>13050</v>
      </c>
      <c r="Y60" s="14">
        <v>16885</v>
      </c>
      <c r="Z60" s="14">
        <v>19339</v>
      </c>
      <c r="AA60" s="11">
        <v>40647</v>
      </c>
      <c r="AB60" s="34">
        <v>41137</v>
      </c>
      <c r="AC60" s="34">
        <v>44333</v>
      </c>
      <c r="AD60" s="34">
        <v>46819</v>
      </c>
      <c r="AE60" s="34">
        <v>50281</v>
      </c>
      <c r="AF60" s="34">
        <v>43837</v>
      </c>
      <c r="AG60" s="34">
        <v>42496</v>
      </c>
      <c r="AH60" s="34">
        <v>41718</v>
      </c>
      <c r="AI60" s="34">
        <v>18264</v>
      </c>
      <c r="AJ60" s="34">
        <v>26117</v>
      </c>
      <c r="AK60" s="34">
        <v>33850</v>
      </c>
      <c r="AL60" s="9">
        <v>38676</v>
      </c>
      <c r="AO60"/>
    </row>
    <row r="61" spans="1:41" x14ac:dyDescent="0.45">
      <c r="A61" s="7"/>
      <c r="B61" s="21">
        <v>45206</v>
      </c>
      <c r="C61" s="18">
        <v>21086</v>
      </c>
      <c r="D61" s="5">
        <v>21993</v>
      </c>
      <c r="E61" s="5">
        <v>23611</v>
      </c>
      <c r="F61" s="5">
        <v>25454</v>
      </c>
      <c r="G61" s="5">
        <v>24169</v>
      </c>
      <c r="H61" s="5">
        <v>22676</v>
      </c>
      <c r="I61" s="5">
        <v>22381</v>
      </c>
      <c r="J61" s="5">
        <v>21934</v>
      </c>
      <c r="K61" s="5">
        <v>10407</v>
      </c>
      <c r="L61" s="5">
        <v>15006</v>
      </c>
      <c r="M61" s="5">
        <v>18967</v>
      </c>
      <c r="N61" s="19">
        <v>19407</v>
      </c>
      <c r="O61" s="14">
        <v>20960</v>
      </c>
      <c r="P61" s="14">
        <v>21875</v>
      </c>
      <c r="Q61" s="14">
        <v>23475</v>
      </c>
      <c r="R61" s="14">
        <v>25384</v>
      </c>
      <c r="S61" s="14">
        <v>24109</v>
      </c>
      <c r="T61" s="14">
        <v>22578</v>
      </c>
      <c r="U61" s="14">
        <v>22298</v>
      </c>
      <c r="V61" s="14">
        <v>21931</v>
      </c>
      <c r="W61" s="14">
        <v>10368</v>
      </c>
      <c r="X61" s="14">
        <v>14941</v>
      </c>
      <c r="Y61" s="14">
        <v>18875</v>
      </c>
      <c r="Z61" s="14">
        <v>19368</v>
      </c>
      <c r="AA61" s="11">
        <v>42046</v>
      </c>
      <c r="AB61" s="34">
        <v>43868</v>
      </c>
      <c r="AC61" s="34">
        <v>47086</v>
      </c>
      <c r="AD61" s="34">
        <v>50838</v>
      </c>
      <c r="AE61" s="34">
        <v>48278</v>
      </c>
      <c r="AF61" s="34">
        <v>45254</v>
      </c>
      <c r="AG61" s="34">
        <v>44679</v>
      </c>
      <c r="AH61" s="34">
        <v>43865</v>
      </c>
      <c r="AI61" s="34">
        <v>20775</v>
      </c>
      <c r="AJ61" s="34">
        <v>29947</v>
      </c>
      <c r="AK61" s="34">
        <v>37842</v>
      </c>
      <c r="AL61" s="9">
        <v>38775</v>
      </c>
      <c r="AO61"/>
    </row>
    <row r="62" spans="1:41" x14ac:dyDescent="0.45">
      <c r="A62" s="7"/>
      <c r="B62" s="21">
        <v>45238</v>
      </c>
      <c r="C62" s="18">
        <v>21712</v>
      </c>
      <c r="D62" s="5">
        <v>22475</v>
      </c>
      <c r="E62" s="5">
        <v>22976</v>
      </c>
      <c r="F62" s="5">
        <v>24365</v>
      </c>
      <c r="G62" s="5">
        <v>23017</v>
      </c>
      <c r="H62" s="5">
        <v>21890</v>
      </c>
      <c r="I62" s="5">
        <v>22161</v>
      </c>
      <c r="J62" s="5">
        <v>20882</v>
      </c>
      <c r="K62" s="5">
        <v>11693</v>
      </c>
      <c r="L62" s="5">
        <v>15013</v>
      </c>
      <c r="M62" s="5">
        <v>18251</v>
      </c>
      <c r="N62" s="19">
        <v>0</v>
      </c>
      <c r="O62" s="14">
        <v>21568</v>
      </c>
      <c r="P62" s="14">
        <v>22342</v>
      </c>
      <c r="Q62" s="14">
        <v>22920</v>
      </c>
      <c r="R62" s="14">
        <v>24282</v>
      </c>
      <c r="S62" s="14">
        <v>22869</v>
      </c>
      <c r="T62" s="14">
        <v>21827</v>
      </c>
      <c r="U62" s="14">
        <v>22068</v>
      </c>
      <c r="V62" s="14">
        <v>20787</v>
      </c>
      <c r="W62" s="14">
        <v>11629</v>
      </c>
      <c r="X62" s="14">
        <v>14906</v>
      </c>
      <c r="Y62" s="14">
        <v>18154</v>
      </c>
      <c r="Z62" s="14">
        <v>0</v>
      </c>
      <c r="AA62" s="11">
        <v>43280</v>
      </c>
      <c r="AB62" s="34">
        <v>44817</v>
      </c>
      <c r="AC62" s="34">
        <v>45896</v>
      </c>
      <c r="AD62" s="34">
        <v>48647</v>
      </c>
      <c r="AE62" s="34">
        <v>45886</v>
      </c>
      <c r="AF62" s="34">
        <v>43717</v>
      </c>
      <c r="AG62" s="34">
        <v>44229</v>
      </c>
      <c r="AH62" s="34">
        <v>41669</v>
      </c>
      <c r="AI62" s="34">
        <v>23322</v>
      </c>
      <c r="AJ62" s="34">
        <v>29919</v>
      </c>
      <c r="AK62" s="34">
        <v>36405</v>
      </c>
      <c r="AL62" s="9">
        <v>0</v>
      </c>
      <c r="AO62"/>
    </row>
    <row r="63" spans="1:41" x14ac:dyDescent="0.45">
      <c r="A63" s="7"/>
      <c r="B63" s="21">
        <v>45269</v>
      </c>
      <c r="C63" s="18">
        <v>20077</v>
      </c>
      <c r="D63" s="5">
        <v>20598</v>
      </c>
      <c r="E63" s="5">
        <v>21225</v>
      </c>
      <c r="F63" s="5">
        <v>22236</v>
      </c>
      <c r="G63" s="5">
        <v>21700</v>
      </c>
      <c r="H63" s="5">
        <v>21221</v>
      </c>
      <c r="I63" s="5">
        <v>20753</v>
      </c>
      <c r="J63" s="5">
        <v>20614</v>
      </c>
      <c r="K63" s="5">
        <v>13446</v>
      </c>
      <c r="L63" s="5">
        <v>14714</v>
      </c>
      <c r="M63" s="5">
        <v>17675</v>
      </c>
      <c r="N63" s="19">
        <v>0</v>
      </c>
      <c r="O63" s="14">
        <v>19997</v>
      </c>
      <c r="P63" s="14">
        <v>20582</v>
      </c>
      <c r="Q63" s="14">
        <v>21125</v>
      </c>
      <c r="R63" s="14">
        <v>22115</v>
      </c>
      <c r="S63" s="14">
        <v>21677</v>
      </c>
      <c r="T63" s="14">
        <v>21169</v>
      </c>
      <c r="U63" s="14">
        <v>20690</v>
      </c>
      <c r="V63" s="14">
        <v>20563</v>
      </c>
      <c r="W63" s="14">
        <v>13391</v>
      </c>
      <c r="X63" s="14">
        <v>14648</v>
      </c>
      <c r="Y63" s="14">
        <v>17536</v>
      </c>
      <c r="Z63" s="14">
        <v>0</v>
      </c>
      <c r="AA63" s="11">
        <v>40074</v>
      </c>
      <c r="AB63" s="34">
        <v>41180</v>
      </c>
      <c r="AC63" s="34">
        <v>42350</v>
      </c>
      <c r="AD63" s="34">
        <v>44351</v>
      </c>
      <c r="AE63" s="34">
        <v>43377</v>
      </c>
      <c r="AF63" s="34">
        <v>42390</v>
      </c>
      <c r="AG63" s="34">
        <v>41443</v>
      </c>
      <c r="AH63" s="34">
        <v>41177</v>
      </c>
      <c r="AI63" s="34">
        <v>26837</v>
      </c>
      <c r="AJ63" s="34">
        <v>29362</v>
      </c>
      <c r="AK63" s="34">
        <v>35211</v>
      </c>
      <c r="AL63" s="9">
        <v>0</v>
      </c>
      <c r="AO63"/>
    </row>
    <row r="64" spans="1:41" x14ac:dyDescent="0.45">
      <c r="A64" s="7"/>
      <c r="B64" s="21">
        <v>44936</v>
      </c>
      <c r="C64" s="18">
        <v>20798</v>
      </c>
      <c r="D64" s="5">
        <v>22434</v>
      </c>
      <c r="E64" s="5">
        <v>22543</v>
      </c>
      <c r="F64" s="5">
        <v>22047</v>
      </c>
      <c r="G64" s="5">
        <v>20852</v>
      </c>
      <c r="H64" s="5">
        <v>21263</v>
      </c>
      <c r="I64" s="5">
        <v>20364</v>
      </c>
      <c r="J64" s="5">
        <v>20043</v>
      </c>
      <c r="K64" s="5">
        <v>11235</v>
      </c>
      <c r="L64" s="5">
        <v>15070</v>
      </c>
      <c r="M64" s="5">
        <v>17297</v>
      </c>
      <c r="N64" s="19">
        <v>0</v>
      </c>
      <c r="O64" s="14">
        <v>20712</v>
      </c>
      <c r="P64" s="14">
        <v>22362</v>
      </c>
      <c r="Q64" s="14">
        <v>22544</v>
      </c>
      <c r="R64" s="14">
        <v>22050</v>
      </c>
      <c r="S64" s="14">
        <v>20822</v>
      </c>
      <c r="T64" s="14">
        <v>21199</v>
      </c>
      <c r="U64" s="14">
        <v>20605</v>
      </c>
      <c r="V64" s="14">
        <v>20023</v>
      </c>
      <c r="W64" s="14">
        <v>11197</v>
      </c>
      <c r="X64" s="14">
        <v>15020</v>
      </c>
      <c r="Y64" s="14">
        <v>17258</v>
      </c>
      <c r="Z64" s="14">
        <v>0</v>
      </c>
      <c r="AA64" s="11">
        <v>41510</v>
      </c>
      <c r="AB64" s="34">
        <v>44796</v>
      </c>
      <c r="AC64" s="34">
        <v>45087</v>
      </c>
      <c r="AD64" s="34">
        <v>44097</v>
      </c>
      <c r="AE64" s="34">
        <v>41674</v>
      </c>
      <c r="AF64" s="34">
        <v>42462</v>
      </c>
      <c r="AG64" s="34">
        <v>40969</v>
      </c>
      <c r="AH64" s="34">
        <v>40066</v>
      </c>
      <c r="AI64" s="34">
        <v>22432</v>
      </c>
      <c r="AJ64" s="34">
        <v>30090</v>
      </c>
      <c r="AK64" s="34">
        <v>34555</v>
      </c>
      <c r="AL64" s="9">
        <v>0</v>
      </c>
      <c r="AO64"/>
    </row>
    <row r="65" spans="1:41" x14ac:dyDescent="0.45">
      <c r="A65" s="7"/>
      <c r="B65" s="21">
        <v>44968</v>
      </c>
      <c r="C65" s="18">
        <v>20723</v>
      </c>
      <c r="D65" s="5">
        <v>21605</v>
      </c>
      <c r="E65" s="5">
        <v>21276</v>
      </c>
      <c r="F65" s="5">
        <v>22908</v>
      </c>
      <c r="G65" s="5">
        <v>20763</v>
      </c>
      <c r="H65" s="5">
        <v>20428</v>
      </c>
      <c r="I65" s="5">
        <v>20040</v>
      </c>
      <c r="J65" s="5">
        <v>19170</v>
      </c>
      <c r="K65" s="5">
        <v>10680</v>
      </c>
      <c r="L65" s="5">
        <v>15314</v>
      </c>
      <c r="M65" s="5">
        <v>16543</v>
      </c>
      <c r="N65" s="19">
        <v>0</v>
      </c>
      <c r="O65" s="14">
        <v>20653</v>
      </c>
      <c r="P65" s="14">
        <v>21514</v>
      </c>
      <c r="Q65" s="14">
        <v>21166</v>
      </c>
      <c r="R65" s="14">
        <v>22788</v>
      </c>
      <c r="S65" s="14">
        <v>20635</v>
      </c>
      <c r="T65" s="14">
        <v>20316</v>
      </c>
      <c r="U65" s="14">
        <v>19998</v>
      </c>
      <c r="V65" s="14">
        <v>17814</v>
      </c>
      <c r="W65" s="14">
        <v>10781</v>
      </c>
      <c r="X65" s="14">
        <v>15205</v>
      </c>
      <c r="Y65" s="14">
        <v>16520</v>
      </c>
      <c r="Z65" s="14">
        <v>0</v>
      </c>
      <c r="AA65" s="11">
        <v>41376</v>
      </c>
      <c r="AB65" s="34">
        <v>43119</v>
      </c>
      <c r="AC65" s="34">
        <v>42442</v>
      </c>
      <c r="AD65" s="34">
        <v>45696</v>
      </c>
      <c r="AE65" s="34">
        <v>41398</v>
      </c>
      <c r="AF65" s="34">
        <v>40744</v>
      </c>
      <c r="AG65" s="34">
        <v>40038</v>
      </c>
      <c r="AH65" s="34">
        <v>36984</v>
      </c>
      <c r="AI65" s="34">
        <v>21461</v>
      </c>
      <c r="AJ65" s="34">
        <v>30519</v>
      </c>
      <c r="AK65" s="34">
        <v>33063</v>
      </c>
      <c r="AL65" s="9">
        <v>0</v>
      </c>
      <c r="AO65"/>
    </row>
    <row r="66" spans="1:41" x14ac:dyDescent="0.45">
      <c r="A66" s="7"/>
      <c r="B66" s="21">
        <v>44997</v>
      </c>
      <c r="C66" s="18">
        <v>21383</v>
      </c>
      <c r="D66" s="5">
        <v>22521</v>
      </c>
      <c r="E66" s="5">
        <v>25085</v>
      </c>
      <c r="F66" s="5">
        <v>24735</v>
      </c>
      <c r="G66" s="5">
        <v>24200</v>
      </c>
      <c r="H66" s="5">
        <v>21933</v>
      </c>
      <c r="I66" s="5">
        <v>22068</v>
      </c>
      <c r="J66" s="5">
        <v>15498</v>
      </c>
      <c r="K66" s="5">
        <v>13531</v>
      </c>
      <c r="L66" s="5">
        <v>19446</v>
      </c>
      <c r="M66" s="5">
        <v>19223</v>
      </c>
      <c r="N66" s="19">
        <v>0</v>
      </c>
      <c r="O66" s="14">
        <v>21339</v>
      </c>
      <c r="P66" s="14">
        <v>22480</v>
      </c>
      <c r="Q66" s="14">
        <v>24943</v>
      </c>
      <c r="R66" s="14">
        <v>24689</v>
      </c>
      <c r="S66" s="14">
        <v>23769</v>
      </c>
      <c r="T66" s="14">
        <v>21879</v>
      </c>
      <c r="U66" s="14">
        <v>22075</v>
      </c>
      <c r="V66" s="14">
        <v>15465</v>
      </c>
      <c r="W66" s="14">
        <v>13576</v>
      </c>
      <c r="X66" s="14">
        <v>19386</v>
      </c>
      <c r="Y66" s="14">
        <v>19199</v>
      </c>
      <c r="Z66" s="14">
        <v>0</v>
      </c>
      <c r="AA66" s="11">
        <v>42722</v>
      </c>
      <c r="AB66" s="34">
        <v>45001</v>
      </c>
      <c r="AC66" s="34">
        <v>50028</v>
      </c>
      <c r="AD66" s="34">
        <v>49424</v>
      </c>
      <c r="AE66" s="34">
        <v>47969</v>
      </c>
      <c r="AF66" s="34">
        <v>43812</v>
      </c>
      <c r="AG66" s="34">
        <v>44143</v>
      </c>
      <c r="AH66" s="34">
        <v>30963</v>
      </c>
      <c r="AI66" s="34">
        <v>27107</v>
      </c>
      <c r="AJ66" s="34">
        <v>38832</v>
      </c>
      <c r="AK66" s="34">
        <v>38422</v>
      </c>
      <c r="AL66" s="9">
        <v>0</v>
      </c>
      <c r="AO66"/>
    </row>
    <row r="67" spans="1:41" ht="14.65" thickBot="1" x14ac:dyDescent="0.5">
      <c r="A67" s="8"/>
      <c r="B67" s="22" t="s">
        <v>52</v>
      </c>
      <c r="C67" s="13">
        <v>255022</v>
      </c>
      <c r="D67" s="17">
        <v>261294</v>
      </c>
      <c r="E67" s="17">
        <v>273261</v>
      </c>
      <c r="F67" s="17">
        <v>284349</v>
      </c>
      <c r="G67" s="17">
        <v>280707</v>
      </c>
      <c r="H67" s="17">
        <v>264451</v>
      </c>
      <c r="I67" s="17">
        <v>259169</v>
      </c>
      <c r="J67" s="17">
        <v>248519</v>
      </c>
      <c r="K67" s="17">
        <v>99880</v>
      </c>
      <c r="L67" s="17">
        <v>172907</v>
      </c>
      <c r="M67" s="17">
        <v>211787</v>
      </c>
      <c r="N67" s="10">
        <v>134107</v>
      </c>
      <c r="O67" s="17">
        <v>253745</v>
      </c>
      <c r="P67" s="17">
        <v>260120</v>
      </c>
      <c r="Q67" s="17">
        <v>272428</v>
      </c>
      <c r="R67" s="17">
        <v>282827</v>
      </c>
      <c r="S67" s="17">
        <v>279644</v>
      </c>
      <c r="T67" s="17">
        <v>262438</v>
      </c>
      <c r="U67" s="17">
        <v>258810</v>
      </c>
      <c r="V67" s="17">
        <v>246811</v>
      </c>
      <c r="W67" s="17">
        <v>99782</v>
      </c>
      <c r="X67" s="17">
        <v>171970</v>
      </c>
      <c r="Y67" s="17">
        <v>210870</v>
      </c>
      <c r="Z67" s="17">
        <v>133847</v>
      </c>
      <c r="AA67" s="13">
        <v>508767</v>
      </c>
      <c r="AB67" s="17">
        <v>521414</v>
      </c>
      <c r="AC67" s="17">
        <v>545689</v>
      </c>
      <c r="AD67" s="17">
        <v>567176</v>
      </c>
      <c r="AE67" s="17">
        <v>560351</v>
      </c>
      <c r="AF67" s="17">
        <v>526889</v>
      </c>
      <c r="AG67" s="17">
        <v>517979</v>
      </c>
      <c r="AH67" s="17">
        <v>495330</v>
      </c>
      <c r="AI67" s="17">
        <v>199662</v>
      </c>
      <c r="AJ67" s="17">
        <v>344877</v>
      </c>
      <c r="AK67" s="17">
        <v>422657</v>
      </c>
      <c r="AL67" s="10">
        <v>267954</v>
      </c>
      <c r="AO67"/>
    </row>
    <row r="68" spans="1:41" x14ac:dyDescent="0.45">
      <c r="B68" s="23"/>
      <c r="AC68" s="4"/>
      <c r="AD68" s="4"/>
      <c r="AE68" s="4"/>
      <c r="AF68" s="4"/>
      <c r="AG68" s="4"/>
      <c r="AH68" s="4"/>
      <c r="AI68" s="4"/>
      <c r="AJ68" s="4"/>
      <c r="AO68"/>
    </row>
    <row r="69" spans="1:41" x14ac:dyDescent="0.45">
      <c r="B69" s="23"/>
      <c r="AO69"/>
    </row>
    <row r="70" spans="1:41" x14ac:dyDescent="0.45">
      <c r="B70" s="23"/>
      <c r="AO70"/>
    </row>
    <row r="71" spans="1:41" x14ac:dyDescent="0.45"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/>
    </row>
  </sheetData>
  <mergeCells count="3">
    <mergeCell ref="C1:N1"/>
    <mergeCell ref="O1:Z1"/>
    <mergeCell ref="AA1:AL1"/>
  </mergeCell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4934-2F66-485A-AE7F-8DC35EE8206A}">
  <sheetPr codeName="Sheet30">
    <tabColor rgb="FF7030A0"/>
  </sheetPr>
  <dimension ref="A1:AR71"/>
  <sheetViews>
    <sheetView showGridLines="0" zoomScaleNormal="100" workbookViewId="0">
      <selection activeCell="D42" sqref="D42"/>
    </sheetView>
  </sheetViews>
  <sheetFormatPr defaultRowHeight="14.25" x14ac:dyDescent="0.45"/>
  <cols>
    <col min="1" max="1" width="11.86328125" bestFit="1" customWidth="1"/>
    <col min="2" max="2" width="10.59765625" style="20" bestFit="1" customWidth="1"/>
    <col min="3" max="10" width="11.1328125" style="1" bestFit="1" customWidth="1"/>
    <col min="11" max="11" width="10.1328125" style="1" bestFit="1" customWidth="1"/>
    <col min="12" max="14" width="11.1328125" style="1" bestFit="1" customWidth="1"/>
    <col min="15" max="15" width="11.59765625" style="1" bestFit="1" customWidth="1"/>
    <col min="16" max="22" width="11.1328125" style="1" bestFit="1" customWidth="1"/>
    <col min="23" max="23" width="10.1328125" style="1" bestFit="1" customWidth="1"/>
    <col min="24" max="26" width="11.1328125" style="1" bestFit="1" customWidth="1"/>
    <col min="27" max="27" width="13.86328125" style="1" bestFit="1" customWidth="1"/>
    <col min="28" max="38" width="11.1328125" style="1" bestFit="1" customWidth="1"/>
    <col min="39" max="40" width="11.59765625" style="1" bestFit="1" customWidth="1"/>
    <col min="41" max="41" width="13.59765625" style="1" bestFit="1" customWidth="1"/>
  </cols>
  <sheetData>
    <row r="1" spans="1:44" ht="14.65" thickBot="1" x14ac:dyDescent="0.5">
      <c r="A1" s="8"/>
      <c r="C1" s="622" t="s">
        <v>612</v>
      </c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9"/>
      <c r="O1" s="623" t="s">
        <v>613</v>
      </c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5"/>
      <c r="AA1" s="626" t="s">
        <v>614</v>
      </c>
      <c r="AB1" s="508"/>
      <c r="AC1" s="508"/>
      <c r="AD1" s="508"/>
      <c r="AE1" s="508"/>
      <c r="AF1" s="508"/>
      <c r="AG1" s="508"/>
      <c r="AH1" s="508"/>
      <c r="AI1" s="508"/>
      <c r="AJ1" s="508"/>
      <c r="AK1" s="508"/>
      <c r="AL1" s="509"/>
      <c r="AP1" s="1"/>
      <c r="AQ1" s="1"/>
      <c r="AR1" s="1"/>
    </row>
    <row r="2" spans="1:44" s="2" customFormat="1" ht="14.65" thickBot="1" x14ac:dyDescent="0.5">
      <c r="A2" s="8"/>
      <c r="B2" s="25" t="s">
        <v>585</v>
      </c>
      <c r="C2" s="26">
        <v>2012</v>
      </c>
      <c r="D2" s="27">
        <v>2013</v>
      </c>
      <c r="E2" s="27">
        <v>2014</v>
      </c>
      <c r="F2" s="27">
        <v>2015</v>
      </c>
      <c r="G2" s="27">
        <v>2016</v>
      </c>
      <c r="H2" s="27">
        <v>2017</v>
      </c>
      <c r="I2" s="27">
        <v>2018</v>
      </c>
      <c r="J2" s="27">
        <v>2019</v>
      </c>
      <c r="K2" s="27">
        <v>2020</v>
      </c>
      <c r="L2" s="27">
        <v>2021</v>
      </c>
      <c r="M2" s="27">
        <v>2022</v>
      </c>
      <c r="N2" s="28">
        <v>2023</v>
      </c>
      <c r="O2" s="29">
        <v>2012</v>
      </c>
      <c r="P2" s="29">
        <v>2013</v>
      </c>
      <c r="Q2" s="29">
        <v>2014</v>
      </c>
      <c r="R2" s="29">
        <v>2015</v>
      </c>
      <c r="S2" s="29">
        <v>2016</v>
      </c>
      <c r="T2" s="29">
        <v>2017</v>
      </c>
      <c r="U2" s="29">
        <v>2018</v>
      </c>
      <c r="V2" s="29">
        <v>2019</v>
      </c>
      <c r="W2" s="29">
        <v>2020</v>
      </c>
      <c r="X2" s="29">
        <v>2021</v>
      </c>
      <c r="Y2" s="29">
        <v>2022</v>
      </c>
      <c r="Z2" s="29">
        <v>2023</v>
      </c>
      <c r="AA2" s="30">
        <v>2012</v>
      </c>
      <c r="AB2" s="31">
        <v>2013</v>
      </c>
      <c r="AC2" s="32">
        <v>2014</v>
      </c>
      <c r="AD2" s="31">
        <v>2015</v>
      </c>
      <c r="AE2" s="32">
        <v>2016</v>
      </c>
      <c r="AF2" s="31">
        <v>2017</v>
      </c>
      <c r="AG2" s="32">
        <v>2018</v>
      </c>
      <c r="AH2" s="31">
        <v>2019</v>
      </c>
      <c r="AI2" s="32">
        <v>2020</v>
      </c>
      <c r="AJ2" s="31">
        <v>2021</v>
      </c>
      <c r="AK2" s="31">
        <v>2022</v>
      </c>
      <c r="AL2" s="33">
        <v>2023</v>
      </c>
      <c r="AM2" s="3"/>
      <c r="AO2" s="3"/>
      <c r="AP2" s="3"/>
      <c r="AQ2" s="3"/>
      <c r="AR2" s="3"/>
    </row>
    <row r="3" spans="1:44" x14ac:dyDescent="0.45">
      <c r="A3" s="8"/>
      <c r="B3" s="21">
        <v>45017</v>
      </c>
      <c r="C3" s="18">
        <v>385017</v>
      </c>
      <c r="D3" s="5">
        <v>386368</v>
      </c>
      <c r="E3" s="5">
        <v>412104</v>
      </c>
      <c r="F3" s="5">
        <v>396464</v>
      </c>
      <c r="G3" s="5">
        <v>418694</v>
      </c>
      <c r="H3" s="5">
        <v>482026</v>
      </c>
      <c r="I3" s="5">
        <v>456949</v>
      </c>
      <c r="J3" s="5">
        <v>480285</v>
      </c>
      <c r="K3" s="5">
        <v>490</v>
      </c>
      <c r="L3" s="5">
        <v>74440</v>
      </c>
      <c r="M3" s="5">
        <v>293465</v>
      </c>
      <c r="N3" s="19">
        <v>370965</v>
      </c>
      <c r="O3" s="14">
        <v>422447</v>
      </c>
      <c r="P3" s="14">
        <v>424414</v>
      </c>
      <c r="Q3" s="14">
        <v>446470</v>
      </c>
      <c r="R3" s="14">
        <v>454819</v>
      </c>
      <c r="S3" s="14">
        <v>469330</v>
      </c>
      <c r="T3" s="14">
        <v>525298</v>
      </c>
      <c r="U3" s="14">
        <v>510399</v>
      </c>
      <c r="V3" s="14">
        <v>498956</v>
      </c>
      <c r="W3" s="14">
        <v>529</v>
      </c>
      <c r="X3" s="14">
        <v>77542</v>
      </c>
      <c r="Y3" s="14">
        <v>317264</v>
      </c>
      <c r="Z3" s="14">
        <v>411765</v>
      </c>
      <c r="AA3" s="11">
        <v>807464</v>
      </c>
      <c r="AB3" s="34">
        <v>810782</v>
      </c>
      <c r="AC3" s="34">
        <v>858574</v>
      </c>
      <c r="AD3" s="34">
        <v>851283</v>
      </c>
      <c r="AE3" s="34">
        <v>888024</v>
      </c>
      <c r="AF3" s="34">
        <v>1007324</v>
      </c>
      <c r="AG3" s="34">
        <v>967348</v>
      </c>
      <c r="AH3" s="34">
        <v>979241</v>
      </c>
      <c r="AI3" s="34">
        <v>1019</v>
      </c>
      <c r="AJ3" s="34">
        <v>151982</v>
      </c>
      <c r="AK3" s="34">
        <v>610729</v>
      </c>
      <c r="AL3" s="9">
        <v>782730</v>
      </c>
      <c r="AO3"/>
    </row>
    <row r="4" spans="1:44" x14ac:dyDescent="0.45">
      <c r="A4" s="8"/>
      <c r="B4" s="21">
        <v>45048</v>
      </c>
      <c r="C4" s="18">
        <v>353371</v>
      </c>
      <c r="D4" s="5">
        <v>368723</v>
      </c>
      <c r="E4" s="5">
        <v>391002</v>
      </c>
      <c r="F4" s="5">
        <v>391498</v>
      </c>
      <c r="G4" s="5">
        <v>394010</v>
      </c>
      <c r="H4" s="5">
        <v>422560</v>
      </c>
      <c r="I4" s="5">
        <v>424288</v>
      </c>
      <c r="J4" s="5">
        <v>419630</v>
      </c>
      <c r="K4" s="5">
        <v>288</v>
      </c>
      <c r="L4" s="5">
        <v>77835</v>
      </c>
      <c r="M4" s="5">
        <v>265425</v>
      </c>
      <c r="N4" s="19">
        <v>340406</v>
      </c>
      <c r="O4" s="14">
        <v>358673</v>
      </c>
      <c r="P4" s="14">
        <v>380855</v>
      </c>
      <c r="Q4" s="14">
        <v>395013</v>
      </c>
      <c r="R4" s="14">
        <v>397075</v>
      </c>
      <c r="S4" s="14">
        <v>418611</v>
      </c>
      <c r="T4" s="14">
        <v>445321</v>
      </c>
      <c r="U4" s="14">
        <v>437526</v>
      </c>
      <c r="V4" s="14">
        <v>447258</v>
      </c>
      <c r="W4" s="14">
        <v>302</v>
      </c>
      <c r="X4" s="14">
        <v>80936</v>
      </c>
      <c r="Y4" s="14">
        <v>294790</v>
      </c>
      <c r="Z4" s="14">
        <v>366199</v>
      </c>
      <c r="AA4" s="11">
        <v>712044</v>
      </c>
      <c r="AB4" s="34">
        <v>749578</v>
      </c>
      <c r="AC4" s="34">
        <v>786015</v>
      </c>
      <c r="AD4" s="34">
        <v>788573</v>
      </c>
      <c r="AE4" s="34">
        <v>812621</v>
      </c>
      <c r="AF4" s="34">
        <v>867881</v>
      </c>
      <c r="AG4" s="34">
        <v>861814</v>
      </c>
      <c r="AH4" s="34">
        <v>866888</v>
      </c>
      <c r="AI4" s="34">
        <v>590</v>
      </c>
      <c r="AJ4" s="34">
        <v>158771</v>
      </c>
      <c r="AK4" s="34">
        <v>560215</v>
      </c>
      <c r="AL4" s="9">
        <v>706605</v>
      </c>
      <c r="AO4"/>
    </row>
    <row r="5" spans="1:44" x14ac:dyDescent="0.45">
      <c r="A5" s="8"/>
      <c r="B5" s="21">
        <v>45080</v>
      </c>
      <c r="C5" s="18">
        <v>343458</v>
      </c>
      <c r="D5" s="5">
        <v>361927</v>
      </c>
      <c r="E5" s="5">
        <v>365910</v>
      </c>
      <c r="F5" s="5">
        <v>356375</v>
      </c>
      <c r="G5" s="5">
        <v>368012</v>
      </c>
      <c r="H5" s="5">
        <v>394464</v>
      </c>
      <c r="I5" s="5">
        <v>402538</v>
      </c>
      <c r="J5" s="5">
        <v>433554</v>
      </c>
      <c r="K5" s="5">
        <v>112</v>
      </c>
      <c r="L5" s="5">
        <v>82141</v>
      </c>
      <c r="M5" s="5">
        <v>254162</v>
      </c>
      <c r="N5" s="19">
        <v>334373</v>
      </c>
      <c r="O5" s="14">
        <v>396558</v>
      </c>
      <c r="P5" s="14">
        <v>410539</v>
      </c>
      <c r="Q5" s="14">
        <v>409578</v>
      </c>
      <c r="R5" s="14">
        <v>410907</v>
      </c>
      <c r="S5" s="14">
        <v>420323</v>
      </c>
      <c r="T5" s="14">
        <v>437763</v>
      </c>
      <c r="U5" s="14">
        <v>476506</v>
      </c>
      <c r="V5" s="14">
        <v>500617</v>
      </c>
      <c r="W5" s="14">
        <v>664</v>
      </c>
      <c r="X5" s="14">
        <v>90243</v>
      </c>
      <c r="Y5" s="14">
        <v>301393</v>
      </c>
      <c r="Z5" s="14">
        <v>380592</v>
      </c>
      <c r="AA5" s="11">
        <v>740016</v>
      </c>
      <c r="AB5" s="34">
        <v>772466</v>
      </c>
      <c r="AC5" s="34">
        <v>775488</v>
      </c>
      <c r="AD5" s="34">
        <v>767282</v>
      </c>
      <c r="AE5" s="34">
        <v>788335</v>
      </c>
      <c r="AF5" s="34">
        <v>832227</v>
      </c>
      <c r="AG5" s="34">
        <v>879044</v>
      </c>
      <c r="AH5" s="34">
        <v>934171</v>
      </c>
      <c r="AI5" s="34">
        <v>776</v>
      </c>
      <c r="AJ5" s="34">
        <v>172384</v>
      </c>
      <c r="AK5" s="34">
        <v>555555</v>
      </c>
      <c r="AL5" s="9">
        <v>714965</v>
      </c>
      <c r="AO5"/>
    </row>
    <row r="6" spans="1:44" x14ac:dyDescent="0.45">
      <c r="A6" s="8"/>
      <c r="B6" s="21">
        <v>45111</v>
      </c>
      <c r="C6" s="18">
        <v>449729</v>
      </c>
      <c r="D6" s="5">
        <v>459415</v>
      </c>
      <c r="E6" s="5">
        <v>461818</v>
      </c>
      <c r="F6" s="5">
        <v>485895</v>
      </c>
      <c r="G6" s="5">
        <v>514541</v>
      </c>
      <c r="H6" s="5">
        <v>533901</v>
      </c>
      <c r="I6" s="5">
        <v>554888</v>
      </c>
      <c r="J6" s="5">
        <v>542656</v>
      </c>
      <c r="K6" s="5">
        <v>292</v>
      </c>
      <c r="L6" s="5">
        <v>78988</v>
      </c>
      <c r="M6" s="5">
        <v>357653</v>
      </c>
      <c r="N6" s="19">
        <v>442619</v>
      </c>
      <c r="O6" s="14">
        <v>368849</v>
      </c>
      <c r="P6" s="14">
        <v>383778</v>
      </c>
      <c r="Q6" s="14">
        <v>401715</v>
      </c>
      <c r="R6" s="14">
        <v>405355</v>
      </c>
      <c r="S6" s="14">
        <v>432250</v>
      </c>
      <c r="T6" s="14">
        <v>476858</v>
      </c>
      <c r="U6" s="14">
        <v>465362</v>
      </c>
      <c r="V6" s="14">
        <v>452520</v>
      </c>
      <c r="W6" s="14">
        <v>60</v>
      </c>
      <c r="X6" s="14">
        <v>88315</v>
      </c>
      <c r="Y6" s="14">
        <v>306269</v>
      </c>
      <c r="Z6" s="14">
        <v>377613</v>
      </c>
      <c r="AA6" s="11">
        <v>818578</v>
      </c>
      <c r="AB6" s="34">
        <v>843193</v>
      </c>
      <c r="AC6" s="34">
        <v>863533</v>
      </c>
      <c r="AD6" s="34">
        <v>891250</v>
      </c>
      <c r="AE6" s="34">
        <v>946791</v>
      </c>
      <c r="AF6" s="34">
        <v>1010759</v>
      </c>
      <c r="AG6" s="34">
        <v>1020250</v>
      </c>
      <c r="AH6" s="34">
        <v>995176</v>
      </c>
      <c r="AI6" s="34">
        <v>352</v>
      </c>
      <c r="AJ6" s="34">
        <v>167303</v>
      </c>
      <c r="AK6" s="34">
        <v>663922</v>
      </c>
      <c r="AL6" s="9">
        <v>820232</v>
      </c>
      <c r="AO6"/>
    </row>
    <row r="7" spans="1:44" x14ac:dyDescent="0.45">
      <c r="A7" s="8"/>
      <c r="B7" s="21">
        <v>45143</v>
      </c>
      <c r="C7" s="18">
        <v>397809</v>
      </c>
      <c r="D7" s="5">
        <v>427906</v>
      </c>
      <c r="E7" s="5">
        <v>444552</v>
      </c>
      <c r="F7" s="5">
        <v>436939</v>
      </c>
      <c r="G7" s="5">
        <v>458644</v>
      </c>
      <c r="H7" s="5">
        <v>473898</v>
      </c>
      <c r="I7" s="5">
        <v>492329</v>
      </c>
      <c r="J7" s="5">
        <v>493300</v>
      </c>
      <c r="K7" s="5">
        <v>290</v>
      </c>
      <c r="L7" s="5">
        <v>95034</v>
      </c>
      <c r="M7" s="5">
        <v>326817</v>
      </c>
      <c r="N7" s="19">
        <v>390667</v>
      </c>
      <c r="O7" s="14">
        <v>420431</v>
      </c>
      <c r="P7" s="14">
        <v>447433</v>
      </c>
      <c r="Q7" s="14">
        <v>475661</v>
      </c>
      <c r="R7" s="14">
        <v>478709</v>
      </c>
      <c r="S7" s="14">
        <v>500201</v>
      </c>
      <c r="T7" s="14">
        <v>511823</v>
      </c>
      <c r="U7" s="14">
        <v>530294</v>
      </c>
      <c r="V7" s="14">
        <v>544585</v>
      </c>
      <c r="W7" s="14">
        <v>15</v>
      </c>
      <c r="X7" s="14">
        <v>101203</v>
      </c>
      <c r="Y7" s="14">
        <v>354428</v>
      </c>
      <c r="Z7" s="14">
        <v>435093</v>
      </c>
      <c r="AA7" s="11">
        <v>818240</v>
      </c>
      <c r="AB7" s="34">
        <v>875339</v>
      </c>
      <c r="AC7" s="34">
        <v>920213</v>
      </c>
      <c r="AD7" s="34">
        <v>915648</v>
      </c>
      <c r="AE7" s="34">
        <v>958845</v>
      </c>
      <c r="AF7" s="34">
        <v>985721</v>
      </c>
      <c r="AG7" s="34">
        <v>1022623</v>
      </c>
      <c r="AH7" s="34">
        <v>1037885</v>
      </c>
      <c r="AI7" s="34">
        <v>305</v>
      </c>
      <c r="AJ7" s="34">
        <v>196237</v>
      </c>
      <c r="AK7" s="34">
        <v>681245</v>
      </c>
      <c r="AL7" s="9">
        <v>825760</v>
      </c>
      <c r="AO7"/>
    </row>
    <row r="8" spans="1:44" x14ac:dyDescent="0.45">
      <c r="A8" s="8" t="s">
        <v>64</v>
      </c>
      <c r="B8" s="21">
        <v>45175</v>
      </c>
      <c r="C8" s="18">
        <v>412356</v>
      </c>
      <c r="D8" s="5">
        <v>430184</v>
      </c>
      <c r="E8" s="5">
        <v>425398</v>
      </c>
      <c r="F8" s="5">
        <v>433032</v>
      </c>
      <c r="G8" s="5">
        <v>457177</v>
      </c>
      <c r="H8" s="5">
        <v>478553</v>
      </c>
      <c r="I8" s="5">
        <v>490483</v>
      </c>
      <c r="J8" s="5">
        <v>500463</v>
      </c>
      <c r="K8" s="5">
        <v>0</v>
      </c>
      <c r="L8" s="5">
        <v>115721</v>
      </c>
      <c r="M8" s="5">
        <v>328574</v>
      </c>
      <c r="N8" s="19">
        <v>400634</v>
      </c>
      <c r="O8" s="14">
        <v>410233</v>
      </c>
      <c r="P8" s="14">
        <v>429981</v>
      </c>
      <c r="Q8" s="14">
        <v>418834</v>
      </c>
      <c r="R8" s="14">
        <v>434505</v>
      </c>
      <c r="S8" s="14">
        <v>461045</v>
      </c>
      <c r="T8" s="14">
        <v>488408</v>
      </c>
      <c r="U8" s="14">
        <v>508740</v>
      </c>
      <c r="V8" s="14">
        <v>508358</v>
      </c>
      <c r="W8" s="14">
        <v>59</v>
      </c>
      <c r="X8" s="14">
        <v>118273</v>
      </c>
      <c r="Y8" s="14">
        <v>341297</v>
      </c>
      <c r="Z8" s="14">
        <v>417421</v>
      </c>
      <c r="AA8" s="11">
        <v>822589</v>
      </c>
      <c r="AB8" s="34">
        <v>860165</v>
      </c>
      <c r="AC8" s="34">
        <v>844232</v>
      </c>
      <c r="AD8" s="34">
        <v>867537</v>
      </c>
      <c r="AE8" s="34">
        <v>918222</v>
      </c>
      <c r="AF8" s="34">
        <v>966961</v>
      </c>
      <c r="AG8" s="34">
        <v>999223</v>
      </c>
      <c r="AH8" s="34">
        <v>1008821</v>
      </c>
      <c r="AI8" s="34">
        <v>59</v>
      </c>
      <c r="AJ8" s="34">
        <v>233994</v>
      </c>
      <c r="AK8" s="34">
        <v>669871</v>
      </c>
      <c r="AL8" s="9">
        <v>818055</v>
      </c>
      <c r="AO8"/>
    </row>
    <row r="9" spans="1:44" x14ac:dyDescent="0.45">
      <c r="A9" s="8"/>
      <c r="B9" s="21">
        <v>45206</v>
      </c>
      <c r="C9" s="18">
        <v>438440</v>
      </c>
      <c r="D9" s="5">
        <v>449565</v>
      </c>
      <c r="E9" s="5">
        <v>450966</v>
      </c>
      <c r="F9" s="5">
        <v>479473</v>
      </c>
      <c r="G9" s="5">
        <v>510438</v>
      </c>
      <c r="H9" s="5">
        <v>531321</v>
      </c>
      <c r="I9" s="5">
        <v>534210</v>
      </c>
      <c r="J9" s="5">
        <v>526361</v>
      </c>
      <c r="K9" s="5">
        <v>44137</v>
      </c>
      <c r="L9" s="5">
        <v>170961</v>
      </c>
      <c r="M9" s="5">
        <v>374844</v>
      </c>
      <c r="N9" s="19">
        <v>461239</v>
      </c>
      <c r="O9" s="14">
        <v>396969</v>
      </c>
      <c r="P9" s="14">
        <v>410364</v>
      </c>
      <c r="Q9" s="14">
        <v>419783</v>
      </c>
      <c r="R9" s="14">
        <v>445034</v>
      </c>
      <c r="S9" s="14">
        <v>475290</v>
      </c>
      <c r="T9" s="14">
        <v>486570</v>
      </c>
      <c r="U9" s="14">
        <v>486496</v>
      </c>
      <c r="V9" s="14">
        <v>485891</v>
      </c>
      <c r="W9" s="14">
        <v>44238</v>
      </c>
      <c r="X9" s="14">
        <v>154558</v>
      </c>
      <c r="Y9" s="14">
        <v>345063</v>
      </c>
      <c r="Z9" s="14">
        <v>421362</v>
      </c>
      <c r="AA9" s="11">
        <v>835409</v>
      </c>
      <c r="AB9" s="34">
        <v>859929</v>
      </c>
      <c r="AC9" s="34">
        <v>870749</v>
      </c>
      <c r="AD9" s="34">
        <v>924507</v>
      </c>
      <c r="AE9" s="34">
        <v>985728</v>
      </c>
      <c r="AF9" s="34">
        <v>1017891</v>
      </c>
      <c r="AG9" s="34">
        <v>1020706</v>
      </c>
      <c r="AH9" s="34">
        <v>1012252</v>
      </c>
      <c r="AI9" s="34">
        <v>88375</v>
      </c>
      <c r="AJ9" s="34">
        <v>325519</v>
      </c>
      <c r="AK9" s="34">
        <v>719907</v>
      </c>
      <c r="AL9" s="9">
        <v>882601</v>
      </c>
      <c r="AO9"/>
    </row>
    <row r="10" spans="1:44" x14ac:dyDescent="0.45">
      <c r="A10" s="8"/>
      <c r="B10" s="21">
        <v>45238</v>
      </c>
      <c r="C10" s="18">
        <v>401128</v>
      </c>
      <c r="D10" s="5">
        <v>427974</v>
      </c>
      <c r="E10" s="5">
        <v>424253</v>
      </c>
      <c r="F10" s="5">
        <v>437057</v>
      </c>
      <c r="G10" s="5">
        <v>457517</v>
      </c>
      <c r="H10" s="5">
        <v>478048</v>
      </c>
      <c r="I10" s="5">
        <v>493080</v>
      </c>
      <c r="J10" s="5">
        <v>476705</v>
      </c>
      <c r="K10" s="5">
        <v>66777</v>
      </c>
      <c r="L10" s="5">
        <v>193527</v>
      </c>
      <c r="M10" s="5">
        <v>352647</v>
      </c>
      <c r="N10" s="19">
        <v>0</v>
      </c>
      <c r="O10" s="14">
        <v>410027</v>
      </c>
      <c r="P10" s="14">
        <v>435144</v>
      </c>
      <c r="Q10" s="14">
        <v>437378</v>
      </c>
      <c r="R10" s="14">
        <v>448056</v>
      </c>
      <c r="S10" s="14">
        <v>480681</v>
      </c>
      <c r="T10" s="14">
        <v>506576</v>
      </c>
      <c r="U10" s="14">
        <v>513241</v>
      </c>
      <c r="V10" s="14">
        <v>506125</v>
      </c>
      <c r="W10" s="14">
        <v>58733</v>
      </c>
      <c r="X10" s="14">
        <v>180889</v>
      </c>
      <c r="Y10" s="14">
        <v>358655</v>
      </c>
      <c r="Z10" s="14">
        <v>0</v>
      </c>
      <c r="AA10" s="11">
        <v>811155</v>
      </c>
      <c r="AB10" s="34">
        <v>863118</v>
      </c>
      <c r="AC10" s="34">
        <v>861631</v>
      </c>
      <c r="AD10" s="34">
        <v>885113</v>
      </c>
      <c r="AE10" s="34">
        <v>938198</v>
      </c>
      <c r="AF10" s="34">
        <v>984624</v>
      </c>
      <c r="AG10" s="34">
        <v>1006321</v>
      </c>
      <c r="AH10" s="34">
        <v>982830</v>
      </c>
      <c r="AI10" s="34">
        <v>125510</v>
      </c>
      <c r="AJ10" s="34">
        <v>374416</v>
      </c>
      <c r="AK10" s="34">
        <v>711302</v>
      </c>
      <c r="AL10" s="9">
        <v>0</v>
      </c>
      <c r="AO10"/>
    </row>
    <row r="11" spans="1:44" x14ac:dyDescent="0.45">
      <c r="A11" s="8"/>
      <c r="B11" s="21">
        <v>45269</v>
      </c>
      <c r="C11" s="18">
        <v>460309</v>
      </c>
      <c r="D11" s="5">
        <v>485086</v>
      </c>
      <c r="E11" s="5">
        <v>482242</v>
      </c>
      <c r="F11" s="5">
        <v>494430</v>
      </c>
      <c r="G11" s="5">
        <v>542820</v>
      </c>
      <c r="H11" s="5">
        <v>558861</v>
      </c>
      <c r="I11" s="5">
        <v>569891</v>
      </c>
      <c r="J11" s="5">
        <v>566805</v>
      </c>
      <c r="K11" s="5">
        <v>117613</v>
      </c>
      <c r="L11" s="5">
        <v>147836</v>
      </c>
      <c r="M11" s="5">
        <v>434515</v>
      </c>
      <c r="N11" s="19">
        <v>0</v>
      </c>
      <c r="O11" s="14">
        <v>478124</v>
      </c>
      <c r="P11" s="14">
        <v>507325</v>
      </c>
      <c r="Q11" s="14">
        <v>508717</v>
      </c>
      <c r="R11" s="14">
        <v>523491</v>
      </c>
      <c r="S11" s="14">
        <v>566664</v>
      </c>
      <c r="T11" s="14">
        <v>596163</v>
      </c>
      <c r="U11" s="14">
        <v>599649</v>
      </c>
      <c r="V11" s="14">
        <v>596496</v>
      </c>
      <c r="W11" s="14">
        <v>105026</v>
      </c>
      <c r="X11" s="14">
        <v>132381</v>
      </c>
      <c r="Y11" s="14">
        <v>454607</v>
      </c>
      <c r="Z11" s="14">
        <v>0</v>
      </c>
      <c r="AA11" s="11">
        <v>938433</v>
      </c>
      <c r="AB11" s="34">
        <v>992411</v>
      </c>
      <c r="AC11" s="34">
        <v>990959</v>
      </c>
      <c r="AD11" s="34">
        <v>1017921</v>
      </c>
      <c r="AE11" s="34">
        <v>1109484</v>
      </c>
      <c r="AF11" s="34">
        <v>1155024</v>
      </c>
      <c r="AG11" s="34">
        <v>1169540</v>
      </c>
      <c r="AH11" s="34">
        <v>1163301</v>
      </c>
      <c r="AI11" s="34">
        <v>222639</v>
      </c>
      <c r="AJ11" s="34">
        <v>280217</v>
      </c>
      <c r="AK11" s="34">
        <v>889122</v>
      </c>
      <c r="AL11" s="9">
        <v>0</v>
      </c>
      <c r="AO11"/>
    </row>
    <row r="12" spans="1:44" x14ac:dyDescent="0.45">
      <c r="A12" s="8"/>
      <c r="B12" s="21">
        <v>44936</v>
      </c>
      <c r="C12" s="18">
        <v>459580</v>
      </c>
      <c r="D12" s="5">
        <v>484089</v>
      </c>
      <c r="E12" s="5">
        <v>480663</v>
      </c>
      <c r="F12" s="5">
        <v>500631</v>
      </c>
      <c r="G12" s="5">
        <v>537857</v>
      </c>
      <c r="H12" s="5">
        <v>558611</v>
      </c>
      <c r="I12" s="5">
        <v>553051</v>
      </c>
      <c r="J12" s="5">
        <v>567329</v>
      </c>
      <c r="K12" s="5">
        <v>63822</v>
      </c>
      <c r="L12" s="5">
        <v>163707</v>
      </c>
      <c r="M12" s="5">
        <v>432421</v>
      </c>
      <c r="N12" s="19">
        <v>0</v>
      </c>
      <c r="O12" s="14">
        <v>422634</v>
      </c>
      <c r="P12" s="14">
        <v>441366</v>
      </c>
      <c r="Q12" s="14">
        <v>446559</v>
      </c>
      <c r="R12" s="14">
        <v>464585</v>
      </c>
      <c r="S12" s="14">
        <v>499721</v>
      </c>
      <c r="T12" s="14">
        <v>511480</v>
      </c>
      <c r="U12" s="14">
        <v>511055</v>
      </c>
      <c r="V12" s="14">
        <v>516015</v>
      </c>
      <c r="W12" s="14">
        <v>87125</v>
      </c>
      <c r="X12" s="14">
        <v>173157</v>
      </c>
      <c r="Y12" s="14">
        <v>407254</v>
      </c>
      <c r="Z12" s="14">
        <v>0</v>
      </c>
      <c r="AA12" s="11">
        <v>882214</v>
      </c>
      <c r="AB12" s="34">
        <v>925455</v>
      </c>
      <c r="AC12" s="34">
        <v>927222</v>
      </c>
      <c r="AD12" s="34">
        <v>965216</v>
      </c>
      <c r="AE12" s="34">
        <v>1037578</v>
      </c>
      <c r="AF12" s="34">
        <v>1070091</v>
      </c>
      <c r="AG12" s="34">
        <v>1064106</v>
      </c>
      <c r="AH12" s="34">
        <v>1083344</v>
      </c>
      <c r="AI12" s="34">
        <v>150947</v>
      </c>
      <c r="AJ12" s="34">
        <v>336864</v>
      </c>
      <c r="AK12" s="34">
        <v>839675</v>
      </c>
      <c r="AL12" s="9">
        <v>0</v>
      </c>
      <c r="AO12"/>
    </row>
    <row r="13" spans="1:44" x14ac:dyDescent="0.45">
      <c r="A13" s="8"/>
      <c r="B13" s="21">
        <v>44968</v>
      </c>
      <c r="C13" s="18">
        <v>382677</v>
      </c>
      <c r="D13" s="5">
        <v>393688</v>
      </c>
      <c r="E13" s="5">
        <v>387069</v>
      </c>
      <c r="F13" s="5">
        <v>415935</v>
      </c>
      <c r="G13" s="5">
        <v>442801</v>
      </c>
      <c r="H13" s="5">
        <v>450302</v>
      </c>
      <c r="I13" s="5">
        <v>444997</v>
      </c>
      <c r="J13" s="5">
        <v>442555</v>
      </c>
      <c r="K13" s="5">
        <v>44376</v>
      </c>
      <c r="L13" s="5">
        <v>201303</v>
      </c>
      <c r="M13" s="5">
        <v>354846</v>
      </c>
      <c r="N13" s="19">
        <v>0</v>
      </c>
      <c r="O13" s="14">
        <v>374929</v>
      </c>
      <c r="P13" s="14">
        <v>388918</v>
      </c>
      <c r="Q13" s="14">
        <v>377807</v>
      </c>
      <c r="R13" s="14">
        <v>414230</v>
      </c>
      <c r="S13" s="14">
        <v>438840</v>
      </c>
      <c r="T13" s="14">
        <v>450639</v>
      </c>
      <c r="U13" s="14">
        <v>444862</v>
      </c>
      <c r="V13" s="14">
        <v>444758</v>
      </c>
      <c r="W13" s="14">
        <v>47811</v>
      </c>
      <c r="X13" s="14">
        <v>198158</v>
      </c>
      <c r="Y13" s="14">
        <v>357198</v>
      </c>
      <c r="Z13" s="14">
        <v>0</v>
      </c>
      <c r="AA13" s="11">
        <v>757606</v>
      </c>
      <c r="AB13" s="34">
        <v>782606</v>
      </c>
      <c r="AC13" s="34">
        <v>764876</v>
      </c>
      <c r="AD13" s="34">
        <v>830165</v>
      </c>
      <c r="AE13" s="34">
        <v>881641</v>
      </c>
      <c r="AF13" s="34">
        <v>900941</v>
      </c>
      <c r="AG13" s="34">
        <v>889859</v>
      </c>
      <c r="AH13" s="34">
        <v>887313</v>
      </c>
      <c r="AI13" s="34">
        <v>92187</v>
      </c>
      <c r="AJ13" s="34">
        <v>399461</v>
      </c>
      <c r="AK13" s="34">
        <v>712044</v>
      </c>
      <c r="AL13" s="9">
        <v>0</v>
      </c>
      <c r="AO13"/>
    </row>
    <row r="14" spans="1:44" x14ac:dyDescent="0.45">
      <c r="A14" s="8"/>
      <c r="B14" s="21">
        <v>44997</v>
      </c>
      <c r="C14" s="18">
        <v>431053</v>
      </c>
      <c r="D14" s="5">
        <v>412070</v>
      </c>
      <c r="E14" s="5">
        <v>437357</v>
      </c>
      <c r="F14" s="5">
        <v>455514</v>
      </c>
      <c r="G14" s="5">
        <v>468464</v>
      </c>
      <c r="H14" s="5">
        <v>493603</v>
      </c>
      <c r="I14" s="5">
        <v>487600</v>
      </c>
      <c r="J14" s="5">
        <v>238207</v>
      </c>
      <c r="K14" s="5">
        <v>64026</v>
      </c>
      <c r="L14" s="5">
        <v>259331</v>
      </c>
      <c r="M14" s="5">
        <v>380556</v>
      </c>
      <c r="N14" s="19">
        <v>0</v>
      </c>
      <c r="O14" s="14">
        <v>454289</v>
      </c>
      <c r="P14" s="14">
        <v>456662</v>
      </c>
      <c r="Q14" s="14">
        <v>460555</v>
      </c>
      <c r="R14" s="14">
        <v>483853</v>
      </c>
      <c r="S14" s="14">
        <v>527326</v>
      </c>
      <c r="T14" s="14">
        <v>534618</v>
      </c>
      <c r="U14" s="14">
        <v>542384</v>
      </c>
      <c r="V14" s="14">
        <v>320965</v>
      </c>
      <c r="W14" s="14">
        <v>67350</v>
      </c>
      <c r="X14" s="14">
        <v>288831</v>
      </c>
      <c r="Y14" s="14">
        <v>429720</v>
      </c>
      <c r="Z14" s="14">
        <v>0</v>
      </c>
      <c r="AA14" s="11">
        <v>885342</v>
      </c>
      <c r="AB14" s="34">
        <v>868732</v>
      </c>
      <c r="AC14" s="34">
        <v>897912</v>
      </c>
      <c r="AD14" s="34">
        <v>939367</v>
      </c>
      <c r="AE14" s="34">
        <v>995790</v>
      </c>
      <c r="AF14" s="34">
        <v>1028221</v>
      </c>
      <c r="AG14" s="34">
        <v>1029984</v>
      </c>
      <c r="AH14" s="34">
        <v>559172</v>
      </c>
      <c r="AI14" s="34">
        <v>131376</v>
      </c>
      <c r="AJ14" s="34">
        <v>548162</v>
      </c>
      <c r="AK14" s="34">
        <v>810276</v>
      </c>
      <c r="AL14" s="9">
        <v>0</v>
      </c>
      <c r="AO14"/>
    </row>
    <row r="15" spans="1:44" x14ac:dyDescent="0.45">
      <c r="A15" s="8"/>
      <c r="B15" s="22" t="s">
        <v>52</v>
      </c>
      <c r="C15" s="12">
        <v>4914927</v>
      </c>
      <c r="D15" s="15">
        <v>5086995</v>
      </c>
      <c r="E15" s="15">
        <v>5163334</v>
      </c>
      <c r="F15" s="15">
        <v>5283243</v>
      </c>
      <c r="G15" s="15">
        <v>5570975</v>
      </c>
      <c r="H15" s="15">
        <v>5856148</v>
      </c>
      <c r="I15" s="15">
        <v>5904304</v>
      </c>
      <c r="J15" s="15">
        <v>5687850</v>
      </c>
      <c r="K15" s="15">
        <v>402223</v>
      </c>
      <c r="L15" s="15">
        <v>1660824</v>
      </c>
      <c r="M15" s="15">
        <v>4155925</v>
      </c>
      <c r="N15" s="16">
        <v>2740903</v>
      </c>
      <c r="O15" s="15">
        <v>4914163</v>
      </c>
      <c r="P15" s="15">
        <v>5116779</v>
      </c>
      <c r="Q15" s="15">
        <v>5198070</v>
      </c>
      <c r="R15" s="15">
        <v>5360619</v>
      </c>
      <c r="S15" s="15">
        <v>5690282</v>
      </c>
      <c r="T15" s="15">
        <v>5971517</v>
      </c>
      <c r="U15" s="15">
        <v>6026514</v>
      </c>
      <c r="V15" s="15">
        <v>5822544</v>
      </c>
      <c r="W15" s="15">
        <v>411912</v>
      </c>
      <c r="X15" s="15">
        <v>1684486</v>
      </c>
      <c r="Y15" s="15">
        <v>4267938</v>
      </c>
      <c r="Z15" s="15">
        <v>2810045</v>
      </c>
      <c r="AA15" s="12">
        <v>9829090</v>
      </c>
      <c r="AB15" s="15">
        <v>10203774</v>
      </c>
      <c r="AC15" s="15">
        <v>10361404</v>
      </c>
      <c r="AD15" s="15">
        <v>10643862</v>
      </c>
      <c r="AE15" s="15">
        <v>11261257</v>
      </c>
      <c r="AF15" s="15">
        <v>11827665</v>
      </c>
      <c r="AG15" s="15">
        <v>11930818</v>
      </c>
      <c r="AH15" s="15">
        <v>11510394</v>
      </c>
      <c r="AI15" s="15">
        <v>814135</v>
      </c>
      <c r="AJ15" s="15">
        <v>3345310</v>
      </c>
      <c r="AK15" s="15">
        <v>8423863</v>
      </c>
      <c r="AL15" s="16">
        <v>5550948</v>
      </c>
      <c r="AO15"/>
    </row>
    <row r="16" spans="1:44" x14ac:dyDescent="0.45">
      <c r="A16" s="8"/>
      <c r="B16" s="21">
        <v>45017</v>
      </c>
      <c r="C16" s="18">
        <v>41797</v>
      </c>
      <c r="D16" s="5">
        <v>43145</v>
      </c>
      <c r="E16" s="5">
        <v>46562</v>
      </c>
      <c r="F16" s="5">
        <v>45008</v>
      </c>
      <c r="G16" s="5">
        <v>47362</v>
      </c>
      <c r="H16" s="5">
        <v>46725</v>
      </c>
      <c r="I16" s="5">
        <v>45646</v>
      </c>
      <c r="J16" s="5">
        <v>46842</v>
      </c>
      <c r="K16" s="5">
        <v>36</v>
      </c>
      <c r="L16" s="5">
        <v>11240</v>
      </c>
      <c r="M16" s="5">
        <v>28195</v>
      </c>
      <c r="N16" s="19">
        <v>34181</v>
      </c>
      <c r="O16" s="14">
        <v>40103</v>
      </c>
      <c r="P16" s="14">
        <v>41746</v>
      </c>
      <c r="Q16" s="14">
        <v>46226</v>
      </c>
      <c r="R16" s="14">
        <v>42684</v>
      </c>
      <c r="S16" s="14">
        <v>44998</v>
      </c>
      <c r="T16" s="14">
        <v>47810</v>
      </c>
      <c r="U16" s="14">
        <v>44301</v>
      </c>
      <c r="V16" s="14">
        <v>47838</v>
      </c>
      <c r="W16" s="14">
        <v>60</v>
      </c>
      <c r="X16" s="14">
        <v>11592</v>
      </c>
      <c r="Y16" s="14">
        <v>28092</v>
      </c>
      <c r="Z16" s="14">
        <v>33539</v>
      </c>
      <c r="AA16" s="11">
        <v>81900</v>
      </c>
      <c r="AB16" s="34">
        <v>84891</v>
      </c>
      <c r="AC16" s="34">
        <v>92788</v>
      </c>
      <c r="AD16" s="34">
        <v>87692</v>
      </c>
      <c r="AE16" s="34">
        <v>92360</v>
      </c>
      <c r="AF16" s="34">
        <v>94535</v>
      </c>
      <c r="AG16" s="34">
        <v>89947</v>
      </c>
      <c r="AH16" s="34">
        <v>94680</v>
      </c>
      <c r="AI16" s="34">
        <v>96</v>
      </c>
      <c r="AJ16" s="34">
        <v>22832</v>
      </c>
      <c r="AK16" s="34">
        <v>56287</v>
      </c>
      <c r="AL16" s="9">
        <v>67720</v>
      </c>
      <c r="AO16"/>
    </row>
    <row r="17" spans="1:41" x14ac:dyDescent="0.45">
      <c r="A17" s="8"/>
      <c r="B17" s="21">
        <v>45048</v>
      </c>
      <c r="C17" s="18">
        <v>40011</v>
      </c>
      <c r="D17" s="5">
        <v>43665</v>
      </c>
      <c r="E17" s="5">
        <v>46701</v>
      </c>
      <c r="F17" s="5">
        <v>45133</v>
      </c>
      <c r="G17" s="5">
        <v>47000</v>
      </c>
      <c r="H17" s="5">
        <v>49510</v>
      </c>
      <c r="I17" s="5">
        <v>45869</v>
      </c>
      <c r="J17" s="5">
        <v>46378</v>
      </c>
      <c r="K17" s="5">
        <v>0</v>
      </c>
      <c r="L17" s="5">
        <v>11781</v>
      </c>
      <c r="M17" s="5">
        <v>29045</v>
      </c>
      <c r="N17" s="19">
        <v>36096</v>
      </c>
      <c r="O17" s="14">
        <v>42356</v>
      </c>
      <c r="P17" s="14">
        <v>45109</v>
      </c>
      <c r="Q17" s="14">
        <v>46030</v>
      </c>
      <c r="R17" s="14">
        <v>45367</v>
      </c>
      <c r="S17" s="14">
        <v>49233</v>
      </c>
      <c r="T17" s="14">
        <v>51326</v>
      </c>
      <c r="U17" s="14">
        <v>47208</v>
      </c>
      <c r="V17" s="14">
        <v>46383</v>
      </c>
      <c r="W17" s="14">
        <v>0</v>
      </c>
      <c r="X17" s="14">
        <v>12864</v>
      </c>
      <c r="Y17" s="14">
        <v>29326</v>
      </c>
      <c r="Z17" s="14">
        <v>35250</v>
      </c>
      <c r="AA17" s="11">
        <v>82367</v>
      </c>
      <c r="AB17" s="34">
        <v>88774</v>
      </c>
      <c r="AC17" s="34">
        <v>92731</v>
      </c>
      <c r="AD17" s="34">
        <v>90500</v>
      </c>
      <c r="AE17" s="34">
        <v>96233</v>
      </c>
      <c r="AF17" s="34">
        <v>100836</v>
      </c>
      <c r="AG17" s="34">
        <v>93077</v>
      </c>
      <c r="AH17" s="34">
        <v>92761</v>
      </c>
      <c r="AI17" s="34">
        <v>0</v>
      </c>
      <c r="AJ17" s="34">
        <v>24645</v>
      </c>
      <c r="AK17" s="34">
        <v>58371</v>
      </c>
      <c r="AL17" s="9">
        <v>71346</v>
      </c>
      <c r="AO17"/>
    </row>
    <row r="18" spans="1:41" x14ac:dyDescent="0.45">
      <c r="A18" s="8"/>
      <c r="B18" s="21">
        <v>45080</v>
      </c>
      <c r="C18" s="18">
        <v>37353</v>
      </c>
      <c r="D18" s="5">
        <v>40670</v>
      </c>
      <c r="E18" s="5">
        <v>42845</v>
      </c>
      <c r="F18" s="5">
        <v>40471</v>
      </c>
      <c r="G18" s="5">
        <v>45375</v>
      </c>
      <c r="H18" s="5">
        <v>44826</v>
      </c>
      <c r="I18" s="5">
        <v>42153</v>
      </c>
      <c r="J18" s="5">
        <v>42618</v>
      </c>
      <c r="K18" s="5">
        <v>0</v>
      </c>
      <c r="L18" s="5">
        <v>9920</v>
      </c>
      <c r="M18" s="5">
        <v>27485</v>
      </c>
      <c r="N18" s="19">
        <v>33459</v>
      </c>
      <c r="O18" s="14">
        <v>40174</v>
      </c>
      <c r="P18" s="14">
        <v>42987</v>
      </c>
      <c r="Q18" s="14">
        <v>45072</v>
      </c>
      <c r="R18" s="14">
        <v>43029</v>
      </c>
      <c r="S18" s="14">
        <v>47678</v>
      </c>
      <c r="T18" s="14">
        <v>45518</v>
      </c>
      <c r="U18" s="14">
        <v>44149</v>
      </c>
      <c r="V18" s="14">
        <v>45766</v>
      </c>
      <c r="W18" s="14">
        <v>0</v>
      </c>
      <c r="X18" s="14">
        <v>11165</v>
      </c>
      <c r="Y18" s="14">
        <v>28742</v>
      </c>
      <c r="Z18" s="14">
        <v>35142</v>
      </c>
      <c r="AA18" s="11">
        <v>77527</v>
      </c>
      <c r="AB18" s="34">
        <v>83657</v>
      </c>
      <c r="AC18" s="34">
        <v>87917</v>
      </c>
      <c r="AD18" s="34">
        <v>83500</v>
      </c>
      <c r="AE18" s="34">
        <v>93053</v>
      </c>
      <c r="AF18" s="34">
        <v>90344</v>
      </c>
      <c r="AG18" s="34">
        <v>86302</v>
      </c>
      <c r="AH18" s="34">
        <v>88384</v>
      </c>
      <c r="AI18" s="34">
        <v>0</v>
      </c>
      <c r="AJ18" s="34">
        <v>21085</v>
      </c>
      <c r="AK18" s="34">
        <v>56227</v>
      </c>
      <c r="AL18" s="9">
        <v>68601</v>
      </c>
      <c r="AO18"/>
    </row>
    <row r="19" spans="1:41" x14ac:dyDescent="0.45">
      <c r="A19" s="8"/>
      <c r="B19" s="21">
        <v>45111</v>
      </c>
      <c r="C19" s="18">
        <v>42354</v>
      </c>
      <c r="D19" s="5">
        <v>44548</v>
      </c>
      <c r="E19" s="5">
        <v>46237</v>
      </c>
      <c r="F19" s="5">
        <v>47170</v>
      </c>
      <c r="G19" s="5">
        <v>51037</v>
      </c>
      <c r="H19" s="5">
        <v>50288</v>
      </c>
      <c r="I19" s="5">
        <v>48141</v>
      </c>
      <c r="J19" s="5">
        <v>49439</v>
      </c>
      <c r="K19" s="5">
        <v>0</v>
      </c>
      <c r="L19" s="5">
        <v>9200</v>
      </c>
      <c r="M19" s="5">
        <v>32727</v>
      </c>
      <c r="N19" s="19">
        <v>39846</v>
      </c>
      <c r="O19" s="14">
        <v>43511</v>
      </c>
      <c r="P19" s="14">
        <v>46673</v>
      </c>
      <c r="Q19" s="14">
        <v>49232</v>
      </c>
      <c r="R19" s="14">
        <v>48738</v>
      </c>
      <c r="S19" s="14">
        <v>54222</v>
      </c>
      <c r="T19" s="14">
        <v>52204</v>
      </c>
      <c r="U19" s="14">
        <v>47205</v>
      </c>
      <c r="V19" s="14">
        <v>51082</v>
      </c>
      <c r="W19" s="14">
        <v>0</v>
      </c>
      <c r="X19" s="14">
        <v>9698</v>
      </c>
      <c r="Y19" s="14">
        <v>31705</v>
      </c>
      <c r="Z19" s="14">
        <v>39318</v>
      </c>
      <c r="AA19" s="11">
        <v>85865</v>
      </c>
      <c r="AB19" s="34">
        <v>91221</v>
      </c>
      <c r="AC19" s="34">
        <v>95469</v>
      </c>
      <c r="AD19" s="34">
        <v>95908</v>
      </c>
      <c r="AE19" s="34">
        <v>105259</v>
      </c>
      <c r="AF19" s="34">
        <v>102492</v>
      </c>
      <c r="AG19" s="34">
        <v>95346</v>
      </c>
      <c r="AH19" s="34">
        <v>100521</v>
      </c>
      <c r="AI19" s="34">
        <v>0</v>
      </c>
      <c r="AJ19" s="34">
        <v>18898</v>
      </c>
      <c r="AK19" s="34">
        <v>64432</v>
      </c>
      <c r="AL19" s="9">
        <v>79164</v>
      </c>
      <c r="AO19"/>
    </row>
    <row r="20" spans="1:41" x14ac:dyDescent="0.45">
      <c r="A20" s="8"/>
      <c r="B20" s="21">
        <v>45143</v>
      </c>
      <c r="C20" s="18">
        <v>47192</v>
      </c>
      <c r="D20" s="5">
        <v>51739</v>
      </c>
      <c r="E20" s="5">
        <v>54430</v>
      </c>
      <c r="F20" s="5">
        <v>54224</v>
      </c>
      <c r="G20" s="5">
        <v>57698</v>
      </c>
      <c r="H20" s="5">
        <v>54568</v>
      </c>
      <c r="I20" s="5">
        <v>53853</v>
      </c>
      <c r="J20" s="5">
        <v>56698</v>
      </c>
      <c r="K20" s="5">
        <v>0</v>
      </c>
      <c r="L20" s="5">
        <v>13590</v>
      </c>
      <c r="M20" s="5">
        <v>34431</v>
      </c>
      <c r="N20" s="19">
        <v>42907</v>
      </c>
      <c r="O20" s="14">
        <v>44595</v>
      </c>
      <c r="P20" s="14">
        <v>48613</v>
      </c>
      <c r="Q20" s="14">
        <v>51778</v>
      </c>
      <c r="R20" s="14">
        <v>51982</v>
      </c>
      <c r="S20" s="14">
        <v>54198</v>
      </c>
      <c r="T20" s="14">
        <v>50385</v>
      </c>
      <c r="U20" s="14">
        <v>49077</v>
      </c>
      <c r="V20" s="14">
        <v>52659</v>
      </c>
      <c r="W20" s="14">
        <v>0</v>
      </c>
      <c r="X20" s="14">
        <v>12359</v>
      </c>
      <c r="Y20" s="14">
        <v>32156</v>
      </c>
      <c r="Z20" s="14">
        <v>40252</v>
      </c>
      <c r="AA20" s="11">
        <v>91787</v>
      </c>
      <c r="AB20" s="34">
        <v>100352</v>
      </c>
      <c r="AC20" s="34">
        <v>106208</v>
      </c>
      <c r="AD20" s="34">
        <v>106206</v>
      </c>
      <c r="AE20" s="34">
        <v>111896</v>
      </c>
      <c r="AF20" s="34">
        <v>104953</v>
      </c>
      <c r="AG20" s="34">
        <v>102930</v>
      </c>
      <c r="AH20" s="34">
        <v>109357</v>
      </c>
      <c r="AI20" s="34">
        <v>0</v>
      </c>
      <c r="AJ20" s="34">
        <v>25949</v>
      </c>
      <c r="AK20" s="34">
        <v>66587</v>
      </c>
      <c r="AL20" s="9">
        <v>83159</v>
      </c>
      <c r="AO20"/>
    </row>
    <row r="21" spans="1:41" x14ac:dyDescent="0.45">
      <c r="A21" s="8"/>
      <c r="B21" s="21">
        <v>45175</v>
      </c>
      <c r="C21" s="18">
        <v>43179</v>
      </c>
      <c r="D21" s="5">
        <v>47740</v>
      </c>
      <c r="E21" s="5">
        <v>47321</v>
      </c>
      <c r="F21" s="5">
        <v>48330</v>
      </c>
      <c r="G21" s="5">
        <v>52594</v>
      </c>
      <c r="H21" s="5">
        <v>49764</v>
      </c>
      <c r="I21" s="5">
        <v>49289</v>
      </c>
      <c r="J21" s="5">
        <v>51060</v>
      </c>
      <c r="K21" s="5">
        <v>0</v>
      </c>
      <c r="L21" s="5">
        <v>15175</v>
      </c>
      <c r="M21" s="5">
        <v>33459</v>
      </c>
      <c r="N21" s="19">
        <v>41121</v>
      </c>
      <c r="O21" s="14">
        <v>44730</v>
      </c>
      <c r="P21" s="14">
        <v>48273</v>
      </c>
      <c r="Q21" s="14">
        <v>47269</v>
      </c>
      <c r="R21" s="14">
        <v>47663</v>
      </c>
      <c r="S21" s="14">
        <v>52553</v>
      </c>
      <c r="T21" s="14">
        <v>50005</v>
      </c>
      <c r="U21" s="14">
        <v>50111</v>
      </c>
      <c r="V21" s="14">
        <v>50519</v>
      </c>
      <c r="W21" s="14">
        <v>0</v>
      </c>
      <c r="X21" s="14">
        <v>15221</v>
      </c>
      <c r="Y21" s="14">
        <v>31234</v>
      </c>
      <c r="Z21" s="14">
        <v>39326</v>
      </c>
      <c r="AA21" s="11">
        <v>87909</v>
      </c>
      <c r="AB21" s="34">
        <v>96013</v>
      </c>
      <c r="AC21" s="34">
        <v>94590</v>
      </c>
      <c r="AD21" s="34">
        <v>95993</v>
      </c>
      <c r="AE21" s="34">
        <v>105147</v>
      </c>
      <c r="AF21" s="34">
        <v>99769</v>
      </c>
      <c r="AG21" s="34">
        <v>99400</v>
      </c>
      <c r="AH21" s="34">
        <v>101579</v>
      </c>
      <c r="AI21" s="34">
        <v>0</v>
      </c>
      <c r="AJ21" s="34">
        <v>30396</v>
      </c>
      <c r="AK21" s="34">
        <v>64693</v>
      </c>
      <c r="AL21" s="9">
        <v>80447</v>
      </c>
      <c r="AO21"/>
    </row>
    <row r="22" spans="1:41" x14ac:dyDescent="0.45">
      <c r="A22" s="8" t="s">
        <v>69</v>
      </c>
      <c r="B22" s="21">
        <v>45206</v>
      </c>
      <c r="C22" s="18">
        <v>43097</v>
      </c>
      <c r="D22" s="5">
        <v>48147</v>
      </c>
      <c r="E22" s="5">
        <v>50798</v>
      </c>
      <c r="F22" s="5">
        <v>50851</v>
      </c>
      <c r="G22" s="5">
        <v>52244</v>
      </c>
      <c r="H22" s="5">
        <v>51820</v>
      </c>
      <c r="I22" s="5">
        <v>50852</v>
      </c>
      <c r="J22" s="5">
        <v>47523</v>
      </c>
      <c r="K22" s="5">
        <v>1170</v>
      </c>
      <c r="L22" s="5">
        <v>19403</v>
      </c>
      <c r="M22" s="5">
        <v>32886</v>
      </c>
      <c r="N22" s="19">
        <v>40509</v>
      </c>
      <c r="O22" s="14">
        <v>45849</v>
      </c>
      <c r="P22" s="14">
        <v>49081</v>
      </c>
      <c r="Q22" s="14">
        <v>50034</v>
      </c>
      <c r="R22" s="14">
        <v>49486</v>
      </c>
      <c r="S22" s="14">
        <v>52142</v>
      </c>
      <c r="T22" s="14">
        <v>50856</v>
      </c>
      <c r="U22" s="14">
        <v>48449</v>
      </c>
      <c r="V22" s="14">
        <v>46484</v>
      </c>
      <c r="W22" s="14">
        <v>1211</v>
      </c>
      <c r="X22" s="14">
        <v>19634</v>
      </c>
      <c r="Y22" s="14">
        <v>32217</v>
      </c>
      <c r="Z22" s="14">
        <v>38558</v>
      </c>
      <c r="AA22" s="11">
        <v>88946</v>
      </c>
      <c r="AB22" s="34">
        <v>97228</v>
      </c>
      <c r="AC22" s="34">
        <v>100832</v>
      </c>
      <c r="AD22" s="34">
        <v>100337</v>
      </c>
      <c r="AE22" s="34">
        <v>104386</v>
      </c>
      <c r="AF22" s="34">
        <v>102676</v>
      </c>
      <c r="AG22" s="34">
        <v>99301</v>
      </c>
      <c r="AH22" s="34">
        <v>94007</v>
      </c>
      <c r="AI22" s="34">
        <v>2381</v>
      </c>
      <c r="AJ22" s="34">
        <v>39037</v>
      </c>
      <c r="AK22" s="34">
        <v>65103</v>
      </c>
      <c r="AL22" s="9">
        <v>79067</v>
      </c>
      <c r="AO22"/>
    </row>
    <row r="23" spans="1:41" x14ac:dyDescent="0.45">
      <c r="A23" s="8"/>
      <c r="B23" s="21">
        <v>45238</v>
      </c>
      <c r="C23" s="18">
        <v>44428</v>
      </c>
      <c r="D23" s="5">
        <v>47620</v>
      </c>
      <c r="E23" s="5">
        <v>47857</v>
      </c>
      <c r="F23" s="5">
        <v>49676</v>
      </c>
      <c r="G23" s="5">
        <v>48235</v>
      </c>
      <c r="H23" s="5">
        <v>50547</v>
      </c>
      <c r="I23" s="5">
        <v>51635</v>
      </c>
      <c r="J23" s="5">
        <v>46773</v>
      </c>
      <c r="K23" s="5">
        <v>5671</v>
      </c>
      <c r="L23" s="5">
        <v>20711</v>
      </c>
      <c r="M23" s="5">
        <v>33317</v>
      </c>
      <c r="N23" s="19">
        <v>0</v>
      </c>
      <c r="O23" s="14">
        <v>41526</v>
      </c>
      <c r="P23" s="14">
        <v>45082</v>
      </c>
      <c r="Q23" s="14">
        <v>45640</v>
      </c>
      <c r="R23" s="14">
        <v>47984</v>
      </c>
      <c r="S23" s="14">
        <v>46636</v>
      </c>
      <c r="T23" s="14">
        <v>46798</v>
      </c>
      <c r="U23" s="14">
        <v>48935</v>
      </c>
      <c r="V23" s="14">
        <v>44965</v>
      </c>
      <c r="W23" s="14">
        <v>5774</v>
      </c>
      <c r="X23" s="14">
        <v>20622</v>
      </c>
      <c r="Y23" s="14">
        <v>30996</v>
      </c>
      <c r="Z23" s="14">
        <v>0</v>
      </c>
      <c r="AA23" s="11">
        <v>85954</v>
      </c>
      <c r="AB23" s="34">
        <v>92702</v>
      </c>
      <c r="AC23" s="34">
        <v>93497</v>
      </c>
      <c r="AD23" s="34">
        <v>97660</v>
      </c>
      <c r="AE23" s="34">
        <v>94871</v>
      </c>
      <c r="AF23" s="34">
        <v>97345</v>
      </c>
      <c r="AG23" s="34">
        <v>100570</v>
      </c>
      <c r="AH23" s="34">
        <v>91738</v>
      </c>
      <c r="AI23" s="34">
        <v>11445</v>
      </c>
      <c r="AJ23" s="34">
        <v>41333</v>
      </c>
      <c r="AK23" s="34">
        <v>64313</v>
      </c>
      <c r="AL23" s="9">
        <v>0</v>
      </c>
      <c r="AO23"/>
    </row>
    <row r="24" spans="1:41" x14ac:dyDescent="0.45">
      <c r="A24" s="8"/>
      <c r="B24" s="21">
        <v>45269</v>
      </c>
      <c r="C24" s="18">
        <v>37596</v>
      </c>
      <c r="D24" s="5">
        <v>38734</v>
      </c>
      <c r="E24" s="5">
        <v>39368</v>
      </c>
      <c r="F24" s="5">
        <v>42591</v>
      </c>
      <c r="G24" s="5">
        <v>44189</v>
      </c>
      <c r="H24" s="5">
        <v>44765</v>
      </c>
      <c r="I24" s="5">
        <v>45333</v>
      </c>
      <c r="J24" s="5">
        <v>41564</v>
      </c>
      <c r="K24" s="5">
        <v>8534</v>
      </c>
      <c r="L24" s="5">
        <v>15101</v>
      </c>
      <c r="M24" s="5">
        <v>29485</v>
      </c>
      <c r="N24" s="19">
        <v>0</v>
      </c>
      <c r="O24" s="14">
        <v>35853</v>
      </c>
      <c r="P24" s="14">
        <v>36384</v>
      </c>
      <c r="Q24" s="14">
        <v>35498</v>
      </c>
      <c r="R24" s="14">
        <v>40293</v>
      </c>
      <c r="S24" s="14">
        <v>40738</v>
      </c>
      <c r="T24" s="14">
        <v>43532</v>
      </c>
      <c r="U24" s="14">
        <v>44321</v>
      </c>
      <c r="V24" s="14">
        <v>41257</v>
      </c>
      <c r="W24" s="14">
        <v>9124</v>
      </c>
      <c r="X24" s="14">
        <v>16346</v>
      </c>
      <c r="Y24" s="14">
        <v>30242</v>
      </c>
      <c r="Z24" s="14">
        <v>0</v>
      </c>
      <c r="AA24" s="11">
        <v>73449</v>
      </c>
      <c r="AB24" s="34">
        <v>75118</v>
      </c>
      <c r="AC24" s="34">
        <v>74866</v>
      </c>
      <c r="AD24" s="34">
        <v>82884</v>
      </c>
      <c r="AE24" s="34">
        <v>84927</v>
      </c>
      <c r="AF24" s="34">
        <v>88297</v>
      </c>
      <c r="AG24" s="34">
        <v>89654</v>
      </c>
      <c r="AH24" s="34">
        <v>82821</v>
      </c>
      <c r="AI24" s="34">
        <v>17658</v>
      </c>
      <c r="AJ24" s="34">
        <v>31447</v>
      </c>
      <c r="AK24" s="34">
        <v>59727</v>
      </c>
      <c r="AL24" s="9">
        <v>0</v>
      </c>
      <c r="AO24"/>
    </row>
    <row r="25" spans="1:41" x14ac:dyDescent="0.45">
      <c r="A25" s="8"/>
      <c r="B25" s="21">
        <v>44936</v>
      </c>
      <c r="C25" s="18">
        <v>32657</v>
      </c>
      <c r="D25" s="5">
        <v>35402</v>
      </c>
      <c r="E25" s="5">
        <v>33518</v>
      </c>
      <c r="F25" s="5">
        <v>38119</v>
      </c>
      <c r="G25" s="5">
        <v>38236</v>
      </c>
      <c r="H25" s="5">
        <v>38018</v>
      </c>
      <c r="I25" s="5">
        <v>37784</v>
      </c>
      <c r="J25" s="5">
        <v>35816</v>
      </c>
      <c r="K25" s="5">
        <v>6900</v>
      </c>
      <c r="L25" s="5">
        <v>15460</v>
      </c>
      <c r="M25" s="5">
        <v>25056</v>
      </c>
      <c r="N25" s="19">
        <v>0</v>
      </c>
      <c r="O25" s="14">
        <v>31835</v>
      </c>
      <c r="P25" s="14">
        <v>33937</v>
      </c>
      <c r="Q25" s="14">
        <v>33878</v>
      </c>
      <c r="R25" s="14">
        <v>36593</v>
      </c>
      <c r="S25" s="14">
        <v>38809</v>
      </c>
      <c r="T25" s="14">
        <v>37735</v>
      </c>
      <c r="U25" s="14">
        <v>36744</v>
      </c>
      <c r="V25" s="14">
        <v>34600</v>
      </c>
      <c r="W25" s="14">
        <v>6124</v>
      </c>
      <c r="X25" s="14">
        <v>14750</v>
      </c>
      <c r="Y25" s="14">
        <v>24299</v>
      </c>
      <c r="Z25" s="14">
        <v>0</v>
      </c>
      <c r="AA25" s="11">
        <v>64492</v>
      </c>
      <c r="AB25" s="34">
        <v>69339</v>
      </c>
      <c r="AC25" s="34">
        <v>67396</v>
      </c>
      <c r="AD25" s="34">
        <v>74712</v>
      </c>
      <c r="AE25" s="34">
        <v>77045</v>
      </c>
      <c r="AF25" s="34">
        <v>75753</v>
      </c>
      <c r="AG25" s="34">
        <v>74528</v>
      </c>
      <c r="AH25" s="34">
        <v>70416</v>
      </c>
      <c r="AI25" s="34">
        <v>13024</v>
      </c>
      <c r="AJ25" s="34">
        <v>30210</v>
      </c>
      <c r="AK25" s="34">
        <v>49355</v>
      </c>
      <c r="AL25" s="9">
        <v>0</v>
      </c>
      <c r="AO25"/>
    </row>
    <row r="26" spans="1:41" x14ac:dyDescent="0.45">
      <c r="A26" s="8"/>
      <c r="B26" s="21">
        <v>44968</v>
      </c>
      <c r="C26" s="18">
        <v>34013</v>
      </c>
      <c r="D26" s="5">
        <v>36455</v>
      </c>
      <c r="E26" s="5">
        <v>35446</v>
      </c>
      <c r="F26" s="5">
        <v>38843</v>
      </c>
      <c r="G26" s="5">
        <v>38330</v>
      </c>
      <c r="H26" s="5">
        <v>37583</v>
      </c>
      <c r="I26" s="5">
        <v>37178</v>
      </c>
      <c r="J26" s="5">
        <v>34802</v>
      </c>
      <c r="K26" s="5">
        <v>6187</v>
      </c>
      <c r="L26" s="5">
        <v>17498</v>
      </c>
      <c r="M26" s="5">
        <v>25390</v>
      </c>
      <c r="N26" s="19">
        <v>0</v>
      </c>
      <c r="O26" s="14">
        <v>34868</v>
      </c>
      <c r="P26" s="14">
        <v>36605</v>
      </c>
      <c r="Q26" s="14">
        <v>34683</v>
      </c>
      <c r="R26" s="14">
        <v>38310</v>
      </c>
      <c r="S26" s="14">
        <v>38504</v>
      </c>
      <c r="T26" s="14">
        <v>36855</v>
      </c>
      <c r="U26" s="14">
        <v>38007</v>
      </c>
      <c r="V26" s="14">
        <v>34918</v>
      </c>
      <c r="W26" s="14">
        <v>5673</v>
      </c>
      <c r="X26" s="14">
        <v>17349</v>
      </c>
      <c r="Y26" s="14">
        <v>25625</v>
      </c>
      <c r="Z26" s="14">
        <v>0</v>
      </c>
      <c r="AA26" s="11">
        <v>68881</v>
      </c>
      <c r="AB26" s="34">
        <v>73060</v>
      </c>
      <c r="AC26" s="34">
        <v>70129</v>
      </c>
      <c r="AD26" s="34">
        <v>77153</v>
      </c>
      <c r="AE26" s="34">
        <v>76834</v>
      </c>
      <c r="AF26" s="34">
        <v>74438</v>
      </c>
      <c r="AG26" s="34">
        <v>75185</v>
      </c>
      <c r="AH26" s="34">
        <v>69720</v>
      </c>
      <c r="AI26" s="34">
        <v>11860</v>
      </c>
      <c r="AJ26" s="34">
        <v>34847</v>
      </c>
      <c r="AK26" s="34">
        <v>51015</v>
      </c>
      <c r="AL26" s="9">
        <v>0</v>
      </c>
      <c r="AO26"/>
    </row>
    <row r="27" spans="1:41" x14ac:dyDescent="0.45">
      <c r="A27" s="8"/>
      <c r="B27" s="21">
        <v>44997</v>
      </c>
      <c r="C27" s="18">
        <v>39578</v>
      </c>
      <c r="D27" s="5">
        <v>41172</v>
      </c>
      <c r="E27" s="5">
        <v>42952</v>
      </c>
      <c r="F27" s="5">
        <v>44558</v>
      </c>
      <c r="G27" s="5">
        <v>44917</v>
      </c>
      <c r="H27" s="5">
        <v>44001</v>
      </c>
      <c r="I27" s="5">
        <v>47236</v>
      </c>
      <c r="J27" s="5">
        <v>22873</v>
      </c>
      <c r="K27" s="5">
        <v>8902</v>
      </c>
      <c r="L27" s="5">
        <v>24112</v>
      </c>
      <c r="M27" s="5">
        <v>33048</v>
      </c>
      <c r="N27" s="19">
        <v>0</v>
      </c>
      <c r="O27" s="14">
        <v>42169</v>
      </c>
      <c r="P27" s="14">
        <v>44499</v>
      </c>
      <c r="Q27" s="14">
        <v>45871</v>
      </c>
      <c r="R27" s="14">
        <v>48401</v>
      </c>
      <c r="S27" s="14">
        <v>46093</v>
      </c>
      <c r="T27" s="14">
        <v>47545</v>
      </c>
      <c r="U27" s="14">
        <v>49540</v>
      </c>
      <c r="V27" s="14">
        <v>21489</v>
      </c>
      <c r="W27" s="14">
        <v>9256</v>
      </c>
      <c r="X27" s="14">
        <v>25574</v>
      </c>
      <c r="Y27" s="14">
        <v>33179</v>
      </c>
      <c r="Z27" s="14">
        <v>0</v>
      </c>
      <c r="AA27" s="11">
        <v>81747</v>
      </c>
      <c r="AB27" s="34">
        <v>85671</v>
      </c>
      <c r="AC27" s="34">
        <v>88823</v>
      </c>
      <c r="AD27" s="34">
        <v>92959</v>
      </c>
      <c r="AE27" s="34">
        <v>91010</v>
      </c>
      <c r="AF27" s="34">
        <v>91546</v>
      </c>
      <c r="AG27" s="34">
        <v>96776</v>
      </c>
      <c r="AH27" s="34">
        <v>44362</v>
      </c>
      <c r="AI27" s="34">
        <v>18158</v>
      </c>
      <c r="AJ27" s="34">
        <v>49686</v>
      </c>
      <c r="AK27" s="34">
        <v>66227</v>
      </c>
      <c r="AL27" s="9">
        <v>0</v>
      </c>
      <c r="AO27"/>
    </row>
    <row r="28" spans="1:41" x14ac:dyDescent="0.45">
      <c r="A28" s="8"/>
      <c r="B28" s="22" t="s">
        <v>52</v>
      </c>
      <c r="C28" s="12">
        <v>483255</v>
      </c>
      <c r="D28" s="15">
        <v>519037</v>
      </c>
      <c r="E28" s="15">
        <v>534035</v>
      </c>
      <c r="F28" s="15">
        <v>544974</v>
      </c>
      <c r="G28" s="15">
        <v>567217</v>
      </c>
      <c r="H28" s="15">
        <v>562415</v>
      </c>
      <c r="I28" s="15">
        <v>554969</v>
      </c>
      <c r="J28" s="15">
        <v>522386</v>
      </c>
      <c r="K28" s="15">
        <v>37400</v>
      </c>
      <c r="L28" s="15">
        <v>183191</v>
      </c>
      <c r="M28" s="15">
        <v>364524</v>
      </c>
      <c r="N28" s="16">
        <v>268119</v>
      </c>
      <c r="O28" s="15">
        <v>487569</v>
      </c>
      <c r="P28" s="15">
        <v>518989</v>
      </c>
      <c r="Q28" s="15">
        <v>531211</v>
      </c>
      <c r="R28" s="15">
        <v>540530</v>
      </c>
      <c r="S28" s="15">
        <v>565804</v>
      </c>
      <c r="T28" s="15">
        <v>560569</v>
      </c>
      <c r="U28" s="15">
        <v>548047</v>
      </c>
      <c r="V28" s="15">
        <v>517960</v>
      </c>
      <c r="W28" s="15">
        <v>37222</v>
      </c>
      <c r="X28" s="15">
        <v>187174</v>
      </c>
      <c r="Y28" s="15">
        <v>357813</v>
      </c>
      <c r="Z28" s="15">
        <v>261385</v>
      </c>
      <c r="AA28" s="12">
        <v>970824</v>
      </c>
      <c r="AB28" s="15">
        <v>1038026</v>
      </c>
      <c r="AC28" s="15">
        <v>1065246</v>
      </c>
      <c r="AD28" s="15">
        <v>1085504</v>
      </c>
      <c r="AE28" s="15">
        <v>1133021</v>
      </c>
      <c r="AF28" s="15">
        <v>1122984</v>
      </c>
      <c r="AG28" s="15">
        <v>1103016</v>
      </c>
      <c r="AH28" s="15">
        <v>1040346</v>
      </c>
      <c r="AI28" s="15">
        <v>74622</v>
      </c>
      <c r="AJ28" s="15">
        <v>370365</v>
      </c>
      <c r="AK28" s="15">
        <v>722337</v>
      </c>
      <c r="AL28" s="16">
        <v>529504</v>
      </c>
      <c r="AO28"/>
    </row>
    <row r="29" spans="1:41" x14ac:dyDescent="0.45">
      <c r="A29" s="8"/>
      <c r="B29" s="21">
        <v>45017</v>
      </c>
      <c r="C29" s="18">
        <v>1051430</v>
      </c>
      <c r="D29" s="5">
        <v>1009518</v>
      </c>
      <c r="E29" s="5">
        <v>1007686</v>
      </c>
      <c r="F29" s="5">
        <v>1093401</v>
      </c>
      <c r="G29" s="5">
        <v>1137242</v>
      </c>
      <c r="H29" s="5">
        <v>1226635</v>
      </c>
      <c r="I29" s="5">
        <v>1207335</v>
      </c>
      <c r="J29" s="5">
        <v>1256053</v>
      </c>
      <c r="K29" s="5">
        <v>0</v>
      </c>
      <c r="L29" s="5">
        <v>793761</v>
      </c>
      <c r="M29" s="5">
        <v>959559</v>
      </c>
      <c r="N29" s="19">
        <v>1025056</v>
      </c>
      <c r="O29" s="14">
        <v>1051836</v>
      </c>
      <c r="P29" s="14">
        <v>1013922</v>
      </c>
      <c r="Q29" s="14">
        <v>1008603</v>
      </c>
      <c r="R29" s="14">
        <v>1096061</v>
      </c>
      <c r="S29" s="14">
        <v>1136767</v>
      </c>
      <c r="T29" s="14">
        <v>1229508</v>
      </c>
      <c r="U29" s="14">
        <v>1213402</v>
      </c>
      <c r="V29" s="14">
        <v>1260748</v>
      </c>
      <c r="W29" s="14">
        <v>0</v>
      </c>
      <c r="X29" s="14">
        <v>793579</v>
      </c>
      <c r="Y29" s="14">
        <v>956892</v>
      </c>
      <c r="Z29" s="14">
        <v>1027258</v>
      </c>
      <c r="AA29" s="11">
        <v>2103266</v>
      </c>
      <c r="AB29" s="34">
        <v>2023440</v>
      </c>
      <c r="AC29" s="34">
        <v>2016289</v>
      </c>
      <c r="AD29" s="34">
        <v>2189462</v>
      </c>
      <c r="AE29" s="34">
        <v>2274009</v>
      </c>
      <c r="AF29" s="34">
        <v>2456143</v>
      </c>
      <c r="AG29" s="34">
        <v>2420737</v>
      </c>
      <c r="AH29" s="34">
        <v>2516801</v>
      </c>
      <c r="AI29" s="34">
        <v>0</v>
      </c>
      <c r="AJ29" s="34">
        <v>1587340</v>
      </c>
      <c r="AK29" s="34">
        <v>1916451</v>
      </c>
      <c r="AL29" s="9">
        <v>2052314</v>
      </c>
      <c r="AO29"/>
    </row>
    <row r="30" spans="1:41" x14ac:dyDescent="0.45">
      <c r="A30" s="8"/>
      <c r="B30" s="21">
        <v>45048</v>
      </c>
      <c r="C30" s="18">
        <v>962795</v>
      </c>
      <c r="D30" s="5">
        <v>944646</v>
      </c>
      <c r="E30" s="5">
        <v>899367</v>
      </c>
      <c r="F30" s="5">
        <v>1004678</v>
      </c>
      <c r="G30" s="5">
        <v>1071249</v>
      </c>
      <c r="H30" s="5">
        <v>1130785</v>
      </c>
      <c r="I30" s="5">
        <v>1129534</v>
      </c>
      <c r="J30" s="5">
        <v>1112811</v>
      </c>
      <c r="K30" s="5">
        <v>0</v>
      </c>
      <c r="L30" s="5">
        <v>692224</v>
      </c>
      <c r="M30" s="5">
        <v>910410</v>
      </c>
      <c r="N30" s="19">
        <v>995436</v>
      </c>
      <c r="O30" s="14">
        <v>967368</v>
      </c>
      <c r="P30" s="14">
        <v>947795</v>
      </c>
      <c r="Q30" s="14">
        <v>905604</v>
      </c>
      <c r="R30" s="14">
        <v>1008734</v>
      </c>
      <c r="S30" s="14">
        <v>1076225</v>
      </c>
      <c r="T30" s="14">
        <v>1138021</v>
      </c>
      <c r="U30" s="14">
        <v>1132939</v>
      </c>
      <c r="V30" s="14">
        <v>1119124</v>
      </c>
      <c r="W30" s="14">
        <v>0</v>
      </c>
      <c r="X30" s="14">
        <v>693725</v>
      </c>
      <c r="Y30" s="14">
        <v>912652</v>
      </c>
      <c r="Z30" s="14">
        <v>998563</v>
      </c>
      <c r="AA30" s="11">
        <v>1930163</v>
      </c>
      <c r="AB30" s="34">
        <v>1892441</v>
      </c>
      <c r="AC30" s="34">
        <v>1804971</v>
      </c>
      <c r="AD30" s="34">
        <v>2013412</v>
      </c>
      <c r="AE30" s="34">
        <v>2147474</v>
      </c>
      <c r="AF30" s="34">
        <v>2268806</v>
      </c>
      <c r="AG30" s="34">
        <v>2262473</v>
      </c>
      <c r="AH30" s="34">
        <v>2231935</v>
      </c>
      <c r="AI30" s="34">
        <v>0</v>
      </c>
      <c r="AJ30" s="34">
        <v>1385949</v>
      </c>
      <c r="AK30" s="34">
        <v>1823062</v>
      </c>
      <c r="AL30" s="9">
        <v>1993999</v>
      </c>
      <c r="AO30"/>
    </row>
    <row r="31" spans="1:41" x14ac:dyDescent="0.45">
      <c r="A31" s="8"/>
      <c r="B31" s="21">
        <v>45080</v>
      </c>
      <c r="C31" s="18">
        <v>933698</v>
      </c>
      <c r="D31" s="5">
        <v>896791</v>
      </c>
      <c r="E31" s="5">
        <v>912352</v>
      </c>
      <c r="F31" s="5">
        <v>966291</v>
      </c>
      <c r="G31" s="5">
        <v>1007955</v>
      </c>
      <c r="H31" s="5">
        <v>1050640</v>
      </c>
      <c r="I31" s="5">
        <v>1099802</v>
      </c>
      <c r="J31" s="5">
        <v>1194119</v>
      </c>
      <c r="K31" s="5">
        <v>38886</v>
      </c>
      <c r="L31" s="5">
        <v>537028</v>
      </c>
      <c r="M31" s="5">
        <v>778427</v>
      </c>
      <c r="N31" s="19">
        <v>951987</v>
      </c>
      <c r="O31" s="14">
        <v>938219</v>
      </c>
      <c r="P31" s="14">
        <v>902540</v>
      </c>
      <c r="Q31" s="14">
        <v>920088</v>
      </c>
      <c r="R31" s="14">
        <v>970451</v>
      </c>
      <c r="S31" s="14">
        <v>1023220</v>
      </c>
      <c r="T31" s="14">
        <v>1059765</v>
      </c>
      <c r="U31" s="14">
        <v>1105495</v>
      </c>
      <c r="V31" s="14">
        <v>1201563</v>
      </c>
      <c r="W31" s="14">
        <v>39586</v>
      </c>
      <c r="X31" s="14">
        <v>538819</v>
      </c>
      <c r="Y31" s="14">
        <v>779332</v>
      </c>
      <c r="Z31" s="14">
        <v>957632</v>
      </c>
      <c r="AA31" s="11">
        <v>1871917</v>
      </c>
      <c r="AB31" s="34">
        <v>1799331</v>
      </c>
      <c r="AC31" s="34">
        <v>1832440</v>
      </c>
      <c r="AD31" s="34">
        <v>1936742</v>
      </c>
      <c r="AE31" s="34">
        <v>2031175</v>
      </c>
      <c r="AF31" s="34">
        <v>2110405</v>
      </c>
      <c r="AG31" s="34">
        <v>2205297</v>
      </c>
      <c r="AH31" s="34">
        <v>2395682</v>
      </c>
      <c r="AI31" s="34">
        <v>78472</v>
      </c>
      <c r="AJ31" s="34">
        <v>1075847</v>
      </c>
      <c r="AK31" s="34">
        <v>1557759</v>
      </c>
      <c r="AL31" s="9">
        <v>1909619</v>
      </c>
      <c r="AO31"/>
    </row>
    <row r="32" spans="1:41" x14ac:dyDescent="0.45">
      <c r="A32" s="8"/>
      <c r="B32" s="21">
        <v>45111</v>
      </c>
      <c r="C32" s="18">
        <v>996140</v>
      </c>
      <c r="D32" s="5">
        <v>945395</v>
      </c>
      <c r="E32" s="5">
        <v>985931</v>
      </c>
      <c r="F32" s="5">
        <v>1101209</v>
      </c>
      <c r="G32" s="5">
        <v>1149917</v>
      </c>
      <c r="H32" s="5">
        <v>1211751</v>
      </c>
      <c r="I32" s="5">
        <v>1190194</v>
      </c>
      <c r="J32" s="5">
        <v>1215906</v>
      </c>
      <c r="K32" s="5">
        <v>105155</v>
      </c>
      <c r="L32" s="5">
        <v>268795</v>
      </c>
      <c r="M32" s="5">
        <v>867786</v>
      </c>
      <c r="N32" s="19">
        <v>1048865</v>
      </c>
      <c r="O32" s="14">
        <v>998584</v>
      </c>
      <c r="P32" s="14">
        <v>946448</v>
      </c>
      <c r="Q32" s="14">
        <v>986299</v>
      </c>
      <c r="R32" s="14">
        <v>1099862</v>
      </c>
      <c r="S32" s="14">
        <v>1147473</v>
      </c>
      <c r="T32" s="14">
        <v>1215575</v>
      </c>
      <c r="U32" s="14">
        <v>1189855</v>
      </c>
      <c r="V32" s="14">
        <v>1216867</v>
      </c>
      <c r="W32" s="14">
        <v>105759</v>
      </c>
      <c r="X32" s="14">
        <v>270897</v>
      </c>
      <c r="Y32" s="14">
        <v>865713</v>
      </c>
      <c r="Z32" s="14">
        <v>1047261</v>
      </c>
      <c r="AA32" s="11">
        <v>1994724</v>
      </c>
      <c r="AB32" s="34">
        <v>1891843</v>
      </c>
      <c r="AC32" s="34">
        <v>1972230</v>
      </c>
      <c r="AD32" s="34">
        <v>2201071</v>
      </c>
      <c r="AE32" s="34">
        <v>2297390</v>
      </c>
      <c r="AF32" s="34">
        <v>2427326</v>
      </c>
      <c r="AG32" s="34">
        <v>2380049</v>
      </c>
      <c r="AH32" s="34">
        <v>2432773</v>
      </c>
      <c r="AI32" s="34">
        <v>210914</v>
      </c>
      <c r="AJ32" s="34">
        <v>539692</v>
      </c>
      <c r="AK32" s="34">
        <v>1733499</v>
      </c>
      <c r="AL32" s="9">
        <v>2096126</v>
      </c>
      <c r="AO32"/>
    </row>
    <row r="33" spans="1:41" x14ac:dyDescent="0.45">
      <c r="A33" s="8"/>
      <c r="B33" s="21">
        <v>45143</v>
      </c>
      <c r="C33" s="18">
        <v>987537</v>
      </c>
      <c r="D33" s="5">
        <v>966266</v>
      </c>
      <c r="E33" s="5">
        <v>988917</v>
      </c>
      <c r="F33" s="5">
        <v>1089401</v>
      </c>
      <c r="G33" s="5">
        <v>1101582</v>
      </c>
      <c r="H33" s="5">
        <v>1161765</v>
      </c>
      <c r="I33" s="5">
        <v>1199505</v>
      </c>
      <c r="J33" s="5">
        <v>1237706</v>
      </c>
      <c r="K33" s="5">
        <v>185902</v>
      </c>
      <c r="L33" s="5">
        <v>474708</v>
      </c>
      <c r="M33" s="5">
        <v>865448</v>
      </c>
      <c r="N33" s="19">
        <v>996103</v>
      </c>
      <c r="O33" s="14">
        <v>989207</v>
      </c>
      <c r="P33" s="14">
        <v>966156</v>
      </c>
      <c r="Q33" s="14">
        <v>990100</v>
      </c>
      <c r="R33" s="14">
        <v>1090019</v>
      </c>
      <c r="S33" s="14">
        <v>1102051</v>
      </c>
      <c r="T33" s="14">
        <v>1165527</v>
      </c>
      <c r="U33" s="14">
        <v>1202626</v>
      </c>
      <c r="V33" s="14">
        <v>1240668</v>
      </c>
      <c r="W33" s="14">
        <v>186911</v>
      </c>
      <c r="X33" s="14">
        <v>475165</v>
      </c>
      <c r="Y33" s="14">
        <v>864547</v>
      </c>
      <c r="Z33" s="14">
        <v>997426</v>
      </c>
      <c r="AA33" s="11">
        <v>1976744</v>
      </c>
      <c r="AB33" s="34">
        <v>1932422</v>
      </c>
      <c r="AC33" s="34">
        <v>1979017</v>
      </c>
      <c r="AD33" s="34">
        <v>2179420</v>
      </c>
      <c r="AE33" s="34">
        <v>2203633</v>
      </c>
      <c r="AF33" s="34">
        <v>2327292</v>
      </c>
      <c r="AG33" s="34">
        <v>2402131</v>
      </c>
      <c r="AH33" s="34">
        <v>2478374</v>
      </c>
      <c r="AI33" s="34">
        <v>372813</v>
      </c>
      <c r="AJ33" s="34">
        <v>949873</v>
      </c>
      <c r="AK33" s="34">
        <v>1729995</v>
      </c>
      <c r="AL33" s="9">
        <v>1993529</v>
      </c>
      <c r="AO33"/>
    </row>
    <row r="34" spans="1:41" x14ac:dyDescent="0.45">
      <c r="A34" s="8"/>
      <c r="B34" s="21">
        <v>45175</v>
      </c>
      <c r="C34" s="18">
        <v>1016439</v>
      </c>
      <c r="D34" s="5">
        <v>986040</v>
      </c>
      <c r="E34" s="5">
        <v>974010</v>
      </c>
      <c r="F34" s="5">
        <v>1092541</v>
      </c>
      <c r="G34" s="5">
        <v>1156825</v>
      </c>
      <c r="H34" s="5">
        <v>1190021</v>
      </c>
      <c r="I34" s="5">
        <v>1198122</v>
      </c>
      <c r="J34" s="5">
        <v>1300979</v>
      </c>
      <c r="K34" s="5">
        <v>339788</v>
      </c>
      <c r="L34" s="5">
        <v>702382</v>
      </c>
      <c r="M34" s="5">
        <v>901729</v>
      </c>
      <c r="N34" s="19">
        <v>1068763</v>
      </c>
      <c r="O34" s="14">
        <v>1024874</v>
      </c>
      <c r="P34" s="14">
        <v>993600</v>
      </c>
      <c r="Q34" s="14">
        <v>978390</v>
      </c>
      <c r="R34" s="14">
        <v>1095803</v>
      </c>
      <c r="S34" s="14">
        <v>1158764</v>
      </c>
      <c r="T34" s="14">
        <v>1193474</v>
      </c>
      <c r="U34" s="14">
        <v>1202603</v>
      </c>
      <c r="V34" s="14">
        <v>1301637</v>
      </c>
      <c r="W34" s="14">
        <v>341758</v>
      </c>
      <c r="X34" s="14">
        <v>704234</v>
      </c>
      <c r="Y34" s="14">
        <v>901012</v>
      </c>
      <c r="Z34" s="14">
        <v>1070002</v>
      </c>
      <c r="AA34" s="11">
        <v>2041313</v>
      </c>
      <c r="AB34" s="34">
        <v>1979640</v>
      </c>
      <c r="AC34" s="34">
        <v>1952400</v>
      </c>
      <c r="AD34" s="34">
        <v>2188344</v>
      </c>
      <c r="AE34" s="34">
        <v>2315589</v>
      </c>
      <c r="AF34" s="34">
        <v>2383495</v>
      </c>
      <c r="AG34" s="34">
        <v>2400725</v>
      </c>
      <c r="AH34" s="34">
        <v>2602616</v>
      </c>
      <c r="AI34" s="34">
        <v>681546</v>
      </c>
      <c r="AJ34" s="34">
        <v>1406616</v>
      </c>
      <c r="AK34" s="34">
        <v>1802741</v>
      </c>
      <c r="AL34" s="9">
        <v>2138765</v>
      </c>
      <c r="AO34"/>
    </row>
    <row r="35" spans="1:41" x14ac:dyDescent="0.45">
      <c r="A35" s="8" t="s">
        <v>58</v>
      </c>
      <c r="B35" s="21">
        <v>45206</v>
      </c>
      <c r="C35" s="18">
        <v>1073586</v>
      </c>
      <c r="D35" s="5">
        <v>1026228</v>
      </c>
      <c r="E35" s="5">
        <v>1094251</v>
      </c>
      <c r="F35" s="5">
        <v>1197399</v>
      </c>
      <c r="G35" s="5">
        <v>1244299</v>
      </c>
      <c r="H35" s="5">
        <v>1274889</v>
      </c>
      <c r="I35" s="5">
        <v>1262389</v>
      </c>
      <c r="J35" s="5">
        <v>1295499</v>
      </c>
      <c r="K35" s="5">
        <v>466213</v>
      </c>
      <c r="L35" s="5">
        <v>825231</v>
      </c>
      <c r="M35" s="5">
        <v>966968</v>
      </c>
      <c r="N35" s="19">
        <v>1129375</v>
      </c>
      <c r="O35" s="14">
        <v>1080305</v>
      </c>
      <c r="P35" s="14">
        <v>1027741</v>
      </c>
      <c r="Q35" s="14">
        <v>1095393</v>
      </c>
      <c r="R35" s="14">
        <v>1200840</v>
      </c>
      <c r="S35" s="14">
        <v>1246830</v>
      </c>
      <c r="T35" s="14">
        <v>1278641</v>
      </c>
      <c r="U35" s="14">
        <v>1268444</v>
      </c>
      <c r="V35" s="14">
        <v>1293941</v>
      </c>
      <c r="W35" s="14">
        <v>468849</v>
      </c>
      <c r="X35" s="14">
        <v>825301</v>
      </c>
      <c r="Y35" s="14">
        <v>968458</v>
      </c>
      <c r="Z35" s="14">
        <v>1134169</v>
      </c>
      <c r="AA35" s="11">
        <v>2153891</v>
      </c>
      <c r="AB35" s="34">
        <v>2053969</v>
      </c>
      <c r="AC35" s="34">
        <v>2189644</v>
      </c>
      <c r="AD35" s="34">
        <v>2398239</v>
      </c>
      <c r="AE35" s="34">
        <v>2491129</v>
      </c>
      <c r="AF35" s="34">
        <v>2553530</v>
      </c>
      <c r="AG35" s="34">
        <v>2530833</v>
      </c>
      <c r="AH35" s="34">
        <v>2589440</v>
      </c>
      <c r="AI35" s="34">
        <v>935062</v>
      </c>
      <c r="AJ35" s="34">
        <v>1650532</v>
      </c>
      <c r="AK35" s="34">
        <v>1935426</v>
      </c>
      <c r="AL35" s="9">
        <v>2263544</v>
      </c>
      <c r="AO35"/>
    </row>
    <row r="36" spans="1:41" x14ac:dyDescent="0.45">
      <c r="A36" s="8"/>
      <c r="B36" s="21">
        <v>45238</v>
      </c>
      <c r="C36" s="18">
        <v>1004202</v>
      </c>
      <c r="D36" s="5">
        <v>985049</v>
      </c>
      <c r="E36" s="5">
        <v>1020180</v>
      </c>
      <c r="F36" s="5">
        <v>1171497</v>
      </c>
      <c r="G36" s="5">
        <v>1155383</v>
      </c>
      <c r="H36" s="5">
        <v>1195621</v>
      </c>
      <c r="I36" s="5">
        <v>1228630</v>
      </c>
      <c r="J36" s="5">
        <v>1255928</v>
      </c>
      <c r="K36" s="5">
        <v>540172</v>
      </c>
      <c r="L36" s="5">
        <v>801129</v>
      </c>
      <c r="M36" s="5">
        <v>931888</v>
      </c>
      <c r="N36" s="19">
        <v>0</v>
      </c>
      <c r="O36" s="14">
        <v>1005959</v>
      </c>
      <c r="P36" s="14">
        <v>985385</v>
      </c>
      <c r="Q36" s="14">
        <v>1022678</v>
      </c>
      <c r="R36" s="14">
        <v>1174386</v>
      </c>
      <c r="S36" s="14">
        <v>1157265</v>
      </c>
      <c r="T36" s="14">
        <v>1199064</v>
      </c>
      <c r="U36" s="14">
        <v>1234370</v>
      </c>
      <c r="V36" s="14">
        <v>1255511</v>
      </c>
      <c r="W36" s="14">
        <v>538966</v>
      </c>
      <c r="X36" s="14">
        <v>803441</v>
      </c>
      <c r="Y36" s="14">
        <v>939368</v>
      </c>
      <c r="Z36" s="14">
        <v>0</v>
      </c>
      <c r="AA36" s="11">
        <v>2010161</v>
      </c>
      <c r="AB36" s="34">
        <v>1970434</v>
      </c>
      <c r="AC36" s="34">
        <v>2042858</v>
      </c>
      <c r="AD36" s="34">
        <v>2345883</v>
      </c>
      <c r="AE36" s="34">
        <v>2312648</v>
      </c>
      <c r="AF36" s="34">
        <v>2394685</v>
      </c>
      <c r="AG36" s="34">
        <v>2463000</v>
      </c>
      <c r="AH36" s="34">
        <v>2511439</v>
      </c>
      <c r="AI36" s="34">
        <v>1079138</v>
      </c>
      <c r="AJ36" s="34">
        <v>1604570</v>
      </c>
      <c r="AK36" s="34">
        <v>1871256</v>
      </c>
      <c r="AL36" s="9">
        <v>0</v>
      </c>
      <c r="AO36"/>
    </row>
    <row r="37" spans="1:41" x14ac:dyDescent="0.45">
      <c r="A37" s="8"/>
      <c r="B37" s="21">
        <v>45269</v>
      </c>
      <c r="C37" s="18">
        <v>1010795</v>
      </c>
      <c r="D37" s="5">
        <v>1021628</v>
      </c>
      <c r="E37" s="5">
        <v>1073146</v>
      </c>
      <c r="F37" s="5">
        <v>1237210</v>
      </c>
      <c r="G37" s="5">
        <v>1258217</v>
      </c>
      <c r="H37" s="5">
        <v>1282592</v>
      </c>
      <c r="I37" s="5">
        <v>1312641</v>
      </c>
      <c r="J37" s="5">
        <v>1415962</v>
      </c>
      <c r="K37" s="5">
        <v>756634</v>
      </c>
      <c r="L37" s="5">
        <v>891621</v>
      </c>
      <c r="M37" s="5">
        <v>1031699</v>
      </c>
      <c r="N37" s="19">
        <v>0</v>
      </c>
      <c r="O37" s="14">
        <v>998521</v>
      </c>
      <c r="P37" s="14">
        <v>1017192</v>
      </c>
      <c r="Q37" s="14">
        <v>1069473</v>
      </c>
      <c r="R37" s="14">
        <v>1238597</v>
      </c>
      <c r="S37" s="14">
        <v>1253056</v>
      </c>
      <c r="T37" s="14">
        <v>1280418</v>
      </c>
      <c r="U37" s="14">
        <v>1306944</v>
      </c>
      <c r="V37" s="14">
        <v>1402674</v>
      </c>
      <c r="W37" s="14">
        <v>758286</v>
      </c>
      <c r="X37" s="14">
        <v>890524</v>
      </c>
      <c r="Y37" s="14">
        <v>1040681</v>
      </c>
      <c r="Z37" s="14">
        <v>0</v>
      </c>
      <c r="AA37" s="11">
        <v>2009316</v>
      </c>
      <c r="AB37" s="34">
        <v>2038820</v>
      </c>
      <c r="AC37" s="34">
        <v>2142619</v>
      </c>
      <c r="AD37" s="34">
        <v>2475807</v>
      </c>
      <c r="AE37" s="34">
        <v>2511273</v>
      </c>
      <c r="AF37" s="34">
        <v>2563010</v>
      </c>
      <c r="AG37" s="34">
        <v>2619585</v>
      </c>
      <c r="AH37" s="34">
        <v>2818636</v>
      </c>
      <c r="AI37" s="34">
        <v>1514920</v>
      </c>
      <c r="AJ37" s="34">
        <v>1782145</v>
      </c>
      <c r="AK37" s="34">
        <v>2072380</v>
      </c>
      <c r="AL37" s="9">
        <v>0</v>
      </c>
      <c r="AO37"/>
    </row>
    <row r="38" spans="1:41" x14ac:dyDescent="0.45">
      <c r="A38" s="8"/>
      <c r="B38" s="21">
        <v>44936</v>
      </c>
      <c r="C38" s="18">
        <v>889864</v>
      </c>
      <c r="D38" s="5">
        <v>907381</v>
      </c>
      <c r="E38" s="5">
        <v>920415</v>
      </c>
      <c r="F38" s="5">
        <v>1065106</v>
      </c>
      <c r="G38" s="5">
        <v>1061049</v>
      </c>
      <c r="H38" s="5">
        <v>1103952</v>
      </c>
      <c r="I38" s="5">
        <v>1124151</v>
      </c>
      <c r="J38" s="5">
        <v>1221302</v>
      </c>
      <c r="K38" s="5">
        <v>447269</v>
      </c>
      <c r="L38" s="5">
        <v>809975</v>
      </c>
      <c r="M38" s="5">
        <v>928552</v>
      </c>
      <c r="N38" s="19">
        <v>0</v>
      </c>
      <c r="O38" s="14">
        <v>900561</v>
      </c>
      <c r="P38" s="14">
        <v>919478</v>
      </c>
      <c r="Q38" s="14">
        <v>930018</v>
      </c>
      <c r="R38" s="14">
        <v>1073744</v>
      </c>
      <c r="S38" s="14">
        <v>1070434</v>
      </c>
      <c r="T38" s="14">
        <v>1121304</v>
      </c>
      <c r="U38" s="14">
        <v>1134543</v>
      </c>
      <c r="V38" s="14">
        <v>1229256</v>
      </c>
      <c r="W38" s="14">
        <v>447140</v>
      </c>
      <c r="X38" s="14">
        <v>815270</v>
      </c>
      <c r="Y38" s="14">
        <v>927150</v>
      </c>
      <c r="Z38" s="14">
        <v>0</v>
      </c>
      <c r="AA38" s="11">
        <v>1790425</v>
      </c>
      <c r="AB38" s="34">
        <v>1826859</v>
      </c>
      <c r="AC38" s="34">
        <v>1850433</v>
      </c>
      <c r="AD38" s="34">
        <v>2138850</v>
      </c>
      <c r="AE38" s="34">
        <v>2131483</v>
      </c>
      <c r="AF38" s="34">
        <v>2225256</v>
      </c>
      <c r="AG38" s="34">
        <v>2258694</v>
      </c>
      <c r="AH38" s="34">
        <v>2450558</v>
      </c>
      <c r="AI38" s="34">
        <v>894409</v>
      </c>
      <c r="AJ38" s="34">
        <v>1625245</v>
      </c>
      <c r="AK38" s="34">
        <v>1855702</v>
      </c>
      <c r="AL38" s="9">
        <v>0</v>
      </c>
      <c r="AO38"/>
    </row>
    <row r="39" spans="1:41" x14ac:dyDescent="0.45">
      <c r="A39" s="8"/>
      <c r="B39" s="21">
        <v>44968</v>
      </c>
      <c r="C39" s="18">
        <v>938406</v>
      </c>
      <c r="D39" s="5">
        <v>939366</v>
      </c>
      <c r="E39" s="5">
        <v>968400</v>
      </c>
      <c r="F39" s="5">
        <v>1106893</v>
      </c>
      <c r="G39" s="5">
        <v>1075804</v>
      </c>
      <c r="H39" s="5">
        <v>1100694</v>
      </c>
      <c r="I39" s="5">
        <v>1132327</v>
      </c>
      <c r="J39" s="5">
        <v>1208772</v>
      </c>
      <c r="K39" s="5">
        <v>434315</v>
      </c>
      <c r="L39" s="5">
        <v>819323</v>
      </c>
      <c r="M39" s="5">
        <v>906696</v>
      </c>
      <c r="N39" s="19">
        <v>0</v>
      </c>
      <c r="O39" s="14">
        <v>939811</v>
      </c>
      <c r="P39" s="14">
        <v>940764</v>
      </c>
      <c r="Q39" s="14">
        <v>969116</v>
      </c>
      <c r="R39" s="14">
        <v>1112095</v>
      </c>
      <c r="S39" s="14">
        <v>1079998</v>
      </c>
      <c r="T39" s="14">
        <v>1106929</v>
      </c>
      <c r="U39" s="14">
        <v>1134289</v>
      </c>
      <c r="V39" s="14">
        <v>1210226</v>
      </c>
      <c r="W39" s="14">
        <v>435270</v>
      </c>
      <c r="X39" s="14">
        <v>818483</v>
      </c>
      <c r="Y39" s="14">
        <v>909809</v>
      </c>
      <c r="Z39" s="14">
        <v>0</v>
      </c>
      <c r="AA39" s="11">
        <v>1878217</v>
      </c>
      <c r="AB39" s="34">
        <v>1880130</v>
      </c>
      <c r="AC39" s="34">
        <v>1937516</v>
      </c>
      <c r="AD39" s="34">
        <v>2218988</v>
      </c>
      <c r="AE39" s="34">
        <v>2155802</v>
      </c>
      <c r="AF39" s="34">
        <v>2207623</v>
      </c>
      <c r="AG39" s="34">
        <v>2266616</v>
      </c>
      <c r="AH39" s="34">
        <v>2418998</v>
      </c>
      <c r="AI39" s="34">
        <v>869585</v>
      </c>
      <c r="AJ39" s="34">
        <v>1637806</v>
      </c>
      <c r="AK39" s="34">
        <v>1816505</v>
      </c>
      <c r="AL39" s="9">
        <v>0</v>
      </c>
      <c r="AO39"/>
    </row>
    <row r="40" spans="1:41" x14ac:dyDescent="0.45">
      <c r="A40" s="8"/>
      <c r="B40" s="21">
        <v>44997</v>
      </c>
      <c r="C40" s="18">
        <v>1070994</v>
      </c>
      <c r="D40" s="5">
        <v>1038496</v>
      </c>
      <c r="E40" s="5">
        <v>1157355</v>
      </c>
      <c r="F40" s="5">
        <v>1239547</v>
      </c>
      <c r="G40" s="5">
        <v>1239421</v>
      </c>
      <c r="H40" s="5">
        <v>1251168</v>
      </c>
      <c r="I40" s="5">
        <v>1355418</v>
      </c>
      <c r="J40" s="5">
        <v>786199</v>
      </c>
      <c r="K40" s="5">
        <v>699245</v>
      </c>
      <c r="L40" s="5">
        <v>983456</v>
      </c>
      <c r="M40" s="5">
        <v>1049892</v>
      </c>
      <c r="N40" s="19">
        <v>0</v>
      </c>
      <c r="O40" s="14">
        <v>1067837</v>
      </c>
      <c r="P40" s="14">
        <v>1040556</v>
      </c>
      <c r="Q40" s="14">
        <v>1160704</v>
      </c>
      <c r="R40" s="14">
        <v>1241363</v>
      </c>
      <c r="S40" s="14">
        <v>1240564</v>
      </c>
      <c r="T40" s="14">
        <v>1254262</v>
      </c>
      <c r="U40" s="14">
        <v>1357551</v>
      </c>
      <c r="V40" s="14">
        <v>794171</v>
      </c>
      <c r="W40" s="14">
        <v>700833</v>
      </c>
      <c r="X40" s="14">
        <v>984583</v>
      </c>
      <c r="Y40" s="14">
        <v>1050004</v>
      </c>
      <c r="Z40" s="14">
        <v>0</v>
      </c>
      <c r="AA40" s="11">
        <v>2138831</v>
      </c>
      <c r="AB40" s="34">
        <v>2079052</v>
      </c>
      <c r="AC40" s="34">
        <v>2318059</v>
      </c>
      <c r="AD40" s="34">
        <v>2480910</v>
      </c>
      <c r="AE40" s="34">
        <v>2479985</v>
      </c>
      <c r="AF40" s="34">
        <v>2505430</v>
      </c>
      <c r="AG40" s="34">
        <v>2712969</v>
      </c>
      <c r="AH40" s="34">
        <v>1580370</v>
      </c>
      <c r="AI40" s="34">
        <v>1400078</v>
      </c>
      <c r="AJ40" s="34">
        <v>1968039</v>
      </c>
      <c r="AK40" s="34">
        <v>2099896</v>
      </c>
      <c r="AL40" s="9">
        <v>0</v>
      </c>
      <c r="AO40"/>
    </row>
    <row r="41" spans="1:41" x14ac:dyDescent="0.45">
      <c r="A41" s="8"/>
      <c r="B41" s="22" t="s">
        <v>52</v>
      </c>
      <c r="C41" s="12">
        <v>11935886</v>
      </c>
      <c r="D41" s="15">
        <v>11666804</v>
      </c>
      <c r="E41" s="15">
        <v>12002010</v>
      </c>
      <c r="F41" s="15">
        <v>13365173</v>
      </c>
      <c r="G41" s="15">
        <v>13658943</v>
      </c>
      <c r="H41" s="15">
        <v>14180513</v>
      </c>
      <c r="I41" s="15">
        <v>14440048</v>
      </c>
      <c r="J41" s="15">
        <v>14501236</v>
      </c>
      <c r="K41" s="15">
        <v>4013579</v>
      </c>
      <c r="L41" s="15">
        <v>8599633</v>
      </c>
      <c r="M41" s="15">
        <v>11099054</v>
      </c>
      <c r="N41" s="16">
        <v>7215585</v>
      </c>
      <c r="O41" s="15">
        <v>11963082</v>
      </c>
      <c r="P41" s="15">
        <v>11701577</v>
      </c>
      <c r="Q41" s="15">
        <v>12036466</v>
      </c>
      <c r="R41" s="15">
        <v>13401955</v>
      </c>
      <c r="S41" s="15">
        <v>13692647</v>
      </c>
      <c r="T41" s="15">
        <v>14242488</v>
      </c>
      <c r="U41" s="15">
        <v>14483061</v>
      </c>
      <c r="V41" s="15">
        <v>14526386</v>
      </c>
      <c r="W41" s="15">
        <v>4023358</v>
      </c>
      <c r="X41" s="15">
        <v>8614021</v>
      </c>
      <c r="Y41" s="15">
        <v>11115618</v>
      </c>
      <c r="Z41" s="15">
        <v>7232311</v>
      </c>
      <c r="AA41" s="12">
        <v>23898968</v>
      </c>
      <c r="AB41" s="15">
        <v>23368381</v>
      </c>
      <c r="AC41" s="15">
        <v>24038476</v>
      </c>
      <c r="AD41" s="15">
        <v>26767128</v>
      </c>
      <c r="AE41" s="15">
        <v>27351590</v>
      </c>
      <c r="AF41" s="15">
        <v>28423001</v>
      </c>
      <c r="AG41" s="15">
        <v>28923109</v>
      </c>
      <c r="AH41" s="15">
        <v>29027622</v>
      </c>
      <c r="AI41" s="15">
        <v>8036937</v>
      </c>
      <c r="AJ41" s="15">
        <v>17213654</v>
      </c>
      <c r="AK41" s="15">
        <v>22214672</v>
      </c>
      <c r="AL41" s="16">
        <v>14447896</v>
      </c>
      <c r="AO41"/>
    </row>
    <row r="42" spans="1:41" x14ac:dyDescent="0.45">
      <c r="A42" s="8"/>
      <c r="B42" s="21">
        <v>45017</v>
      </c>
      <c r="C42" s="18">
        <v>6186</v>
      </c>
      <c r="D42" s="5">
        <v>6178</v>
      </c>
      <c r="E42" s="5">
        <v>7278</v>
      </c>
      <c r="F42" s="5">
        <v>5554</v>
      </c>
      <c r="G42" s="5">
        <v>6477</v>
      </c>
      <c r="H42" s="5">
        <v>5543</v>
      </c>
      <c r="I42" s="5">
        <v>5290</v>
      </c>
      <c r="J42" s="5">
        <v>5138</v>
      </c>
      <c r="K42" s="5">
        <v>4655</v>
      </c>
      <c r="L42" s="5">
        <v>3818</v>
      </c>
      <c r="M42" s="5">
        <v>7388</v>
      </c>
      <c r="N42" s="19">
        <v>6702</v>
      </c>
      <c r="O42" s="14">
        <v>6035</v>
      </c>
      <c r="P42" s="14">
        <v>6934</v>
      </c>
      <c r="Q42" s="14">
        <v>6753</v>
      </c>
      <c r="R42" s="14">
        <v>6673</v>
      </c>
      <c r="S42" s="14">
        <v>5950</v>
      </c>
      <c r="T42" s="14">
        <v>5230</v>
      </c>
      <c r="U42" s="14">
        <v>4991</v>
      </c>
      <c r="V42" s="14">
        <v>4519</v>
      </c>
      <c r="W42" s="14">
        <v>14321</v>
      </c>
      <c r="X42" s="14">
        <v>3904</v>
      </c>
      <c r="Y42" s="14">
        <v>7274</v>
      </c>
      <c r="Z42" s="14">
        <v>6052</v>
      </c>
      <c r="AA42" s="11">
        <v>12221</v>
      </c>
      <c r="AB42" s="34">
        <v>13112</v>
      </c>
      <c r="AC42" s="34">
        <v>14031</v>
      </c>
      <c r="AD42" s="34">
        <v>12227</v>
      </c>
      <c r="AE42" s="34">
        <v>12427</v>
      </c>
      <c r="AF42" s="34">
        <v>10773</v>
      </c>
      <c r="AG42" s="34">
        <v>10281</v>
      </c>
      <c r="AH42" s="34">
        <v>9657</v>
      </c>
      <c r="AI42" s="34">
        <v>18976</v>
      </c>
      <c r="AJ42" s="34">
        <v>7722</v>
      </c>
      <c r="AK42" s="34">
        <v>14662</v>
      </c>
      <c r="AL42" s="9">
        <v>12754</v>
      </c>
      <c r="AO42"/>
    </row>
    <row r="43" spans="1:41" x14ac:dyDescent="0.45">
      <c r="A43" s="8"/>
      <c r="B43" s="21">
        <v>45048</v>
      </c>
      <c r="C43" s="18">
        <v>5269</v>
      </c>
      <c r="D43" s="5">
        <v>5804</v>
      </c>
      <c r="E43" s="5">
        <v>7073</v>
      </c>
      <c r="F43" s="5">
        <v>5458</v>
      </c>
      <c r="G43" s="5">
        <v>5980</v>
      </c>
      <c r="H43" s="5">
        <v>5086</v>
      </c>
      <c r="I43" s="5">
        <v>4786</v>
      </c>
      <c r="J43" s="5">
        <v>4392</v>
      </c>
      <c r="K43" s="5">
        <v>4033</v>
      </c>
      <c r="L43" s="5">
        <v>3149</v>
      </c>
      <c r="M43" s="5">
        <v>5460</v>
      </c>
      <c r="N43" s="19">
        <v>5286</v>
      </c>
      <c r="O43" s="14">
        <v>5883</v>
      </c>
      <c r="P43" s="14">
        <v>6416</v>
      </c>
      <c r="Q43" s="14">
        <v>7451</v>
      </c>
      <c r="R43" s="14">
        <v>5019</v>
      </c>
      <c r="S43" s="14">
        <v>6294</v>
      </c>
      <c r="T43" s="14">
        <v>5493</v>
      </c>
      <c r="U43" s="14">
        <v>5690</v>
      </c>
      <c r="V43" s="14">
        <v>4631</v>
      </c>
      <c r="W43" s="14">
        <v>5556</v>
      </c>
      <c r="X43" s="14">
        <v>3192</v>
      </c>
      <c r="Y43" s="14">
        <v>6241</v>
      </c>
      <c r="Z43" s="14">
        <v>5668</v>
      </c>
      <c r="AA43" s="11">
        <v>11152</v>
      </c>
      <c r="AB43" s="34">
        <v>12220</v>
      </c>
      <c r="AC43" s="34">
        <v>14524</v>
      </c>
      <c r="AD43" s="34">
        <v>10477</v>
      </c>
      <c r="AE43" s="34">
        <v>12274</v>
      </c>
      <c r="AF43" s="34">
        <v>10579</v>
      </c>
      <c r="AG43" s="34">
        <v>10476</v>
      </c>
      <c r="AH43" s="34">
        <v>9023</v>
      </c>
      <c r="AI43" s="34">
        <v>9589</v>
      </c>
      <c r="AJ43" s="34">
        <v>6341</v>
      </c>
      <c r="AK43" s="34">
        <v>11701</v>
      </c>
      <c r="AL43" s="9">
        <v>10954</v>
      </c>
      <c r="AO43"/>
    </row>
    <row r="44" spans="1:41" x14ac:dyDescent="0.45">
      <c r="A44" s="8"/>
      <c r="B44" s="21">
        <v>45080</v>
      </c>
      <c r="C44" s="18">
        <v>5781</v>
      </c>
      <c r="D44" s="5">
        <v>6307</v>
      </c>
      <c r="E44" s="5">
        <v>5230</v>
      </c>
      <c r="F44" s="5">
        <v>5634</v>
      </c>
      <c r="G44" s="5">
        <v>5854</v>
      </c>
      <c r="H44" s="5">
        <v>5302</v>
      </c>
      <c r="I44" s="5">
        <v>5524</v>
      </c>
      <c r="J44" s="5">
        <v>3899</v>
      </c>
      <c r="K44" s="5">
        <v>5848</v>
      </c>
      <c r="L44" s="5">
        <v>3384</v>
      </c>
      <c r="M44" s="5">
        <v>6107</v>
      </c>
      <c r="N44" s="19">
        <v>5555</v>
      </c>
      <c r="O44" s="14">
        <v>5855</v>
      </c>
      <c r="P44" s="14">
        <v>6974</v>
      </c>
      <c r="Q44" s="14">
        <v>6579</v>
      </c>
      <c r="R44" s="14">
        <v>5902</v>
      </c>
      <c r="S44" s="14">
        <v>4781</v>
      </c>
      <c r="T44" s="14">
        <v>5285</v>
      </c>
      <c r="U44" s="14">
        <v>5536</v>
      </c>
      <c r="V44" s="14">
        <v>4062</v>
      </c>
      <c r="W44" s="14">
        <v>12673</v>
      </c>
      <c r="X44" s="14">
        <v>3358</v>
      </c>
      <c r="Y44" s="14">
        <v>6463</v>
      </c>
      <c r="Z44" s="14">
        <v>5860</v>
      </c>
      <c r="AA44" s="11">
        <v>11636</v>
      </c>
      <c r="AB44" s="34">
        <v>13281</v>
      </c>
      <c r="AC44" s="34">
        <v>11809</v>
      </c>
      <c r="AD44" s="34">
        <v>11536</v>
      </c>
      <c r="AE44" s="34">
        <v>10635</v>
      </c>
      <c r="AF44" s="34">
        <v>10587</v>
      </c>
      <c r="AG44" s="34">
        <v>11060</v>
      </c>
      <c r="AH44" s="34">
        <v>7961</v>
      </c>
      <c r="AI44" s="34">
        <v>18521</v>
      </c>
      <c r="AJ44" s="34">
        <v>6742</v>
      </c>
      <c r="AK44" s="34">
        <v>12570</v>
      </c>
      <c r="AL44" s="9">
        <v>11415</v>
      </c>
      <c r="AO44"/>
    </row>
    <row r="45" spans="1:41" x14ac:dyDescent="0.45">
      <c r="A45" s="8"/>
      <c r="B45" s="21">
        <v>45111</v>
      </c>
      <c r="C45" s="18">
        <v>5444</v>
      </c>
      <c r="D45" s="5">
        <v>7159</v>
      </c>
      <c r="E45" s="5">
        <v>6726</v>
      </c>
      <c r="F45" s="5">
        <v>6047</v>
      </c>
      <c r="G45" s="5">
        <v>5754</v>
      </c>
      <c r="H45" s="5">
        <v>6612</v>
      </c>
      <c r="I45" s="5">
        <v>5583</v>
      </c>
      <c r="J45" s="5">
        <v>6157</v>
      </c>
      <c r="K45" s="5">
        <v>5626</v>
      </c>
      <c r="L45" s="5">
        <v>2798</v>
      </c>
      <c r="M45" s="5">
        <v>7193</v>
      </c>
      <c r="N45" s="19">
        <v>5700</v>
      </c>
      <c r="O45" s="14">
        <v>4843</v>
      </c>
      <c r="P45" s="14">
        <v>6541</v>
      </c>
      <c r="Q45" s="14">
        <v>8637</v>
      </c>
      <c r="R45" s="14">
        <v>6387</v>
      </c>
      <c r="S45" s="14">
        <v>5687</v>
      </c>
      <c r="T45" s="14">
        <v>5340</v>
      </c>
      <c r="U45" s="14">
        <v>5351</v>
      </c>
      <c r="V45" s="14">
        <v>6249</v>
      </c>
      <c r="W45" s="14">
        <v>13803</v>
      </c>
      <c r="X45" s="14">
        <v>2928</v>
      </c>
      <c r="Y45" s="14">
        <v>6651</v>
      </c>
      <c r="Z45" s="14">
        <v>6139</v>
      </c>
      <c r="AA45" s="11">
        <v>10287</v>
      </c>
      <c r="AB45" s="34">
        <v>13700</v>
      </c>
      <c r="AC45" s="34">
        <v>15363</v>
      </c>
      <c r="AD45" s="34">
        <v>12434</v>
      </c>
      <c r="AE45" s="34">
        <v>11441</v>
      </c>
      <c r="AF45" s="34">
        <v>11952</v>
      </c>
      <c r="AG45" s="34">
        <v>10934</v>
      </c>
      <c r="AH45" s="34">
        <v>12406</v>
      </c>
      <c r="AI45" s="34">
        <v>19429</v>
      </c>
      <c r="AJ45" s="34">
        <v>5726</v>
      </c>
      <c r="AK45" s="34">
        <v>13844</v>
      </c>
      <c r="AL45" s="9">
        <v>11839</v>
      </c>
      <c r="AO45"/>
    </row>
    <row r="46" spans="1:41" x14ac:dyDescent="0.45">
      <c r="A46" s="8"/>
      <c r="B46" s="21">
        <v>45143</v>
      </c>
      <c r="C46" s="18">
        <v>5523</v>
      </c>
      <c r="D46" s="5">
        <v>6826</v>
      </c>
      <c r="E46" s="5">
        <v>7359</v>
      </c>
      <c r="F46" s="5">
        <v>6501</v>
      </c>
      <c r="G46" s="5">
        <v>5896</v>
      </c>
      <c r="H46" s="5">
        <v>8713</v>
      </c>
      <c r="I46" s="5">
        <v>5115</v>
      </c>
      <c r="J46" s="5">
        <v>5581</v>
      </c>
      <c r="K46" s="5">
        <v>8098</v>
      </c>
      <c r="L46" s="5">
        <v>3615</v>
      </c>
      <c r="M46" s="5">
        <v>6154</v>
      </c>
      <c r="N46" s="19">
        <v>5586</v>
      </c>
      <c r="O46" s="14">
        <v>6049</v>
      </c>
      <c r="P46" s="14">
        <v>7367</v>
      </c>
      <c r="Q46" s="14">
        <v>7193</v>
      </c>
      <c r="R46" s="14">
        <v>6632</v>
      </c>
      <c r="S46" s="14">
        <v>5505</v>
      </c>
      <c r="T46" s="14">
        <v>5366</v>
      </c>
      <c r="U46" s="14">
        <v>5680</v>
      </c>
      <c r="V46" s="14">
        <v>5907</v>
      </c>
      <c r="W46" s="14">
        <v>16894</v>
      </c>
      <c r="X46" s="14">
        <v>3355</v>
      </c>
      <c r="Y46" s="14">
        <v>5401</v>
      </c>
      <c r="Z46" s="14">
        <v>5562</v>
      </c>
      <c r="AA46" s="11">
        <v>11572</v>
      </c>
      <c r="AB46" s="34">
        <v>14193</v>
      </c>
      <c r="AC46" s="34">
        <v>14552</v>
      </c>
      <c r="AD46" s="34">
        <v>13133</v>
      </c>
      <c r="AE46" s="34">
        <v>11401</v>
      </c>
      <c r="AF46" s="34">
        <v>14079</v>
      </c>
      <c r="AG46" s="34">
        <v>10795</v>
      </c>
      <c r="AH46" s="34">
        <v>11488</v>
      </c>
      <c r="AI46" s="34">
        <v>24992</v>
      </c>
      <c r="AJ46" s="34">
        <v>6970</v>
      </c>
      <c r="AK46" s="34">
        <v>11555</v>
      </c>
      <c r="AL46" s="9">
        <v>11148</v>
      </c>
      <c r="AO46"/>
    </row>
    <row r="47" spans="1:41" x14ac:dyDescent="0.45">
      <c r="A47" s="8" t="s">
        <v>70</v>
      </c>
      <c r="B47" s="21">
        <v>45175</v>
      </c>
      <c r="C47" s="18">
        <v>5626</v>
      </c>
      <c r="D47" s="5">
        <v>5648</v>
      </c>
      <c r="E47" s="5">
        <v>6850</v>
      </c>
      <c r="F47" s="5">
        <v>6408</v>
      </c>
      <c r="G47" s="5">
        <v>5934</v>
      </c>
      <c r="H47" s="5">
        <v>5060</v>
      </c>
      <c r="I47" s="5">
        <v>5071</v>
      </c>
      <c r="J47" s="5">
        <v>4189</v>
      </c>
      <c r="K47" s="5">
        <v>8942</v>
      </c>
      <c r="L47" s="5">
        <v>4255</v>
      </c>
      <c r="M47" s="5">
        <v>5654</v>
      </c>
      <c r="N47" s="19">
        <v>4220</v>
      </c>
      <c r="O47" s="14">
        <v>5121</v>
      </c>
      <c r="P47" s="14">
        <v>5790</v>
      </c>
      <c r="Q47" s="14">
        <v>6650</v>
      </c>
      <c r="R47" s="14">
        <v>5247</v>
      </c>
      <c r="S47" s="14">
        <v>4943</v>
      </c>
      <c r="T47" s="14">
        <v>4475</v>
      </c>
      <c r="U47" s="14">
        <v>4818</v>
      </c>
      <c r="V47" s="14">
        <v>4974</v>
      </c>
      <c r="W47" s="14">
        <v>13736</v>
      </c>
      <c r="X47" s="14">
        <v>4192</v>
      </c>
      <c r="Y47" s="14">
        <v>4894</v>
      </c>
      <c r="Z47" s="14">
        <v>4403</v>
      </c>
      <c r="AA47" s="11">
        <v>10747</v>
      </c>
      <c r="AB47" s="34">
        <v>11438</v>
      </c>
      <c r="AC47" s="34">
        <v>13500</v>
      </c>
      <c r="AD47" s="34">
        <v>11655</v>
      </c>
      <c r="AE47" s="34">
        <v>10877</v>
      </c>
      <c r="AF47" s="34">
        <v>9535</v>
      </c>
      <c r="AG47" s="34">
        <v>9889</v>
      </c>
      <c r="AH47" s="34">
        <v>9163</v>
      </c>
      <c r="AI47" s="34">
        <v>22678</v>
      </c>
      <c r="AJ47" s="34">
        <v>8447</v>
      </c>
      <c r="AK47" s="34">
        <v>10548</v>
      </c>
      <c r="AL47" s="9">
        <v>8623</v>
      </c>
      <c r="AO47"/>
    </row>
    <row r="48" spans="1:41" x14ac:dyDescent="0.45">
      <c r="A48" s="8"/>
      <c r="B48" s="21">
        <v>45206</v>
      </c>
      <c r="C48" s="18">
        <v>6781</v>
      </c>
      <c r="D48" s="5">
        <v>9835</v>
      </c>
      <c r="E48" s="5">
        <v>6839</v>
      </c>
      <c r="F48" s="5">
        <v>9868</v>
      </c>
      <c r="G48" s="5">
        <v>6127</v>
      </c>
      <c r="H48" s="5">
        <v>5589</v>
      </c>
      <c r="I48" s="5">
        <v>5635</v>
      </c>
      <c r="J48" s="5">
        <v>5138</v>
      </c>
      <c r="K48" s="5">
        <v>3703</v>
      </c>
      <c r="L48" s="5">
        <v>5446</v>
      </c>
      <c r="M48" s="5">
        <v>6563</v>
      </c>
      <c r="N48" s="19">
        <v>5966</v>
      </c>
      <c r="O48" s="14">
        <v>6422</v>
      </c>
      <c r="P48" s="14">
        <v>9011</v>
      </c>
      <c r="Q48" s="14">
        <v>7367</v>
      </c>
      <c r="R48" s="14">
        <v>7887</v>
      </c>
      <c r="S48" s="14">
        <v>5511</v>
      </c>
      <c r="T48" s="14">
        <v>5207</v>
      </c>
      <c r="U48" s="14">
        <v>5859</v>
      </c>
      <c r="V48" s="14">
        <v>4684</v>
      </c>
      <c r="W48" s="14">
        <v>3721</v>
      </c>
      <c r="X48" s="14">
        <v>5077</v>
      </c>
      <c r="Y48" s="14">
        <v>6626</v>
      </c>
      <c r="Z48" s="14">
        <v>5361</v>
      </c>
      <c r="AA48" s="11">
        <v>13203</v>
      </c>
      <c r="AB48" s="34">
        <v>18846</v>
      </c>
      <c r="AC48" s="34">
        <v>14206</v>
      </c>
      <c r="AD48" s="34">
        <v>17755</v>
      </c>
      <c r="AE48" s="34">
        <v>11638</v>
      </c>
      <c r="AF48" s="34">
        <v>10796</v>
      </c>
      <c r="AG48" s="34">
        <v>11494</v>
      </c>
      <c r="AH48" s="34">
        <v>9822</v>
      </c>
      <c r="AI48" s="34">
        <v>7424</v>
      </c>
      <c r="AJ48" s="34">
        <v>10523</v>
      </c>
      <c r="AK48" s="34">
        <v>13189</v>
      </c>
      <c r="AL48" s="9">
        <v>11327</v>
      </c>
      <c r="AO48"/>
    </row>
    <row r="49" spans="1:41" x14ac:dyDescent="0.45">
      <c r="A49" s="8"/>
      <c r="B49" s="21">
        <v>45238</v>
      </c>
      <c r="C49" s="18">
        <v>6456</v>
      </c>
      <c r="D49" s="5">
        <v>7153</v>
      </c>
      <c r="E49" s="5">
        <v>6938</v>
      </c>
      <c r="F49" s="5">
        <v>6233</v>
      </c>
      <c r="G49" s="5">
        <v>4848</v>
      </c>
      <c r="H49" s="5">
        <v>5992</v>
      </c>
      <c r="I49" s="5">
        <v>5005</v>
      </c>
      <c r="J49" s="5">
        <v>5022</v>
      </c>
      <c r="K49" s="5">
        <v>4083</v>
      </c>
      <c r="L49" s="5">
        <v>6170</v>
      </c>
      <c r="M49" s="5">
        <v>5859</v>
      </c>
      <c r="N49" s="19">
        <v>0</v>
      </c>
      <c r="O49" s="14">
        <v>6815</v>
      </c>
      <c r="P49" s="14">
        <v>6845</v>
      </c>
      <c r="Q49" s="14">
        <v>7256</v>
      </c>
      <c r="R49" s="14">
        <v>5190</v>
      </c>
      <c r="S49" s="14">
        <v>5383</v>
      </c>
      <c r="T49" s="14">
        <v>5849</v>
      </c>
      <c r="U49" s="14">
        <v>4903</v>
      </c>
      <c r="V49" s="14">
        <v>4734</v>
      </c>
      <c r="W49" s="14">
        <v>3191</v>
      </c>
      <c r="X49" s="14">
        <v>5878</v>
      </c>
      <c r="Y49" s="14">
        <v>5902</v>
      </c>
      <c r="Z49" s="14">
        <v>0</v>
      </c>
      <c r="AA49" s="11">
        <v>13271</v>
      </c>
      <c r="AB49" s="34">
        <v>13998</v>
      </c>
      <c r="AC49" s="34">
        <v>14194</v>
      </c>
      <c r="AD49" s="34">
        <v>11423</v>
      </c>
      <c r="AE49" s="34">
        <v>10231</v>
      </c>
      <c r="AF49" s="34">
        <v>11841</v>
      </c>
      <c r="AG49" s="34">
        <v>9908</v>
      </c>
      <c r="AH49" s="34">
        <v>9756</v>
      </c>
      <c r="AI49" s="34">
        <v>7274</v>
      </c>
      <c r="AJ49" s="34">
        <v>12048</v>
      </c>
      <c r="AK49" s="34">
        <v>11761</v>
      </c>
      <c r="AL49" s="9">
        <v>0</v>
      </c>
      <c r="AO49"/>
    </row>
    <row r="50" spans="1:41" x14ac:dyDescent="0.45">
      <c r="A50" s="8"/>
      <c r="B50" s="21">
        <v>45269</v>
      </c>
      <c r="C50" s="18">
        <v>5935</v>
      </c>
      <c r="D50" s="5">
        <v>6284</v>
      </c>
      <c r="E50" s="5">
        <v>4796</v>
      </c>
      <c r="F50" s="5">
        <v>7148</v>
      </c>
      <c r="G50" s="5">
        <v>5803</v>
      </c>
      <c r="H50" s="5">
        <v>4675</v>
      </c>
      <c r="I50" s="5">
        <v>4446</v>
      </c>
      <c r="J50" s="5">
        <v>5483</v>
      </c>
      <c r="K50" s="5">
        <v>3891</v>
      </c>
      <c r="L50" s="5">
        <v>4117</v>
      </c>
      <c r="M50" s="5">
        <v>8039</v>
      </c>
      <c r="N50" s="19">
        <v>0</v>
      </c>
      <c r="O50" s="14">
        <v>6393</v>
      </c>
      <c r="P50" s="14">
        <v>8035</v>
      </c>
      <c r="Q50" s="14">
        <v>5205</v>
      </c>
      <c r="R50" s="14">
        <v>5506</v>
      </c>
      <c r="S50" s="14">
        <v>5054</v>
      </c>
      <c r="T50" s="14">
        <v>5669</v>
      </c>
      <c r="U50" s="14">
        <v>5035</v>
      </c>
      <c r="V50" s="14">
        <v>5433</v>
      </c>
      <c r="W50" s="14">
        <v>4054</v>
      </c>
      <c r="X50" s="14">
        <v>5534</v>
      </c>
      <c r="Y50" s="14">
        <v>8617</v>
      </c>
      <c r="Z50" s="14">
        <v>0</v>
      </c>
      <c r="AA50" s="11">
        <v>12328</v>
      </c>
      <c r="AB50" s="34">
        <v>14319</v>
      </c>
      <c r="AC50" s="34">
        <v>10001</v>
      </c>
      <c r="AD50" s="34">
        <v>12654</v>
      </c>
      <c r="AE50" s="34">
        <v>10857</v>
      </c>
      <c r="AF50" s="34">
        <v>10344</v>
      </c>
      <c r="AG50" s="34">
        <v>9481</v>
      </c>
      <c r="AH50" s="34">
        <v>10916</v>
      </c>
      <c r="AI50" s="34">
        <v>7945</v>
      </c>
      <c r="AJ50" s="34">
        <v>9651</v>
      </c>
      <c r="AK50" s="34">
        <v>16656</v>
      </c>
      <c r="AL50" s="9">
        <v>0</v>
      </c>
      <c r="AO50"/>
    </row>
    <row r="51" spans="1:41" x14ac:dyDescent="0.45">
      <c r="A51" s="8"/>
      <c r="B51" s="21">
        <v>44936</v>
      </c>
      <c r="C51" s="18">
        <v>5330</v>
      </c>
      <c r="D51" s="5">
        <v>6006</v>
      </c>
      <c r="E51" s="5">
        <v>4967</v>
      </c>
      <c r="F51" s="5">
        <v>4339</v>
      </c>
      <c r="G51" s="5">
        <v>4699</v>
      </c>
      <c r="H51" s="5">
        <v>5074</v>
      </c>
      <c r="I51" s="5">
        <v>3671</v>
      </c>
      <c r="J51" s="5">
        <v>4741</v>
      </c>
      <c r="K51" s="5">
        <v>2444</v>
      </c>
      <c r="L51" s="5">
        <v>4710</v>
      </c>
      <c r="M51" s="5">
        <v>5174</v>
      </c>
      <c r="N51" s="19">
        <v>0</v>
      </c>
      <c r="O51" s="14">
        <v>5585</v>
      </c>
      <c r="P51" s="14">
        <v>5033</v>
      </c>
      <c r="Q51" s="14">
        <v>4373</v>
      </c>
      <c r="R51" s="14">
        <v>4398</v>
      </c>
      <c r="S51" s="14">
        <v>4161</v>
      </c>
      <c r="T51" s="14">
        <v>4629</v>
      </c>
      <c r="U51" s="14">
        <v>3948</v>
      </c>
      <c r="V51" s="14">
        <v>4656</v>
      </c>
      <c r="W51" s="14">
        <v>2540</v>
      </c>
      <c r="X51" s="14">
        <v>4393</v>
      </c>
      <c r="Y51" s="14">
        <v>4625</v>
      </c>
      <c r="Z51" s="14">
        <v>0</v>
      </c>
      <c r="AA51" s="11">
        <v>10915</v>
      </c>
      <c r="AB51" s="34">
        <v>11039</v>
      </c>
      <c r="AC51" s="34">
        <v>9340</v>
      </c>
      <c r="AD51" s="34">
        <v>8737</v>
      </c>
      <c r="AE51" s="34">
        <v>8860</v>
      </c>
      <c r="AF51" s="34">
        <v>9703</v>
      </c>
      <c r="AG51" s="34">
        <v>7619</v>
      </c>
      <c r="AH51" s="34">
        <v>9397</v>
      </c>
      <c r="AI51" s="34">
        <v>4984</v>
      </c>
      <c r="AJ51" s="34">
        <v>9103</v>
      </c>
      <c r="AK51" s="34">
        <v>9799</v>
      </c>
      <c r="AL51" s="9">
        <v>0</v>
      </c>
      <c r="AO51"/>
    </row>
    <row r="52" spans="1:41" x14ac:dyDescent="0.45">
      <c r="A52" s="8"/>
      <c r="B52" s="21">
        <v>44968</v>
      </c>
      <c r="C52" s="18">
        <v>6431</v>
      </c>
      <c r="D52" s="5">
        <v>6267</v>
      </c>
      <c r="E52" s="5">
        <v>4757</v>
      </c>
      <c r="F52" s="5">
        <v>6764</v>
      </c>
      <c r="G52" s="5">
        <v>4687</v>
      </c>
      <c r="H52" s="5">
        <v>5394</v>
      </c>
      <c r="I52" s="5">
        <v>3988</v>
      </c>
      <c r="J52" s="5">
        <v>3676</v>
      </c>
      <c r="K52" s="5">
        <v>2732</v>
      </c>
      <c r="L52" s="5">
        <v>4312</v>
      </c>
      <c r="M52" s="5">
        <v>4126</v>
      </c>
      <c r="N52" s="19">
        <v>0</v>
      </c>
      <c r="O52" s="14">
        <v>6599</v>
      </c>
      <c r="P52" s="14">
        <v>6523</v>
      </c>
      <c r="Q52" s="14">
        <v>5039</v>
      </c>
      <c r="R52" s="14">
        <v>6200</v>
      </c>
      <c r="S52" s="14">
        <v>4407</v>
      </c>
      <c r="T52" s="14">
        <v>5141</v>
      </c>
      <c r="U52" s="14">
        <v>4509</v>
      </c>
      <c r="V52" s="14">
        <v>4033</v>
      </c>
      <c r="W52" s="14">
        <v>3049</v>
      </c>
      <c r="X52" s="14">
        <v>4342</v>
      </c>
      <c r="Y52" s="14">
        <v>4269</v>
      </c>
      <c r="Z52" s="14">
        <v>0</v>
      </c>
      <c r="AA52" s="11">
        <v>13030</v>
      </c>
      <c r="AB52" s="34">
        <v>12790</v>
      </c>
      <c r="AC52" s="34">
        <v>9796</v>
      </c>
      <c r="AD52" s="34">
        <v>12964</v>
      </c>
      <c r="AE52" s="34">
        <v>9094</v>
      </c>
      <c r="AF52" s="34">
        <v>10535</v>
      </c>
      <c r="AG52" s="34">
        <v>8497</v>
      </c>
      <c r="AH52" s="34">
        <v>7709</v>
      </c>
      <c r="AI52" s="34">
        <v>5781</v>
      </c>
      <c r="AJ52" s="34">
        <v>8654</v>
      </c>
      <c r="AK52" s="34">
        <v>8395</v>
      </c>
      <c r="AL52" s="9">
        <v>0</v>
      </c>
      <c r="AO52"/>
    </row>
    <row r="53" spans="1:41" x14ac:dyDescent="0.45">
      <c r="A53" s="8"/>
      <c r="B53" s="21">
        <v>44997</v>
      </c>
      <c r="C53" s="18">
        <v>6974</v>
      </c>
      <c r="D53" s="5">
        <v>6338</v>
      </c>
      <c r="E53" s="5">
        <v>6195</v>
      </c>
      <c r="F53" s="5">
        <v>5611</v>
      </c>
      <c r="G53" s="5">
        <v>5983</v>
      </c>
      <c r="H53" s="5">
        <v>3766</v>
      </c>
      <c r="I53" s="5">
        <v>3800</v>
      </c>
      <c r="J53" s="5">
        <v>3040</v>
      </c>
      <c r="K53" s="5">
        <v>3902</v>
      </c>
      <c r="L53" s="5">
        <v>6744</v>
      </c>
      <c r="M53" s="5">
        <v>6169</v>
      </c>
      <c r="N53" s="19">
        <v>0</v>
      </c>
      <c r="O53" s="14">
        <v>7472</v>
      </c>
      <c r="P53" s="14">
        <v>6369</v>
      </c>
      <c r="Q53" s="14">
        <v>6300</v>
      </c>
      <c r="R53" s="14">
        <v>6184</v>
      </c>
      <c r="S53" s="14">
        <v>5556</v>
      </c>
      <c r="T53" s="14">
        <v>4588</v>
      </c>
      <c r="U53" s="14">
        <v>4322</v>
      </c>
      <c r="V53" s="14">
        <v>3693</v>
      </c>
      <c r="W53" s="14">
        <v>3707</v>
      </c>
      <c r="X53" s="14">
        <v>6368</v>
      </c>
      <c r="Y53" s="14">
        <v>4883</v>
      </c>
      <c r="Z53" s="14">
        <v>0</v>
      </c>
      <c r="AA53" s="11">
        <v>14446</v>
      </c>
      <c r="AB53" s="34">
        <v>12707</v>
      </c>
      <c r="AC53" s="34">
        <v>12495</v>
      </c>
      <c r="AD53" s="34">
        <v>11795</v>
      </c>
      <c r="AE53" s="34">
        <v>11539</v>
      </c>
      <c r="AF53" s="34">
        <v>8354</v>
      </c>
      <c r="AG53" s="34">
        <v>8122</v>
      </c>
      <c r="AH53" s="34">
        <v>6733</v>
      </c>
      <c r="AI53" s="34">
        <v>7609</v>
      </c>
      <c r="AJ53" s="34">
        <v>13112</v>
      </c>
      <c r="AK53" s="34">
        <v>11052</v>
      </c>
      <c r="AL53" s="9">
        <v>0</v>
      </c>
      <c r="AO53"/>
    </row>
    <row r="54" spans="1:41" ht="14.65" thickBot="1" x14ac:dyDescent="0.5">
      <c r="A54" s="8"/>
      <c r="B54" s="22" t="s">
        <v>52</v>
      </c>
      <c r="C54" s="12">
        <v>71736</v>
      </c>
      <c r="D54" s="15">
        <v>79805</v>
      </c>
      <c r="E54" s="15">
        <v>75008</v>
      </c>
      <c r="F54" s="15">
        <v>75565</v>
      </c>
      <c r="G54" s="15">
        <v>68042</v>
      </c>
      <c r="H54" s="15">
        <v>66806</v>
      </c>
      <c r="I54" s="15">
        <v>57914</v>
      </c>
      <c r="J54" s="15">
        <v>56456</v>
      </c>
      <c r="K54" s="15">
        <v>57957</v>
      </c>
      <c r="L54" s="15">
        <v>52518</v>
      </c>
      <c r="M54" s="15">
        <v>73886</v>
      </c>
      <c r="N54" s="16">
        <v>39015</v>
      </c>
      <c r="O54" s="15">
        <v>73072</v>
      </c>
      <c r="P54" s="15">
        <v>81838</v>
      </c>
      <c r="Q54" s="15">
        <v>78803</v>
      </c>
      <c r="R54" s="15">
        <v>71225</v>
      </c>
      <c r="S54" s="15">
        <v>63232</v>
      </c>
      <c r="T54" s="15">
        <v>62272</v>
      </c>
      <c r="U54" s="15">
        <v>60642</v>
      </c>
      <c r="V54" s="15">
        <v>57575</v>
      </c>
      <c r="W54" s="15">
        <v>97245</v>
      </c>
      <c r="X54" s="15">
        <v>52521</v>
      </c>
      <c r="Y54" s="15">
        <v>71846</v>
      </c>
      <c r="Z54" s="15">
        <v>39045</v>
      </c>
      <c r="AA54" s="12">
        <v>144808</v>
      </c>
      <c r="AB54" s="15">
        <v>161643</v>
      </c>
      <c r="AC54" s="15">
        <v>153811</v>
      </c>
      <c r="AD54" s="15">
        <v>146790</v>
      </c>
      <c r="AE54" s="15">
        <v>131274</v>
      </c>
      <c r="AF54" s="15">
        <v>129078</v>
      </c>
      <c r="AG54" s="15">
        <v>118556</v>
      </c>
      <c r="AH54" s="15">
        <v>114031</v>
      </c>
      <c r="AI54" s="15">
        <v>155202</v>
      </c>
      <c r="AJ54" s="15">
        <v>105039</v>
      </c>
      <c r="AK54" s="15">
        <v>145732</v>
      </c>
      <c r="AL54" s="16">
        <v>78060</v>
      </c>
      <c r="AO54"/>
    </row>
    <row r="55" spans="1:41" x14ac:dyDescent="0.45">
      <c r="A55" s="6"/>
      <c r="B55" s="21">
        <v>45017</v>
      </c>
      <c r="C55" s="18">
        <v>1484430</v>
      </c>
      <c r="D55" s="5">
        <v>1445209</v>
      </c>
      <c r="E55" s="5">
        <v>1473630</v>
      </c>
      <c r="F55" s="5">
        <v>1540427</v>
      </c>
      <c r="G55" s="5">
        <v>1609775</v>
      </c>
      <c r="H55" s="5">
        <v>1760929</v>
      </c>
      <c r="I55" s="5">
        <v>1715220</v>
      </c>
      <c r="J55" s="5">
        <v>1788318</v>
      </c>
      <c r="K55" s="5">
        <v>5181</v>
      </c>
      <c r="L55" s="5">
        <v>883259</v>
      </c>
      <c r="M55" s="5">
        <v>1288607</v>
      </c>
      <c r="N55" s="19">
        <v>1436904</v>
      </c>
      <c r="O55" s="14">
        <v>1520421</v>
      </c>
      <c r="P55" s="14">
        <v>1487016</v>
      </c>
      <c r="Q55" s="14">
        <v>1508052</v>
      </c>
      <c r="R55" s="14">
        <v>1600237</v>
      </c>
      <c r="S55" s="14">
        <v>1657045</v>
      </c>
      <c r="T55" s="14">
        <v>1807846</v>
      </c>
      <c r="U55" s="14">
        <v>1773093</v>
      </c>
      <c r="V55" s="14">
        <v>1812061</v>
      </c>
      <c r="W55" s="14">
        <v>14910</v>
      </c>
      <c r="X55" s="14">
        <v>886617</v>
      </c>
      <c r="Y55" s="14">
        <v>1309522</v>
      </c>
      <c r="Z55" s="14">
        <v>1478614</v>
      </c>
      <c r="AA55" s="11">
        <v>3004851</v>
      </c>
      <c r="AB55" s="34">
        <v>2932225</v>
      </c>
      <c r="AC55" s="34">
        <v>2981682</v>
      </c>
      <c r="AD55" s="34">
        <v>3140664</v>
      </c>
      <c r="AE55" s="34">
        <v>3266820</v>
      </c>
      <c r="AF55" s="34">
        <v>3568775</v>
      </c>
      <c r="AG55" s="34">
        <v>3488313</v>
      </c>
      <c r="AH55" s="34">
        <v>3600379</v>
      </c>
      <c r="AI55" s="34">
        <v>20091</v>
      </c>
      <c r="AJ55" s="34">
        <v>1769876</v>
      </c>
      <c r="AK55" s="34">
        <v>2598129</v>
      </c>
      <c r="AL55" s="9">
        <v>2915518</v>
      </c>
      <c r="AO55"/>
    </row>
    <row r="56" spans="1:41" x14ac:dyDescent="0.45">
      <c r="A56" s="7"/>
      <c r="B56" s="21">
        <v>45048</v>
      </c>
      <c r="C56" s="18">
        <v>1361446</v>
      </c>
      <c r="D56" s="5">
        <v>1362838</v>
      </c>
      <c r="E56" s="5">
        <v>1344143</v>
      </c>
      <c r="F56" s="5">
        <v>1446767</v>
      </c>
      <c r="G56" s="5">
        <v>1518239</v>
      </c>
      <c r="H56" s="5">
        <v>1607941</v>
      </c>
      <c r="I56" s="5">
        <v>1604477</v>
      </c>
      <c r="J56" s="5">
        <v>1583211</v>
      </c>
      <c r="K56" s="5">
        <v>4321</v>
      </c>
      <c r="L56" s="5">
        <v>784989</v>
      </c>
      <c r="M56" s="5">
        <v>1210340</v>
      </c>
      <c r="N56" s="19">
        <v>1377224</v>
      </c>
      <c r="O56" s="14">
        <v>1374280</v>
      </c>
      <c r="P56" s="14">
        <v>1380175</v>
      </c>
      <c r="Q56" s="14">
        <v>1354098</v>
      </c>
      <c r="R56" s="14">
        <v>1456195</v>
      </c>
      <c r="S56" s="14">
        <v>1550363</v>
      </c>
      <c r="T56" s="14">
        <v>1640161</v>
      </c>
      <c r="U56" s="14">
        <v>1623363</v>
      </c>
      <c r="V56" s="14">
        <v>1617396</v>
      </c>
      <c r="W56" s="14">
        <v>5858</v>
      </c>
      <c r="X56" s="14">
        <v>790717</v>
      </c>
      <c r="Y56" s="14">
        <v>1243009</v>
      </c>
      <c r="Z56" s="14">
        <v>1405680</v>
      </c>
      <c r="AA56" s="11">
        <v>2735726</v>
      </c>
      <c r="AB56" s="34">
        <v>2743013</v>
      </c>
      <c r="AC56" s="34">
        <v>2698241</v>
      </c>
      <c r="AD56" s="34">
        <v>2902962</v>
      </c>
      <c r="AE56" s="34">
        <v>3068602</v>
      </c>
      <c r="AF56" s="34">
        <v>3248102</v>
      </c>
      <c r="AG56" s="34">
        <v>3227840</v>
      </c>
      <c r="AH56" s="34">
        <v>3200607</v>
      </c>
      <c r="AI56" s="34">
        <v>10179</v>
      </c>
      <c r="AJ56" s="34">
        <v>1575706</v>
      </c>
      <c r="AK56" s="34">
        <v>2453349</v>
      </c>
      <c r="AL56" s="9">
        <v>2782904</v>
      </c>
      <c r="AO56"/>
    </row>
    <row r="57" spans="1:41" x14ac:dyDescent="0.45">
      <c r="A57" s="7"/>
      <c r="B57" s="21">
        <v>45080</v>
      </c>
      <c r="C57" s="18">
        <v>1320290</v>
      </c>
      <c r="D57" s="5">
        <v>1305695</v>
      </c>
      <c r="E57" s="5">
        <v>1326337</v>
      </c>
      <c r="F57" s="5">
        <v>1368771</v>
      </c>
      <c r="G57" s="5">
        <v>1427196</v>
      </c>
      <c r="H57" s="5">
        <v>1495232</v>
      </c>
      <c r="I57" s="5">
        <v>1550017</v>
      </c>
      <c r="J57" s="5">
        <v>1674190</v>
      </c>
      <c r="K57" s="5">
        <v>44846</v>
      </c>
      <c r="L57" s="5">
        <v>632473</v>
      </c>
      <c r="M57" s="5">
        <v>1066181</v>
      </c>
      <c r="N57" s="19">
        <v>1325374</v>
      </c>
      <c r="O57" s="14">
        <v>1380806</v>
      </c>
      <c r="P57" s="14">
        <v>1363040</v>
      </c>
      <c r="Q57" s="14">
        <v>1381317</v>
      </c>
      <c r="R57" s="14">
        <v>1430289</v>
      </c>
      <c r="S57" s="14">
        <v>1496002</v>
      </c>
      <c r="T57" s="14">
        <v>1548331</v>
      </c>
      <c r="U57" s="14">
        <v>1631686</v>
      </c>
      <c r="V57" s="14">
        <v>1752008</v>
      </c>
      <c r="W57" s="14">
        <v>52923</v>
      </c>
      <c r="X57" s="14">
        <v>643585</v>
      </c>
      <c r="Y57" s="14">
        <v>1115930</v>
      </c>
      <c r="Z57" s="14">
        <v>1379226</v>
      </c>
      <c r="AA57" s="11">
        <v>2701096</v>
      </c>
      <c r="AB57" s="34">
        <v>2668735</v>
      </c>
      <c r="AC57" s="34">
        <v>2707654</v>
      </c>
      <c r="AD57" s="34">
        <v>2799060</v>
      </c>
      <c r="AE57" s="34">
        <v>2923198</v>
      </c>
      <c r="AF57" s="34">
        <v>3043563</v>
      </c>
      <c r="AG57" s="34">
        <v>3181703</v>
      </c>
      <c r="AH57" s="34">
        <v>3426198</v>
      </c>
      <c r="AI57" s="34">
        <v>97769</v>
      </c>
      <c r="AJ57" s="34">
        <v>1276058</v>
      </c>
      <c r="AK57" s="34">
        <v>2182111</v>
      </c>
      <c r="AL57" s="9">
        <v>2704600</v>
      </c>
      <c r="AO57"/>
    </row>
    <row r="58" spans="1:41" x14ac:dyDescent="0.45">
      <c r="A58" s="7"/>
      <c r="B58" s="21">
        <v>45111</v>
      </c>
      <c r="C58" s="18">
        <v>1493667</v>
      </c>
      <c r="D58" s="5">
        <v>1456517</v>
      </c>
      <c r="E58" s="5">
        <v>1500712</v>
      </c>
      <c r="F58" s="5">
        <v>1640321</v>
      </c>
      <c r="G58" s="5">
        <v>1721249</v>
      </c>
      <c r="H58" s="5">
        <v>1802552</v>
      </c>
      <c r="I58" s="5">
        <v>1798806</v>
      </c>
      <c r="J58" s="5">
        <v>1814158</v>
      </c>
      <c r="K58" s="5">
        <v>111073</v>
      </c>
      <c r="L58" s="5">
        <v>359781</v>
      </c>
      <c r="M58" s="5">
        <v>1265359</v>
      </c>
      <c r="N58" s="19">
        <v>1537030</v>
      </c>
      <c r="O58" s="14">
        <v>1415787</v>
      </c>
      <c r="P58" s="14">
        <v>1383440</v>
      </c>
      <c r="Q58" s="14">
        <v>1445883</v>
      </c>
      <c r="R58" s="14">
        <v>1560342</v>
      </c>
      <c r="S58" s="14">
        <v>1639632</v>
      </c>
      <c r="T58" s="14">
        <v>1749977</v>
      </c>
      <c r="U58" s="14">
        <v>1707773</v>
      </c>
      <c r="V58" s="14">
        <v>1726718</v>
      </c>
      <c r="W58" s="14">
        <v>119622</v>
      </c>
      <c r="X58" s="14">
        <v>371838</v>
      </c>
      <c r="Y58" s="14">
        <v>1210338</v>
      </c>
      <c r="Z58" s="14">
        <v>1470331</v>
      </c>
      <c r="AA58" s="11">
        <v>2909454</v>
      </c>
      <c r="AB58" s="34">
        <v>2839957</v>
      </c>
      <c r="AC58" s="34">
        <v>2946595</v>
      </c>
      <c r="AD58" s="34">
        <v>3200663</v>
      </c>
      <c r="AE58" s="34">
        <v>3360881</v>
      </c>
      <c r="AF58" s="34">
        <v>3552529</v>
      </c>
      <c r="AG58" s="34">
        <v>3506579</v>
      </c>
      <c r="AH58" s="34">
        <v>3540876</v>
      </c>
      <c r="AI58" s="34">
        <v>230695</v>
      </c>
      <c r="AJ58" s="34">
        <v>731619</v>
      </c>
      <c r="AK58" s="34">
        <v>2475697</v>
      </c>
      <c r="AL58" s="9">
        <v>3007361</v>
      </c>
      <c r="AO58"/>
    </row>
    <row r="59" spans="1:41" x14ac:dyDescent="0.45">
      <c r="A59" s="7"/>
      <c r="B59" s="21">
        <v>45143</v>
      </c>
      <c r="C59" s="18">
        <v>1438061</v>
      </c>
      <c r="D59" s="5">
        <v>1452737</v>
      </c>
      <c r="E59" s="5">
        <v>1495258</v>
      </c>
      <c r="F59" s="5">
        <v>1587065</v>
      </c>
      <c r="G59" s="5">
        <v>1623820</v>
      </c>
      <c r="H59" s="5">
        <v>1698944</v>
      </c>
      <c r="I59" s="5">
        <v>1750802</v>
      </c>
      <c r="J59" s="5">
        <v>1793285</v>
      </c>
      <c r="K59" s="5">
        <v>194290</v>
      </c>
      <c r="L59" s="5">
        <v>586947</v>
      </c>
      <c r="M59" s="5">
        <v>1232850</v>
      </c>
      <c r="N59" s="19">
        <v>1435263</v>
      </c>
      <c r="O59" s="14">
        <v>1460282</v>
      </c>
      <c r="P59" s="14">
        <v>1469569</v>
      </c>
      <c r="Q59" s="14">
        <v>1524732</v>
      </c>
      <c r="R59" s="14">
        <v>1627342</v>
      </c>
      <c r="S59" s="14">
        <v>1661955</v>
      </c>
      <c r="T59" s="14">
        <v>1733101</v>
      </c>
      <c r="U59" s="14">
        <v>1787677</v>
      </c>
      <c r="V59" s="14">
        <v>1843819</v>
      </c>
      <c r="W59" s="14">
        <v>203820</v>
      </c>
      <c r="X59" s="14">
        <v>592082</v>
      </c>
      <c r="Y59" s="14">
        <v>1256532</v>
      </c>
      <c r="Z59" s="14">
        <v>1478333</v>
      </c>
      <c r="AA59" s="11">
        <v>2898343</v>
      </c>
      <c r="AB59" s="34">
        <v>2922306</v>
      </c>
      <c r="AC59" s="34">
        <v>3019990</v>
      </c>
      <c r="AD59" s="34">
        <v>3214407</v>
      </c>
      <c r="AE59" s="34">
        <v>3285775</v>
      </c>
      <c r="AF59" s="34">
        <v>3432045</v>
      </c>
      <c r="AG59" s="34">
        <v>3538479</v>
      </c>
      <c r="AH59" s="34">
        <v>3637104</v>
      </c>
      <c r="AI59" s="34">
        <v>398110</v>
      </c>
      <c r="AJ59" s="34">
        <v>1179029</v>
      </c>
      <c r="AK59" s="34">
        <v>2489382</v>
      </c>
      <c r="AL59" s="9">
        <v>2913596</v>
      </c>
      <c r="AO59"/>
    </row>
    <row r="60" spans="1:41" x14ac:dyDescent="0.45">
      <c r="A60" s="7"/>
      <c r="B60" s="21">
        <v>45175</v>
      </c>
      <c r="C60" s="18">
        <v>1477600</v>
      </c>
      <c r="D60" s="5">
        <v>1469612</v>
      </c>
      <c r="E60" s="5">
        <v>1453579</v>
      </c>
      <c r="F60" s="5">
        <v>1580311</v>
      </c>
      <c r="G60" s="5">
        <v>1672530</v>
      </c>
      <c r="H60" s="5">
        <v>1723398</v>
      </c>
      <c r="I60" s="5">
        <v>1742965</v>
      </c>
      <c r="J60" s="5">
        <v>1856691</v>
      </c>
      <c r="K60" s="5">
        <v>348730</v>
      </c>
      <c r="L60" s="5">
        <v>837533</v>
      </c>
      <c r="M60" s="5">
        <v>1269416</v>
      </c>
      <c r="N60" s="19">
        <v>1514738</v>
      </c>
      <c r="O60" s="14">
        <v>1484958</v>
      </c>
      <c r="P60" s="14">
        <v>1477644</v>
      </c>
      <c r="Q60" s="14">
        <v>1451143</v>
      </c>
      <c r="R60" s="14">
        <v>1583218</v>
      </c>
      <c r="S60" s="14">
        <v>1677305</v>
      </c>
      <c r="T60" s="14">
        <v>1736362</v>
      </c>
      <c r="U60" s="14">
        <v>1766272</v>
      </c>
      <c r="V60" s="14">
        <v>1865488</v>
      </c>
      <c r="W60" s="14">
        <v>355553</v>
      </c>
      <c r="X60" s="14">
        <v>841920</v>
      </c>
      <c r="Y60" s="14">
        <v>1278437</v>
      </c>
      <c r="Z60" s="14">
        <v>1531152</v>
      </c>
      <c r="AA60" s="11">
        <v>2962558</v>
      </c>
      <c r="AB60" s="34">
        <v>2947256</v>
      </c>
      <c r="AC60" s="34">
        <v>2904722</v>
      </c>
      <c r="AD60" s="34">
        <v>3163529</v>
      </c>
      <c r="AE60" s="34">
        <v>3349835</v>
      </c>
      <c r="AF60" s="34">
        <v>3459760</v>
      </c>
      <c r="AG60" s="34">
        <v>3509237</v>
      </c>
      <c r="AH60" s="34">
        <v>3722179</v>
      </c>
      <c r="AI60" s="34">
        <v>704283</v>
      </c>
      <c r="AJ60" s="34">
        <v>1679453</v>
      </c>
      <c r="AK60" s="34">
        <v>2547853</v>
      </c>
      <c r="AL60" s="9">
        <v>3045890</v>
      </c>
      <c r="AO60"/>
    </row>
    <row r="61" spans="1:41" x14ac:dyDescent="0.45">
      <c r="A61" s="7" t="s">
        <v>52</v>
      </c>
      <c r="B61" s="21">
        <v>45206</v>
      </c>
      <c r="C61" s="18">
        <v>1561904</v>
      </c>
      <c r="D61" s="5">
        <v>1533775</v>
      </c>
      <c r="E61" s="5">
        <v>1602854</v>
      </c>
      <c r="F61" s="5">
        <v>1737591</v>
      </c>
      <c r="G61" s="5">
        <v>1813108</v>
      </c>
      <c r="H61" s="5">
        <v>1863619</v>
      </c>
      <c r="I61" s="5">
        <v>1853086</v>
      </c>
      <c r="J61" s="5">
        <v>1874521</v>
      </c>
      <c r="K61" s="5">
        <v>515223</v>
      </c>
      <c r="L61" s="5">
        <v>1021041</v>
      </c>
      <c r="M61" s="5">
        <v>1381261</v>
      </c>
      <c r="N61" s="19">
        <v>1637089</v>
      </c>
      <c r="O61" s="14">
        <v>1529545</v>
      </c>
      <c r="P61" s="14">
        <v>1496197</v>
      </c>
      <c r="Q61" s="14">
        <v>1572577</v>
      </c>
      <c r="R61" s="14">
        <v>1703247</v>
      </c>
      <c r="S61" s="14">
        <v>1779773</v>
      </c>
      <c r="T61" s="14">
        <v>1821274</v>
      </c>
      <c r="U61" s="14">
        <v>1809248</v>
      </c>
      <c r="V61" s="14">
        <v>1831000</v>
      </c>
      <c r="W61" s="14">
        <v>518019</v>
      </c>
      <c r="X61" s="14">
        <v>1004570</v>
      </c>
      <c r="Y61" s="14">
        <v>1352364</v>
      </c>
      <c r="Z61" s="14">
        <v>1599450</v>
      </c>
      <c r="AA61" s="11">
        <v>3091449</v>
      </c>
      <c r="AB61" s="34">
        <v>3029972</v>
      </c>
      <c r="AC61" s="34">
        <v>3175431</v>
      </c>
      <c r="AD61" s="34">
        <v>3440838</v>
      </c>
      <c r="AE61" s="34">
        <v>3592881</v>
      </c>
      <c r="AF61" s="34">
        <v>3684893</v>
      </c>
      <c r="AG61" s="34">
        <v>3662334</v>
      </c>
      <c r="AH61" s="34">
        <v>3705521</v>
      </c>
      <c r="AI61" s="34">
        <v>1033242</v>
      </c>
      <c r="AJ61" s="34">
        <v>2025611</v>
      </c>
      <c r="AK61" s="34">
        <v>2733625</v>
      </c>
      <c r="AL61" s="9">
        <v>3236539</v>
      </c>
      <c r="AO61"/>
    </row>
    <row r="62" spans="1:41" x14ac:dyDescent="0.45">
      <c r="A62" s="7"/>
      <c r="B62" s="21">
        <v>45238</v>
      </c>
      <c r="C62" s="18">
        <v>1456214</v>
      </c>
      <c r="D62" s="5">
        <v>1467796</v>
      </c>
      <c r="E62" s="5">
        <v>1499228</v>
      </c>
      <c r="F62" s="5">
        <v>1664463</v>
      </c>
      <c r="G62" s="5">
        <v>1665983</v>
      </c>
      <c r="H62" s="5">
        <v>1730208</v>
      </c>
      <c r="I62" s="5">
        <v>1778350</v>
      </c>
      <c r="J62" s="5">
        <v>1784428</v>
      </c>
      <c r="K62" s="5">
        <v>616703</v>
      </c>
      <c r="L62" s="5">
        <v>1021537</v>
      </c>
      <c r="M62" s="5">
        <v>1323711</v>
      </c>
      <c r="N62" s="19">
        <v>0</v>
      </c>
      <c r="O62" s="14">
        <v>1464327</v>
      </c>
      <c r="P62" s="14">
        <v>1472456</v>
      </c>
      <c r="Q62" s="14">
        <v>1512952</v>
      </c>
      <c r="R62" s="14">
        <v>1675616</v>
      </c>
      <c r="S62" s="14">
        <v>1689965</v>
      </c>
      <c r="T62" s="14">
        <v>1758287</v>
      </c>
      <c r="U62" s="14">
        <v>1801449</v>
      </c>
      <c r="V62" s="14">
        <v>1811335</v>
      </c>
      <c r="W62" s="14">
        <v>606664</v>
      </c>
      <c r="X62" s="14">
        <v>1010830</v>
      </c>
      <c r="Y62" s="14">
        <v>1334921</v>
      </c>
      <c r="Z62" s="14">
        <v>0</v>
      </c>
      <c r="AA62" s="11">
        <v>2920541</v>
      </c>
      <c r="AB62" s="34">
        <v>2940252</v>
      </c>
      <c r="AC62" s="34">
        <v>3012180</v>
      </c>
      <c r="AD62" s="34">
        <v>3340079</v>
      </c>
      <c r="AE62" s="34">
        <v>3355948</v>
      </c>
      <c r="AF62" s="34">
        <v>3488495</v>
      </c>
      <c r="AG62" s="34">
        <v>3579799</v>
      </c>
      <c r="AH62" s="34">
        <v>3595763</v>
      </c>
      <c r="AI62" s="34">
        <v>1223367</v>
      </c>
      <c r="AJ62" s="34">
        <v>2032367</v>
      </c>
      <c r="AK62" s="34">
        <v>2658632</v>
      </c>
      <c r="AL62" s="9">
        <v>0</v>
      </c>
      <c r="AO62"/>
    </row>
    <row r="63" spans="1:41" x14ac:dyDescent="0.45">
      <c r="A63" s="7"/>
      <c r="B63" s="21">
        <v>45269</v>
      </c>
      <c r="C63" s="18">
        <v>1514635</v>
      </c>
      <c r="D63" s="5">
        <v>1551732</v>
      </c>
      <c r="E63" s="5">
        <v>1599552</v>
      </c>
      <c r="F63" s="5">
        <v>1781379</v>
      </c>
      <c r="G63" s="5">
        <v>1851029</v>
      </c>
      <c r="H63" s="5">
        <v>1890893</v>
      </c>
      <c r="I63" s="5">
        <v>1932311</v>
      </c>
      <c r="J63" s="5">
        <v>2029814</v>
      </c>
      <c r="K63" s="5">
        <v>886672</v>
      </c>
      <c r="L63" s="5">
        <v>1058675</v>
      </c>
      <c r="M63" s="5">
        <v>1503738</v>
      </c>
      <c r="N63" s="19">
        <v>0</v>
      </c>
      <c r="O63" s="14">
        <v>1518891</v>
      </c>
      <c r="P63" s="14">
        <v>1568936</v>
      </c>
      <c r="Q63" s="14">
        <v>1618893</v>
      </c>
      <c r="R63" s="14">
        <v>1807887</v>
      </c>
      <c r="S63" s="14">
        <v>1865512</v>
      </c>
      <c r="T63" s="14">
        <v>1925782</v>
      </c>
      <c r="U63" s="14">
        <v>1955949</v>
      </c>
      <c r="V63" s="14">
        <v>2045860</v>
      </c>
      <c r="W63" s="14">
        <v>876490</v>
      </c>
      <c r="X63" s="14">
        <v>1044785</v>
      </c>
      <c r="Y63" s="14">
        <v>1534147</v>
      </c>
      <c r="Z63" s="14">
        <v>0</v>
      </c>
      <c r="AA63" s="11">
        <v>3033526</v>
      </c>
      <c r="AB63" s="34">
        <v>3120668</v>
      </c>
      <c r="AC63" s="34">
        <v>3218445</v>
      </c>
      <c r="AD63" s="34">
        <v>3589266</v>
      </c>
      <c r="AE63" s="34">
        <v>3716541</v>
      </c>
      <c r="AF63" s="34">
        <v>3816675</v>
      </c>
      <c r="AG63" s="34">
        <v>3888260</v>
      </c>
      <c r="AH63" s="34">
        <v>4075674</v>
      </c>
      <c r="AI63" s="34">
        <v>1763162</v>
      </c>
      <c r="AJ63" s="34">
        <v>2103460</v>
      </c>
      <c r="AK63" s="34">
        <v>3037885</v>
      </c>
      <c r="AL63" s="9">
        <v>0</v>
      </c>
      <c r="AO63"/>
    </row>
    <row r="64" spans="1:41" x14ac:dyDescent="0.45">
      <c r="A64" s="7"/>
      <c r="B64" s="21">
        <v>44936</v>
      </c>
      <c r="C64" s="18">
        <v>1387431</v>
      </c>
      <c r="D64" s="5">
        <v>1432878</v>
      </c>
      <c r="E64" s="5">
        <v>1439563</v>
      </c>
      <c r="F64" s="5">
        <v>1608195</v>
      </c>
      <c r="G64" s="5">
        <v>1641841</v>
      </c>
      <c r="H64" s="5">
        <v>1705655</v>
      </c>
      <c r="I64" s="5">
        <v>1718657</v>
      </c>
      <c r="J64" s="5">
        <v>1829188</v>
      </c>
      <c r="K64" s="5">
        <v>520435</v>
      </c>
      <c r="L64" s="5">
        <v>993852</v>
      </c>
      <c r="M64" s="5">
        <v>1391203</v>
      </c>
      <c r="N64" s="19">
        <v>0</v>
      </c>
      <c r="O64" s="14">
        <v>1360615</v>
      </c>
      <c r="P64" s="14">
        <v>1399814</v>
      </c>
      <c r="Q64" s="14">
        <v>1414828</v>
      </c>
      <c r="R64" s="14">
        <v>1579320</v>
      </c>
      <c r="S64" s="14">
        <v>1613125</v>
      </c>
      <c r="T64" s="14">
        <v>1675148</v>
      </c>
      <c r="U64" s="14">
        <v>1686290</v>
      </c>
      <c r="V64" s="14">
        <v>1784527</v>
      </c>
      <c r="W64" s="14">
        <v>542929</v>
      </c>
      <c r="X64" s="14">
        <v>1007570</v>
      </c>
      <c r="Y64" s="14">
        <v>1363328</v>
      </c>
      <c r="Z64" s="14">
        <v>0</v>
      </c>
      <c r="AA64" s="11">
        <v>2748046</v>
      </c>
      <c r="AB64" s="34">
        <v>2832692</v>
      </c>
      <c r="AC64" s="34">
        <v>2854391</v>
      </c>
      <c r="AD64" s="34">
        <v>3187515</v>
      </c>
      <c r="AE64" s="34">
        <v>3254966</v>
      </c>
      <c r="AF64" s="34">
        <v>3380803</v>
      </c>
      <c r="AG64" s="34">
        <v>3404947</v>
      </c>
      <c r="AH64" s="34">
        <v>3613715</v>
      </c>
      <c r="AI64" s="34">
        <v>1063364</v>
      </c>
      <c r="AJ64" s="34">
        <v>2001422</v>
      </c>
      <c r="AK64" s="34">
        <v>2754531</v>
      </c>
      <c r="AL64" s="9">
        <v>0</v>
      </c>
      <c r="AO64"/>
    </row>
    <row r="65" spans="1:41" x14ac:dyDescent="0.45">
      <c r="A65" s="7"/>
      <c r="B65" s="21">
        <v>44968</v>
      </c>
      <c r="C65" s="18">
        <v>1361527</v>
      </c>
      <c r="D65" s="5">
        <v>1375776</v>
      </c>
      <c r="E65" s="5">
        <v>1395672</v>
      </c>
      <c r="F65" s="5">
        <v>1568435</v>
      </c>
      <c r="G65" s="5">
        <v>1561622</v>
      </c>
      <c r="H65" s="5">
        <v>1593973</v>
      </c>
      <c r="I65" s="5">
        <v>1618490</v>
      </c>
      <c r="J65" s="5">
        <v>1689805</v>
      </c>
      <c r="K65" s="5">
        <v>487610</v>
      </c>
      <c r="L65" s="5">
        <v>1042436</v>
      </c>
      <c r="M65" s="5">
        <v>1291058</v>
      </c>
      <c r="N65" s="19">
        <v>0</v>
      </c>
      <c r="O65" s="14">
        <v>1356207</v>
      </c>
      <c r="P65" s="14">
        <v>1372810</v>
      </c>
      <c r="Q65" s="14">
        <v>1386645</v>
      </c>
      <c r="R65" s="14">
        <v>1570835</v>
      </c>
      <c r="S65" s="14">
        <v>1561749</v>
      </c>
      <c r="T65" s="14">
        <v>1599564</v>
      </c>
      <c r="U65" s="14">
        <v>1621667</v>
      </c>
      <c r="V65" s="14">
        <v>1693935</v>
      </c>
      <c r="W65" s="14">
        <v>491803</v>
      </c>
      <c r="X65" s="14">
        <v>1038332</v>
      </c>
      <c r="Y65" s="14">
        <v>1296901</v>
      </c>
      <c r="Z65" s="14">
        <v>0</v>
      </c>
      <c r="AA65" s="11">
        <v>2717734</v>
      </c>
      <c r="AB65" s="34">
        <v>2748586</v>
      </c>
      <c r="AC65" s="34">
        <v>2782317</v>
      </c>
      <c r="AD65" s="34">
        <v>3139270</v>
      </c>
      <c r="AE65" s="34">
        <v>3123371</v>
      </c>
      <c r="AF65" s="34">
        <v>3193537</v>
      </c>
      <c r="AG65" s="34">
        <v>3240157</v>
      </c>
      <c r="AH65" s="34">
        <v>3383740</v>
      </c>
      <c r="AI65" s="34">
        <v>979413</v>
      </c>
      <c r="AJ65" s="34">
        <v>2080768</v>
      </c>
      <c r="AK65" s="34">
        <v>2587959</v>
      </c>
      <c r="AL65" s="9">
        <v>0</v>
      </c>
      <c r="AO65"/>
    </row>
    <row r="66" spans="1:41" x14ac:dyDescent="0.45">
      <c r="A66" s="7"/>
      <c r="B66" s="21">
        <v>44997</v>
      </c>
      <c r="C66" s="18">
        <v>1548599</v>
      </c>
      <c r="D66" s="5">
        <v>1498076</v>
      </c>
      <c r="E66" s="5">
        <v>1643859</v>
      </c>
      <c r="F66" s="5">
        <v>1745230</v>
      </c>
      <c r="G66" s="5">
        <v>1758785</v>
      </c>
      <c r="H66" s="5">
        <v>1792538</v>
      </c>
      <c r="I66" s="5">
        <v>1894054</v>
      </c>
      <c r="J66" s="5">
        <v>1050319</v>
      </c>
      <c r="K66" s="5">
        <v>776075</v>
      </c>
      <c r="L66" s="5">
        <v>1273643</v>
      </c>
      <c r="M66" s="5">
        <v>1469665</v>
      </c>
      <c r="N66" s="19">
        <v>0</v>
      </c>
      <c r="O66" s="14">
        <v>1571767</v>
      </c>
      <c r="P66" s="14">
        <v>1548086</v>
      </c>
      <c r="Q66" s="14">
        <v>1673430</v>
      </c>
      <c r="R66" s="14">
        <v>1779801</v>
      </c>
      <c r="S66" s="14">
        <v>1819539</v>
      </c>
      <c r="T66" s="14">
        <v>1841013</v>
      </c>
      <c r="U66" s="14">
        <v>1953797</v>
      </c>
      <c r="V66" s="14">
        <v>1140318</v>
      </c>
      <c r="W66" s="14">
        <v>781146</v>
      </c>
      <c r="X66" s="14">
        <v>1305356</v>
      </c>
      <c r="Y66" s="14">
        <v>1517786</v>
      </c>
      <c r="Z66" s="14">
        <v>0</v>
      </c>
      <c r="AA66" s="11">
        <v>3120366</v>
      </c>
      <c r="AB66" s="34">
        <v>3046162</v>
      </c>
      <c r="AC66" s="34">
        <v>3317289</v>
      </c>
      <c r="AD66" s="34">
        <v>3525031</v>
      </c>
      <c r="AE66" s="34">
        <v>3578324</v>
      </c>
      <c r="AF66" s="34">
        <v>3633551</v>
      </c>
      <c r="AG66" s="34">
        <v>3847851</v>
      </c>
      <c r="AH66" s="34">
        <v>2190637</v>
      </c>
      <c r="AI66" s="34">
        <v>1557221</v>
      </c>
      <c r="AJ66" s="34">
        <v>2578999</v>
      </c>
      <c r="AK66" s="34">
        <v>2987451</v>
      </c>
      <c r="AL66" s="9">
        <v>0</v>
      </c>
      <c r="AO66"/>
    </row>
    <row r="67" spans="1:41" ht="14.65" thickBot="1" x14ac:dyDescent="0.5">
      <c r="A67" s="8"/>
      <c r="B67" s="22" t="s">
        <v>52</v>
      </c>
      <c r="C67" s="13">
        <v>17405804</v>
      </c>
      <c r="D67" s="17">
        <v>17352641</v>
      </c>
      <c r="E67" s="17">
        <v>17774387</v>
      </c>
      <c r="F67" s="17">
        <v>19268955</v>
      </c>
      <c r="G67" s="17">
        <v>19865177</v>
      </c>
      <c r="H67" s="17">
        <v>20665882</v>
      </c>
      <c r="I67" s="17">
        <v>20957235</v>
      </c>
      <c r="J67" s="17">
        <v>20767928</v>
      </c>
      <c r="K67" s="17">
        <v>4511159</v>
      </c>
      <c r="L67" s="17">
        <v>10496166</v>
      </c>
      <c r="M67" s="17">
        <v>15693389</v>
      </c>
      <c r="N67" s="10">
        <v>10263622</v>
      </c>
      <c r="O67" s="17">
        <v>17437886</v>
      </c>
      <c r="P67" s="17">
        <v>17419183</v>
      </c>
      <c r="Q67" s="17">
        <v>17844550</v>
      </c>
      <c r="R67" s="17">
        <v>19374329</v>
      </c>
      <c r="S67" s="17">
        <v>20011965</v>
      </c>
      <c r="T67" s="17">
        <v>20836846</v>
      </c>
      <c r="U67" s="17">
        <v>21118264</v>
      </c>
      <c r="V67" s="17">
        <v>20924465</v>
      </c>
      <c r="W67" s="17">
        <v>4569737</v>
      </c>
      <c r="X67" s="17">
        <v>10538202</v>
      </c>
      <c r="Y67" s="17">
        <v>15813215</v>
      </c>
      <c r="Z67" s="17">
        <v>10342786</v>
      </c>
      <c r="AA67" s="13">
        <v>34843690</v>
      </c>
      <c r="AB67" s="17">
        <v>34771824</v>
      </c>
      <c r="AC67" s="17">
        <v>35618937</v>
      </c>
      <c r="AD67" s="17">
        <v>38643284</v>
      </c>
      <c r="AE67" s="17">
        <v>39877142</v>
      </c>
      <c r="AF67" s="17">
        <v>41502728</v>
      </c>
      <c r="AG67" s="17">
        <v>42075499</v>
      </c>
      <c r="AH67" s="17">
        <v>41692393</v>
      </c>
      <c r="AI67" s="17">
        <v>9080896</v>
      </c>
      <c r="AJ67" s="17">
        <v>21034368</v>
      </c>
      <c r="AK67" s="17">
        <v>31506604</v>
      </c>
      <c r="AL67" s="10">
        <v>20606408</v>
      </c>
      <c r="AO67"/>
    </row>
    <row r="68" spans="1:41" x14ac:dyDescent="0.45">
      <c r="B68" s="23"/>
      <c r="AC68" s="4"/>
      <c r="AD68" s="4"/>
      <c r="AE68" s="4"/>
      <c r="AF68" s="4"/>
      <c r="AG68" s="4"/>
      <c r="AH68" s="4"/>
      <c r="AI68" s="4"/>
      <c r="AJ68" s="4"/>
      <c r="AO68"/>
    </row>
    <row r="69" spans="1:41" x14ac:dyDescent="0.45">
      <c r="B69" s="23"/>
      <c r="AO69"/>
    </row>
    <row r="70" spans="1:41" x14ac:dyDescent="0.45">
      <c r="B70" s="23"/>
      <c r="AO70"/>
    </row>
    <row r="71" spans="1:41" x14ac:dyDescent="0.45"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/>
    </row>
  </sheetData>
  <mergeCells count="3">
    <mergeCell ref="C1:N1"/>
    <mergeCell ref="O1:Z1"/>
    <mergeCell ref="AA1:AL1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5cb39c-7109-435c-af5d-13dc21a2db6b">
      <Terms xmlns="http://schemas.microsoft.com/office/infopath/2007/PartnerControls"/>
    </lcf76f155ced4ddcb4097134ff3c332f>
    <TaxCatchAll xmlns="62b85a0e-09bb-4b0f-bd28-e34020cdc070" xsi:nil="true"/>
    <Archive xmlns="265cb39c-7109-435c-af5d-13dc21a2db6b">false</Archiv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14DAA3CC024F49A081857B4C9CD92A" ma:contentTypeVersion="20" ma:contentTypeDescription="Create a new document." ma:contentTypeScope="" ma:versionID="9a9b694ff2f6609838fcca9821982eda">
  <xsd:schema xmlns:xsd="http://www.w3.org/2001/XMLSchema" xmlns:xs="http://www.w3.org/2001/XMLSchema" xmlns:p="http://schemas.microsoft.com/office/2006/metadata/properties" xmlns:ns2="265cb39c-7109-435c-af5d-13dc21a2db6b" xmlns:ns3="62b85a0e-09bb-4b0f-bd28-e34020cdc070" targetNamespace="http://schemas.microsoft.com/office/2006/metadata/properties" ma:root="true" ma:fieldsID="47d7c24f3ba51802533bcb520a684150" ns2:_="" ns3:_="">
    <xsd:import namespace="265cb39c-7109-435c-af5d-13dc21a2db6b"/>
    <xsd:import namespace="62b85a0e-09bb-4b0f-bd28-e34020cdc0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rchiv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cb39c-7109-435c-af5d-13dc21a2d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f3d1728-64fa-4f01-bb7d-5585de3a98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" ma:index="26" nillable="true" ma:displayName="Archive" ma:default="0" ma:description="Folder to be backed up, archived and removed from SharePoint" ma:format="Dropdown" ma:internalName="Archive">
      <xsd:simpleType>
        <xsd:restriction base="dms:Boolea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85a0e-09bb-4b0f-bd28-e34020cdc07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44b13c9-2708-4b8b-a658-00962d7928c2}" ma:internalName="TaxCatchAll" ma:showField="CatchAllData" ma:web="62b85a0e-09bb-4b0f-bd28-e34020cdc0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453E3B3-5CDD-4DC1-8BF0-7292D35648F1}">
  <ds:schemaRefs>
    <ds:schemaRef ds:uri="http://schemas.microsoft.com/office/2006/metadata/properties"/>
    <ds:schemaRef ds:uri="http://schemas.microsoft.com/office/infopath/2007/PartnerControls"/>
    <ds:schemaRef ds:uri="265cb39c-7109-435c-af5d-13dc21a2db6b"/>
    <ds:schemaRef ds:uri="62b85a0e-09bb-4b0f-bd28-e34020cdc070"/>
  </ds:schemaRefs>
</ds:datastoreItem>
</file>

<file path=customXml/itemProps2.xml><?xml version="1.0" encoding="utf-8"?>
<ds:datastoreItem xmlns:ds="http://schemas.openxmlformats.org/officeDocument/2006/customXml" ds:itemID="{42C88B56-275A-4233-AF07-F0F1DB4309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FEB6A0-C0C2-42F5-85FC-AC8FED46A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5cb39c-7109-435c-af5d-13dc21a2db6b"/>
    <ds:schemaRef ds:uri="62b85a0e-09bb-4b0f-bd28-e34020cdc0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494CEC9-3873-416B-8B2E-6D48E30895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46</vt:i4>
      </vt:variant>
    </vt:vector>
  </HeadingPairs>
  <TitlesOfParts>
    <vt:vector size="82" baseType="lpstr">
      <vt:lpstr>Notes</vt:lpstr>
      <vt:lpstr>Summary</vt:lpstr>
      <vt:lpstr>Assumptions</vt:lpstr>
      <vt:lpstr>Supply Forecast</vt:lpstr>
      <vt:lpstr>Jet - DemandSupply</vt:lpstr>
      <vt:lpstr>Diesel - DemandSupply</vt:lpstr>
      <vt:lpstr>Gasoline - DemandSupply</vt:lpstr>
      <vt:lpstr>Total LF - DemandSupply</vt:lpstr>
      <vt:lpstr>Deficit Manual </vt:lpstr>
      <vt:lpstr>fJetFuel</vt:lpstr>
      <vt:lpstr>fDiesel</vt:lpstr>
      <vt:lpstr>fGasoline</vt:lpstr>
      <vt:lpstr>fImports</vt:lpstr>
      <vt:lpstr>Market share</vt:lpstr>
      <vt:lpstr>fEV Penetration</vt:lpstr>
      <vt:lpstr>Deficit Calculations</vt:lpstr>
      <vt:lpstr>Defecit</vt:lpstr>
      <vt:lpstr>Cost Analysis </vt:lpstr>
      <vt:lpstr>RegJetFuel</vt:lpstr>
      <vt:lpstr>RegDiesel</vt:lpstr>
      <vt:lpstr>RegGasoline</vt:lpstr>
      <vt:lpstr>RegEV</vt:lpstr>
      <vt:lpstr>RegJetFuel-GDP&amp;DepPass</vt:lpstr>
      <vt:lpstr>RegJetGDP_per_capita&amp;DPassv1</vt:lpstr>
      <vt:lpstr>RegJetFuel - GDP_Per Capita</vt:lpstr>
      <vt:lpstr>RegJetFuel - GDP</vt:lpstr>
      <vt:lpstr>Arrivals_AP</vt:lpstr>
      <vt:lpstr>Departures_AP</vt:lpstr>
      <vt:lpstr>Arrivals_pass</vt:lpstr>
      <vt:lpstr>Departures_pass</vt:lpstr>
      <vt:lpstr>Airplane Movement - Departures</vt:lpstr>
      <vt:lpstr>Passenger Movement - Departures</vt:lpstr>
      <vt:lpstr>Airplane Movement - Arrivals</vt:lpstr>
      <vt:lpstr>Passenger Movement - Arrivals</vt:lpstr>
      <vt:lpstr>Airplane Movement</vt:lpstr>
      <vt:lpstr>Passenger Movement</vt:lpstr>
      <vt:lpstr>Crude_oil_litresPerBarrel</vt:lpstr>
      <vt:lpstr>DieselDemandPowerGen_High</vt:lpstr>
      <vt:lpstr>DieselDemandPowerGen_Low</vt:lpstr>
      <vt:lpstr>DieselDemandSupply</vt:lpstr>
      <vt:lpstr>DieselPayloads</vt:lpstr>
      <vt:lpstr>EskomDieselDemand</vt:lpstr>
      <vt:lpstr>EV_High_Penetration</vt:lpstr>
      <vt:lpstr>EV_Low_Penetration</vt:lpstr>
      <vt:lpstr>GasolineDemandSupply</vt:lpstr>
      <vt:lpstr>GDP</vt:lpstr>
      <vt:lpstr>GDP_high_growth</vt:lpstr>
      <vt:lpstr>GDP_low_growth</vt:lpstr>
      <vt:lpstr>HighEfficiency_Improvement_Diesel</vt:lpstr>
      <vt:lpstr>HighEfficiency_Improvement_Gasoline</vt:lpstr>
      <vt:lpstr>JetDemandSupply</vt:lpstr>
      <vt:lpstr>LoadFactor_High</vt:lpstr>
      <vt:lpstr>LoadFactor_Low</vt:lpstr>
      <vt:lpstr>LoadShedding_High</vt:lpstr>
      <vt:lpstr>LoadShedding_Low</vt:lpstr>
      <vt:lpstr>LowEfficiency_Improvement_Diesel</vt:lpstr>
      <vt:lpstr>LowEfficiency_Improvement_Gasoline</vt:lpstr>
      <vt:lpstr>Macros_header</vt:lpstr>
      <vt:lpstr>Macros_year</vt:lpstr>
      <vt:lpstr>MJ_Litres_Conversion</vt:lpstr>
      <vt:lpstr>Operational_days</vt:lpstr>
      <vt:lpstr>PaxBaseScenario</vt:lpstr>
      <vt:lpstr>PaxHighScenario</vt:lpstr>
      <vt:lpstr>PaxLowScenario</vt:lpstr>
      <vt:lpstr>PowerGen_Capacity</vt:lpstr>
      <vt:lpstr>PowerGen_Efficiency</vt:lpstr>
      <vt:lpstr>PowerGenDieselDemand_High</vt:lpstr>
      <vt:lpstr>PowerGenDieselDemand_Low</vt:lpstr>
      <vt:lpstr>PowerGenLoadFactor_High</vt:lpstr>
      <vt:lpstr>PowerGenLoadFactor_Low</vt:lpstr>
      <vt:lpstr>PowerGenOCGT_Capacity_High</vt:lpstr>
      <vt:lpstr>PowerGenOCGT_Capacity_Low</vt:lpstr>
      <vt:lpstr>Product_select</vt:lpstr>
      <vt:lpstr>Production_High</vt:lpstr>
      <vt:lpstr>Production_Low</vt:lpstr>
      <vt:lpstr>Refinery</vt:lpstr>
      <vt:lpstr>Refinery_availability</vt:lpstr>
      <vt:lpstr>Refinery_capacity</vt:lpstr>
      <vt:lpstr>SupplyFuelMix</vt:lpstr>
      <vt:lpstr>TJ_GWh_Conversion</vt:lpstr>
      <vt:lpstr>ULP_CPIIndex2015</vt:lpstr>
      <vt:lpstr>Volume_NumberTrucks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Kihara</dc:creator>
  <cp:keywords/>
  <dc:description/>
  <cp:lastModifiedBy>Karabo Mashabane</cp:lastModifiedBy>
  <cp:revision/>
  <dcterms:created xsi:type="dcterms:W3CDTF">2023-12-07T07:44:40Z</dcterms:created>
  <dcterms:modified xsi:type="dcterms:W3CDTF">2026-03-19T08:20:44Z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0x010100BB14DAA3CC024F49A081857B4C9CD92A</vt:lpwstr>
  </property>
</Properties>
</file>