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10" yWindow="-110" windowWidth="23260" windowHeight="12580" tabRatio="677"/>
  </bookViews>
  <sheets>
    <sheet name="录入表" sheetId="39" r:id="rId1"/>
    <sheet name="科室绩效工资核算1" sheetId="4" r:id="rId2"/>
    <sheet name="科室绩效工资核算2" sheetId="36" r:id="rId3"/>
    <sheet name="中层绩效" sheetId="35" r:id="rId4"/>
    <sheet name="优质护理" sheetId="38" r:id="rId5"/>
    <sheet name="绩效明细表" sheetId="37" r:id="rId6"/>
    <sheet name="人员表" sheetId="31" r:id="rId7"/>
    <sheet name="中层系数" sheetId="34" r:id="rId8"/>
    <sheet name="奖励标准" sheetId="30" r:id="rId9"/>
  </sheets>
  <definedNames>
    <definedName name="_xlnm._FilterDatabase" localSheetId="5" hidden="1">绩效明细表!$B$1:$B$84</definedName>
    <definedName name="_xlnm._FilterDatabase" localSheetId="1" hidden="1">科室绩效工资核算1!$B$3:$AN$56</definedName>
    <definedName name="_xlnm._FilterDatabase" localSheetId="3" hidden="1">中层绩效!$C$3:$C$123</definedName>
  </definedNames>
  <calcPr calcId="152511"/>
</workbook>
</file>

<file path=xl/calcChain.xml><?xml version="1.0" encoding="utf-8"?>
<calcChain xmlns="http://schemas.openxmlformats.org/spreadsheetml/2006/main">
  <c r="AL87" i="4" l="1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C82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C80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C79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C77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C76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C75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C72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C71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C70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C69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C68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C67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C66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C65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C62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C61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C60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C59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AL39" i="4"/>
  <c r="AK39" i="4"/>
  <c r="AJ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D18" i="4"/>
  <c r="C18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M87" i="4"/>
  <c r="AN87" i="4"/>
  <c r="AM86" i="4"/>
  <c r="AN86" i="4"/>
  <c r="AM83" i="4"/>
  <c r="AN82" i="4"/>
  <c r="AM80" i="4"/>
  <c r="AM77" i="4"/>
  <c r="AM75" i="4"/>
  <c r="AN74" i="4"/>
  <c r="AM72" i="4"/>
  <c r="AM69" i="4"/>
  <c r="AM67" i="4"/>
  <c r="AM64" i="4"/>
  <c r="AN63" i="4"/>
  <c r="AM61" i="4"/>
  <c r="AN59" i="4"/>
  <c r="AM58" i="4"/>
  <c r="AM55" i="4"/>
  <c r="AM54" i="4"/>
  <c r="AM47" i="4" l="1"/>
  <c r="AM51" i="4"/>
  <c r="AN83" i="4"/>
  <c r="AN78" i="4"/>
  <c r="AN67" i="4"/>
  <c r="AN71" i="4"/>
  <c r="AN75" i="4"/>
  <c r="AN79" i="4"/>
  <c r="AM39" i="4"/>
  <c r="AN39" i="4"/>
  <c r="AM50" i="4"/>
  <c r="AM14" i="4"/>
  <c r="AM43" i="4"/>
  <c r="AM85" i="4"/>
  <c r="AM18" i="4"/>
  <c r="AM20" i="4"/>
  <c r="AM22" i="4"/>
  <c r="AM24" i="4"/>
  <c r="AM26" i="4"/>
  <c r="AM28" i="4"/>
  <c r="AM30" i="4"/>
  <c r="AM32" i="4"/>
  <c r="AM34" i="4"/>
  <c r="AM36" i="4"/>
  <c r="AM38" i="4"/>
  <c r="AM41" i="4"/>
  <c r="AM42" i="4"/>
  <c r="AM45" i="4"/>
  <c r="AM46" i="4"/>
  <c r="AM48" i="4"/>
  <c r="AM49" i="4"/>
  <c r="AN55" i="4"/>
  <c r="K88" i="4"/>
  <c r="S88" i="4"/>
  <c r="AN40" i="4"/>
  <c r="AN43" i="4"/>
  <c r="AN44" i="4"/>
  <c r="AN47" i="4"/>
  <c r="AN37" i="4"/>
  <c r="AD88" i="4"/>
  <c r="AM15" i="4"/>
  <c r="C88" i="4"/>
  <c r="N88" i="4"/>
  <c r="V88" i="4"/>
  <c r="AL88" i="4"/>
  <c r="AM7" i="4"/>
  <c r="AM11" i="4"/>
  <c r="AN48" i="4"/>
  <c r="AN52" i="4"/>
  <c r="AN56" i="4"/>
  <c r="AM66" i="4"/>
  <c r="AM74" i="4"/>
  <c r="O88" i="4"/>
  <c r="AN5" i="4"/>
  <c r="Q88" i="4"/>
  <c r="AM16" i="4"/>
  <c r="AN20" i="4"/>
  <c r="AN24" i="4"/>
  <c r="AN28" i="4"/>
  <c r="AE88" i="4"/>
  <c r="AN7" i="4"/>
  <c r="I88" i="4"/>
  <c r="AG88" i="4"/>
  <c r="AM4" i="4"/>
  <c r="AM12" i="4"/>
  <c r="AI88" i="4"/>
  <c r="AN8" i="4"/>
  <c r="AN12" i="4"/>
  <c r="AN16" i="4"/>
  <c r="W88" i="4"/>
  <c r="AM6" i="4"/>
  <c r="Y88" i="4"/>
  <c r="AN35" i="4"/>
  <c r="AM8" i="4"/>
  <c r="AM10" i="4"/>
  <c r="AA88" i="4"/>
  <c r="AN9" i="4"/>
  <c r="AN11" i="4"/>
  <c r="AN13" i="4"/>
  <c r="AN14" i="4"/>
  <c r="AN15" i="4"/>
  <c r="AN17" i="4"/>
  <c r="AN18" i="4"/>
  <c r="P88" i="4"/>
  <c r="X88" i="4"/>
  <c r="AF88" i="4"/>
  <c r="AN10" i="4"/>
  <c r="AN21" i="4"/>
  <c r="AN23" i="4"/>
  <c r="L88" i="4"/>
  <c r="T88" i="4"/>
  <c r="AM52" i="4"/>
  <c r="AN53" i="4"/>
  <c r="AM53" i="4"/>
  <c r="AN54" i="4"/>
  <c r="AM56" i="4"/>
  <c r="AN57" i="4"/>
  <c r="AM57" i="4"/>
  <c r="AN58" i="4"/>
  <c r="AM59" i="4"/>
  <c r="AN60" i="4"/>
  <c r="AM60" i="4"/>
  <c r="AN61" i="4"/>
  <c r="AN62" i="4"/>
  <c r="AM62" i="4"/>
  <c r="AM63" i="4"/>
  <c r="AN64" i="4"/>
  <c r="AN65" i="4"/>
  <c r="AM65" i="4"/>
  <c r="AN66" i="4"/>
  <c r="AN68" i="4"/>
  <c r="AM68" i="4"/>
  <c r="AN69" i="4"/>
  <c r="AN70" i="4"/>
  <c r="AM70" i="4"/>
  <c r="AM71" i="4"/>
  <c r="AN72" i="4"/>
  <c r="AN73" i="4"/>
  <c r="AM73" i="4"/>
  <c r="AN76" i="4"/>
  <c r="AM76" i="4"/>
  <c r="AN77" i="4"/>
  <c r="AM78" i="4"/>
  <c r="AM79" i="4"/>
  <c r="AN80" i="4"/>
  <c r="AN81" i="4"/>
  <c r="AM81" i="4"/>
  <c r="AM82" i="4"/>
  <c r="AN84" i="4"/>
  <c r="AM84" i="4"/>
  <c r="AN85" i="4"/>
  <c r="AN4" i="4"/>
  <c r="E88" i="4"/>
  <c r="M88" i="4"/>
  <c r="U88" i="4"/>
  <c r="AC88" i="4"/>
  <c r="AM5" i="4"/>
  <c r="AM9" i="4"/>
  <c r="AM13" i="4"/>
  <c r="AM17" i="4"/>
  <c r="J88" i="4"/>
  <c r="R88" i="4"/>
  <c r="Z88" i="4"/>
  <c r="AH88" i="4"/>
  <c r="AM21" i="4"/>
  <c r="AM25" i="4"/>
  <c r="AN27" i="4"/>
  <c r="AN29" i="4"/>
  <c r="AM29" i="4"/>
  <c r="AN30" i="4"/>
  <c r="AN31" i="4"/>
  <c r="AM31" i="4"/>
  <c r="AN33" i="4"/>
  <c r="AM33" i="4"/>
  <c r="AN34" i="4"/>
  <c r="AM35" i="4"/>
  <c r="AN36" i="4"/>
  <c r="AM37" i="4"/>
  <c r="AN38" i="4"/>
  <c r="AM40" i="4"/>
  <c r="AN41" i="4"/>
  <c r="AN42" i="4"/>
  <c r="AM44" i="4"/>
  <c r="AN45" i="4"/>
  <c r="AN46" i="4"/>
  <c r="AN49" i="4"/>
  <c r="AN50" i="4"/>
  <c r="AN6" i="4"/>
  <c r="AN19" i="4"/>
  <c r="AB88" i="4"/>
  <c r="AM19" i="4"/>
  <c r="AN22" i="4"/>
  <c r="AM23" i="4"/>
  <c r="AN25" i="4"/>
  <c r="AN26" i="4"/>
  <c r="AM27" i="4"/>
  <c r="AN32" i="4"/>
  <c r="AJ88" i="4"/>
  <c r="AK88" i="4"/>
  <c r="F88" i="4"/>
  <c r="H88" i="4"/>
  <c r="G88" i="4"/>
  <c r="AM88" i="4" l="1"/>
  <c r="AQ5" i="4"/>
  <c r="AQ7" i="4"/>
  <c r="B4" i="35" l="1"/>
  <c r="T110" i="35" l="1"/>
  <c r="T111" i="35"/>
  <c r="T113" i="35"/>
  <c r="T114" i="35"/>
  <c r="T116" i="35"/>
  <c r="T117" i="35"/>
  <c r="S110" i="35"/>
  <c r="S111" i="35"/>
  <c r="S113" i="35"/>
  <c r="S114" i="35"/>
  <c r="S116" i="35"/>
  <c r="S117" i="35"/>
  <c r="R110" i="35"/>
  <c r="R111" i="35"/>
  <c r="R113" i="35"/>
  <c r="R114" i="35"/>
  <c r="R116" i="35"/>
  <c r="R117" i="35"/>
  <c r="Q110" i="35"/>
  <c r="Q111" i="35"/>
  <c r="Q113" i="35"/>
  <c r="Q114" i="35"/>
  <c r="Q116" i="35"/>
  <c r="Q117" i="35"/>
  <c r="P110" i="35"/>
  <c r="P111" i="35"/>
  <c r="P113" i="35"/>
  <c r="P114" i="35"/>
  <c r="P116" i="35"/>
  <c r="P117" i="35"/>
  <c r="O110" i="35"/>
  <c r="O111" i="35"/>
  <c r="O113" i="35"/>
  <c r="O114" i="35"/>
  <c r="O116" i="35"/>
  <c r="O117" i="35"/>
  <c r="N110" i="35"/>
  <c r="N111" i="35"/>
  <c r="N113" i="35"/>
  <c r="N114" i="35"/>
  <c r="N116" i="35"/>
  <c r="N117" i="35"/>
  <c r="M110" i="35"/>
  <c r="M111" i="35"/>
  <c r="M113" i="35"/>
  <c r="M114" i="35"/>
  <c r="M116" i="35"/>
  <c r="M117" i="35"/>
  <c r="L110" i="35"/>
  <c r="L111" i="35"/>
  <c r="L113" i="35"/>
  <c r="L114" i="35"/>
  <c r="L116" i="35"/>
  <c r="L117" i="35"/>
  <c r="K110" i="35"/>
  <c r="K111" i="35"/>
  <c r="K113" i="35"/>
  <c r="K114" i="35"/>
  <c r="K116" i="35"/>
  <c r="K117" i="35"/>
  <c r="J110" i="35"/>
  <c r="J111" i="35"/>
  <c r="J113" i="35"/>
  <c r="J114" i="35"/>
  <c r="J116" i="35"/>
  <c r="J117" i="35"/>
  <c r="I110" i="35"/>
  <c r="I111" i="35"/>
  <c r="I113" i="35"/>
  <c r="I114" i="35"/>
  <c r="I116" i="35"/>
  <c r="I117" i="35"/>
  <c r="H110" i="35"/>
  <c r="H111" i="35"/>
  <c r="H113" i="35"/>
  <c r="H114" i="35"/>
  <c r="H116" i="35"/>
  <c r="H117" i="35"/>
  <c r="E84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D51" i="4" s="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5" i="31"/>
  <c r="E86" i="31"/>
  <c r="E87" i="31"/>
  <c r="AN51" i="4" l="1"/>
  <c r="D88" i="4"/>
  <c r="AN88" i="4" s="1"/>
  <c r="C121" i="35"/>
  <c r="D121" i="35" s="1"/>
  <c r="T121" i="35" s="1"/>
  <c r="C122" i="35"/>
  <c r="D122" i="35" s="1"/>
  <c r="B121" i="35"/>
  <c r="B122" i="35"/>
  <c r="B123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E38" i="35" s="1"/>
  <c r="C39" i="35"/>
  <c r="C40" i="35"/>
  <c r="C41" i="35"/>
  <c r="C42" i="35"/>
  <c r="C43" i="35"/>
  <c r="E43" i="35" s="1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F69" i="35" s="1"/>
  <c r="C70" i="35"/>
  <c r="C71" i="35"/>
  <c r="C72" i="35"/>
  <c r="C73" i="35"/>
  <c r="C74" i="35"/>
  <c r="C75" i="35"/>
  <c r="C76" i="35"/>
  <c r="C77" i="35"/>
  <c r="C78" i="35"/>
  <c r="C79" i="35"/>
  <c r="D79" i="35" s="1"/>
  <c r="T79" i="35" s="1"/>
  <c r="C80" i="35"/>
  <c r="D80" i="35" s="1"/>
  <c r="T80" i="35" s="1"/>
  <c r="C81" i="35"/>
  <c r="D81" i="35" s="1"/>
  <c r="T81" i="35" s="1"/>
  <c r="C82" i="35"/>
  <c r="D82" i="35" s="1"/>
  <c r="T82" i="35" s="1"/>
  <c r="C83" i="35"/>
  <c r="D83" i="35" s="1"/>
  <c r="T83" i="35" s="1"/>
  <c r="C84" i="35"/>
  <c r="D84" i="35" s="1"/>
  <c r="R84" i="35" s="1"/>
  <c r="C85" i="35"/>
  <c r="D85" i="35" s="1"/>
  <c r="M85" i="35" s="1"/>
  <c r="C86" i="35"/>
  <c r="D86" i="35" s="1"/>
  <c r="T86" i="35" s="1"/>
  <c r="C87" i="35"/>
  <c r="D87" i="35" s="1"/>
  <c r="S87" i="35" s="1"/>
  <c r="C88" i="35"/>
  <c r="C89" i="35"/>
  <c r="C90" i="35"/>
  <c r="C91" i="35"/>
  <c r="C92" i="35"/>
  <c r="C93" i="35"/>
  <c r="C94" i="35"/>
  <c r="C95" i="35"/>
  <c r="C96" i="35"/>
  <c r="C97" i="35"/>
  <c r="C98" i="35"/>
  <c r="D98" i="35" s="1"/>
  <c r="S98" i="35" s="1"/>
  <c r="C99" i="35"/>
  <c r="D99" i="35" s="1"/>
  <c r="P99" i="35" s="1"/>
  <c r="C100" i="35"/>
  <c r="D100" i="35" s="1"/>
  <c r="T100" i="35" s="1"/>
  <c r="C101" i="35"/>
  <c r="D101" i="35" s="1"/>
  <c r="K101" i="35" s="1"/>
  <c r="C102" i="35"/>
  <c r="D102" i="35" s="1"/>
  <c r="L102" i="35" s="1"/>
  <c r="C103" i="35"/>
  <c r="D103" i="35" s="1"/>
  <c r="M103" i="35" s="1"/>
  <c r="C104" i="35"/>
  <c r="D104" i="35" s="1"/>
  <c r="T104" i="35" s="1"/>
  <c r="C105" i="35"/>
  <c r="D105" i="35" s="1"/>
  <c r="S105" i="35" s="1"/>
  <c r="C106" i="35"/>
  <c r="D106" i="35" s="1"/>
  <c r="T106" i="35" s="1"/>
  <c r="C107" i="35"/>
  <c r="D107" i="35" s="1"/>
  <c r="S107" i="35" s="1"/>
  <c r="C108" i="35"/>
  <c r="D108" i="35" s="1"/>
  <c r="T108" i="35" s="1"/>
  <c r="C109" i="35"/>
  <c r="D109" i="35" s="1"/>
  <c r="Q109" i="35" s="1"/>
  <c r="C110" i="35"/>
  <c r="C111" i="35"/>
  <c r="C112" i="35"/>
  <c r="D112" i="35" s="1"/>
  <c r="T112" i="35" s="1"/>
  <c r="C113" i="35"/>
  <c r="C114" i="35"/>
  <c r="C115" i="35"/>
  <c r="D115" i="35" s="1"/>
  <c r="S115" i="35" s="1"/>
  <c r="C116" i="35"/>
  <c r="C117" i="35"/>
  <c r="C118" i="35"/>
  <c r="D118" i="35" s="1"/>
  <c r="T118" i="35" s="1"/>
  <c r="C119" i="35"/>
  <c r="D119" i="35" s="1"/>
  <c r="N119" i="35" s="1"/>
  <c r="C120" i="35"/>
  <c r="D120" i="35" s="1"/>
  <c r="P120" i="35" s="1"/>
  <c r="C4" i="35"/>
  <c r="F121" i="35" l="1"/>
  <c r="E121" i="35"/>
  <c r="J98" i="35"/>
  <c r="K98" i="35"/>
  <c r="I120" i="35"/>
  <c r="O105" i="35"/>
  <c r="K99" i="35"/>
  <c r="T99" i="35"/>
  <c r="K107" i="35"/>
  <c r="J84" i="35"/>
  <c r="S84" i="35"/>
  <c r="Q115" i="35"/>
  <c r="H101" i="35"/>
  <c r="R101" i="35"/>
  <c r="O109" i="35"/>
  <c r="P109" i="35"/>
  <c r="K85" i="35"/>
  <c r="M102" i="35"/>
  <c r="R102" i="35"/>
  <c r="J87" i="35"/>
  <c r="Q87" i="35"/>
  <c r="P103" i="35"/>
  <c r="K119" i="35"/>
  <c r="R119" i="35"/>
  <c r="I98" i="35"/>
  <c r="P98" i="35"/>
  <c r="M120" i="35"/>
  <c r="I105" i="35"/>
  <c r="L105" i="35"/>
  <c r="Q99" i="35"/>
  <c r="R99" i="35"/>
  <c r="N107" i="35"/>
  <c r="N84" i="35"/>
  <c r="O84" i="35"/>
  <c r="O115" i="35"/>
  <c r="J101" i="35"/>
  <c r="S101" i="35"/>
  <c r="I109" i="35"/>
  <c r="T85" i="35"/>
  <c r="I102" i="35"/>
  <c r="S102" i="35"/>
  <c r="L87" i="35"/>
  <c r="T87" i="35"/>
  <c r="N103" i="35"/>
  <c r="O119" i="35"/>
  <c r="S119" i="35"/>
  <c r="F122" i="35"/>
  <c r="O98" i="35"/>
  <c r="T98" i="35"/>
  <c r="N120" i="35"/>
  <c r="H105" i="35"/>
  <c r="M105" i="35"/>
  <c r="I99" i="35"/>
  <c r="S99" i="35"/>
  <c r="O107" i="35"/>
  <c r="L84" i="35"/>
  <c r="Q84" i="35"/>
  <c r="P115" i="35"/>
  <c r="L101" i="35"/>
  <c r="O101" i="35"/>
  <c r="L109" i="35"/>
  <c r="H85" i="35"/>
  <c r="R85" i="35"/>
  <c r="H102" i="35"/>
  <c r="Q102" i="35"/>
  <c r="M87" i="35"/>
  <c r="I103" i="35"/>
  <c r="O103" i="35"/>
  <c r="H119" i="35"/>
  <c r="Q119" i="35"/>
  <c r="E122" i="35"/>
  <c r="T122" i="35" s="1"/>
  <c r="Q98" i="35"/>
  <c r="O120" i="35"/>
  <c r="J105" i="35"/>
  <c r="Q105" i="35"/>
  <c r="O99" i="35"/>
  <c r="J107" i="35"/>
  <c r="L107" i="35"/>
  <c r="M84" i="35"/>
  <c r="J115" i="35"/>
  <c r="L115" i="35"/>
  <c r="I101" i="35"/>
  <c r="Q101" i="35"/>
  <c r="N109" i="35"/>
  <c r="L85" i="35"/>
  <c r="S85" i="35"/>
  <c r="J102" i="35"/>
  <c r="P102" i="35"/>
  <c r="O87" i="35"/>
  <c r="K103" i="35"/>
  <c r="R103" i="35"/>
  <c r="J119" i="35"/>
  <c r="T119" i="35"/>
  <c r="N98" i="35"/>
  <c r="H120" i="35"/>
  <c r="R120" i="35"/>
  <c r="K105" i="35"/>
  <c r="P105" i="35"/>
  <c r="N99" i="35"/>
  <c r="H107" i="35"/>
  <c r="M107" i="35"/>
  <c r="K84" i="35"/>
  <c r="H115" i="35"/>
  <c r="M115" i="35"/>
  <c r="N101" i="35"/>
  <c r="P101" i="35"/>
  <c r="M109" i="35"/>
  <c r="J85" i="35"/>
  <c r="O85" i="35"/>
  <c r="N102" i="35"/>
  <c r="P87" i="35"/>
  <c r="H103" i="35"/>
  <c r="S103" i="35"/>
  <c r="L119" i="35"/>
  <c r="R98" i="35"/>
  <c r="K120" i="35"/>
  <c r="S120" i="35"/>
  <c r="R105" i="35"/>
  <c r="T105" i="35"/>
  <c r="L99" i="35"/>
  <c r="P107" i="35"/>
  <c r="T107" i="35"/>
  <c r="P84" i="35"/>
  <c r="I115" i="35"/>
  <c r="T115" i="35"/>
  <c r="T101" i="35"/>
  <c r="J109" i="35"/>
  <c r="R109" i="35"/>
  <c r="I85" i="35"/>
  <c r="Q85" i="35"/>
  <c r="O102" i="35"/>
  <c r="K87" i="35"/>
  <c r="N87" i="35"/>
  <c r="J103" i="35"/>
  <c r="Q103" i="35"/>
  <c r="M119" i="35"/>
  <c r="L98" i="35"/>
  <c r="M98" i="35"/>
  <c r="L120" i="35"/>
  <c r="Q120" i="35"/>
  <c r="N105" i="35"/>
  <c r="H99" i="35"/>
  <c r="M99" i="35"/>
  <c r="Q107" i="35"/>
  <c r="R107" i="35"/>
  <c r="I84" i="35"/>
  <c r="T84" i="35"/>
  <c r="K115" i="35"/>
  <c r="R115" i="35"/>
  <c r="M101" i="35"/>
  <c r="K109" i="35"/>
  <c r="S109" i="35"/>
  <c r="N85" i="35"/>
  <c r="P85" i="35"/>
  <c r="T102" i="35"/>
  <c r="I87" i="35"/>
  <c r="R87" i="35"/>
  <c r="L103" i="35"/>
  <c r="T103" i="35"/>
  <c r="P119" i="35"/>
  <c r="H98" i="35"/>
  <c r="J120" i="35"/>
  <c r="J99" i="35"/>
  <c r="I107" i="35"/>
  <c r="H84" i="35"/>
  <c r="N115" i="35"/>
  <c r="H109" i="35"/>
  <c r="K102" i="35"/>
  <c r="H87" i="35"/>
  <c r="I119" i="35"/>
  <c r="D4" i="35"/>
  <c r="T4" i="35" l="1"/>
  <c r="X70" i="37" l="1"/>
  <c r="W70" i="37"/>
  <c r="V70" i="37"/>
  <c r="D57" i="35"/>
  <c r="T57" i="35" l="1"/>
  <c r="Z81" i="37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U59" i="35" s="1"/>
  <c r="F60" i="35"/>
  <c r="F61" i="35"/>
  <c r="F62" i="35"/>
  <c r="F63" i="35"/>
  <c r="F64" i="35"/>
  <c r="F65" i="35"/>
  <c r="F66" i="35"/>
  <c r="F67" i="35"/>
  <c r="F68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4" i="35"/>
  <c r="W36" i="37" l="1"/>
  <c r="V36" i="37"/>
  <c r="X36" i="37"/>
  <c r="X33" i="37"/>
  <c r="V33" i="37"/>
  <c r="W33" i="37"/>
  <c r="X34" i="37"/>
  <c r="W34" i="37"/>
  <c r="V34" i="37"/>
  <c r="W31" i="37"/>
  <c r="X31" i="37"/>
  <c r="V31" i="37"/>
  <c r="W47" i="37"/>
  <c r="V47" i="37"/>
  <c r="X47" i="37"/>
  <c r="Y81" i="37"/>
  <c r="P34" i="36" l="1"/>
  <c r="P35" i="36"/>
  <c r="S121" i="35"/>
  <c r="S122" i="35"/>
  <c r="P82" i="36"/>
  <c r="P83" i="36"/>
  <c r="P85" i="36"/>
  <c r="P86" i="36"/>
  <c r="P8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9" i="35"/>
  <c r="E40" i="35"/>
  <c r="E41" i="35"/>
  <c r="E42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4" i="35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71" i="36"/>
  <c r="B72" i="36"/>
  <c r="B73" i="36"/>
  <c r="B74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4" i="36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88" i="35"/>
  <c r="D89" i="35"/>
  <c r="D90" i="35"/>
  <c r="D91" i="35"/>
  <c r="D92" i="35"/>
  <c r="D93" i="35"/>
  <c r="D94" i="35"/>
  <c r="D95" i="35"/>
  <c r="D96" i="35"/>
  <c r="D97" i="35"/>
  <c r="S61" i="35" l="1"/>
  <c r="R61" i="35"/>
  <c r="T61" i="35"/>
  <c r="S20" i="35"/>
  <c r="T20" i="35"/>
  <c r="S79" i="35"/>
  <c r="S69" i="35"/>
  <c r="P45" i="36" s="1"/>
  <c r="T69" i="35"/>
  <c r="S28" i="35"/>
  <c r="R28" i="35"/>
  <c r="P28" i="35"/>
  <c r="L28" i="35"/>
  <c r="Q28" i="35"/>
  <c r="M28" i="35"/>
  <c r="N28" i="35"/>
  <c r="O28" i="35"/>
  <c r="K28" i="35"/>
  <c r="I28" i="35"/>
  <c r="H28" i="35"/>
  <c r="J28" i="35"/>
  <c r="T51" i="35"/>
  <c r="S51" i="35"/>
  <c r="T27" i="35"/>
  <c r="S27" i="35"/>
  <c r="P11" i="35"/>
  <c r="K11" i="35"/>
  <c r="L11" i="35"/>
  <c r="M11" i="35"/>
  <c r="S11" i="35"/>
  <c r="N11" i="35"/>
  <c r="O11" i="35"/>
  <c r="R11" i="35"/>
  <c r="J11" i="35"/>
  <c r="I11" i="35"/>
  <c r="H11" i="35"/>
  <c r="Q11" i="35"/>
  <c r="S91" i="35"/>
  <c r="T91" i="35"/>
  <c r="T75" i="35"/>
  <c r="K75" i="35"/>
  <c r="M75" i="35"/>
  <c r="S75" i="35"/>
  <c r="N75" i="35"/>
  <c r="P75" i="35"/>
  <c r="Q75" i="35"/>
  <c r="O75" i="35"/>
  <c r="L75" i="35"/>
  <c r="I75" i="35"/>
  <c r="J75" i="35"/>
  <c r="H75" i="35"/>
  <c r="R75" i="35"/>
  <c r="T67" i="35"/>
  <c r="S67" i="35"/>
  <c r="P59" i="35"/>
  <c r="K59" i="35"/>
  <c r="R59" i="35"/>
  <c r="M59" i="35"/>
  <c r="Q59" i="35"/>
  <c r="N59" i="35"/>
  <c r="O59" i="35"/>
  <c r="L59" i="35"/>
  <c r="I59" i="35"/>
  <c r="H59" i="35"/>
  <c r="J59" i="35"/>
  <c r="S59" i="35"/>
  <c r="T50" i="35"/>
  <c r="S50" i="35"/>
  <c r="P42" i="35"/>
  <c r="Q42" i="35"/>
  <c r="M42" i="35"/>
  <c r="L42" i="35"/>
  <c r="S42" i="35"/>
  <c r="N42" i="35"/>
  <c r="O42" i="35"/>
  <c r="R42" i="35"/>
  <c r="K42" i="35"/>
  <c r="I42" i="35"/>
  <c r="J42" i="35"/>
  <c r="H42" i="35"/>
  <c r="P34" i="35"/>
  <c r="Q34" i="35"/>
  <c r="S34" i="35"/>
  <c r="L34" i="35"/>
  <c r="M34" i="35"/>
  <c r="R34" i="35"/>
  <c r="N34" i="35"/>
  <c r="I34" i="35"/>
  <c r="O34" i="35"/>
  <c r="J34" i="35"/>
  <c r="H34" i="35"/>
  <c r="K34" i="35"/>
  <c r="P26" i="35"/>
  <c r="Q26" i="35"/>
  <c r="R26" i="35"/>
  <c r="L26" i="35"/>
  <c r="M26" i="35"/>
  <c r="N26" i="35"/>
  <c r="O26" i="35"/>
  <c r="S26" i="35"/>
  <c r="K26" i="35"/>
  <c r="I26" i="35"/>
  <c r="J26" i="35"/>
  <c r="H26" i="35"/>
  <c r="T18" i="35"/>
  <c r="S18" i="35"/>
  <c r="T10" i="35"/>
  <c r="S10" i="35"/>
  <c r="S118" i="35"/>
  <c r="S86" i="35"/>
  <c r="S52" i="35"/>
  <c r="R52" i="35"/>
  <c r="Q52" i="35"/>
  <c r="O52" i="35"/>
  <c r="P52" i="35"/>
  <c r="M52" i="35"/>
  <c r="L52" i="35"/>
  <c r="N52" i="35"/>
  <c r="I52" i="35"/>
  <c r="K52" i="35"/>
  <c r="H52" i="35"/>
  <c r="J52" i="35"/>
  <c r="S80" i="35"/>
  <c r="S76" i="35"/>
  <c r="T76" i="35"/>
  <c r="T74" i="35"/>
  <c r="S74" i="35"/>
  <c r="T41" i="35"/>
  <c r="S41" i="35"/>
  <c r="T25" i="35"/>
  <c r="S25" i="35"/>
  <c r="P17" i="35"/>
  <c r="O17" i="35"/>
  <c r="S17" i="35"/>
  <c r="R17" i="35"/>
  <c r="Q17" i="35"/>
  <c r="M17" i="35"/>
  <c r="N17" i="35"/>
  <c r="K17" i="35"/>
  <c r="I17" i="35"/>
  <c r="J17" i="35"/>
  <c r="L17" i="35"/>
  <c r="H17" i="35"/>
  <c r="P9" i="35"/>
  <c r="O9" i="35"/>
  <c r="S9" i="35"/>
  <c r="R9" i="35"/>
  <c r="Q9" i="35"/>
  <c r="M9" i="35"/>
  <c r="N9" i="35"/>
  <c r="K9" i="35"/>
  <c r="J9" i="35"/>
  <c r="I9" i="35"/>
  <c r="L9" i="35"/>
  <c r="H9" i="35"/>
  <c r="S112" i="35"/>
  <c r="S60" i="35"/>
  <c r="T60" i="35"/>
  <c r="P35" i="35"/>
  <c r="O35" i="35"/>
  <c r="K35" i="35"/>
  <c r="S35" i="35"/>
  <c r="M35" i="35"/>
  <c r="R35" i="35"/>
  <c r="N35" i="35"/>
  <c r="Q35" i="35"/>
  <c r="I35" i="35"/>
  <c r="J35" i="35"/>
  <c r="H35" i="35"/>
  <c r="L35" i="35"/>
  <c r="P19" i="35"/>
  <c r="O19" i="35"/>
  <c r="K19" i="35"/>
  <c r="Q19" i="35"/>
  <c r="L19" i="35"/>
  <c r="M19" i="35"/>
  <c r="N19" i="35"/>
  <c r="R19" i="35"/>
  <c r="I19" i="35"/>
  <c r="H19" i="35"/>
  <c r="J19" i="35"/>
  <c r="S19" i="35"/>
  <c r="T58" i="35"/>
  <c r="S58" i="35"/>
  <c r="T97" i="35"/>
  <c r="P97" i="35"/>
  <c r="Q97" i="35"/>
  <c r="S97" i="35"/>
  <c r="M97" i="35"/>
  <c r="L97" i="35"/>
  <c r="R97" i="35"/>
  <c r="N97" i="35"/>
  <c r="O97" i="35"/>
  <c r="J97" i="35"/>
  <c r="H97" i="35"/>
  <c r="K97" i="35"/>
  <c r="I97" i="35"/>
  <c r="T89" i="35"/>
  <c r="P89" i="35"/>
  <c r="Q89" i="35"/>
  <c r="R89" i="35"/>
  <c r="M89" i="35"/>
  <c r="L89" i="35"/>
  <c r="N89" i="35"/>
  <c r="S89" i="35"/>
  <c r="K89" i="35"/>
  <c r="O89" i="35"/>
  <c r="J89" i="35"/>
  <c r="H89" i="35"/>
  <c r="I89" i="35"/>
  <c r="P73" i="35"/>
  <c r="Q73" i="35"/>
  <c r="O73" i="35"/>
  <c r="S73" i="35"/>
  <c r="R73" i="35"/>
  <c r="N73" i="35"/>
  <c r="K73" i="35"/>
  <c r="I73" i="35"/>
  <c r="J73" i="35"/>
  <c r="L73" i="35"/>
  <c r="H73" i="35"/>
  <c r="M73" i="35"/>
  <c r="T65" i="35"/>
  <c r="S65" i="35"/>
  <c r="Q56" i="35"/>
  <c r="O56" i="35"/>
  <c r="S56" i="35"/>
  <c r="R56" i="35"/>
  <c r="N56" i="35"/>
  <c r="P56" i="35"/>
  <c r="M56" i="35"/>
  <c r="L56" i="35"/>
  <c r="J56" i="35"/>
  <c r="H56" i="35"/>
  <c r="K56" i="35"/>
  <c r="I56" i="35"/>
  <c r="Q48" i="35"/>
  <c r="O48" i="35"/>
  <c r="S48" i="35"/>
  <c r="R48" i="35"/>
  <c r="N48" i="35"/>
  <c r="P48" i="35"/>
  <c r="M48" i="35"/>
  <c r="L48" i="35"/>
  <c r="J48" i="35"/>
  <c r="H48" i="35"/>
  <c r="K48" i="35"/>
  <c r="I48" i="35"/>
  <c r="T40" i="35"/>
  <c r="S40" i="35"/>
  <c r="Q32" i="35"/>
  <c r="O32" i="35"/>
  <c r="S32" i="35"/>
  <c r="R32" i="35"/>
  <c r="N32" i="35"/>
  <c r="P32" i="35"/>
  <c r="L32" i="35"/>
  <c r="J32" i="35"/>
  <c r="H32" i="35"/>
  <c r="K32" i="35"/>
  <c r="M32" i="35"/>
  <c r="I32" i="35"/>
  <c r="T24" i="35"/>
  <c r="S24" i="35"/>
  <c r="T16" i="35"/>
  <c r="S16" i="35"/>
  <c r="O8" i="35"/>
  <c r="S8" i="35"/>
  <c r="R8" i="35"/>
  <c r="Q8" i="35"/>
  <c r="N8" i="35"/>
  <c r="P8" i="35"/>
  <c r="L8" i="35"/>
  <c r="H8" i="35"/>
  <c r="K8" i="35"/>
  <c r="I8" i="35"/>
  <c r="J8" i="35"/>
  <c r="M8" i="35"/>
  <c r="S108" i="35"/>
  <c r="S100" i="35"/>
  <c r="S92" i="35"/>
  <c r="T92" i="35"/>
  <c r="P43" i="35"/>
  <c r="K43" i="35"/>
  <c r="M43" i="35"/>
  <c r="S43" i="35"/>
  <c r="N43" i="35"/>
  <c r="O43" i="35"/>
  <c r="Q43" i="35"/>
  <c r="R43" i="35"/>
  <c r="L43" i="35"/>
  <c r="I43" i="35"/>
  <c r="J43" i="35"/>
  <c r="H43" i="35"/>
  <c r="T66" i="35"/>
  <c r="S66" i="35"/>
  <c r="T64" i="35"/>
  <c r="S64" i="35"/>
  <c r="S47" i="35"/>
  <c r="T47" i="35"/>
  <c r="P39" i="35"/>
  <c r="Q39" i="35"/>
  <c r="S39" i="35"/>
  <c r="R39" i="35"/>
  <c r="O39" i="35"/>
  <c r="M39" i="35"/>
  <c r="L39" i="35"/>
  <c r="N39" i="35"/>
  <c r="J39" i="35"/>
  <c r="H39" i="35"/>
  <c r="K39" i="35"/>
  <c r="I39" i="35"/>
  <c r="S31" i="35"/>
  <c r="T31" i="35"/>
  <c r="P23" i="35"/>
  <c r="Q23" i="35"/>
  <c r="S23" i="35"/>
  <c r="R23" i="35"/>
  <c r="O23" i="35"/>
  <c r="M23" i="35"/>
  <c r="L23" i="35"/>
  <c r="N23" i="35"/>
  <c r="H23" i="35"/>
  <c r="I23" i="35"/>
  <c r="K23" i="35"/>
  <c r="J23" i="35"/>
  <c r="P15" i="35"/>
  <c r="S15" i="35"/>
  <c r="R15" i="35"/>
  <c r="Q15" i="35"/>
  <c r="O15" i="35"/>
  <c r="M15" i="35"/>
  <c r="K15" i="35"/>
  <c r="L15" i="35"/>
  <c r="N15" i="35"/>
  <c r="H15" i="35"/>
  <c r="I15" i="35"/>
  <c r="J15" i="35"/>
  <c r="S7" i="35"/>
  <c r="T7" i="35"/>
  <c r="S83" i="35"/>
  <c r="P93" i="35"/>
  <c r="Q93" i="35"/>
  <c r="O93" i="35"/>
  <c r="S93" i="35"/>
  <c r="R93" i="35"/>
  <c r="K93" i="35"/>
  <c r="T93" i="35"/>
  <c r="M93" i="35"/>
  <c r="N93" i="35"/>
  <c r="L93" i="35"/>
  <c r="I93" i="35"/>
  <c r="J93" i="35"/>
  <c r="H93" i="35"/>
  <c r="S44" i="35"/>
  <c r="T44" i="35"/>
  <c r="S12" i="35"/>
  <c r="T12" i="35"/>
  <c r="P49" i="35"/>
  <c r="Q49" i="35"/>
  <c r="O49" i="35"/>
  <c r="S49" i="35"/>
  <c r="R49" i="35"/>
  <c r="N49" i="35"/>
  <c r="K49" i="35"/>
  <c r="I49" i="35"/>
  <c r="J49" i="35"/>
  <c r="M49" i="35"/>
  <c r="L49" i="35"/>
  <c r="H49" i="35"/>
  <c r="T33" i="35"/>
  <c r="S33" i="35"/>
  <c r="T88" i="35"/>
  <c r="S88" i="35"/>
  <c r="T95" i="35"/>
  <c r="Q95" i="35"/>
  <c r="S95" i="35"/>
  <c r="R95" i="35"/>
  <c r="N95" i="35"/>
  <c r="O95" i="35"/>
  <c r="M95" i="35"/>
  <c r="L95" i="35"/>
  <c r="J95" i="35"/>
  <c r="H95" i="35"/>
  <c r="K95" i="35"/>
  <c r="P95" i="35"/>
  <c r="I95" i="35"/>
  <c r="S71" i="35"/>
  <c r="T71" i="35"/>
  <c r="P63" i="35"/>
  <c r="Q63" i="35"/>
  <c r="S63" i="35"/>
  <c r="R63" i="35"/>
  <c r="O63" i="35"/>
  <c r="K63" i="35"/>
  <c r="N63" i="35"/>
  <c r="L63" i="35"/>
  <c r="M63" i="35"/>
  <c r="H63" i="35"/>
  <c r="I63" i="35"/>
  <c r="J63" i="35"/>
  <c r="S54" i="35"/>
  <c r="T54" i="35"/>
  <c r="P46" i="35"/>
  <c r="Q46" i="35"/>
  <c r="O46" i="35"/>
  <c r="S46" i="35"/>
  <c r="R46" i="35"/>
  <c r="K46" i="35"/>
  <c r="M46" i="35"/>
  <c r="N46" i="35"/>
  <c r="L46" i="35"/>
  <c r="I46" i="35"/>
  <c r="H46" i="35"/>
  <c r="J46" i="35"/>
  <c r="P38" i="35"/>
  <c r="Q38" i="35"/>
  <c r="O38" i="35"/>
  <c r="S38" i="35"/>
  <c r="R38" i="35"/>
  <c r="K38" i="35"/>
  <c r="N38" i="35"/>
  <c r="I38" i="35"/>
  <c r="M38" i="35"/>
  <c r="L38" i="35"/>
  <c r="H38" i="35"/>
  <c r="J38" i="35"/>
  <c r="S30" i="35"/>
  <c r="T30" i="35"/>
  <c r="P22" i="35"/>
  <c r="Q22" i="35"/>
  <c r="O22" i="35"/>
  <c r="S22" i="35"/>
  <c r="R22" i="35"/>
  <c r="K22" i="35"/>
  <c r="N22" i="35"/>
  <c r="M22" i="35"/>
  <c r="I22" i="35"/>
  <c r="L22" i="35"/>
  <c r="J22" i="35"/>
  <c r="H22" i="35"/>
  <c r="P14" i="35"/>
  <c r="O14" i="35"/>
  <c r="S14" i="35"/>
  <c r="R14" i="35"/>
  <c r="Q14" i="35"/>
  <c r="K14" i="35"/>
  <c r="N14" i="35"/>
  <c r="M14" i="35"/>
  <c r="I14" i="35"/>
  <c r="J14" i="35"/>
  <c r="H14" i="35"/>
  <c r="L14" i="35"/>
  <c r="P6" i="35"/>
  <c r="O6" i="35"/>
  <c r="S6" i="35"/>
  <c r="R6" i="35"/>
  <c r="Q6" i="35"/>
  <c r="K6" i="35"/>
  <c r="N6" i="35"/>
  <c r="L6" i="35"/>
  <c r="J6" i="35"/>
  <c r="I6" i="35"/>
  <c r="M6" i="35"/>
  <c r="H6" i="35"/>
  <c r="S106" i="35"/>
  <c r="S82" i="35"/>
  <c r="S77" i="35"/>
  <c r="T77" i="35"/>
  <c r="S36" i="35"/>
  <c r="T36" i="35"/>
  <c r="S104" i="35"/>
  <c r="S68" i="35"/>
  <c r="T68" i="35"/>
  <c r="T90" i="35"/>
  <c r="O90" i="35"/>
  <c r="K90" i="35"/>
  <c r="R90" i="35"/>
  <c r="M90" i="35"/>
  <c r="Q90" i="35"/>
  <c r="N90" i="35"/>
  <c r="P90" i="35"/>
  <c r="S90" i="35"/>
  <c r="L90" i="35"/>
  <c r="I90" i="35"/>
  <c r="J90" i="35"/>
  <c r="H90" i="35"/>
  <c r="T96" i="35"/>
  <c r="S96" i="35"/>
  <c r="T72" i="35"/>
  <c r="S72" i="35"/>
  <c r="S55" i="35"/>
  <c r="T55" i="35"/>
  <c r="S94" i="35"/>
  <c r="T94" i="35"/>
  <c r="P78" i="35"/>
  <c r="Q78" i="35"/>
  <c r="O78" i="35"/>
  <c r="S78" i="35"/>
  <c r="R78" i="35"/>
  <c r="T78" i="35"/>
  <c r="K78" i="35"/>
  <c r="M78" i="35"/>
  <c r="N78" i="35"/>
  <c r="L78" i="35"/>
  <c r="I78" i="35"/>
  <c r="J78" i="35"/>
  <c r="H78" i="35"/>
  <c r="S70" i="35"/>
  <c r="T70" i="35"/>
  <c r="S62" i="35"/>
  <c r="R62" i="35"/>
  <c r="T62" i="35"/>
  <c r="S53" i="35"/>
  <c r="T53" i="35"/>
  <c r="S45" i="35"/>
  <c r="T45" i="35"/>
  <c r="S37" i="35"/>
  <c r="T37" i="35"/>
  <c r="Q29" i="35"/>
  <c r="O29" i="35"/>
  <c r="S29" i="35"/>
  <c r="R29" i="35"/>
  <c r="P29" i="35"/>
  <c r="K29" i="35"/>
  <c r="L29" i="35"/>
  <c r="M29" i="35"/>
  <c r="N29" i="35"/>
  <c r="J29" i="35"/>
  <c r="H29" i="35"/>
  <c r="I29" i="35"/>
  <c r="S21" i="35"/>
  <c r="T21" i="35"/>
  <c r="O13" i="35"/>
  <c r="S13" i="35"/>
  <c r="R13" i="35"/>
  <c r="Q13" i="35"/>
  <c r="K13" i="35"/>
  <c r="L13" i="35"/>
  <c r="P13" i="35"/>
  <c r="M13" i="35"/>
  <c r="J13" i="35"/>
  <c r="H13" i="35"/>
  <c r="I13" i="35"/>
  <c r="N13" i="35"/>
  <c r="O5" i="35"/>
  <c r="S5" i="35"/>
  <c r="R5" i="35"/>
  <c r="Q5" i="35"/>
  <c r="P5" i="35"/>
  <c r="L5" i="35"/>
  <c r="M5" i="35"/>
  <c r="K5" i="35"/>
  <c r="H5" i="35"/>
  <c r="I5" i="35"/>
  <c r="N5" i="35"/>
  <c r="J5" i="35"/>
  <c r="S4" i="35"/>
  <c r="S81" i="35"/>
  <c r="S57" i="35"/>
  <c r="W20" i="37"/>
  <c r="W32" i="37"/>
  <c r="V32" i="37"/>
  <c r="W12" i="37"/>
  <c r="X60" i="37"/>
  <c r="X50" i="37"/>
  <c r="W24" i="37"/>
  <c r="W19" i="37"/>
  <c r="W14" i="37"/>
  <c r="W17" i="37"/>
  <c r="X62" i="37"/>
  <c r="X66" i="37"/>
  <c r="W15" i="37"/>
  <c r="W11" i="37"/>
  <c r="X61" i="37"/>
  <c r="W9" i="37"/>
  <c r="W7" i="37"/>
  <c r="W5" i="37"/>
  <c r="W16" i="37"/>
  <c r="X51" i="37"/>
  <c r="V67" i="37"/>
  <c r="X28" i="37"/>
  <c r="X57" i="37"/>
  <c r="W27" i="37"/>
  <c r="X27" i="37"/>
  <c r="W21" i="37"/>
  <c r="X56" i="37"/>
  <c r="W4" i="37"/>
  <c r="X35" i="37"/>
  <c r="X53" i="37"/>
  <c r="W45" i="37"/>
  <c r="X54" i="37"/>
  <c r="W40" i="37"/>
  <c r="X40" i="37"/>
  <c r="W10" i="37"/>
  <c r="W55" i="37"/>
  <c r="X55" i="37"/>
  <c r="W3" i="37"/>
  <c r="W41" i="37"/>
  <c r="W25" i="37"/>
  <c r="W43" i="37"/>
  <c r="W49" i="37"/>
  <c r="X64" i="37"/>
  <c r="W23" i="37"/>
  <c r="W18" i="37"/>
  <c r="W13" i="37"/>
  <c r="W6" i="37"/>
  <c r="X37" i="37"/>
  <c r="W42" i="37"/>
  <c r="X59" i="37"/>
  <c r="X39" i="37"/>
  <c r="W73" i="37"/>
  <c r="W44" i="37"/>
  <c r="W68" i="37"/>
  <c r="W29" i="37"/>
  <c r="X29" i="37"/>
  <c r="W26" i="37"/>
  <c r="W22" i="37"/>
  <c r="W8" i="37"/>
  <c r="P56" i="36"/>
  <c r="P32" i="36"/>
  <c r="P55" i="36"/>
  <c r="P80" i="36"/>
  <c r="P84" i="36"/>
  <c r="P37" i="36"/>
  <c r="P11" i="36" l="1"/>
  <c r="P33" i="36"/>
  <c r="P78" i="36"/>
  <c r="P6" i="36"/>
  <c r="P59" i="36"/>
  <c r="P68" i="36"/>
  <c r="P30" i="36"/>
  <c r="P28" i="36"/>
  <c r="P41" i="36"/>
  <c r="P14" i="36"/>
  <c r="P77" i="36"/>
  <c r="P69" i="36"/>
  <c r="P7" i="36"/>
  <c r="P39" i="36"/>
  <c r="P18" i="36"/>
  <c r="P38" i="36"/>
  <c r="P72" i="36"/>
  <c r="P43" i="36"/>
  <c r="P67" i="36"/>
  <c r="P42" i="36"/>
  <c r="P70" i="36"/>
  <c r="P23" i="36"/>
  <c r="P17" i="36"/>
  <c r="P5" i="36"/>
  <c r="P71" i="36"/>
  <c r="P64" i="36"/>
  <c r="P63" i="36"/>
  <c r="P65" i="36"/>
  <c r="P79" i="36"/>
  <c r="P73" i="36"/>
  <c r="P76" i="36"/>
  <c r="P66" i="36"/>
  <c r="P75" i="36"/>
  <c r="P20" i="36"/>
  <c r="P31" i="36"/>
  <c r="P61" i="36"/>
  <c r="P62" i="36"/>
  <c r="P36" i="36"/>
  <c r="P60" i="36"/>
  <c r="P50" i="36"/>
  <c r="P27" i="36"/>
  <c r="P25" i="36"/>
  <c r="P10" i="36"/>
  <c r="P15" i="36"/>
  <c r="P21" i="36"/>
  <c r="P12" i="36"/>
  <c r="P51" i="36"/>
  <c r="P22" i="36"/>
  <c r="P40" i="36"/>
  <c r="P9" i="36"/>
  <c r="P13" i="36"/>
  <c r="P16" i="36"/>
  <c r="P24" i="36"/>
  <c r="P57" i="36"/>
  <c r="P8" i="36"/>
  <c r="P29" i="36"/>
  <c r="P48" i="36"/>
  <c r="P46" i="36"/>
  <c r="P4" i="36"/>
  <c r="P54" i="36"/>
  <c r="P81" i="36"/>
  <c r="P44" i="36"/>
  <c r="P53" i="36"/>
  <c r="P19" i="36"/>
  <c r="P47" i="36"/>
  <c r="P26" i="36"/>
  <c r="P49" i="36"/>
  <c r="P58" i="36"/>
  <c r="P74" i="36"/>
  <c r="P52" i="36"/>
  <c r="P88" i="36" l="1"/>
  <c r="T48" i="36" l="1"/>
  <c r="T56" i="36"/>
  <c r="R9" i="36"/>
  <c r="S12" i="36"/>
  <c r="T29" i="35"/>
  <c r="R17" i="36"/>
  <c r="S20" i="36"/>
  <c r="T46" i="35"/>
  <c r="R25" i="36"/>
  <c r="S28" i="36"/>
  <c r="R33" i="36"/>
  <c r="S36" i="36"/>
  <c r="R41" i="36"/>
  <c r="S44" i="36"/>
  <c r="Q47" i="36"/>
  <c r="Y47" i="36" s="1"/>
  <c r="R49" i="36"/>
  <c r="R7" i="36"/>
  <c r="S10" i="36"/>
  <c r="T26" i="35"/>
  <c r="R15" i="36"/>
  <c r="S18" i="36"/>
  <c r="T42" i="35"/>
  <c r="R23" i="36"/>
  <c r="S26" i="36"/>
  <c r="R31" i="36"/>
  <c r="S34" i="36"/>
  <c r="Q37" i="36"/>
  <c r="R39" i="36"/>
  <c r="S42" i="36"/>
  <c r="Q45" i="36"/>
  <c r="Y45" i="36" s="1"/>
  <c r="R47" i="36"/>
  <c r="S8" i="36"/>
  <c r="T22" i="35"/>
  <c r="R13" i="36"/>
  <c r="S16" i="36"/>
  <c r="T38" i="35"/>
  <c r="R21" i="36"/>
  <c r="S24" i="36"/>
  <c r="R29" i="36"/>
  <c r="S32" i="36"/>
  <c r="Q35" i="36"/>
  <c r="R8" i="36"/>
  <c r="S11" i="36"/>
  <c r="T28" i="35"/>
  <c r="R16" i="36"/>
  <c r="S19" i="36"/>
  <c r="T43" i="35"/>
  <c r="R24" i="36"/>
  <c r="S27" i="36"/>
  <c r="T56" i="35"/>
  <c r="R32" i="36"/>
  <c r="S35" i="36"/>
  <c r="R40" i="36"/>
  <c r="S43" i="36"/>
  <c r="Q46" i="36"/>
  <c r="Y46" i="36" s="1"/>
  <c r="T23" i="35"/>
  <c r="S17" i="36"/>
  <c r="R22" i="36"/>
  <c r="S33" i="36"/>
  <c r="S38" i="36"/>
  <c r="R42" i="36"/>
  <c r="R46" i="36"/>
  <c r="S50" i="36"/>
  <c r="Q53" i="36"/>
  <c r="Y53" i="36" s="1"/>
  <c r="R55" i="36"/>
  <c r="S58" i="36"/>
  <c r="R63" i="36"/>
  <c r="S66" i="36"/>
  <c r="Q69" i="36"/>
  <c r="R71" i="36"/>
  <c r="S74" i="36"/>
  <c r="T109" i="35"/>
  <c r="R79" i="36"/>
  <c r="S82" i="36"/>
  <c r="Q84" i="36"/>
  <c r="R65" i="35"/>
  <c r="R72" i="35"/>
  <c r="R104" i="35"/>
  <c r="O81" i="36"/>
  <c r="O87" i="36"/>
  <c r="Q64" i="35"/>
  <c r="Q100" i="35"/>
  <c r="Q122" i="35"/>
  <c r="N86" i="36"/>
  <c r="S7" i="36"/>
  <c r="R12" i="36"/>
  <c r="T35" i="35"/>
  <c r="S23" i="36"/>
  <c r="R28" i="36"/>
  <c r="Q34" i="36"/>
  <c r="R38" i="36"/>
  <c r="Q43" i="36"/>
  <c r="S47" i="36"/>
  <c r="R50" i="36"/>
  <c r="S53" i="36"/>
  <c r="Q56" i="36"/>
  <c r="Y56" i="36" s="1"/>
  <c r="R58" i="36"/>
  <c r="S61" i="36"/>
  <c r="R66" i="36"/>
  <c r="S69" i="36"/>
  <c r="R74" i="36"/>
  <c r="S77" i="36"/>
  <c r="Q80" i="36"/>
  <c r="Y80" i="36" s="1"/>
  <c r="R82" i="36"/>
  <c r="S84" i="36"/>
  <c r="Q86" i="36"/>
  <c r="Y86" i="36" s="1"/>
  <c r="R66" i="35"/>
  <c r="R86" i="35"/>
  <c r="R106" i="35"/>
  <c r="O82" i="36"/>
  <c r="Q65" i="35"/>
  <c r="Q72" i="35"/>
  <c r="Q104" i="35"/>
  <c r="N81" i="36"/>
  <c r="N87" i="36"/>
  <c r="P70" i="35"/>
  <c r="P80" i="35"/>
  <c r="P94" i="35"/>
  <c r="P118" i="35"/>
  <c r="M85" i="36"/>
  <c r="O104" i="35"/>
  <c r="L81" i="36"/>
  <c r="L87" i="36"/>
  <c r="O21" i="35"/>
  <c r="O37" i="35"/>
  <c r="O53" i="35"/>
  <c r="L35" i="36"/>
  <c r="O67" i="35"/>
  <c r="N104" i="35"/>
  <c r="K81" i="36"/>
  <c r="T15" i="35"/>
  <c r="S13" i="36"/>
  <c r="R18" i="36"/>
  <c r="T48" i="35"/>
  <c r="S29" i="36"/>
  <c r="R34" i="36"/>
  <c r="S39" i="36"/>
  <c r="R43" i="36"/>
  <c r="Q48" i="36"/>
  <c r="Y48" i="36" s="1"/>
  <c r="Q51" i="36"/>
  <c r="Y51" i="36" s="1"/>
  <c r="R53" i="36"/>
  <c r="S56" i="36"/>
  <c r="Q59" i="36"/>
  <c r="Y59" i="36" s="1"/>
  <c r="R61" i="36"/>
  <c r="S64" i="36"/>
  <c r="Q67" i="36"/>
  <c r="R69" i="36"/>
  <c r="S72" i="36"/>
  <c r="Q75" i="36"/>
  <c r="Y75" i="36" s="1"/>
  <c r="T17" i="35"/>
  <c r="S14" i="36"/>
  <c r="R19" i="36"/>
  <c r="T49" i="35"/>
  <c r="S30" i="36"/>
  <c r="R35" i="36"/>
  <c r="Q40" i="36"/>
  <c r="Q44" i="36"/>
  <c r="Y44" i="36" s="1"/>
  <c r="S48" i="36"/>
  <c r="S51" i="36"/>
  <c r="Q54" i="36"/>
  <c r="Y54" i="36" s="1"/>
  <c r="R56" i="36"/>
  <c r="S59" i="36"/>
  <c r="R64" i="36"/>
  <c r="S67" i="36"/>
  <c r="Q70" i="36"/>
  <c r="R72" i="36"/>
  <c r="S75" i="36"/>
  <c r="R80" i="36"/>
  <c r="Q85" i="36"/>
  <c r="R86" i="36"/>
  <c r="R68" i="35"/>
  <c r="R76" i="35"/>
  <c r="R91" i="35"/>
  <c r="R108" i="35"/>
  <c r="O83" i="36"/>
  <c r="N35" i="36"/>
  <c r="Q67" i="35"/>
  <c r="Q74" i="35"/>
  <c r="Q77" i="35"/>
  <c r="Q88" i="35"/>
  <c r="P100" i="35"/>
  <c r="P122" i="35"/>
  <c r="M86" i="36"/>
  <c r="O77" i="35"/>
  <c r="O88" i="35"/>
  <c r="O7" i="35"/>
  <c r="O25" i="35"/>
  <c r="O41" i="35"/>
  <c r="O55" i="35"/>
  <c r="O69" i="35"/>
  <c r="N77" i="35"/>
  <c r="N88" i="35"/>
  <c r="S9" i="36"/>
  <c r="R14" i="36"/>
  <c r="T39" i="35"/>
  <c r="S25" i="36"/>
  <c r="R30" i="36"/>
  <c r="S40" i="36"/>
  <c r="R44" i="36"/>
  <c r="R48" i="36"/>
  <c r="R51" i="36"/>
  <c r="S54" i="36"/>
  <c r="R59" i="36"/>
  <c r="S62" i="36"/>
  <c r="R67" i="36"/>
  <c r="S70" i="36"/>
  <c r="Q73" i="36"/>
  <c r="R75" i="36"/>
  <c r="S78" i="36"/>
  <c r="S85" i="36"/>
  <c r="Q87" i="36"/>
  <c r="Y87" i="36" s="1"/>
  <c r="R69" i="35"/>
  <c r="R79" i="35"/>
  <c r="R92" i="35"/>
  <c r="R112" i="35"/>
  <c r="Q60" i="35"/>
  <c r="Q68" i="35"/>
  <c r="Q76" i="35"/>
  <c r="Q91" i="35"/>
  <c r="Q108" i="35"/>
  <c r="N83" i="36"/>
  <c r="P65" i="35"/>
  <c r="P72" i="35"/>
  <c r="P104" i="35"/>
  <c r="M81" i="36"/>
  <c r="M87" i="36"/>
  <c r="O91" i="35"/>
  <c r="O108" i="35"/>
  <c r="L83" i="36"/>
  <c r="O10" i="35"/>
  <c r="O27" i="35"/>
  <c r="O44" i="35"/>
  <c r="O57" i="35"/>
  <c r="O61" i="35"/>
  <c r="T19" i="35"/>
  <c r="S15" i="36"/>
  <c r="R20" i="36"/>
  <c r="T52" i="35"/>
  <c r="S31" i="36"/>
  <c r="R36" i="36"/>
  <c r="Q41" i="36"/>
  <c r="S45" i="36"/>
  <c r="Q49" i="36"/>
  <c r="Y49" i="36" s="1"/>
  <c r="Q52" i="36"/>
  <c r="Y52" i="36" s="1"/>
  <c r="R54" i="36"/>
  <c r="S57" i="36"/>
  <c r="R62" i="36"/>
  <c r="S65" i="36"/>
  <c r="Q68" i="36"/>
  <c r="R70" i="36"/>
  <c r="S73" i="36"/>
  <c r="Q76" i="36"/>
  <c r="Y76" i="36" s="1"/>
  <c r="R78" i="36"/>
  <c r="S81" i="36"/>
  <c r="Q83" i="36"/>
  <c r="R85" i="36"/>
  <c r="S87" i="36"/>
  <c r="R10" i="36"/>
  <c r="T32" i="35"/>
  <c r="S21" i="36"/>
  <c r="R26" i="36"/>
  <c r="Q32" i="36"/>
  <c r="S37" i="36"/>
  <c r="S41" i="36"/>
  <c r="R45" i="36"/>
  <c r="S49" i="36"/>
  <c r="S52" i="36"/>
  <c r="Q55" i="36"/>
  <c r="Y55" i="36" s="1"/>
  <c r="R57" i="36"/>
  <c r="S60" i="36"/>
  <c r="R65" i="36"/>
  <c r="S68" i="36"/>
  <c r="Q71" i="36"/>
  <c r="Y71" i="36" s="1"/>
  <c r="R73" i="36"/>
  <c r="S76" i="36"/>
  <c r="Q79" i="36"/>
  <c r="Y79" i="36" s="1"/>
  <c r="R81" i="36"/>
  <c r="S83" i="36"/>
  <c r="R87" i="36"/>
  <c r="R71" i="35"/>
  <c r="R81" i="35"/>
  <c r="R96" i="35"/>
  <c r="R121" i="35"/>
  <c r="Q61" i="35"/>
  <c r="Q70" i="35"/>
  <c r="Q80" i="35"/>
  <c r="Q94" i="35"/>
  <c r="Q118" i="35"/>
  <c r="N85" i="36"/>
  <c r="P67" i="35"/>
  <c r="P74" i="35"/>
  <c r="P77" i="35"/>
  <c r="P88" i="35"/>
  <c r="O80" i="35"/>
  <c r="O94" i="35"/>
  <c r="O118" i="35"/>
  <c r="L85" i="36"/>
  <c r="O76" i="35"/>
  <c r="O16" i="35"/>
  <c r="O31" i="35"/>
  <c r="O47" i="35"/>
  <c r="O64" i="35"/>
  <c r="N80" i="35"/>
  <c r="N94" i="35"/>
  <c r="N118" i="35"/>
  <c r="T59" i="35"/>
  <c r="R60" i="36"/>
  <c r="S79" i="36"/>
  <c r="R67" i="35"/>
  <c r="O85" i="36"/>
  <c r="Q96" i="35"/>
  <c r="P66" i="35"/>
  <c r="P106" i="35"/>
  <c r="O92" i="35"/>
  <c r="O12" i="35"/>
  <c r="O45" i="35"/>
  <c r="O62" i="35"/>
  <c r="N96" i="35"/>
  <c r="K83" i="36"/>
  <c r="N71" i="35"/>
  <c r="M66" i="35"/>
  <c r="M86" i="35"/>
  <c r="M106" i="35"/>
  <c r="J82" i="36"/>
  <c r="L71" i="35"/>
  <c r="L81" i="35"/>
  <c r="L96" i="35"/>
  <c r="L121" i="35"/>
  <c r="L16" i="35"/>
  <c r="L31" i="35"/>
  <c r="L47" i="35"/>
  <c r="L64" i="35"/>
  <c r="K72" i="35"/>
  <c r="K104" i="35"/>
  <c r="H81" i="36"/>
  <c r="H87" i="36"/>
  <c r="K20" i="35"/>
  <c r="K36" i="35"/>
  <c r="K51" i="35"/>
  <c r="H34" i="36"/>
  <c r="J100" i="35"/>
  <c r="J122" i="35"/>
  <c r="G86" i="36"/>
  <c r="J12" i="35"/>
  <c r="J30" i="35"/>
  <c r="J45" i="35"/>
  <c r="J58" i="35"/>
  <c r="J62" i="35"/>
  <c r="J71" i="35"/>
  <c r="I10" i="35"/>
  <c r="I27" i="35"/>
  <c r="I44" i="35"/>
  <c r="I57" i="35"/>
  <c r="I61" i="35"/>
  <c r="I70" i="35"/>
  <c r="I80" i="35"/>
  <c r="I94" i="35"/>
  <c r="I118" i="35"/>
  <c r="F85" i="36"/>
  <c r="H12" i="35"/>
  <c r="H30" i="35"/>
  <c r="H45" i="35"/>
  <c r="H58" i="35"/>
  <c r="H62" i="35"/>
  <c r="H71" i="35"/>
  <c r="H81" i="35"/>
  <c r="R37" i="36"/>
  <c r="S63" i="36"/>
  <c r="S80" i="36"/>
  <c r="R70" i="35"/>
  <c r="R88" i="35"/>
  <c r="O86" i="36"/>
  <c r="Q106" i="35"/>
  <c r="P68" i="35"/>
  <c r="P108" i="35"/>
  <c r="P62" i="35"/>
  <c r="O96" i="35"/>
  <c r="O18" i="35"/>
  <c r="O50" i="35"/>
  <c r="O65" i="35"/>
  <c r="N100" i="35"/>
  <c r="M67" i="35"/>
  <c r="M74" i="35"/>
  <c r="M77" i="35"/>
  <c r="M88" i="35"/>
  <c r="L100" i="35"/>
  <c r="L122" i="35"/>
  <c r="I86" i="36"/>
  <c r="L18" i="35"/>
  <c r="L33" i="35"/>
  <c r="L50" i="35"/>
  <c r="K66" i="35"/>
  <c r="K86" i="35"/>
  <c r="K106" i="35"/>
  <c r="H82" i="36"/>
  <c r="K21" i="35"/>
  <c r="K37" i="35"/>
  <c r="K53" i="35"/>
  <c r="H35" i="36"/>
  <c r="J104" i="35"/>
  <c r="G81" i="36"/>
  <c r="G87" i="36"/>
  <c r="J16" i="35"/>
  <c r="J31" i="35"/>
  <c r="J47" i="35"/>
  <c r="J64" i="35"/>
  <c r="I12" i="35"/>
  <c r="I30" i="35"/>
  <c r="I45" i="35"/>
  <c r="I58" i="35"/>
  <c r="I62" i="35"/>
  <c r="I71" i="35"/>
  <c r="I81" i="35"/>
  <c r="I96" i="35"/>
  <c r="I121" i="35"/>
  <c r="H16" i="35"/>
  <c r="H31" i="35"/>
  <c r="H47" i="35"/>
  <c r="H64" i="35"/>
  <c r="H100" i="35"/>
  <c r="H122" i="35"/>
  <c r="E86" i="36"/>
  <c r="Q42" i="36"/>
  <c r="Q82" i="36"/>
  <c r="Y82" i="36" s="1"/>
  <c r="R94" i="35"/>
  <c r="Q112" i="35"/>
  <c r="P69" i="35"/>
  <c r="P79" i="35"/>
  <c r="P112" i="35"/>
  <c r="P64" i="35"/>
  <c r="O100" i="35"/>
  <c r="L86" i="36"/>
  <c r="O20" i="35"/>
  <c r="O51" i="35"/>
  <c r="O66" i="35"/>
  <c r="N79" i="35"/>
  <c r="N106" i="35"/>
  <c r="K85" i="36"/>
  <c r="N65" i="35"/>
  <c r="N72" i="35"/>
  <c r="M68" i="35"/>
  <c r="M76" i="35"/>
  <c r="M91" i="35"/>
  <c r="M108" i="35"/>
  <c r="J83" i="36"/>
  <c r="L65" i="35"/>
  <c r="L72" i="35"/>
  <c r="L104" i="35"/>
  <c r="I81" i="36"/>
  <c r="I87" i="36"/>
  <c r="L20" i="35"/>
  <c r="L36" i="35"/>
  <c r="L51" i="35"/>
  <c r="I34" i="36"/>
  <c r="K67" i="35"/>
  <c r="K74" i="35"/>
  <c r="K77" i="35"/>
  <c r="K88" i="35"/>
  <c r="K24" i="35"/>
  <c r="K40" i="35"/>
  <c r="K54" i="35"/>
  <c r="K60" i="35"/>
  <c r="J86" i="35"/>
  <c r="J106" i="35"/>
  <c r="G82" i="36"/>
  <c r="J18" i="35"/>
  <c r="J33" i="35"/>
  <c r="J50" i="35"/>
  <c r="J65" i="35"/>
  <c r="J72" i="35"/>
  <c r="I16" i="35"/>
  <c r="I31" i="35"/>
  <c r="I47" i="35"/>
  <c r="S46" i="36"/>
  <c r="R68" i="36"/>
  <c r="R74" i="35"/>
  <c r="R100" i="35"/>
  <c r="Q121" i="35"/>
  <c r="P71" i="35"/>
  <c r="P81" i="35"/>
  <c r="P121" i="35"/>
  <c r="O106" i="35"/>
  <c r="O24" i="35"/>
  <c r="O54" i="35"/>
  <c r="O68" i="35"/>
  <c r="N81" i="35"/>
  <c r="N108" i="35"/>
  <c r="N66" i="35"/>
  <c r="M69" i="35"/>
  <c r="M79" i="35"/>
  <c r="M92" i="35"/>
  <c r="M112" i="35"/>
  <c r="L66" i="35"/>
  <c r="L86" i="35"/>
  <c r="L106" i="35"/>
  <c r="I82" i="36"/>
  <c r="L21" i="35"/>
  <c r="L37" i="35"/>
  <c r="L53" i="35"/>
  <c r="I35" i="36"/>
  <c r="K68" i="35"/>
  <c r="K76" i="35"/>
  <c r="K91" i="35"/>
  <c r="K108" i="35"/>
  <c r="H83" i="36"/>
  <c r="K7" i="35"/>
  <c r="K25" i="35"/>
  <c r="K41" i="35"/>
  <c r="K55" i="35"/>
  <c r="J77" i="35"/>
  <c r="J88" i="35"/>
  <c r="J20" i="35"/>
  <c r="J36" i="35"/>
  <c r="J51" i="35"/>
  <c r="G34" i="36"/>
  <c r="J66" i="35"/>
  <c r="I18" i="35"/>
  <c r="I33" i="35"/>
  <c r="I50" i="35"/>
  <c r="I65" i="35"/>
  <c r="I72" i="35"/>
  <c r="I104" i="35"/>
  <c r="F81" i="36"/>
  <c r="F87" i="36"/>
  <c r="H20" i="35"/>
  <c r="H36" i="35"/>
  <c r="H51" i="35"/>
  <c r="E34" i="36"/>
  <c r="H66" i="35"/>
  <c r="H86" i="35"/>
  <c r="H106" i="35"/>
  <c r="E82" i="36"/>
  <c r="R11" i="36"/>
  <c r="T73" i="35"/>
  <c r="S71" i="36"/>
  <c r="R83" i="36"/>
  <c r="Q62" i="35"/>
  <c r="Q79" i="35"/>
  <c r="N82" i="36"/>
  <c r="P86" i="35"/>
  <c r="M82" i="36"/>
  <c r="O79" i="35"/>
  <c r="O112" i="35"/>
  <c r="O74" i="35"/>
  <c r="O30" i="35"/>
  <c r="O58" i="35"/>
  <c r="O70" i="35"/>
  <c r="N112" i="35"/>
  <c r="K86" i="36"/>
  <c r="N67" i="35"/>
  <c r="N74" i="35"/>
  <c r="M70" i="35"/>
  <c r="M80" i="35"/>
  <c r="M94" i="35"/>
  <c r="M118" i="35"/>
  <c r="J85" i="36"/>
  <c r="L67" i="35"/>
  <c r="L74" i="35"/>
  <c r="L77" i="35"/>
  <c r="L88" i="35"/>
  <c r="L24" i="35"/>
  <c r="L40" i="35"/>
  <c r="L54" i="35"/>
  <c r="L60" i="35"/>
  <c r="K69" i="35"/>
  <c r="K79" i="35"/>
  <c r="K92" i="35"/>
  <c r="K112" i="35"/>
  <c r="K10" i="35"/>
  <c r="K27" i="35"/>
  <c r="K44" i="35"/>
  <c r="K57" i="35"/>
  <c r="K61" i="35"/>
  <c r="J91" i="35"/>
  <c r="J108" i="35"/>
  <c r="G83" i="36"/>
  <c r="J21" i="35"/>
  <c r="J37" i="35"/>
  <c r="J53" i="35"/>
  <c r="G35" i="36"/>
  <c r="J67" i="35"/>
  <c r="J74" i="35"/>
  <c r="I20" i="35"/>
  <c r="I36" i="35"/>
  <c r="I51" i="35"/>
  <c r="F34" i="36"/>
  <c r="I66" i="35"/>
  <c r="I86" i="35"/>
  <c r="I106" i="35"/>
  <c r="F82" i="36"/>
  <c r="H21" i="35"/>
  <c r="H37" i="35"/>
  <c r="H53" i="35"/>
  <c r="E35" i="36"/>
  <c r="H67" i="35"/>
  <c r="H74" i="35"/>
  <c r="H77" i="35"/>
  <c r="H88" i="35"/>
  <c r="T34" i="35"/>
  <c r="R52" i="36"/>
  <c r="Q74" i="36"/>
  <c r="R84" i="36"/>
  <c r="R118" i="35"/>
  <c r="Q66" i="35"/>
  <c r="Q81" i="35"/>
  <c r="P76" i="35"/>
  <c r="P91" i="35"/>
  <c r="M83" i="36"/>
  <c r="O81" i="35"/>
  <c r="O121" i="35"/>
  <c r="O33" i="35"/>
  <c r="O71" i="35"/>
  <c r="N86" i="35"/>
  <c r="N121" i="35"/>
  <c r="K87" i="36"/>
  <c r="N68" i="35"/>
  <c r="N76" i="35"/>
  <c r="M71" i="35"/>
  <c r="M81" i="35"/>
  <c r="M96" i="35"/>
  <c r="M121" i="35"/>
  <c r="L68" i="35"/>
  <c r="L76" i="35"/>
  <c r="L91" i="35"/>
  <c r="L108" i="35"/>
  <c r="I83" i="36"/>
  <c r="L7" i="35"/>
  <c r="L25" i="35"/>
  <c r="L41" i="35"/>
  <c r="L55" i="35"/>
  <c r="K70" i="35"/>
  <c r="K80" i="35"/>
  <c r="K94" i="35"/>
  <c r="K118" i="35"/>
  <c r="H85" i="36"/>
  <c r="K12" i="35"/>
  <c r="K30" i="35"/>
  <c r="S22" i="36"/>
  <c r="S55" i="36"/>
  <c r="R76" i="36"/>
  <c r="R77" i="35"/>
  <c r="R122" i="35"/>
  <c r="Q69" i="35"/>
  <c r="Q86" i="35"/>
  <c r="P92" i="35"/>
  <c r="O122" i="35"/>
  <c r="O36" i="35"/>
  <c r="L34" i="36"/>
  <c r="O72" i="35"/>
  <c r="N91" i="35"/>
  <c r="N122" i="35"/>
  <c r="N69" i="35"/>
  <c r="M100" i="35"/>
  <c r="M122" i="35"/>
  <c r="R80" i="35"/>
  <c r="O86" i="35"/>
  <c r="J86" i="36"/>
  <c r="L92" i="35"/>
  <c r="L27" i="35"/>
  <c r="K71" i="35"/>
  <c r="K121" i="35"/>
  <c r="K45" i="35"/>
  <c r="K65" i="35"/>
  <c r="J118" i="35"/>
  <c r="J24" i="35"/>
  <c r="J57" i="35"/>
  <c r="I53" i="35"/>
  <c r="I68" i="35"/>
  <c r="I108" i="35"/>
  <c r="H7" i="35"/>
  <c r="H41" i="35"/>
  <c r="H92" i="35"/>
  <c r="E81" i="36"/>
  <c r="L82" i="36"/>
  <c r="N70" i="35"/>
  <c r="J87" i="36"/>
  <c r="L94" i="35"/>
  <c r="L30" i="35"/>
  <c r="K122" i="35"/>
  <c r="K47" i="35"/>
  <c r="J79" i="35"/>
  <c r="J121" i="35"/>
  <c r="J25" i="35"/>
  <c r="J60" i="35"/>
  <c r="I7" i="35"/>
  <c r="I54" i="35"/>
  <c r="I69" i="35"/>
  <c r="I79" i="35"/>
  <c r="I112" i="35"/>
  <c r="H10" i="35"/>
  <c r="H44" i="35"/>
  <c r="H61" i="35"/>
  <c r="H94" i="35"/>
  <c r="E83" i="36"/>
  <c r="J69" i="35"/>
  <c r="I92" i="35"/>
  <c r="H27" i="35"/>
  <c r="H70" i="35"/>
  <c r="E87" i="36"/>
  <c r="I77" i="35"/>
  <c r="H76" i="35"/>
  <c r="R27" i="36"/>
  <c r="Q71" i="35"/>
  <c r="M65" i="35"/>
  <c r="L69" i="35"/>
  <c r="L112" i="35"/>
  <c r="L44" i="35"/>
  <c r="K50" i="35"/>
  <c r="J80" i="35"/>
  <c r="J27" i="35"/>
  <c r="I21" i="35"/>
  <c r="I55" i="35"/>
  <c r="I122" i="35"/>
  <c r="H18" i="35"/>
  <c r="H50" i="35"/>
  <c r="H65" i="35"/>
  <c r="H96" i="35"/>
  <c r="H40" i="35"/>
  <c r="Q58" i="36"/>
  <c r="Y58" i="36" s="1"/>
  <c r="Q92" i="35"/>
  <c r="O40" i="35"/>
  <c r="M72" i="35"/>
  <c r="L70" i="35"/>
  <c r="L118" i="35"/>
  <c r="L45" i="35"/>
  <c r="H86" i="36"/>
  <c r="K58" i="35"/>
  <c r="J81" i="35"/>
  <c r="G85" i="36"/>
  <c r="J40" i="35"/>
  <c r="J61" i="35"/>
  <c r="I24" i="35"/>
  <c r="F35" i="36"/>
  <c r="I74" i="35"/>
  <c r="I88" i="35"/>
  <c r="H24" i="35"/>
  <c r="H54" i="35"/>
  <c r="H68" i="35"/>
  <c r="H104" i="35"/>
  <c r="E85" i="36"/>
  <c r="R77" i="36"/>
  <c r="O60" i="35"/>
  <c r="L57" i="35"/>
  <c r="K81" i="35"/>
  <c r="K16" i="35"/>
  <c r="J92" i="35"/>
  <c r="J41" i="35"/>
  <c r="J68" i="35"/>
  <c r="I25" i="35"/>
  <c r="I60" i="35"/>
  <c r="I76" i="35"/>
  <c r="I91" i="35"/>
  <c r="F83" i="36"/>
  <c r="H25" i="35"/>
  <c r="H55" i="35"/>
  <c r="H69" i="35"/>
  <c r="H79" i="35"/>
  <c r="H108" i="35"/>
  <c r="S86" i="36"/>
  <c r="I85" i="36"/>
  <c r="L58" i="35"/>
  <c r="K18" i="35"/>
  <c r="J94" i="35"/>
  <c r="J44" i="35"/>
  <c r="I37" i="35"/>
  <c r="H57" i="35"/>
  <c r="H112" i="35"/>
  <c r="I67" i="35"/>
  <c r="H91" i="35"/>
  <c r="H80" i="35"/>
  <c r="H121" i="35"/>
  <c r="P96" i="35"/>
  <c r="N92" i="35"/>
  <c r="M104" i="35"/>
  <c r="L79" i="35"/>
  <c r="L10" i="35"/>
  <c r="L61" i="35"/>
  <c r="K96" i="35"/>
  <c r="K31" i="35"/>
  <c r="K62" i="35"/>
  <c r="J96" i="35"/>
  <c r="J7" i="35"/>
  <c r="J54" i="35"/>
  <c r="J70" i="35"/>
  <c r="I40" i="35"/>
  <c r="I64" i="35"/>
  <c r="I100" i="35"/>
  <c r="F86" i="36"/>
  <c r="H33" i="35"/>
  <c r="H72" i="35"/>
  <c r="H118" i="35"/>
  <c r="K82" i="36"/>
  <c r="J81" i="36"/>
  <c r="L80" i="35"/>
  <c r="L12" i="35"/>
  <c r="L62" i="35"/>
  <c r="K100" i="35"/>
  <c r="K33" i="35"/>
  <c r="K64" i="35"/>
  <c r="J112" i="35"/>
  <c r="J10" i="35"/>
  <c r="J55" i="35"/>
  <c r="J76" i="35"/>
  <c r="I41" i="35"/>
  <c r="H60" i="35"/>
  <c r="R6" i="36"/>
  <c r="R4" i="36"/>
  <c r="S4" i="36"/>
  <c r="S5" i="36"/>
  <c r="S6" i="36"/>
  <c r="R5" i="36"/>
  <c r="R7" i="35"/>
  <c r="R25" i="35"/>
  <c r="R41" i="35"/>
  <c r="R55" i="35"/>
  <c r="Q16" i="35"/>
  <c r="Q31" i="35"/>
  <c r="Q47" i="35"/>
  <c r="Q4" i="35"/>
  <c r="N64" i="35"/>
  <c r="N47" i="35"/>
  <c r="N24" i="35"/>
  <c r="N40" i="35"/>
  <c r="T11" i="35"/>
  <c r="R44" i="35"/>
  <c r="Q33" i="35"/>
  <c r="N25" i="35"/>
  <c r="Q37" i="35"/>
  <c r="N12" i="35"/>
  <c r="R57" i="35"/>
  <c r="R12" i="35"/>
  <c r="R30" i="35"/>
  <c r="R45" i="35"/>
  <c r="R58" i="35"/>
  <c r="Q20" i="35"/>
  <c r="Q36" i="35"/>
  <c r="Q51" i="35"/>
  <c r="N34" i="36"/>
  <c r="N51" i="35"/>
  <c r="K34" i="36"/>
  <c r="N10" i="35"/>
  <c r="N27" i="35"/>
  <c r="N44" i="35"/>
  <c r="R16" i="35"/>
  <c r="R31" i="35"/>
  <c r="R4" i="35"/>
  <c r="Q53" i="35"/>
  <c r="R18" i="35"/>
  <c r="R33" i="35"/>
  <c r="R50" i="35"/>
  <c r="Q24" i="35"/>
  <c r="Q40" i="35"/>
  <c r="Q54" i="35"/>
  <c r="N54" i="35"/>
  <c r="N60" i="35"/>
  <c r="N16" i="35"/>
  <c r="N31" i="35"/>
  <c r="N4" i="35"/>
  <c r="R40" i="35"/>
  <c r="Q12" i="35"/>
  <c r="Q58" i="35"/>
  <c r="N62" i="35"/>
  <c r="Q50" i="35"/>
  <c r="K35" i="36"/>
  <c r="N30" i="35"/>
  <c r="R20" i="35"/>
  <c r="R36" i="35"/>
  <c r="R51" i="35"/>
  <c r="O34" i="36"/>
  <c r="Q7" i="35"/>
  <c r="Q25" i="35"/>
  <c r="Q41" i="35"/>
  <c r="Q55" i="35"/>
  <c r="N55" i="35"/>
  <c r="N18" i="35"/>
  <c r="N33" i="35"/>
  <c r="R64" i="35"/>
  <c r="R60" i="35"/>
  <c r="Q45" i="35"/>
  <c r="N58" i="35"/>
  <c r="N37" i="35"/>
  <c r="R27" i="35"/>
  <c r="Q18" i="35"/>
  <c r="N50" i="35"/>
  <c r="N7" i="35"/>
  <c r="R47" i="35"/>
  <c r="N45" i="35"/>
  <c r="R21" i="35"/>
  <c r="R37" i="35"/>
  <c r="R53" i="35"/>
  <c r="O35" i="36"/>
  <c r="Q10" i="35"/>
  <c r="Q27" i="35"/>
  <c r="Q44" i="35"/>
  <c r="Q57" i="35"/>
  <c r="N57" i="35"/>
  <c r="N61" i="35"/>
  <c r="N20" i="35"/>
  <c r="N36" i="35"/>
  <c r="R24" i="35"/>
  <c r="R54" i="35"/>
  <c r="Q30" i="35"/>
  <c r="N21" i="35"/>
  <c r="R10" i="35"/>
  <c r="N41" i="35"/>
  <c r="N53" i="35"/>
  <c r="Y42" i="36" l="1"/>
  <c r="Y41" i="36"/>
  <c r="Y40" i="36"/>
  <c r="Y43" i="36"/>
  <c r="T58" i="36"/>
  <c r="T40" i="36"/>
  <c r="J82" i="35"/>
  <c r="J83" i="35"/>
  <c r="O4" i="35"/>
  <c r="I82" i="35"/>
  <c r="I83" i="35"/>
  <c r="L83" i="35"/>
  <c r="L82" i="35"/>
  <c r="T120" i="35"/>
  <c r="Q78" i="36" s="1"/>
  <c r="Y78" i="36" s="1"/>
  <c r="M82" i="35"/>
  <c r="M83" i="35"/>
  <c r="H82" i="35"/>
  <c r="H83" i="35"/>
  <c r="Q60" i="36"/>
  <c r="Y60" i="36" s="1"/>
  <c r="T6" i="35"/>
  <c r="T5" i="35"/>
  <c r="R83" i="35"/>
  <c r="R82" i="35"/>
  <c r="T13" i="35"/>
  <c r="T14" i="35"/>
  <c r="T9" i="35"/>
  <c r="T8" i="35"/>
  <c r="K83" i="35"/>
  <c r="K82" i="35"/>
  <c r="N82" i="35"/>
  <c r="N83" i="35"/>
  <c r="P83" i="35"/>
  <c r="P82" i="35"/>
  <c r="O83" i="35"/>
  <c r="O82" i="35"/>
  <c r="Q83" i="35"/>
  <c r="Q82" i="35"/>
  <c r="T63" i="35"/>
  <c r="Q39" i="36" s="1"/>
  <c r="T66" i="36"/>
  <c r="T74" i="36"/>
  <c r="T42" i="36"/>
  <c r="T32" i="36"/>
  <c r="T64" i="36"/>
  <c r="C35" i="36"/>
  <c r="C10" i="36"/>
  <c r="C21" i="36"/>
  <c r="C81" i="36"/>
  <c r="C43" i="36"/>
  <c r="C29" i="36"/>
  <c r="C12" i="36"/>
  <c r="C16" i="36"/>
  <c r="C11" i="36"/>
  <c r="C85" i="36"/>
  <c r="C33" i="36"/>
  <c r="C13" i="36"/>
  <c r="C8" i="36"/>
  <c r="C14" i="36"/>
  <c r="C39" i="36"/>
  <c r="C9" i="36"/>
  <c r="C5" i="36"/>
  <c r="C30" i="36"/>
  <c r="C28" i="36"/>
  <c r="C19" i="36"/>
  <c r="C34" i="36"/>
  <c r="C31" i="36"/>
  <c r="C26" i="36"/>
  <c r="C24" i="36"/>
  <c r="C23" i="36"/>
  <c r="C36" i="36"/>
  <c r="C25" i="36"/>
  <c r="C18" i="36"/>
  <c r="C32" i="36"/>
  <c r="C22" i="36"/>
  <c r="C17" i="36"/>
  <c r="C20" i="36"/>
  <c r="C27" i="36"/>
  <c r="C38" i="36"/>
  <c r="C86" i="36"/>
  <c r="C15" i="36"/>
  <c r="C37" i="36"/>
  <c r="T55" i="36"/>
  <c r="T4" i="36"/>
  <c r="T72" i="36"/>
  <c r="T82" i="36"/>
  <c r="T5" i="36"/>
  <c r="T18" i="36"/>
  <c r="T26" i="36"/>
  <c r="T80" i="36"/>
  <c r="T16" i="36"/>
  <c r="T86" i="36"/>
  <c r="T24" i="36"/>
  <c r="T34" i="36"/>
  <c r="D54" i="36"/>
  <c r="W54" i="36" s="1"/>
  <c r="G54" i="31" s="1"/>
  <c r="T78" i="36"/>
  <c r="T62" i="36"/>
  <c r="T46" i="36"/>
  <c r="T30" i="36"/>
  <c r="T14" i="36"/>
  <c r="D58" i="36"/>
  <c r="W58" i="36" s="1"/>
  <c r="G58" i="31" s="1"/>
  <c r="D85" i="36"/>
  <c r="W85" i="36" s="1"/>
  <c r="G85" i="31" s="1"/>
  <c r="T10" i="36"/>
  <c r="T84" i="36"/>
  <c r="T69" i="36"/>
  <c r="T53" i="36"/>
  <c r="T37" i="36"/>
  <c r="T21" i="36"/>
  <c r="D37" i="36"/>
  <c r="W37" i="36" s="1"/>
  <c r="G37" i="31" s="1"/>
  <c r="T8" i="36"/>
  <c r="T67" i="36"/>
  <c r="T51" i="36"/>
  <c r="T35" i="36"/>
  <c r="T19" i="36"/>
  <c r="D56" i="36"/>
  <c r="W56" i="36" s="1"/>
  <c r="G56" i="31" s="1"/>
  <c r="D44" i="36"/>
  <c r="W44" i="36" s="1"/>
  <c r="G44" i="31" s="1"/>
  <c r="T85" i="36"/>
  <c r="T70" i="36"/>
  <c r="T54" i="36"/>
  <c r="T38" i="36"/>
  <c r="T22" i="36"/>
  <c r="T81" i="36"/>
  <c r="T65" i="36"/>
  <c r="T49" i="36"/>
  <c r="T33" i="36"/>
  <c r="T17" i="36"/>
  <c r="T83" i="36"/>
  <c r="T68" i="36"/>
  <c r="T52" i="36"/>
  <c r="T36" i="36"/>
  <c r="T20" i="36"/>
  <c r="T79" i="36"/>
  <c r="T63" i="36"/>
  <c r="T47" i="36"/>
  <c r="T31" i="36"/>
  <c r="T15" i="36"/>
  <c r="T50" i="36"/>
  <c r="T6" i="36"/>
  <c r="T77" i="36"/>
  <c r="T61" i="36"/>
  <c r="T45" i="36"/>
  <c r="T29" i="36"/>
  <c r="T13" i="36"/>
  <c r="D41" i="36"/>
  <c r="W41" i="36" s="1"/>
  <c r="G41" i="31" s="1"/>
  <c r="T75" i="36"/>
  <c r="T59" i="36"/>
  <c r="T43" i="36"/>
  <c r="T27" i="36"/>
  <c r="T11" i="36"/>
  <c r="T87" i="36"/>
  <c r="T73" i="36"/>
  <c r="T57" i="36"/>
  <c r="T41" i="36"/>
  <c r="T25" i="36"/>
  <c r="T9" i="36"/>
  <c r="T76" i="36"/>
  <c r="T60" i="36"/>
  <c r="T44" i="36"/>
  <c r="T28" i="36"/>
  <c r="T12" i="36"/>
  <c r="T71" i="36"/>
  <c r="T23" i="36"/>
  <c r="T7" i="36"/>
  <c r="Y32" i="36"/>
  <c r="Y68" i="36"/>
  <c r="Y73" i="36"/>
  <c r="Y83" i="36"/>
  <c r="Y70" i="36"/>
  <c r="Y67" i="36"/>
  <c r="Y37" i="36"/>
  <c r="Y85" i="36"/>
  <c r="Y34" i="36"/>
  <c r="Y69" i="36"/>
  <c r="Y35" i="36"/>
  <c r="Y74" i="36"/>
  <c r="Y84" i="36"/>
  <c r="D51" i="36"/>
  <c r="D48" i="36"/>
  <c r="W48" i="36" s="1"/>
  <c r="G48" i="31" s="1"/>
  <c r="D52" i="36"/>
  <c r="W52" i="36" s="1"/>
  <c r="G52" i="31" s="1"/>
  <c r="D81" i="36"/>
  <c r="W81" i="36" s="1"/>
  <c r="G81" i="31" s="1"/>
  <c r="D43" i="36"/>
  <c r="W43" i="36" s="1"/>
  <c r="G43" i="31" s="1"/>
  <c r="D63" i="36"/>
  <c r="W63" i="36" s="1"/>
  <c r="G63" i="31" s="1"/>
  <c r="D86" i="36"/>
  <c r="W86" i="36" s="1"/>
  <c r="R88" i="36"/>
  <c r="D57" i="36"/>
  <c r="W57" i="36" s="1"/>
  <c r="G57" i="31" s="1"/>
  <c r="D55" i="36"/>
  <c r="W55" i="36" s="1"/>
  <c r="G55" i="31" s="1"/>
  <c r="D47" i="36"/>
  <c r="W47" i="36" s="1"/>
  <c r="G47" i="31" s="1"/>
  <c r="D49" i="36"/>
  <c r="W49" i="36" s="1"/>
  <c r="G49" i="31" s="1"/>
  <c r="D53" i="36"/>
  <c r="W53" i="36" s="1"/>
  <c r="G53" i="31" s="1"/>
  <c r="D50" i="36"/>
  <c r="W50" i="36" s="1"/>
  <c r="D46" i="36"/>
  <c r="W46" i="36" s="1"/>
  <c r="G46" i="31" s="1"/>
  <c r="S88" i="36"/>
  <c r="D45" i="36"/>
  <c r="W45" i="36" s="1"/>
  <c r="G45" i="31" s="1"/>
  <c r="D42" i="36"/>
  <c r="W42" i="36" s="1"/>
  <c r="G42" i="31" s="1"/>
  <c r="X83" i="36"/>
  <c r="X86" i="36"/>
  <c r="X85" i="36"/>
  <c r="X81" i="36"/>
  <c r="X82" i="36"/>
  <c r="X87" i="36"/>
  <c r="O56" i="36"/>
  <c r="F63" i="36"/>
  <c r="F79" i="36"/>
  <c r="E37" i="36"/>
  <c r="K33" i="36"/>
  <c r="O32" i="36"/>
  <c r="H33" i="36"/>
  <c r="H55" i="36"/>
  <c r="G32" i="36"/>
  <c r="E55" i="36"/>
  <c r="I32" i="36"/>
  <c r="I55" i="36"/>
  <c r="J62" i="36"/>
  <c r="L32" i="36"/>
  <c r="Q57" i="36"/>
  <c r="Y57" i="36" s="1"/>
  <c r="Q36" i="36"/>
  <c r="L55" i="36"/>
  <c r="I80" i="36"/>
  <c r="J55" i="36"/>
  <c r="N84" i="36"/>
  <c r="G55" i="36"/>
  <c r="G33" i="36"/>
  <c r="F61" i="36"/>
  <c r="L84" i="36"/>
  <c r="Q72" i="36"/>
  <c r="Q28" i="36"/>
  <c r="Q27" i="36"/>
  <c r="Q17" i="36"/>
  <c r="G37" i="36"/>
  <c r="I37" i="36"/>
  <c r="H61" i="36"/>
  <c r="N37" i="36"/>
  <c r="K55" i="36"/>
  <c r="K37" i="36"/>
  <c r="O80" i="36"/>
  <c r="F37" i="36"/>
  <c r="H32" i="36"/>
  <c r="H80" i="36"/>
  <c r="I29" i="36"/>
  <c r="H84" i="36"/>
  <c r="I62" i="36"/>
  <c r="F32" i="36"/>
  <c r="H62" i="36"/>
  <c r="O55" i="36"/>
  <c r="M56" i="36"/>
  <c r="L63" i="36"/>
  <c r="N56" i="36"/>
  <c r="N32" i="36"/>
  <c r="F56" i="36"/>
  <c r="F84" i="36"/>
  <c r="L33" i="36"/>
  <c r="N33" i="36"/>
  <c r="O33" i="36"/>
  <c r="K80" i="36"/>
  <c r="H56" i="36"/>
  <c r="G84" i="36"/>
  <c r="E56" i="36"/>
  <c r="I33" i="36"/>
  <c r="I56" i="36"/>
  <c r="G56" i="36"/>
  <c r="O37" i="36"/>
  <c r="N55" i="36"/>
  <c r="F80" i="36"/>
  <c r="O84" i="36"/>
  <c r="L37" i="36"/>
  <c r="E33" i="36"/>
  <c r="K13" i="36"/>
  <c r="K56" i="36"/>
  <c r="F28" i="36"/>
  <c r="F62" i="36"/>
  <c r="H37" i="36"/>
  <c r="E80" i="36"/>
  <c r="N38" i="36"/>
  <c r="L29" i="36"/>
  <c r="L56" i="36"/>
  <c r="K32" i="36"/>
  <c r="M55" i="36"/>
  <c r="I84" i="36"/>
  <c r="E84" i="36"/>
  <c r="E21" i="36"/>
  <c r="J56" i="36"/>
  <c r="F33" i="36"/>
  <c r="E32" i="36"/>
  <c r="F55" i="36"/>
  <c r="K84" i="36"/>
  <c r="Q31" i="36"/>
  <c r="Q65" i="36"/>
  <c r="Y65" i="36" s="1"/>
  <c r="Q61" i="36"/>
  <c r="Y61" i="36" s="1"/>
  <c r="Q62" i="36"/>
  <c r="Y62" i="36" s="1"/>
  <c r="Q63" i="36"/>
  <c r="Y63" i="36" s="1"/>
  <c r="Y39" i="36" l="1"/>
  <c r="Y31" i="36"/>
  <c r="Y36" i="36"/>
  <c r="U85" i="36"/>
  <c r="N11" i="36"/>
  <c r="Q29" i="36"/>
  <c r="Y29" i="36" s="1"/>
  <c r="J60" i="36"/>
  <c r="E10" i="36"/>
  <c r="E22" i="36"/>
  <c r="Q12" i="36"/>
  <c r="W51" i="36"/>
  <c r="G51" i="31" s="1"/>
  <c r="N5" i="36"/>
  <c r="L11" i="36"/>
  <c r="F12" i="36"/>
  <c r="H41" i="36"/>
  <c r="O41" i="36"/>
  <c r="K4" i="36"/>
  <c r="Q64" i="36"/>
  <c r="Y64" i="36" s="1"/>
  <c r="G86" i="31"/>
  <c r="V37" i="36"/>
  <c r="F37" i="31" s="1"/>
  <c r="I27" i="36"/>
  <c r="K60" i="36"/>
  <c r="N10" i="36"/>
  <c r="E28" i="36"/>
  <c r="F15" i="36"/>
  <c r="K24" i="36"/>
  <c r="L15" i="36"/>
  <c r="M60" i="36"/>
  <c r="O10" i="36"/>
  <c r="Q66" i="36"/>
  <c r="Y66" i="36" s="1"/>
  <c r="L22" i="36"/>
  <c r="N25" i="36"/>
  <c r="Q38" i="36"/>
  <c r="F23" i="36"/>
  <c r="Q33" i="36"/>
  <c r="N19" i="36"/>
  <c r="K43" i="36"/>
  <c r="G60" i="36"/>
  <c r="F26" i="36"/>
  <c r="L41" i="36"/>
  <c r="E9" i="36"/>
  <c r="E14" i="36"/>
  <c r="Q22" i="36"/>
  <c r="O18" i="36"/>
  <c r="E13" i="36"/>
  <c r="K19" i="36"/>
  <c r="E39" i="36"/>
  <c r="E24" i="36"/>
  <c r="N24" i="36"/>
  <c r="K11" i="36"/>
  <c r="L17" i="36"/>
  <c r="K31" i="36"/>
  <c r="I25" i="36"/>
  <c r="H65" i="36"/>
  <c r="L25" i="36"/>
  <c r="O14" i="36"/>
  <c r="L7" i="36"/>
  <c r="M70" i="36"/>
  <c r="J73" i="36"/>
  <c r="O25" i="36"/>
  <c r="L26" i="36"/>
  <c r="N26" i="36"/>
  <c r="N7" i="36"/>
  <c r="E43" i="36"/>
  <c r="L19" i="36"/>
  <c r="H25" i="36"/>
  <c r="E26" i="36"/>
  <c r="I12" i="36"/>
  <c r="N18" i="36"/>
  <c r="E78" i="36"/>
  <c r="L80" i="36"/>
  <c r="N80" i="36"/>
  <c r="N77" i="36"/>
  <c r="M72" i="36"/>
  <c r="I6" i="36"/>
  <c r="F11" i="36"/>
  <c r="J68" i="36"/>
  <c r="O11" i="36"/>
  <c r="K15" i="36"/>
  <c r="F65" i="36"/>
  <c r="H31" i="36"/>
  <c r="O16" i="36"/>
  <c r="E38" i="36"/>
  <c r="O6" i="36"/>
  <c r="Q7" i="36"/>
  <c r="K77" i="36"/>
  <c r="K70" i="36"/>
  <c r="H17" i="36"/>
  <c r="N23" i="36"/>
  <c r="L78" i="36"/>
  <c r="I41" i="36"/>
  <c r="H30" i="36"/>
  <c r="G72" i="36"/>
  <c r="Q25" i="36"/>
  <c r="K20" i="36"/>
  <c r="I64" i="36"/>
  <c r="N78" i="36"/>
  <c r="L72" i="36"/>
  <c r="I28" i="36"/>
  <c r="O42" i="36"/>
  <c r="Q23" i="36"/>
  <c r="F25" i="36"/>
  <c r="O29" i="36"/>
  <c r="E25" i="36"/>
  <c r="K25" i="36"/>
  <c r="H28" i="36"/>
  <c r="E41" i="36"/>
  <c r="N28" i="36"/>
  <c r="Q18" i="36"/>
  <c r="H70" i="36"/>
  <c r="H16" i="36"/>
  <c r="L70" i="36"/>
  <c r="O77" i="36"/>
  <c r="N72" i="36"/>
  <c r="O72" i="36"/>
  <c r="K23" i="36"/>
  <c r="O15" i="36"/>
  <c r="K12" i="36"/>
  <c r="L42" i="36"/>
  <c r="I17" i="36"/>
  <c r="O4" i="36"/>
  <c r="F38" i="36"/>
  <c r="F78" i="36"/>
  <c r="O70" i="36"/>
  <c r="K10" i="36"/>
  <c r="J67" i="36"/>
  <c r="N59" i="36"/>
  <c r="L12" i="36"/>
  <c r="H10" i="36"/>
  <c r="L31" i="36"/>
  <c r="O78" i="36"/>
  <c r="N70" i="36"/>
  <c r="Q11" i="36"/>
  <c r="I18" i="36"/>
  <c r="E72" i="36"/>
  <c r="E77" i="36"/>
  <c r="L77" i="36"/>
  <c r="E15" i="36"/>
  <c r="I14" i="36"/>
  <c r="H43" i="36"/>
  <c r="H24" i="36"/>
  <c r="O43" i="36"/>
  <c r="G70" i="36"/>
  <c r="F10" i="36"/>
  <c r="N65" i="36"/>
  <c r="H18" i="36"/>
  <c r="E11" i="36"/>
  <c r="K5" i="36"/>
  <c r="I71" i="36"/>
  <c r="K64" i="36"/>
  <c r="L10" i="36"/>
  <c r="H11" i="36"/>
  <c r="H20" i="36"/>
  <c r="F77" i="36"/>
  <c r="E59" i="36"/>
  <c r="N43" i="36"/>
  <c r="I72" i="36"/>
  <c r="O38" i="36"/>
  <c r="O27" i="36"/>
  <c r="F39" i="36"/>
  <c r="E30" i="36"/>
  <c r="K78" i="36"/>
  <c r="H72" i="36"/>
  <c r="J64" i="36"/>
  <c r="E70" i="36"/>
  <c r="I78" i="36"/>
  <c r="N20" i="36"/>
  <c r="I68" i="36"/>
  <c r="F66" i="36"/>
  <c r="Q5" i="36"/>
  <c r="F70" i="36"/>
  <c r="H77" i="36"/>
  <c r="I77" i="36"/>
  <c r="K71" i="36"/>
  <c r="E23" i="36"/>
  <c r="I70" i="36"/>
  <c r="Q16" i="36"/>
  <c r="O9" i="36"/>
  <c r="L24" i="36"/>
  <c r="H22" i="36"/>
  <c r="K72" i="36"/>
  <c r="O69" i="36"/>
  <c r="J70" i="36"/>
  <c r="F30" i="36"/>
  <c r="F41" i="36"/>
  <c r="E19" i="36"/>
  <c r="Q13" i="36"/>
  <c r="H12" i="36"/>
  <c r="I13" i="36"/>
  <c r="L65" i="36"/>
  <c r="J72" i="36"/>
  <c r="E69" i="36"/>
  <c r="F72" i="36"/>
  <c r="I22" i="36"/>
  <c r="F31" i="36"/>
  <c r="H78" i="36"/>
  <c r="L59" i="36"/>
  <c r="N29" i="36"/>
  <c r="O28" i="36"/>
  <c r="E71" i="36"/>
  <c r="E29" i="36"/>
  <c r="N4" i="36"/>
  <c r="N6" i="36"/>
  <c r="O24" i="36"/>
  <c r="I23" i="36"/>
  <c r="K21" i="36"/>
  <c r="O63" i="36"/>
  <c r="E79" i="36"/>
  <c r="N36" i="36"/>
  <c r="K63" i="36"/>
  <c r="Q50" i="36"/>
  <c r="Y50" i="36" s="1"/>
  <c r="E63" i="36"/>
  <c r="H75" i="36"/>
  <c r="N64" i="36"/>
  <c r="L16" i="36"/>
  <c r="N68" i="36"/>
  <c r="I15" i="36"/>
  <c r="J65" i="36"/>
  <c r="O67" i="36"/>
  <c r="E18" i="36"/>
  <c r="K16" i="36"/>
  <c r="L68" i="36"/>
  <c r="F16" i="36"/>
  <c r="K68" i="36"/>
  <c r="I65" i="36"/>
  <c r="I11" i="36"/>
  <c r="F27" i="36"/>
  <c r="E73" i="36"/>
  <c r="Q15" i="36"/>
  <c r="K59" i="36"/>
  <c r="I73" i="36"/>
  <c r="E42" i="36"/>
  <c r="N16" i="36"/>
  <c r="H13" i="36"/>
  <c r="N41" i="36"/>
  <c r="O64" i="36"/>
  <c r="H59" i="36"/>
  <c r="F9" i="36"/>
  <c r="N69" i="36"/>
  <c r="H71" i="36"/>
  <c r="K18" i="36"/>
  <c r="L5" i="36"/>
  <c r="L14" i="36"/>
  <c r="F14" i="36"/>
  <c r="I66" i="36"/>
  <c r="E67" i="36"/>
  <c r="N17" i="36"/>
  <c r="O12" i="36"/>
  <c r="K27" i="36"/>
  <c r="F43" i="36"/>
  <c r="N22" i="36"/>
  <c r="E60" i="36"/>
  <c r="I36" i="36"/>
  <c r="L76" i="36"/>
  <c r="L79" i="36"/>
  <c r="K75" i="36"/>
  <c r="K79" i="36"/>
  <c r="E75" i="36"/>
  <c r="I76" i="36"/>
  <c r="F75" i="36"/>
  <c r="H63" i="36"/>
  <c r="N75" i="36"/>
  <c r="N60" i="36"/>
  <c r="O76" i="36"/>
  <c r="G75" i="36"/>
  <c r="H36" i="36"/>
  <c r="N61" i="36"/>
  <c r="E62" i="36"/>
  <c r="E20" i="36"/>
  <c r="F64" i="36"/>
  <c r="N21" i="36"/>
  <c r="O8" i="36"/>
  <c r="Q20" i="36"/>
  <c r="I24" i="36"/>
  <c r="Q10" i="36"/>
  <c r="O23" i="36"/>
  <c r="N71" i="36"/>
  <c r="I26" i="36"/>
  <c r="Q26" i="36"/>
  <c r="H68" i="36"/>
  <c r="M67" i="36"/>
  <c r="O20" i="36"/>
  <c r="H42" i="36"/>
  <c r="K42" i="36"/>
  <c r="I43" i="36"/>
  <c r="F68" i="36"/>
  <c r="O30" i="36"/>
  <c r="K67" i="36"/>
  <c r="H15" i="36"/>
  <c r="F67" i="36"/>
  <c r="M73" i="36"/>
  <c r="F6" i="36"/>
  <c r="E16" i="36"/>
  <c r="H66" i="36"/>
  <c r="G66" i="36"/>
  <c r="I67" i="36"/>
  <c r="E12" i="36"/>
  <c r="M71" i="36"/>
  <c r="N27" i="36"/>
  <c r="O21" i="36"/>
  <c r="E17" i="36"/>
  <c r="E27" i="36"/>
  <c r="K22" i="36"/>
  <c r="F36" i="36"/>
  <c r="Q30" i="36"/>
  <c r="L60" i="36"/>
  <c r="O75" i="36"/>
  <c r="N63" i="36"/>
  <c r="F76" i="36"/>
  <c r="J79" i="36"/>
  <c r="I61" i="36"/>
  <c r="N76" i="36"/>
  <c r="O26" i="36"/>
  <c r="G65" i="36"/>
  <c r="E68" i="36"/>
  <c r="L71" i="36"/>
  <c r="O39" i="36"/>
  <c r="L38" i="36"/>
  <c r="M64" i="36"/>
  <c r="F73" i="36"/>
  <c r="Q24" i="36"/>
  <c r="M68" i="36"/>
  <c r="O68" i="36"/>
  <c r="L23" i="36"/>
  <c r="K66" i="36"/>
  <c r="K69" i="36"/>
  <c r="O66" i="36"/>
  <c r="G73" i="36"/>
  <c r="F13" i="36"/>
  <c r="H69" i="36"/>
  <c r="N30" i="36"/>
  <c r="L27" i="36"/>
  <c r="M59" i="36"/>
  <c r="G59" i="36"/>
  <c r="N31" i="36"/>
  <c r="K29" i="36"/>
  <c r="F17" i="36"/>
  <c r="L73" i="36"/>
  <c r="L8" i="36"/>
  <c r="E31" i="36"/>
  <c r="H19" i="36"/>
  <c r="I42" i="36"/>
  <c r="I20" i="36"/>
  <c r="N42" i="36"/>
  <c r="O59" i="36"/>
  <c r="N12" i="36"/>
  <c r="O7" i="36"/>
  <c r="M65" i="36"/>
  <c r="I16" i="36"/>
  <c r="H27" i="36"/>
  <c r="H23" i="36"/>
  <c r="G69" i="36"/>
  <c r="O65" i="36"/>
  <c r="L6" i="36"/>
  <c r="H67" i="36"/>
  <c r="H9" i="36"/>
  <c r="N67" i="36"/>
  <c r="H21" i="36"/>
  <c r="H39" i="36"/>
  <c r="K28" i="36"/>
  <c r="K14" i="36"/>
  <c r="L20" i="36"/>
  <c r="K62" i="36"/>
  <c r="E76" i="36"/>
  <c r="I60" i="36"/>
  <c r="O60" i="36"/>
  <c r="M63" i="36"/>
  <c r="J76" i="36"/>
  <c r="H60" i="36"/>
  <c r="O62" i="36"/>
  <c r="G64" i="36"/>
  <c r="L30" i="36"/>
  <c r="M66" i="36"/>
  <c r="G67" i="36"/>
  <c r="L69" i="36"/>
  <c r="K73" i="36"/>
  <c r="I10" i="36"/>
  <c r="N15" i="36"/>
  <c r="F22" i="36"/>
  <c r="H64" i="36"/>
  <c r="Q14" i="36"/>
  <c r="L21" i="36"/>
  <c r="H29" i="36"/>
  <c r="J71" i="36"/>
  <c r="G71" i="36"/>
  <c r="N73" i="36"/>
  <c r="H26" i="36"/>
  <c r="J69" i="36"/>
  <c r="H38" i="36"/>
  <c r="I69" i="36"/>
  <c r="L66" i="36"/>
  <c r="O22" i="36"/>
  <c r="L67" i="36"/>
  <c r="J66" i="36"/>
  <c r="Q19" i="36"/>
  <c r="F24" i="36"/>
  <c r="I21" i="36"/>
  <c r="N8" i="36"/>
  <c r="K38" i="36"/>
  <c r="I59" i="36"/>
  <c r="L43" i="36"/>
  <c r="I19" i="36"/>
  <c r="L64" i="36"/>
  <c r="I38" i="36"/>
  <c r="N39" i="36"/>
  <c r="E6" i="36"/>
  <c r="I31" i="36"/>
  <c r="O71" i="36"/>
  <c r="H14" i="36"/>
  <c r="L13" i="36"/>
  <c r="L28" i="36"/>
  <c r="I39" i="36"/>
  <c r="K39" i="36"/>
  <c r="O31" i="36"/>
  <c r="F59" i="36"/>
  <c r="O17" i="36"/>
  <c r="M69" i="36"/>
  <c r="L4" i="36"/>
  <c r="E61" i="36"/>
  <c r="I79" i="36"/>
  <c r="F60" i="36"/>
  <c r="O61" i="36"/>
  <c r="H76" i="36"/>
  <c r="E36" i="36"/>
  <c r="N62" i="36"/>
  <c r="G76" i="36"/>
  <c r="G62" i="36"/>
  <c r="N79" i="36"/>
  <c r="I75" i="36"/>
  <c r="N66" i="36"/>
  <c r="F21" i="36"/>
  <c r="K17" i="36"/>
  <c r="I30" i="36"/>
  <c r="K8" i="36"/>
  <c r="O5" i="36"/>
  <c r="K36" i="36"/>
  <c r="M79" i="36"/>
  <c r="O36" i="36"/>
  <c r="L62" i="36"/>
  <c r="L61" i="36"/>
  <c r="Q6" i="36"/>
  <c r="M75" i="36"/>
  <c r="H79" i="36"/>
  <c r="O79" i="36"/>
  <c r="M76" i="36"/>
  <c r="F20" i="36"/>
  <c r="F69" i="36"/>
  <c r="I9" i="36"/>
  <c r="K41" i="36"/>
  <c r="K6" i="36"/>
  <c r="L39" i="36"/>
  <c r="F42" i="36"/>
  <c r="K9" i="36"/>
  <c r="F71" i="36"/>
  <c r="L9" i="36"/>
  <c r="G68" i="36"/>
  <c r="F19" i="36"/>
  <c r="K7" i="36"/>
  <c r="K30" i="36"/>
  <c r="H73" i="36"/>
  <c r="E64" i="36"/>
  <c r="E65" i="36"/>
  <c r="O19" i="36"/>
  <c r="Q21" i="36"/>
  <c r="H6" i="36"/>
  <c r="K26" i="36"/>
  <c r="K65" i="36"/>
  <c r="F18" i="36"/>
  <c r="O73" i="36"/>
  <c r="E66" i="36"/>
  <c r="L18" i="36"/>
  <c r="F29" i="36"/>
  <c r="O13" i="36"/>
  <c r="N14" i="36"/>
  <c r="N13" i="36"/>
  <c r="N9" i="36"/>
  <c r="K76" i="36"/>
  <c r="G61" i="36"/>
  <c r="Q77" i="36"/>
  <c r="Y77" i="36" s="1"/>
  <c r="L36" i="36"/>
  <c r="J75" i="36"/>
  <c r="L75" i="36"/>
  <c r="K61" i="36"/>
  <c r="M62" i="36"/>
  <c r="I63" i="36"/>
  <c r="J63" i="36"/>
  <c r="V85" i="36"/>
  <c r="J54" i="36"/>
  <c r="T88" i="36"/>
  <c r="Y72" i="36"/>
  <c r="Y17" i="36"/>
  <c r="Y27" i="36"/>
  <c r="Y28" i="36"/>
  <c r="L45" i="36"/>
  <c r="J49" i="36"/>
  <c r="K47" i="36"/>
  <c r="I54" i="36"/>
  <c r="K45" i="36"/>
  <c r="M54" i="36"/>
  <c r="K74" i="36"/>
  <c r="K52" i="36"/>
  <c r="Q8" i="36"/>
  <c r="H57" i="36"/>
  <c r="I57" i="36"/>
  <c r="L50" i="36"/>
  <c r="V86" i="36"/>
  <c r="O52" i="36"/>
  <c r="K54" i="36"/>
  <c r="J58" i="36"/>
  <c r="I47" i="36"/>
  <c r="J48" i="36"/>
  <c r="M57" i="36"/>
  <c r="K58" i="36"/>
  <c r="L49" i="36"/>
  <c r="I45" i="36"/>
  <c r="J57" i="36"/>
  <c r="L47" i="36"/>
  <c r="M50" i="36"/>
  <c r="O53" i="36"/>
  <c r="N45" i="36"/>
  <c r="I48" i="36"/>
  <c r="I44" i="36"/>
  <c r="H46" i="36"/>
  <c r="M45" i="36"/>
  <c r="O50" i="36"/>
  <c r="L52" i="36"/>
  <c r="I50" i="36"/>
  <c r="J53" i="36"/>
  <c r="H58" i="36"/>
  <c r="M47" i="36"/>
  <c r="I46" i="36"/>
  <c r="I49" i="36"/>
  <c r="L57" i="36"/>
  <c r="H44" i="36"/>
  <c r="H40" i="36"/>
  <c r="O48" i="36"/>
  <c r="M53" i="36"/>
  <c r="N40" i="36"/>
  <c r="K46" i="36"/>
  <c r="H48" i="36"/>
  <c r="H49" i="36"/>
  <c r="O47" i="36"/>
  <c r="J50" i="36"/>
  <c r="H53" i="36"/>
  <c r="K48" i="36"/>
  <c r="N44" i="36"/>
  <c r="N57" i="36"/>
  <c r="L44" i="36"/>
  <c r="J74" i="36"/>
  <c r="N47" i="36"/>
  <c r="I52" i="36"/>
  <c r="X56" i="36"/>
  <c r="X55" i="36"/>
  <c r="O46" i="36"/>
  <c r="N54" i="36"/>
  <c r="O51" i="36"/>
  <c r="K57" i="36"/>
  <c r="N51" i="36"/>
  <c r="K50" i="36"/>
  <c r="N58" i="36"/>
  <c r="H52" i="36"/>
  <c r="L46" i="36"/>
  <c r="L54" i="36"/>
  <c r="J51" i="36"/>
  <c r="L53" i="36"/>
  <c r="O58" i="36"/>
  <c r="K40" i="36"/>
  <c r="Q4" i="36"/>
  <c r="M51" i="36"/>
  <c r="N48" i="36"/>
  <c r="O74" i="36"/>
  <c r="M48" i="36"/>
  <c r="M74" i="36"/>
  <c r="O54" i="36"/>
  <c r="O49" i="36"/>
  <c r="O45" i="36"/>
  <c r="K49" i="36"/>
  <c r="N50" i="36"/>
  <c r="M52" i="36"/>
  <c r="L48" i="36"/>
  <c r="L74" i="36"/>
  <c r="L51" i="36"/>
  <c r="O40" i="36"/>
  <c r="M49" i="36"/>
  <c r="N53" i="36"/>
  <c r="O57" i="36"/>
  <c r="O44" i="36"/>
  <c r="N52" i="36"/>
  <c r="K51" i="36"/>
  <c r="M58" i="36"/>
  <c r="H50" i="36"/>
  <c r="I51" i="36"/>
  <c r="N46" i="36"/>
  <c r="Q81" i="36"/>
  <c r="K44" i="36"/>
  <c r="M46" i="36"/>
  <c r="N74" i="36"/>
  <c r="N49" i="36"/>
  <c r="K53" i="36"/>
  <c r="I40" i="36"/>
  <c r="L58" i="36"/>
  <c r="H51" i="36"/>
  <c r="I58" i="36"/>
  <c r="Q9" i="36"/>
  <c r="L40" i="36"/>
  <c r="H74" i="36"/>
  <c r="I74" i="36"/>
  <c r="J52" i="36"/>
  <c r="H47" i="36"/>
  <c r="H45" i="36"/>
  <c r="H54" i="36"/>
  <c r="I53" i="36"/>
  <c r="G57" i="36"/>
  <c r="F50" i="36"/>
  <c r="E44" i="36"/>
  <c r="E58" i="36"/>
  <c r="G74" i="36"/>
  <c r="E74" i="36"/>
  <c r="E50" i="36"/>
  <c r="G53" i="36"/>
  <c r="F74" i="36"/>
  <c r="F47" i="36"/>
  <c r="F51" i="36"/>
  <c r="F49" i="36"/>
  <c r="E51" i="36"/>
  <c r="E46" i="36"/>
  <c r="F48" i="36"/>
  <c r="E47" i="36"/>
  <c r="E57" i="36"/>
  <c r="F40" i="36"/>
  <c r="E48" i="36"/>
  <c r="F58" i="36"/>
  <c r="F54" i="36"/>
  <c r="F57" i="36"/>
  <c r="F52" i="36"/>
  <c r="F53" i="36"/>
  <c r="F45" i="36"/>
  <c r="G48" i="36"/>
  <c r="F44" i="36"/>
  <c r="G54" i="36"/>
  <c r="E40" i="36"/>
  <c r="E52" i="36"/>
  <c r="E53" i="36"/>
  <c r="E49" i="36"/>
  <c r="G50" i="36"/>
  <c r="G58" i="36"/>
  <c r="E45" i="36"/>
  <c r="E54" i="36"/>
  <c r="F46" i="36"/>
  <c r="P7" i="35"/>
  <c r="P25" i="35"/>
  <c r="P41" i="35"/>
  <c r="P55" i="35"/>
  <c r="M12" i="35"/>
  <c r="M30" i="35"/>
  <c r="M45" i="35"/>
  <c r="M58" i="35"/>
  <c r="M62" i="35"/>
  <c r="P40" i="35"/>
  <c r="M44" i="35"/>
  <c r="P10" i="35"/>
  <c r="P27" i="35"/>
  <c r="P44" i="35"/>
  <c r="P61" i="35"/>
  <c r="M16" i="35"/>
  <c r="M31" i="35"/>
  <c r="M47" i="35"/>
  <c r="M4" i="35"/>
  <c r="M55" i="35"/>
  <c r="M27" i="35"/>
  <c r="P12" i="35"/>
  <c r="P30" i="35"/>
  <c r="P45" i="35"/>
  <c r="P58" i="35"/>
  <c r="M18" i="35"/>
  <c r="M33" i="35"/>
  <c r="M50" i="35"/>
  <c r="P60" i="35"/>
  <c r="P16" i="35"/>
  <c r="P31" i="35"/>
  <c r="P47" i="35"/>
  <c r="M20" i="35"/>
  <c r="M51" i="35"/>
  <c r="J34" i="36"/>
  <c r="P54" i="35"/>
  <c r="P18" i="35"/>
  <c r="P33" i="35"/>
  <c r="P50" i="35"/>
  <c r="P4" i="35"/>
  <c r="M21" i="35"/>
  <c r="M37" i="35"/>
  <c r="M53" i="35"/>
  <c r="J35" i="36"/>
  <c r="P24" i="35"/>
  <c r="P20" i="35"/>
  <c r="P36" i="35"/>
  <c r="P51" i="35"/>
  <c r="M34" i="36"/>
  <c r="M64" i="35"/>
  <c r="M24" i="35"/>
  <c r="M40" i="35"/>
  <c r="M54" i="35"/>
  <c r="M60" i="35"/>
  <c r="P21" i="35"/>
  <c r="P37" i="35"/>
  <c r="P53" i="35"/>
  <c r="M35" i="36"/>
  <c r="M7" i="35"/>
  <c r="M25" i="35"/>
  <c r="L4" i="35"/>
  <c r="M10" i="35"/>
  <c r="M61" i="35"/>
  <c r="K4" i="35"/>
  <c r="J4" i="35"/>
  <c r="I4" i="35"/>
  <c r="Y14" i="36" l="1"/>
  <c r="Y15" i="36"/>
  <c r="Y11" i="36"/>
  <c r="Y18" i="36"/>
  <c r="Y23" i="36"/>
  <c r="Y7" i="36"/>
  <c r="Y19" i="36"/>
  <c r="Y10" i="36"/>
  <c r="Y13" i="36"/>
  <c r="Y22" i="36"/>
  <c r="Y25" i="36"/>
  <c r="Y5" i="36"/>
  <c r="Y33" i="36"/>
  <c r="Y24" i="36"/>
  <c r="Y30" i="36"/>
  <c r="Y20" i="36"/>
  <c r="Y16" i="36"/>
  <c r="Y6" i="36"/>
  <c r="Y21" i="36"/>
  <c r="Y38" i="36"/>
  <c r="Y12" i="36"/>
  <c r="Y26" i="36"/>
  <c r="P57" i="35"/>
  <c r="M36" i="35"/>
  <c r="J18" i="36" s="1"/>
  <c r="H4" i="35"/>
  <c r="E4" i="36" s="1"/>
  <c r="M57" i="35"/>
  <c r="F85" i="31"/>
  <c r="V81" i="36"/>
  <c r="F81" i="31" s="1"/>
  <c r="U81" i="36"/>
  <c r="F86" i="31"/>
  <c r="X67" i="36"/>
  <c r="X64" i="36"/>
  <c r="X70" i="36"/>
  <c r="X72" i="36"/>
  <c r="X66" i="36"/>
  <c r="X65" i="36"/>
  <c r="X69" i="36"/>
  <c r="X73" i="36"/>
  <c r="X71" i="36"/>
  <c r="X68" i="36"/>
  <c r="X62" i="36"/>
  <c r="X60" i="36"/>
  <c r="X75" i="36"/>
  <c r="X76" i="36"/>
  <c r="D30" i="36"/>
  <c r="D28" i="36"/>
  <c r="D11" i="36"/>
  <c r="D34" i="36"/>
  <c r="D27" i="36"/>
  <c r="D36" i="36"/>
  <c r="D24" i="36"/>
  <c r="D25" i="36"/>
  <c r="W25" i="36" s="1"/>
  <c r="D15" i="36"/>
  <c r="D35" i="36"/>
  <c r="D29" i="36"/>
  <c r="D40" i="36"/>
  <c r="W40" i="36" s="1"/>
  <c r="G40" i="31" s="1"/>
  <c r="D23" i="36"/>
  <c r="D32" i="36"/>
  <c r="D13" i="36"/>
  <c r="D33" i="36"/>
  <c r="D38" i="36"/>
  <c r="D31" i="36"/>
  <c r="C4" i="36"/>
  <c r="D26" i="36"/>
  <c r="D39" i="36"/>
  <c r="D8" i="36"/>
  <c r="D6" i="36"/>
  <c r="W6" i="36" s="1"/>
  <c r="G6" i="31" s="1"/>
  <c r="G11" i="35" s="1"/>
  <c r="D12" i="36"/>
  <c r="D17" i="36"/>
  <c r="D21" i="36"/>
  <c r="D19" i="36"/>
  <c r="D22" i="36"/>
  <c r="D9" i="36"/>
  <c r="D4" i="36"/>
  <c r="W4" i="36" s="1"/>
  <c r="G4" i="31" s="1"/>
  <c r="D10" i="36"/>
  <c r="D18" i="36"/>
  <c r="W18" i="36" s="1"/>
  <c r="D14" i="36"/>
  <c r="D7" i="36"/>
  <c r="W7" i="36" s="1"/>
  <c r="G7" i="31" s="1"/>
  <c r="D5" i="36"/>
  <c r="Y8" i="36"/>
  <c r="Y9" i="36"/>
  <c r="X34" i="36"/>
  <c r="O88" i="36"/>
  <c r="K88" i="36"/>
  <c r="L88" i="36"/>
  <c r="N88" i="36"/>
  <c r="D20" i="36"/>
  <c r="Y4" i="36"/>
  <c r="Q88" i="36"/>
  <c r="X35" i="36"/>
  <c r="D16" i="36"/>
  <c r="X50" i="36"/>
  <c r="X74" i="36"/>
  <c r="X48" i="36"/>
  <c r="Y81" i="36"/>
  <c r="X53" i="36"/>
  <c r="X58" i="36"/>
  <c r="X54" i="36"/>
  <c r="X57" i="36"/>
  <c r="H7" i="36"/>
  <c r="J47" i="36"/>
  <c r="J46" i="36"/>
  <c r="J78" i="36"/>
  <c r="J45" i="36"/>
  <c r="M80" i="36"/>
  <c r="J43" i="36"/>
  <c r="M40" i="36"/>
  <c r="J33" i="36"/>
  <c r="M33" i="36"/>
  <c r="E7" i="36"/>
  <c r="J28" i="36"/>
  <c r="J80" i="36"/>
  <c r="F7" i="36"/>
  <c r="M43" i="36"/>
  <c r="J24" i="36"/>
  <c r="W26" i="36" l="1"/>
  <c r="V26" i="36"/>
  <c r="F26" i="31" s="1"/>
  <c r="G51" i="35" s="1"/>
  <c r="G112" i="35"/>
  <c r="G14" i="35"/>
  <c r="G13" i="35"/>
  <c r="W21" i="36"/>
  <c r="G21" i="31" s="1"/>
  <c r="G42" i="35" s="1"/>
  <c r="V21" i="36"/>
  <c r="F21" i="31" s="1"/>
  <c r="G41" i="35" s="1"/>
  <c r="W39" i="36"/>
  <c r="G39" i="31" s="1"/>
  <c r="G63" i="35" s="1"/>
  <c r="V39" i="36"/>
  <c r="F39" i="31" s="1"/>
  <c r="G62" i="35" s="1"/>
  <c r="W38" i="36"/>
  <c r="G38" i="31" s="1"/>
  <c r="V38" i="36"/>
  <c r="F38" i="31" s="1"/>
  <c r="G61" i="35" s="1"/>
  <c r="W35" i="36"/>
  <c r="G35" i="31" s="1"/>
  <c r="V35" i="36"/>
  <c r="F35" i="31" s="1"/>
  <c r="W14" i="36"/>
  <c r="G14" i="31" s="1"/>
  <c r="G28" i="35" s="1"/>
  <c r="V14" i="36"/>
  <c r="F14" i="31" s="1"/>
  <c r="G27" i="35" s="1"/>
  <c r="W17" i="36"/>
  <c r="G17" i="31" s="1"/>
  <c r="G34" i="35" s="1"/>
  <c r="V17" i="36"/>
  <c r="F17" i="31" s="1"/>
  <c r="G33" i="35" s="1"/>
  <c r="W28" i="36"/>
  <c r="G28" i="31" s="1"/>
  <c r="V28" i="36"/>
  <c r="F28" i="31" s="1"/>
  <c r="G54" i="35" s="1"/>
  <c r="G18" i="31"/>
  <c r="G35" i="35" s="1"/>
  <c r="V18" i="36"/>
  <c r="F18" i="31" s="1"/>
  <c r="G36" i="35" s="1"/>
  <c r="W12" i="36"/>
  <c r="G12" i="31" s="1"/>
  <c r="G23" i="35" s="1"/>
  <c r="V12" i="36"/>
  <c r="F12" i="31" s="1"/>
  <c r="G24" i="35" s="1"/>
  <c r="W33" i="36"/>
  <c r="G33" i="31" s="1"/>
  <c r="G59" i="35" s="1"/>
  <c r="V33" i="36"/>
  <c r="F33" i="31" s="1"/>
  <c r="W15" i="36"/>
  <c r="G15" i="31" s="1"/>
  <c r="G29" i="35" s="1"/>
  <c r="V15" i="36"/>
  <c r="F15" i="31" s="1"/>
  <c r="G30" i="35" s="1"/>
  <c r="W27" i="36"/>
  <c r="G27" i="31" s="1"/>
  <c r="V27" i="36"/>
  <c r="F27" i="31" s="1"/>
  <c r="G53" i="35" s="1"/>
  <c r="W16" i="36"/>
  <c r="G16" i="31" s="1"/>
  <c r="G32" i="35" s="1"/>
  <c r="V16" i="36"/>
  <c r="F16" i="31" s="1"/>
  <c r="G31" i="35" s="1"/>
  <c r="W10" i="36"/>
  <c r="G10" i="31" s="1"/>
  <c r="G19" i="35" s="1"/>
  <c r="V10" i="36"/>
  <c r="F10" i="31" s="1"/>
  <c r="G20" i="35" s="1"/>
  <c r="G26" i="31"/>
  <c r="G52" i="35" s="1"/>
  <c r="W23" i="36"/>
  <c r="G23" i="31" s="1"/>
  <c r="G46" i="35" s="1"/>
  <c r="V23" i="36"/>
  <c r="F23" i="31" s="1"/>
  <c r="G45" i="35" s="1"/>
  <c r="W30" i="36"/>
  <c r="G30" i="31" s="1"/>
  <c r="G56" i="35" s="1"/>
  <c r="V30" i="36"/>
  <c r="F30" i="31" s="1"/>
  <c r="G57" i="35" s="1"/>
  <c r="G6" i="35"/>
  <c r="G5" i="35"/>
  <c r="W8" i="36"/>
  <c r="G8" i="31" s="1"/>
  <c r="G15" i="35" s="1"/>
  <c r="V8" i="36"/>
  <c r="F8" i="31" s="1"/>
  <c r="G16" i="35" s="1"/>
  <c r="W13" i="36"/>
  <c r="G13" i="31" s="1"/>
  <c r="G26" i="35" s="1"/>
  <c r="V13" i="36"/>
  <c r="F13" i="31" s="1"/>
  <c r="G25" i="35" s="1"/>
  <c r="G25" i="31"/>
  <c r="G49" i="35" s="1"/>
  <c r="V25" i="36"/>
  <c r="F25" i="31" s="1"/>
  <c r="G50" i="35" s="1"/>
  <c r="W34" i="36"/>
  <c r="G34" i="31" s="1"/>
  <c r="V34" i="36"/>
  <c r="F34" i="31" s="1"/>
  <c r="W9" i="36"/>
  <c r="G9" i="31" s="1"/>
  <c r="G17" i="35" s="1"/>
  <c r="V9" i="36"/>
  <c r="F9" i="31" s="1"/>
  <c r="G18" i="35" s="1"/>
  <c r="V4" i="36"/>
  <c r="F4" i="31" s="1"/>
  <c r="G4" i="35" s="1"/>
  <c r="W24" i="36"/>
  <c r="G24" i="31" s="1"/>
  <c r="G48" i="35" s="1"/>
  <c r="V24" i="36"/>
  <c r="F24" i="31" s="1"/>
  <c r="G47" i="35" s="1"/>
  <c r="W22" i="36"/>
  <c r="G22" i="31" s="1"/>
  <c r="G43" i="35" s="1"/>
  <c r="V22" i="36"/>
  <c r="F22" i="31" s="1"/>
  <c r="G44" i="35" s="1"/>
  <c r="W32" i="36"/>
  <c r="G32" i="31" s="1"/>
  <c r="V32" i="36"/>
  <c r="F32" i="31" s="1"/>
  <c r="W29" i="36"/>
  <c r="G29" i="31" s="1"/>
  <c r="V29" i="36"/>
  <c r="F29" i="31" s="1"/>
  <c r="G55" i="35" s="1"/>
  <c r="W11" i="36"/>
  <c r="G11" i="31" s="1"/>
  <c r="G22" i="35" s="1"/>
  <c r="V11" i="36"/>
  <c r="F11" i="31" s="1"/>
  <c r="G21" i="35" s="1"/>
  <c r="W20" i="36"/>
  <c r="G20" i="31" s="1"/>
  <c r="G39" i="35" s="1"/>
  <c r="V20" i="36"/>
  <c r="F20" i="31" s="1"/>
  <c r="G40" i="35" s="1"/>
  <c r="W5" i="36"/>
  <c r="G5" i="31" s="1"/>
  <c r="V5" i="36"/>
  <c r="F5" i="31" s="1"/>
  <c r="G7" i="35" s="1"/>
  <c r="G5" i="36" s="1"/>
  <c r="W19" i="36"/>
  <c r="G19" i="31" s="1"/>
  <c r="G38" i="35" s="1"/>
  <c r="V19" i="36"/>
  <c r="F19" i="31" s="1"/>
  <c r="G37" i="35" s="1"/>
  <c r="W31" i="36"/>
  <c r="G31" i="31" s="1"/>
  <c r="V31" i="36"/>
  <c r="F31" i="31" s="1"/>
  <c r="G58" i="35" s="1"/>
  <c r="W36" i="36"/>
  <c r="G36" i="31" s="1"/>
  <c r="V36" i="36"/>
  <c r="F36" i="31" s="1"/>
  <c r="G60" i="35" s="1"/>
  <c r="J84" i="36"/>
  <c r="J77" i="36"/>
  <c r="E8" i="36"/>
  <c r="E5" i="36"/>
  <c r="M37" i="36"/>
  <c r="M78" i="36"/>
  <c r="J30" i="36"/>
  <c r="J42" i="36"/>
  <c r="H8" i="36"/>
  <c r="H5" i="36"/>
  <c r="I8" i="36"/>
  <c r="I5" i="36"/>
  <c r="J32" i="36"/>
  <c r="J44" i="36"/>
  <c r="M32" i="36"/>
  <c r="M44" i="36"/>
  <c r="M84" i="36"/>
  <c r="M77" i="36"/>
  <c r="M30" i="36"/>
  <c r="M42" i="36"/>
  <c r="F8" i="36"/>
  <c r="F5" i="36"/>
  <c r="M31" i="36"/>
  <c r="J22" i="36"/>
  <c r="J13" i="36"/>
  <c r="M25" i="36"/>
  <c r="M29" i="36"/>
  <c r="J20" i="36"/>
  <c r="M12" i="36"/>
  <c r="M9" i="36"/>
  <c r="M17" i="36"/>
  <c r="J59" i="36"/>
  <c r="J25" i="36"/>
  <c r="M18" i="36"/>
  <c r="M10" i="36"/>
  <c r="J16" i="36"/>
  <c r="M8" i="36"/>
  <c r="J7" i="36"/>
  <c r="M36" i="36"/>
  <c r="M24" i="36"/>
  <c r="J12" i="36"/>
  <c r="J21" i="36"/>
  <c r="M13" i="36"/>
  <c r="J39" i="36"/>
  <c r="J26" i="36"/>
  <c r="M23" i="36"/>
  <c r="J9" i="36"/>
  <c r="M14" i="36"/>
  <c r="I4" i="36"/>
  <c r="I7" i="36"/>
  <c r="M11" i="36"/>
  <c r="M7" i="36"/>
  <c r="J19" i="36"/>
  <c r="J27" i="36"/>
  <c r="J15" i="36"/>
  <c r="J23" i="36"/>
  <c r="J6" i="36"/>
  <c r="J61" i="36"/>
  <c r="M26" i="36"/>
  <c r="M27" i="36"/>
  <c r="M38" i="36"/>
  <c r="M39" i="36"/>
  <c r="J17" i="36"/>
  <c r="M22" i="36"/>
  <c r="J11" i="36"/>
  <c r="M21" i="36"/>
  <c r="J36" i="36"/>
  <c r="M28" i="36"/>
  <c r="J5" i="36"/>
  <c r="J41" i="36"/>
  <c r="J10" i="36"/>
  <c r="J29" i="36"/>
  <c r="J14" i="36"/>
  <c r="M19" i="36"/>
  <c r="M20" i="36"/>
  <c r="J38" i="36"/>
  <c r="J8" i="36"/>
  <c r="M5" i="36"/>
  <c r="M41" i="36"/>
  <c r="M15" i="36"/>
  <c r="M6" i="36"/>
  <c r="M61" i="36"/>
  <c r="J31" i="36"/>
  <c r="M16" i="36"/>
  <c r="U35" i="36"/>
  <c r="U34" i="36"/>
  <c r="H4" i="36"/>
  <c r="J40" i="36"/>
  <c r="J37" i="36"/>
  <c r="U33" i="36"/>
  <c r="Y88" i="36"/>
  <c r="X33" i="36"/>
  <c r="F4" i="36"/>
  <c r="G10" i="36" l="1"/>
  <c r="G17" i="36"/>
  <c r="G39" i="36"/>
  <c r="G36" i="36"/>
  <c r="G20" i="36"/>
  <c r="G22" i="36"/>
  <c r="G25" i="36"/>
  <c r="G30" i="36"/>
  <c r="G16" i="36"/>
  <c r="G12" i="36"/>
  <c r="G14" i="36"/>
  <c r="G21" i="36"/>
  <c r="G31" i="36"/>
  <c r="G11" i="36"/>
  <c r="G24" i="36"/>
  <c r="G13" i="36"/>
  <c r="G23" i="36"/>
  <c r="G27" i="36"/>
  <c r="G18" i="36"/>
  <c r="G19" i="36"/>
  <c r="G29" i="36"/>
  <c r="G9" i="36"/>
  <c r="G8" i="36"/>
  <c r="G26" i="36"/>
  <c r="G15" i="36"/>
  <c r="G28" i="36"/>
  <c r="G38" i="36"/>
  <c r="G77" i="36"/>
  <c r="X77" i="36" s="1"/>
  <c r="G4" i="36"/>
  <c r="X59" i="36"/>
  <c r="X32" i="36"/>
  <c r="X84" i="36"/>
  <c r="U32" i="36"/>
  <c r="W73" i="36"/>
  <c r="G73" i="31" s="1"/>
  <c r="G9" i="35"/>
  <c r="G8" i="35"/>
  <c r="X5" i="36"/>
  <c r="I88" i="36"/>
  <c r="U5" i="36"/>
  <c r="C4" i="38" s="1"/>
  <c r="X61" i="36"/>
  <c r="H88" i="36"/>
  <c r="X37" i="36"/>
  <c r="F88" i="36"/>
  <c r="U37" i="36"/>
  <c r="E88" i="36"/>
  <c r="X9" i="36" l="1"/>
  <c r="X25" i="36"/>
  <c r="U19" i="36"/>
  <c r="C18" i="38" s="1"/>
  <c r="U11" i="36"/>
  <c r="C10" i="38" s="1"/>
  <c r="U38" i="36"/>
  <c r="X14" i="36"/>
  <c r="X39" i="36"/>
  <c r="X22" i="36"/>
  <c r="X28" i="36"/>
  <c r="U27" i="36"/>
  <c r="U12" i="36"/>
  <c r="C11" i="38" s="1"/>
  <c r="X17" i="36"/>
  <c r="U8" i="36"/>
  <c r="C7" i="38" s="1"/>
  <c r="X24" i="36"/>
  <c r="X26" i="36"/>
  <c r="X13" i="36"/>
  <c r="U22" i="36"/>
  <c r="C21" i="38" s="1"/>
  <c r="X18" i="36"/>
  <c r="U18" i="36"/>
  <c r="C17" i="38" s="1"/>
  <c r="U14" i="36"/>
  <c r="C13" i="38" s="1"/>
  <c r="U39" i="36"/>
  <c r="U17" i="36"/>
  <c r="C16" i="38" s="1"/>
  <c r="X12" i="36"/>
  <c r="U26" i="36"/>
  <c r="X19" i="36"/>
  <c r="U13" i="36"/>
  <c r="C12" i="38" s="1"/>
  <c r="X8" i="36"/>
  <c r="U25" i="36"/>
  <c r="U24" i="36"/>
  <c r="C23" i="38" s="1"/>
  <c r="U29" i="36"/>
  <c r="X29" i="36"/>
  <c r="X15" i="36"/>
  <c r="U15" i="36"/>
  <c r="C14" i="38" s="1"/>
  <c r="U20" i="36"/>
  <c r="C19" i="38" s="1"/>
  <c r="X20" i="36"/>
  <c r="X23" i="36"/>
  <c r="U23" i="36"/>
  <c r="C22" i="38" s="1"/>
  <c r="U36" i="36"/>
  <c r="X36" i="36"/>
  <c r="X16" i="36"/>
  <c r="U16" i="36"/>
  <c r="C15" i="38" s="1"/>
  <c r="U30" i="36"/>
  <c r="C24" i="38" s="1"/>
  <c r="X30" i="36"/>
  <c r="X31" i="36"/>
  <c r="U31" i="36"/>
  <c r="X21" i="36"/>
  <c r="U21" i="36"/>
  <c r="C20" i="38" s="1"/>
  <c r="X10" i="36"/>
  <c r="U10" i="36"/>
  <c r="C9" i="38" s="1"/>
  <c r="U9" i="36"/>
  <c r="C8" i="38" s="1"/>
  <c r="X27" i="36"/>
  <c r="X11" i="36"/>
  <c r="U28" i="36"/>
  <c r="X38" i="36"/>
  <c r="M4" i="36" l="1"/>
  <c r="M88" i="36" s="1"/>
  <c r="J4" i="36"/>
  <c r="J88" i="36" l="1"/>
  <c r="U4" i="36"/>
  <c r="C3" i="38" s="1"/>
  <c r="X4" i="36"/>
  <c r="C73" i="36" l="1"/>
  <c r="C68" i="36"/>
  <c r="C59" i="36"/>
  <c r="U122" i="35"/>
  <c r="G103" i="35"/>
  <c r="G115" i="35"/>
  <c r="G97" i="35"/>
  <c r="G96" i="35"/>
  <c r="G101" i="35"/>
  <c r="G107" i="35"/>
  <c r="G89" i="35"/>
  <c r="G88" i="35"/>
  <c r="G93" i="35"/>
  <c r="G99" i="35"/>
  <c r="G86" i="35"/>
  <c r="G100" i="35"/>
  <c r="G83" i="35"/>
  <c r="G106" i="35"/>
  <c r="G95" i="35"/>
  <c r="G85" i="35"/>
  <c r="G91" i="35"/>
  <c r="G87" i="35"/>
  <c r="G77" i="35"/>
  <c r="G80" i="35"/>
  <c r="G78" i="35"/>
  <c r="G98" i="35"/>
  <c r="G109" i="35"/>
  <c r="G108" i="35"/>
  <c r="G102" i="35"/>
  <c r="G92" i="35"/>
  <c r="G90" i="35"/>
  <c r="G79" i="35"/>
  <c r="G104" i="35"/>
  <c r="G94" i="35"/>
  <c r="G84" i="35"/>
  <c r="G105" i="35"/>
  <c r="G120" i="35"/>
  <c r="G82" i="35"/>
  <c r="D62" i="36"/>
  <c r="W62" i="36" s="1"/>
  <c r="G62" i="31" s="1"/>
  <c r="D61" i="36"/>
  <c r="W61" i="36" s="1"/>
  <c r="G61" i="31" s="1"/>
  <c r="U4" i="35"/>
  <c r="U112" i="35"/>
  <c r="U33" i="35"/>
  <c r="V33" i="35" s="1"/>
  <c r="U87" i="35"/>
  <c r="U24" i="35"/>
  <c r="V24" i="35" s="1"/>
  <c r="U75" i="35"/>
  <c r="U11" i="35"/>
  <c r="V11" i="35" s="1"/>
  <c r="U63" i="35"/>
  <c r="V63" i="35" s="1"/>
  <c r="U54" i="35"/>
  <c r="V54" i="35" s="1"/>
  <c r="U97" i="35"/>
  <c r="U88" i="35"/>
  <c r="U61" i="35"/>
  <c r="V61" i="35" s="1"/>
  <c r="U115" i="35"/>
  <c r="U52" i="35"/>
  <c r="U89" i="35"/>
  <c r="U96" i="35"/>
  <c r="U25" i="35"/>
  <c r="V25" i="35" s="1"/>
  <c r="U79" i="35"/>
  <c r="U16" i="35"/>
  <c r="V16" i="35" s="1"/>
  <c r="U67" i="35"/>
  <c r="U118" i="35"/>
  <c r="U55" i="35"/>
  <c r="V55" i="35" s="1"/>
  <c r="U109" i="35"/>
  <c r="U46" i="35"/>
  <c r="V46" i="35" s="1"/>
  <c r="U53" i="35"/>
  <c r="U107" i="35"/>
  <c r="U44" i="35"/>
  <c r="V44" i="35" s="1"/>
  <c r="U50" i="35"/>
  <c r="U80" i="35"/>
  <c r="U17" i="35"/>
  <c r="V17" i="35" s="1"/>
  <c r="U72" i="35"/>
  <c r="U8" i="35"/>
  <c r="V8" i="35" s="1"/>
  <c r="U47" i="35"/>
  <c r="U101" i="35"/>
  <c r="U38" i="35"/>
  <c r="V38" i="35" s="1"/>
  <c r="U66" i="35"/>
  <c r="U108" i="35"/>
  <c r="U45" i="35"/>
  <c r="V45" i="35" s="1"/>
  <c r="U99" i="35"/>
  <c r="U36" i="35"/>
  <c r="V36" i="35" s="1"/>
  <c r="U58" i="35"/>
  <c r="V58" i="35" s="1"/>
  <c r="U49" i="35"/>
  <c r="U103" i="35"/>
  <c r="U40" i="35"/>
  <c r="V40" i="35" s="1"/>
  <c r="U90" i="35"/>
  <c r="U27" i="35"/>
  <c r="V27" i="35" s="1"/>
  <c r="U15" i="35"/>
  <c r="V15" i="35" s="1"/>
  <c r="U70" i="35"/>
  <c r="U6" i="35"/>
  <c r="V6" i="35" s="1"/>
  <c r="U120" i="35"/>
  <c r="U77" i="35"/>
  <c r="U13" i="35"/>
  <c r="V13" i="35" s="1"/>
  <c r="U68" i="35"/>
  <c r="U18" i="35"/>
  <c r="V18" i="35" s="1"/>
  <c r="U73" i="35"/>
  <c r="U9" i="35"/>
  <c r="V9" i="35" s="1"/>
  <c r="U64" i="35"/>
  <c r="U51" i="35"/>
  <c r="U102" i="35"/>
  <c r="U39" i="35"/>
  <c r="V39" i="35" s="1"/>
  <c r="U93" i="35"/>
  <c r="U30" i="35"/>
  <c r="V30" i="35" s="1"/>
  <c r="U42" i="35"/>
  <c r="V42" i="35" s="1"/>
  <c r="U100" i="35"/>
  <c r="U37" i="35"/>
  <c r="V37" i="35" s="1"/>
  <c r="U91" i="35"/>
  <c r="U28" i="35"/>
  <c r="V28" i="35" s="1"/>
  <c r="U105" i="35"/>
  <c r="U65" i="35"/>
  <c r="U119" i="35"/>
  <c r="U56" i="35"/>
  <c r="V56" i="35" s="1"/>
  <c r="U106" i="35"/>
  <c r="U43" i="35"/>
  <c r="V43" i="35" s="1"/>
  <c r="U94" i="35"/>
  <c r="U31" i="35"/>
  <c r="V31" i="35" s="1"/>
  <c r="U85" i="35"/>
  <c r="U22" i="35"/>
  <c r="V22" i="35" s="1"/>
  <c r="U34" i="35"/>
  <c r="V34" i="35" s="1"/>
  <c r="U92" i="35"/>
  <c r="U29" i="35"/>
  <c r="V29" i="35" s="1"/>
  <c r="U83" i="35"/>
  <c r="U20" i="35"/>
  <c r="V20" i="35" s="1"/>
  <c r="U74" i="35"/>
  <c r="U57" i="35"/>
  <c r="V57" i="35" s="1"/>
  <c r="U48" i="35"/>
  <c r="U98" i="35"/>
  <c r="U35" i="35"/>
  <c r="V35" i="35" s="1"/>
  <c r="U86" i="35"/>
  <c r="U23" i="35"/>
  <c r="V23" i="35" s="1"/>
  <c r="U78" i="35"/>
  <c r="U14" i="35"/>
  <c r="V14" i="35" s="1"/>
  <c r="U10" i="35"/>
  <c r="U84" i="35"/>
  <c r="U21" i="35"/>
  <c r="V21" i="35" s="1"/>
  <c r="U76" i="35"/>
  <c r="U12" i="35"/>
  <c r="U26" i="35"/>
  <c r="V26" i="35" s="1"/>
  <c r="U41" i="35"/>
  <c r="V41" i="35" s="1"/>
  <c r="U95" i="35"/>
  <c r="U32" i="35"/>
  <c r="V32" i="35" s="1"/>
  <c r="U82" i="35"/>
  <c r="U19" i="35"/>
  <c r="V19" i="35" s="1"/>
  <c r="U71" i="35"/>
  <c r="U7" i="35"/>
  <c r="V7" i="35" s="1"/>
  <c r="U62" i="35"/>
  <c r="V62" i="35" s="1"/>
  <c r="U104" i="35"/>
  <c r="U69" i="35"/>
  <c r="U5" i="35"/>
  <c r="V5" i="35" s="1"/>
  <c r="U60" i="35"/>
  <c r="V60" i="35" s="1"/>
  <c r="V59" i="35" l="1"/>
  <c r="W52" i="37"/>
  <c r="U73" i="36"/>
  <c r="V73" i="36"/>
  <c r="F73" i="31" s="1"/>
  <c r="C75" i="36"/>
  <c r="D75" i="36"/>
  <c r="W75" i="36" s="1"/>
  <c r="G75" i="31" s="1"/>
  <c r="D64" i="36"/>
  <c r="W64" i="36" s="1"/>
  <c r="G64" i="31" s="1"/>
  <c r="C64" i="36"/>
  <c r="C66" i="36"/>
  <c r="D66" i="36"/>
  <c r="W66" i="36" s="1"/>
  <c r="G66" i="31" s="1"/>
  <c r="D77" i="36"/>
  <c r="W77" i="36" s="1"/>
  <c r="G77" i="31" s="1"/>
  <c r="C77" i="36"/>
  <c r="C67" i="36"/>
  <c r="D67" i="36"/>
  <c r="W67" i="36" s="1"/>
  <c r="G67" i="31" s="1"/>
  <c r="C82" i="36"/>
  <c r="D82" i="36"/>
  <c r="W82" i="36" s="1"/>
  <c r="G82" i="31" s="1"/>
  <c r="C72" i="36"/>
  <c r="D72" i="36"/>
  <c r="W72" i="36" s="1"/>
  <c r="G72" i="31" s="1"/>
  <c r="C74" i="36"/>
  <c r="D74" i="36"/>
  <c r="W74" i="36" s="1"/>
  <c r="G74" i="31" s="1"/>
  <c r="D80" i="36"/>
  <c r="W80" i="36" s="1"/>
  <c r="G80" i="31" s="1"/>
  <c r="C80" i="36"/>
  <c r="D71" i="36"/>
  <c r="W71" i="36" s="1"/>
  <c r="G71" i="31" s="1"/>
  <c r="C71" i="36"/>
  <c r="C70" i="36"/>
  <c r="D70" i="36"/>
  <c r="W70" i="36" s="1"/>
  <c r="G70" i="31" s="1"/>
  <c r="D65" i="36"/>
  <c r="W65" i="36" s="1"/>
  <c r="G65" i="31" s="1"/>
  <c r="C65" i="36"/>
  <c r="D59" i="36"/>
  <c r="C78" i="36"/>
  <c r="D78" i="36"/>
  <c r="W78" i="36" s="1"/>
  <c r="G78" i="31" s="1"/>
  <c r="C76" i="36"/>
  <c r="D76" i="36"/>
  <c r="W76" i="36" s="1"/>
  <c r="G76" i="31" s="1"/>
  <c r="D68" i="36"/>
  <c r="D79" i="36"/>
  <c r="W79" i="36" s="1"/>
  <c r="G79" i="31" s="1"/>
  <c r="C79" i="36"/>
  <c r="D60" i="36"/>
  <c r="W60" i="36" s="1"/>
  <c r="G60" i="31" s="1"/>
  <c r="C60" i="36"/>
  <c r="D87" i="36"/>
  <c r="W87" i="36" s="1"/>
  <c r="C87" i="36"/>
  <c r="C83" i="36"/>
  <c r="D83" i="36"/>
  <c r="W83" i="36" s="1"/>
  <c r="G83" i="31" s="1"/>
  <c r="C69" i="36"/>
  <c r="D69" i="36"/>
  <c r="W69" i="36" s="1"/>
  <c r="G69" i="31" s="1"/>
  <c r="C84" i="36"/>
  <c r="D84" i="36"/>
  <c r="W84" i="36" s="1"/>
  <c r="G84" i="31" s="1"/>
  <c r="V51" i="35"/>
  <c r="C42" i="36"/>
  <c r="C54" i="36"/>
  <c r="U54" i="36" s="1"/>
  <c r="C53" i="36"/>
  <c r="U53" i="36" s="1"/>
  <c r="C48" i="36"/>
  <c r="U48" i="36" s="1"/>
  <c r="C50" i="36"/>
  <c r="U50" i="36" s="1"/>
  <c r="C57" i="36"/>
  <c r="U57" i="36" s="1"/>
  <c r="C61" i="36"/>
  <c r="C56" i="36"/>
  <c r="U56" i="36" s="1"/>
  <c r="C6" i="36"/>
  <c r="V6" i="36" s="1"/>
  <c r="F6" i="31" s="1"/>
  <c r="G10" i="35" s="1"/>
  <c r="C46" i="36"/>
  <c r="C51" i="36"/>
  <c r="C45" i="36"/>
  <c r="C55" i="36"/>
  <c r="U55" i="36" s="1"/>
  <c r="C7" i="36"/>
  <c r="V7" i="36" s="1"/>
  <c r="F7" i="31" s="1"/>
  <c r="G12" i="35" s="1"/>
  <c r="C62" i="36"/>
  <c r="C49" i="36"/>
  <c r="C41" i="36"/>
  <c r="C58" i="36"/>
  <c r="U58" i="36" s="1"/>
  <c r="C44" i="36"/>
  <c r="C47" i="36"/>
  <c r="C40" i="36"/>
  <c r="C63" i="36"/>
  <c r="U62" i="36" l="1"/>
  <c r="U61" i="36"/>
  <c r="U65" i="36"/>
  <c r="U74" i="36"/>
  <c r="U60" i="36"/>
  <c r="U66" i="36"/>
  <c r="U72" i="36"/>
  <c r="U83" i="36"/>
  <c r="U71" i="36"/>
  <c r="U77" i="36"/>
  <c r="U70" i="36"/>
  <c r="U84" i="36"/>
  <c r="U67" i="36"/>
  <c r="U64" i="36"/>
  <c r="U76" i="36"/>
  <c r="V59" i="36"/>
  <c r="F59" i="31" s="1"/>
  <c r="U59" i="36"/>
  <c r="U69" i="36"/>
  <c r="U68" i="36"/>
  <c r="V68" i="36"/>
  <c r="F68" i="31" s="1"/>
  <c r="U82" i="36"/>
  <c r="U75" i="36"/>
  <c r="U81" i="35"/>
  <c r="U121" i="35"/>
  <c r="U117" i="35"/>
  <c r="U116" i="35"/>
  <c r="U114" i="35"/>
  <c r="U113" i="35"/>
  <c r="U110" i="35"/>
  <c r="U111" i="35"/>
  <c r="G6" i="36"/>
  <c r="U6" i="36" s="1"/>
  <c r="C5" i="38" s="1"/>
  <c r="G7" i="36"/>
  <c r="G121" i="35"/>
  <c r="G117" i="35"/>
  <c r="G116" i="35"/>
  <c r="G114" i="35"/>
  <c r="G111" i="35"/>
  <c r="G110" i="35"/>
  <c r="G81" i="35"/>
  <c r="G113" i="35"/>
  <c r="W68" i="36"/>
  <c r="G68" i="31" s="1"/>
  <c r="G87" i="31"/>
  <c r="W59" i="36"/>
  <c r="G59" i="31" s="1"/>
  <c r="V54" i="36"/>
  <c r="F54" i="31" s="1"/>
  <c r="V84" i="36"/>
  <c r="F84" i="31" s="1"/>
  <c r="V60" i="36"/>
  <c r="F60" i="31" s="1"/>
  <c r="D88" i="36"/>
  <c r="V74" i="36"/>
  <c r="F74" i="31" s="1"/>
  <c r="V66" i="36"/>
  <c r="F66" i="31" s="1"/>
  <c r="V71" i="36"/>
  <c r="F71" i="31" s="1"/>
  <c r="V67" i="36"/>
  <c r="F67" i="31" s="1"/>
  <c r="V76" i="36"/>
  <c r="F76" i="31" s="1"/>
  <c r="V108" i="35" s="1"/>
  <c r="V65" i="36"/>
  <c r="F65" i="31" s="1"/>
  <c r="V85" i="35" s="1"/>
  <c r="V64" i="36"/>
  <c r="F64" i="31" s="1"/>
  <c r="V72" i="36"/>
  <c r="F72" i="31" s="1"/>
  <c r="V69" i="36"/>
  <c r="F69" i="31" s="1"/>
  <c r="V87" i="36"/>
  <c r="V83" i="36"/>
  <c r="F83" i="31" s="1"/>
  <c r="V77" i="36"/>
  <c r="F77" i="31" s="1"/>
  <c r="V82" i="36"/>
  <c r="F82" i="31" s="1"/>
  <c r="V70" i="36"/>
  <c r="F70" i="31" s="1"/>
  <c r="V75" i="36"/>
  <c r="F75" i="31" s="1"/>
  <c r="V53" i="36"/>
  <c r="F53" i="31" s="1"/>
  <c r="V120" i="35"/>
  <c r="V57" i="36"/>
  <c r="F57" i="31" s="1"/>
  <c r="V10" i="35"/>
  <c r="C88" i="36"/>
  <c r="V62" i="36"/>
  <c r="F62" i="31" s="1"/>
  <c r="V58" i="36"/>
  <c r="F58" i="31" s="1"/>
  <c r="V12" i="35"/>
  <c r="V56" i="36"/>
  <c r="F56" i="31" s="1"/>
  <c r="V50" i="36"/>
  <c r="G50" i="31" s="1"/>
  <c r="G73" i="35" s="1"/>
  <c r="V55" i="36"/>
  <c r="F55" i="31" s="1"/>
  <c r="V61" i="36"/>
  <c r="F61" i="31" s="1"/>
  <c r="V48" i="36"/>
  <c r="F48" i="31" s="1"/>
  <c r="X6" i="36" l="1"/>
  <c r="V117" i="35"/>
  <c r="V114" i="35"/>
  <c r="V111" i="35"/>
  <c r="X7" i="36"/>
  <c r="U7" i="36"/>
  <c r="C6" i="38" s="1"/>
  <c r="C25" i="38" s="1"/>
  <c r="G79" i="36"/>
  <c r="G63" i="36"/>
  <c r="V105" i="35"/>
  <c r="V106" i="35"/>
  <c r="V88" i="35"/>
  <c r="V89" i="35"/>
  <c r="V96" i="35"/>
  <c r="V97" i="35"/>
  <c r="V98" i="35"/>
  <c r="V99" i="35"/>
  <c r="V86" i="35"/>
  <c r="V87" i="35"/>
  <c r="F87" i="31"/>
  <c r="V94" i="35"/>
  <c r="V93" i="35"/>
  <c r="V92" i="35"/>
  <c r="V107" i="35"/>
  <c r="V77" i="35"/>
  <c r="V78" i="35"/>
  <c r="V90" i="35"/>
  <c r="V91" i="35"/>
  <c r="V115" i="35"/>
  <c r="V112" i="35"/>
  <c r="V100" i="35"/>
  <c r="V101" i="35"/>
  <c r="V113" i="35"/>
  <c r="W88" i="36"/>
  <c r="V53" i="35"/>
  <c r="V110" i="35"/>
  <c r="V109" i="35"/>
  <c r="V116" i="35"/>
  <c r="V73" i="35"/>
  <c r="V103" i="35"/>
  <c r="V104" i="35"/>
  <c r="V102" i="35"/>
  <c r="V95" i="35"/>
  <c r="V52" i="35"/>
  <c r="V50" i="35"/>
  <c r="V48" i="35"/>
  <c r="V49" i="35"/>
  <c r="U86" i="36" l="1"/>
  <c r="X63" i="36"/>
  <c r="V63" i="36"/>
  <c r="F63" i="31" s="1"/>
  <c r="G122" i="35" s="1"/>
  <c r="U63" i="36"/>
  <c r="X79" i="36"/>
  <c r="U79" i="36"/>
  <c r="V79" i="36"/>
  <c r="F79" i="31" s="1"/>
  <c r="V121" i="35" s="1"/>
  <c r="V47" i="35"/>
  <c r="V79" i="35"/>
  <c r="V80" i="35"/>
  <c r="V82" i="35"/>
  <c r="V4" i="35"/>
  <c r="V83" i="35"/>
  <c r="V81" i="35"/>
  <c r="V84" i="35"/>
  <c r="V122" i="35" l="1"/>
  <c r="X52" i="37"/>
  <c r="X72" i="37"/>
  <c r="W30" i="37"/>
  <c r="X30" i="37"/>
  <c r="X43" i="37"/>
  <c r="X41" i="37"/>
  <c r="W28" i="37"/>
  <c r="X49" i="37"/>
  <c r="V48" i="37"/>
  <c r="X44" i="37"/>
  <c r="X42" i="37"/>
  <c r="W39" i="37"/>
  <c r="X46" i="37"/>
  <c r="W38" i="37"/>
  <c r="W35" i="37"/>
  <c r="X45" i="37"/>
  <c r="V52" i="37"/>
  <c r="G80" i="36" l="1"/>
  <c r="U80" i="36" l="1"/>
  <c r="V80" i="36"/>
  <c r="F80" i="31" s="1"/>
  <c r="X80" i="36"/>
  <c r="W54" i="37"/>
  <c r="W37" i="37"/>
  <c r="G49" i="36"/>
  <c r="V49" i="36" s="1"/>
  <c r="F49" i="31" s="1"/>
  <c r="G72" i="35" s="1"/>
  <c r="V72" i="35" s="1"/>
  <c r="G47" i="36"/>
  <c r="V47" i="36" s="1"/>
  <c r="F47" i="31" s="1"/>
  <c r="G71" i="35" s="1"/>
  <c r="V71" i="35" s="1"/>
  <c r="G43" i="36"/>
  <c r="G46" i="36"/>
  <c r="X46" i="36" s="1"/>
  <c r="G44" i="36"/>
  <c r="X44" i="36" s="1"/>
  <c r="G42" i="36"/>
  <c r="G40" i="36"/>
  <c r="G51" i="36"/>
  <c r="X51" i="36" s="1"/>
  <c r="G45" i="36"/>
  <c r="X45" i="36" s="1"/>
  <c r="G78" i="36"/>
  <c r="V78" i="36" s="1"/>
  <c r="F78" i="31" s="1"/>
  <c r="G41" i="36"/>
  <c r="G52" i="36"/>
  <c r="U52" i="36" s="1"/>
  <c r="X41" i="36" l="1"/>
  <c r="U42" i="36"/>
  <c r="V42" i="36"/>
  <c r="F42" i="31" s="1"/>
  <c r="G66" i="35" s="1"/>
  <c r="V66" i="35" s="1"/>
  <c r="V45" i="36"/>
  <c r="F45" i="31" s="1"/>
  <c r="G118" i="35" s="1"/>
  <c r="V118" i="35" s="1"/>
  <c r="V40" i="36"/>
  <c r="F40" i="31" s="1"/>
  <c r="G64" i="35" s="1"/>
  <c r="V64" i="35" s="1"/>
  <c r="V41" i="36"/>
  <c r="F41" i="31" s="1"/>
  <c r="G65" i="35" s="1"/>
  <c r="V65" i="35" s="1"/>
  <c r="V52" i="36"/>
  <c r="F52" i="31" s="1"/>
  <c r="V44" i="36"/>
  <c r="F44" i="31" s="1"/>
  <c r="G68" i="35" s="1"/>
  <c r="V68" i="35" s="1"/>
  <c r="V43" i="36"/>
  <c r="F43" i="31" s="1"/>
  <c r="G67" i="35" s="1"/>
  <c r="V67" i="35" s="1"/>
  <c r="X52" i="36"/>
  <c r="U43" i="36"/>
  <c r="U41" i="36"/>
  <c r="X43" i="36"/>
  <c r="U49" i="36"/>
  <c r="U47" i="36"/>
  <c r="X40" i="36"/>
  <c r="X49" i="36"/>
  <c r="X47" i="36"/>
  <c r="U40" i="36"/>
  <c r="X78" i="36"/>
  <c r="G88" i="36"/>
  <c r="U78" i="36"/>
  <c r="V46" i="36"/>
  <c r="F46" i="31" s="1"/>
  <c r="G70" i="35" s="1"/>
  <c r="V70" i="35" s="1"/>
  <c r="X42" i="36"/>
  <c r="U45" i="36"/>
  <c r="U44" i="36"/>
  <c r="V51" i="36"/>
  <c r="F51" i="31" s="1"/>
  <c r="U51" i="36"/>
  <c r="U46" i="36"/>
  <c r="U88" i="36" l="1"/>
  <c r="X88" i="36"/>
  <c r="G69" i="35"/>
  <c r="V69" i="35" s="1"/>
  <c r="G74" i="35"/>
  <c r="V74" i="35" s="1"/>
  <c r="V88" i="36"/>
  <c r="G75" i="35"/>
  <c r="V75" i="35" s="1"/>
  <c r="G119" i="35"/>
  <c r="V119" i="35" s="1"/>
  <c r="G76" i="35"/>
  <c r="V76" i="35" s="1"/>
  <c r="V123" i="35" l="1"/>
  <c r="AQ8" i="4" s="1"/>
  <c r="AQ9" i="4" l="1"/>
  <c r="AQ10" i="4"/>
  <c r="K3" i="37" l="1"/>
  <c r="D74" i="37"/>
  <c r="C26" i="38"/>
  <c r="R53" i="37" s="1"/>
  <c r="W65" i="35"/>
  <c r="V40" i="37" s="1"/>
  <c r="W106" i="35"/>
  <c r="V66" i="37" s="1"/>
  <c r="W104" i="35"/>
  <c r="V65" i="37" s="1"/>
  <c r="W103" i="35"/>
  <c r="W22" i="35"/>
  <c r="X10" i="37" s="1"/>
  <c r="W71" i="35"/>
  <c r="V46" i="37" s="1"/>
  <c r="W109" i="35"/>
  <c r="W77" i="35"/>
  <c r="W60" i="35"/>
  <c r="V35" i="37" s="1"/>
  <c r="W78" i="35"/>
  <c r="W51" i="37" s="1"/>
  <c r="W12" i="35"/>
  <c r="V6" i="37" s="1"/>
  <c r="W72" i="35"/>
  <c r="W20" i="35"/>
  <c r="V9" i="37" s="1"/>
  <c r="W98" i="35"/>
  <c r="W89" i="35"/>
  <c r="W59" i="37" s="1"/>
  <c r="W49" i="35"/>
  <c r="X25" i="37" s="1"/>
  <c r="W39" i="35"/>
  <c r="X20" i="37" s="1"/>
  <c r="W64" i="35"/>
  <c r="V39" i="37" s="1"/>
  <c r="W24" i="35"/>
  <c r="V11" i="37" s="1"/>
  <c r="Q3" i="37"/>
  <c r="N3" i="37"/>
  <c r="W87" i="35"/>
  <c r="W90" i="35"/>
  <c r="W60" i="37" s="1"/>
  <c r="W83" i="35"/>
  <c r="W53" i="35"/>
  <c r="V27" i="37" s="1"/>
  <c r="W33" i="35"/>
  <c r="V17" i="37" s="1"/>
  <c r="W56" i="35"/>
  <c r="X16" i="37" s="1"/>
  <c r="W51" i="35"/>
  <c r="V26" i="37" s="1"/>
  <c r="R3" i="37"/>
  <c r="W101" i="35"/>
  <c r="W64" i="37" s="1"/>
  <c r="W52" i="35"/>
  <c r="X26" i="37" s="1"/>
  <c r="W9" i="35"/>
  <c r="W122" i="35"/>
  <c r="W57" i="35"/>
  <c r="V16" i="37" s="1"/>
  <c r="O3" i="37"/>
  <c r="W34" i="35"/>
  <c r="X17" i="37" s="1"/>
  <c r="W58" i="35"/>
  <c r="V30" i="37" s="1"/>
  <c r="W19" i="35"/>
  <c r="X9" i="37" s="1"/>
  <c r="W40" i="35"/>
  <c r="V20" i="37" s="1"/>
  <c r="C3" i="37"/>
  <c r="W76" i="35"/>
  <c r="V50" i="37" s="1"/>
  <c r="W82" i="35"/>
  <c r="V56" i="37" s="1"/>
  <c r="W27" i="35"/>
  <c r="V13" i="37" s="1"/>
  <c r="W75" i="35"/>
  <c r="W50" i="37" s="1"/>
  <c r="W79" i="35"/>
  <c r="V53" i="37" s="1"/>
  <c r="W10" i="35"/>
  <c r="V5" i="37" s="1"/>
  <c r="W115" i="35"/>
  <c r="W69" i="37" s="1"/>
  <c r="W14" i="35"/>
  <c r="W50" i="35"/>
  <c r="V25" i="37" s="1"/>
  <c r="E3" i="37"/>
  <c r="W46" i="35"/>
  <c r="X23" i="37" s="1"/>
  <c r="W68" i="35"/>
  <c r="V43" i="37" s="1"/>
  <c r="W81" i="35"/>
  <c r="V55" i="37" s="1"/>
  <c r="W21" i="35"/>
  <c r="V10" i="37" s="1"/>
  <c r="W16" i="35"/>
  <c r="V7" i="37" s="1"/>
  <c r="W92" i="35"/>
  <c r="V61" i="37" s="1"/>
  <c r="W44" i="35"/>
  <c r="V22" i="37" s="1"/>
  <c r="W31" i="35"/>
  <c r="V15" i="37" s="1"/>
  <c r="W96" i="35"/>
  <c r="V63" i="37" s="1"/>
  <c r="W35" i="35"/>
  <c r="X18" i="37" s="1"/>
  <c r="H3" i="37"/>
  <c r="W116" i="35"/>
  <c r="W28" i="35"/>
  <c r="X13" i="37" s="1"/>
  <c r="W85" i="35"/>
  <c r="W46" i="37" s="1"/>
  <c r="W119" i="35"/>
  <c r="W71" i="37" s="1"/>
  <c r="W67" i="35"/>
  <c r="V42" i="37" s="1"/>
  <c r="W121" i="35"/>
  <c r="W18" i="35"/>
  <c r="V8" i="37" s="1"/>
  <c r="W26" i="35"/>
  <c r="X12" i="37" s="1"/>
  <c r="W25" i="35"/>
  <c r="V12" i="37" s="1"/>
  <c r="W43" i="35"/>
  <c r="X22" i="37" s="1"/>
  <c r="W5" i="35"/>
  <c r="I3" i="37"/>
  <c r="W59" i="35"/>
  <c r="W29" i="35"/>
  <c r="X14" i="37" s="1"/>
  <c r="W37" i="35"/>
  <c r="V19" i="37" s="1"/>
  <c r="W80" i="35"/>
  <c r="V54" i="37" s="1"/>
  <c r="W97" i="35"/>
  <c r="L3" i="37"/>
  <c r="W120" i="35"/>
  <c r="X71" i="37" s="1"/>
  <c r="W36" i="35"/>
  <c r="V18" i="37" s="1"/>
  <c r="W32" i="35"/>
  <c r="X15" i="37" s="1"/>
  <c r="W74" i="35"/>
  <c r="V49" i="37" s="1"/>
  <c r="W66" i="35"/>
  <c r="V41" i="37" s="1"/>
  <c r="W84" i="35"/>
  <c r="W54" i="35"/>
  <c r="V28" i="37" s="1"/>
  <c r="W88" i="35"/>
  <c r="V59" i="37" s="1"/>
  <c r="W8" i="35"/>
  <c r="W102" i="35"/>
  <c r="W61" i="35"/>
  <c r="V37" i="37" s="1"/>
  <c r="F3" i="37"/>
  <c r="W114" i="35"/>
  <c r="V79" i="37" s="1"/>
  <c r="AB79" i="37" s="1"/>
  <c r="W23" i="35"/>
  <c r="X11" i="37" s="1"/>
  <c r="W30" i="35"/>
  <c r="V14" i="37" s="1"/>
  <c r="W95" i="35"/>
  <c r="W62" i="37" s="1"/>
  <c r="W93" i="35"/>
  <c r="W61" i="37" s="1"/>
  <c r="W69" i="35"/>
  <c r="V44" i="37" s="1"/>
  <c r="W118" i="35"/>
  <c r="V71" i="37" s="1"/>
  <c r="W47" i="35"/>
  <c r="V24" i="37" s="1"/>
  <c r="W94" i="35"/>
  <c r="V62" i="37" s="1"/>
  <c r="W48" i="35"/>
  <c r="X24" i="37" s="1"/>
  <c r="W73" i="35"/>
  <c r="X48" i="37" s="1"/>
  <c r="W7" i="35"/>
  <c r="V4" i="37" s="1"/>
  <c r="W63" i="35"/>
  <c r="X38" i="37" s="1"/>
  <c r="W6" i="35"/>
  <c r="W108" i="35"/>
  <c r="V68" i="37" s="1"/>
  <c r="W38" i="35"/>
  <c r="X19" i="37" s="1"/>
  <c r="W107" i="35"/>
  <c r="W67" i="37" s="1"/>
  <c r="W99" i="35"/>
  <c r="G3" i="37"/>
  <c r="W113" i="35"/>
  <c r="W91" i="35"/>
  <c r="V60" i="37" s="1"/>
  <c r="W70" i="35"/>
  <c r="V45" i="37" s="1"/>
  <c r="W4" i="35"/>
  <c r="V3" i="37" s="1"/>
  <c r="W112" i="35"/>
  <c r="V69" i="37" s="1"/>
  <c r="W17" i="35"/>
  <c r="X8" i="37" s="1"/>
  <c r="W62" i="35"/>
  <c r="V38" i="37" s="1"/>
  <c r="W11" i="35"/>
  <c r="X5" i="37" s="1"/>
  <c r="W111" i="35"/>
  <c r="W117" i="35"/>
  <c r="W105" i="35"/>
  <c r="W66" i="37" s="1"/>
  <c r="W55" i="35"/>
  <c r="V29" i="37" s="1"/>
  <c r="M3" i="37"/>
  <c r="W13" i="35"/>
  <c r="X6" i="37" s="1"/>
  <c r="W42" i="35"/>
  <c r="X21" i="37" s="1"/>
  <c r="W45" i="35"/>
  <c r="V23" i="37" s="1"/>
  <c r="W41" i="35"/>
  <c r="V21" i="37" s="1"/>
  <c r="W100" i="35"/>
  <c r="V64" i="37" s="1"/>
  <c r="W86" i="35"/>
  <c r="V58" i="37" s="1"/>
  <c r="J3" i="37"/>
  <c r="W110" i="35"/>
  <c r="W15" i="35"/>
  <c r="X7" i="37" s="1"/>
  <c r="D6" i="37"/>
  <c r="U6" i="37"/>
  <c r="S7" i="37"/>
  <c r="D10" i="37"/>
  <c r="U10" i="37"/>
  <c r="S11" i="37"/>
  <c r="D14" i="37"/>
  <c r="U14" i="37"/>
  <c r="S15" i="37"/>
  <c r="D18" i="37"/>
  <c r="U18" i="37"/>
  <c r="S19" i="37"/>
  <c r="U21" i="37"/>
  <c r="S22" i="37"/>
  <c r="D25" i="37"/>
  <c r="U25" i="37"/>
  <c r="S26" i="37"/>
  <c r="D29" i="37"/>
  <c r="U29" i="37"/>
  <c r="S30" i="37"/>
  <c r="D33" i="37"/>
  <c r="U33" i="37"/>
  <c r="S34" i="37"/>
  <c r="D37" i="37"/>
  <c r="U37" i="37"/>
  <c r="S38" i="37"/>
  <c r="R4" i="37"/>
  <c r="C7" i="37"/>
  <c r="T7" i="37"/>
  <c r="R8" i="37"/>
  <c r="C11" i="37"/>
  <c r="T11" i="37"/>
  <c r="R12" i="37"/>
  <c r="C15" i="37"/>
  <c r="T15" i="37"/>
  <c r="R16" i="37"/>
  <c r="C19" i="37"/>
  <c r="T19" i="37"/>
  <c r="C22" i="37"/>
  <c r="T22" i="37"/>
  <c r="R23" i="37"/>
  <c r="C26" i="37"/>
  <c r="T26" i="37"/>
  <c r="R27" i="37"/>
  <c r="C30" i="37"/>
  <c r="T30" i="37"/>
  <c r="R31" i="37"/>
  <c r="C34" i="37"/>
  <c r="T34" i="37"/>
  <c r="R35" i="37"/>
  <c r="C38" i="37"/>
  <c r="T38" i="37"/>
  <c r="S4" i="37"/>
  <c r="D7" i="37"/>
  <c r="U7" i="37"/>
  <c r="S8" i="37"/>
  <c r="D11" i="37"/>
  <c r="U11" i="37"/>
  <c r="S12" i="37"/>
  <c r="D15" i="37"/>
  <c r="U15" i="37"/>
  <c r="S16" i="37"/>
  <c r="D19" i="37"/>
  <c r="U19" i="37"/>
  <c r="R20" i="37"/>
  <c r="D22" i="37"/>
  <c r="U22" i="37"/>
  <c r="S23" i="37"/>
  <c r="C4" i="37"/>
  <c r="T4" i="37"/>
  <c r="R5" i="37"/>
  <c r="C8" i="37"/>
  <c r="T8" i="37"/>
  <c r="R9" i="37"/>
  <c r="C12" i="37"/>
  <c r="T12" i="37"/>
  <c r="R13" i="37"/>
  <c r="C16" i="37"/>
  <c r="T16" i="37"/>
  <c r="R17" i="37"/>
  <c r="C20" i="37"/>
  <c r="S20" i="37"/>
  <c r="C23" i="37"/>
  <c r="T23" i="37"/>
  <c r="R24" i="37"/>
  <c r="C27" i="37"/>
  <c r="T27" i="37"/>
  <c r="R28" i="37"/>
  <c r="C31" i="37"/>
  <c r="T31" i="37"/>
  <c r="R32" i="37"/>
  <c r="C35" i="37"/>
  <c r="T35" i="37"/>
  <c r="R36" i="37"/>
  <c r="D39" i="37"/>
  <c r="D4" i="37"/>
  <c r="U4" i="37"/>
  <c r="S5" i="37"/>
  <c r="D8" i="37"/>
  <c r="U8" i="37"/>
  <c r="S9" i="37"/>
  <c r="D12" i="37"/>
  <c r="U12" i="37"/>
  <c r="S13" i="37"/>
  <c r="D16" i="37"/>
  <c r="U16" i="37"/>
  <c r="S17" i="37"/>
  <c r="D20" i="37"/>
  <c r="T20" i="37"/>
  <c r="D23" i="37"/>
  <c r="U23" i="37"/>
  <c r="S24" i="37"/>
  <c r="D27" i="37"/>
  <c r="U27" i="37"/>
  <c r="S28" i="37"/>
  <c r="D31" i="37"/>
  <c r="U31" i="37"/>
  <c r="S32" i="37"/>
  <c r="D35" i="37"/>
  <c r="U35" i="37"/>
  <c r="S36" i="37"/>
  <c r="C5" i="37"/>
  <c r="T5" i="37"/>
  <c r="R6" i="37"/>
  <c r="C9" i="37"/>
  <c r="T9" i="37"/>
  <c r="R10" i="37"/>
  <c r="C13" i="37"/>
  <c r="T13" i="37"/>
  <c r="R14" i="37"/>
  <c r="C17" i="37"/>
  <c r="T17" i="37"/>
  <c r="R18" i="37"/>
  <c r="U20" i="37"/>
  <c r="R21" i="37"/>
  <c r="C24" i="37"/>
  <c r="T24" i="37"/>
  <c r="R25" i="37"/>
  <c r="C28" i="37"/>
  <c r="T28" i="37"/>
  <c r="R29" i="37"/>
  <c r="C32" i="37"/>
  <c r="T32" i="37"/>
  <c r="R33" i="37"/>
  <c r="C36" i="37"/>
  <c r="T36" i="37"/>
  <c r="R37" i="37"/>
  <c r="D5" i="37"/>
  <c r="U5" i="37"/>
  <c r="S6" i="37"/>
  <c r="D9" i="37"/>
  <c r="U9" i="37"/>
  <c r="S10" i="37"/>
  <c r="D13" i="37"/>
  <c r="U13" i="37"/>
  <c r="S14" i="37"/>
  <c r="D17" i="37"/>
  <c r="U17" i="37"/>
  <c r="S18" i="37"/>
  <c r="C21" i="37"/>
  <c r="S21" i="37"/>
  <c r="D24" i="37"/>
  <c r="U24" i="37"/>
  <c r="S25" i="37"/>
  <c r="D28" i="37"/>
  <c r="U28" i="37"/>
  <c r="S29" i="37"/>
  <c r="D32" i="37"/>
  <c r="U32" i="37"/>
  <c r="S33" i="37"/>
  <c r="D36" i="37"/>
  <c r="U36" i="37"/>
  <c r="S37" i="37"/>
  <c r="R19" i="37"/>
  <c r="T29" i="37"/>
  <c r="C37" i="37"/>
  <c r="D40" i="37"/>
  <c r="T41" i="37"/>
  <c r="R43" i="37"/>
  <c r="C45" i="37"/>
  <c r="S46" i="37"/>
  <c r="D48" i="37"/>
  <c r="D50" i="37"/>
  <c r="R55" i="37"/>
  <c r="D58" i="37"/>
  <c r="D62" i="37"/>
  <c r="D66" i="37"/>
  <c r="D70" i="37"/>
  <c r="R15" i="37"/>
  <c r="S27" i="37"/>
  <c r="D43" i="37"/>
  <c r="R52" i="37"/>
  <c r="C6" i="37"/>
  <c r="D30" i="37"/>
  <c r="S31" i="37"/>
  <c r="R40" i="37"/>
  <c r="C42" i="37"/>
  <c r="S43" i="37"/>
  <c r="D45" i="37"/>
  <c r="T46" i="37"/>
  <c r="R48" i="37"/>
  <c r="R50" i="37"/>
  <c r="D53" i="37"/>
  <c r="S49" i="37"/>
  <c r="D61" i="37"/>
  <c r="D26" i="37"/>
  <c r="C48" i="37"/>
  <c r="C10" i="37"/>
  <c r="R26" i="37"/>
  <c r="T33" i="37"/>
  <c r="R38" i="37"/>
  <c r="S40" i="37"/>
  <c r="D42" i="37"/>
  <c r="T43" i="37"/>
  <c r="R45" i="37"/>
  <c r="C47" i="37"/>
  <c r="S48" i="37"/>
  <c r="D56" i="37"/>
  <c r="D59" i="37"/>
  <c r="D63" i="37"/>
  <c r="D67" i="37"/>
  <c r="D71" i="37"/>
  <c r="D52" i="37"/>
  <c r="D65" i="37"/>
  <c r="U34" i="37"/>
  <c r="D55" i="37"/>
  <c r="T6" i="37"/>
  <c r="C14" i="37"/>
  <c r="D21" i="37"/>
  <c r="U26" i="37"/>
  <c r="D34" i="37"/>
  <c r="S35" i="37"/>
  <c r="C39" i="37"/>
  <c r="T40" i="37"/>
  <c r="R42" i="37"/>
  <c r="C44" i="37"/>
  <c r="S45" i="37"/>
  <c r="D47" i="37"/>
  <c r="C49" i="37"/>
  <c r="D51" i="37"/>
  <c r="R56" i="37"/>
  <c r="R57" i="37"/>
  <c r="C50" i="37"/>
  <c r="T10" i="37"/>
  <c r="C18" i="37"/>
  <c r="C25" i="37"/>
  <c r="C29" i="37"/>
  <c r="R30" i="37"/>
  <c r="T37" i="37"/>
  <c r="R39" i="37"/>
  <c r="C41" i="37"/>
  <c r="S42" i="37"/>
  <c r="D44" i="37"/>
  <c r="T45" i="37"/>
  <c r="R47" i="37"/>
  <c r="R51" i="37"/>
  <c r="D54" i="37"/>
  <c r="D60" i="37"/>
  <c r="D64" i="37"/>
  <c r="D68" i="37"/>
  <c r="D72" i="37"/>
  <c r="D69" i="37"/>
  <c r="R22" i="37"/>
  <c r="C40" i="37"/>
  <c r="R46" i="37"/>
  <c r="C70" i="37"/>
  <c r="R7" i="37"/>
  <c r="T14" i="37"/>
  <c r="T21" i="37"/>
  <c r="U30" i="37"/>
  <c r="D38" i="37"/>
  <c r="S39" i="37"/>
  <c r="D41" i="37"/>
  <c r="T42" i="37"/>
  <c r="R44" i="37"/>
  <c r="C46" i="37"/>
  <c r="S47" i="37"/>
  <c r="R49" i="37"/>
  <c r="R54" i="37"/>
  <c r="D57" i="37"/>
  <c r="T47" i="37"/>
  <c r="C55" i="37"/>
  <c r="T44" i="37"/>
  <c r="R11" i="37"/>
  <c r="T18" i="37"/>
  <c r="T25" i="37"/>
  <c r="C33" i="37"/>
  <c r="R34" i="37"/>
  <c r="T39" i="37"/>
  <c r="R41" i="37"/>
  <c r="C43" i="37"/>
  <c r="S44" i="37"/>
  <c r="D46" i="37"/>
  <c r="C74" i="37"/>
  <c r="AB74" i="37" s="1"/>
  <c r="S41" i="37"/>
  <c r="P34" i="37"/>
  <c r="P33" i="37"/>
  <c r="P36" i="37"/>
  <c r="P31" i="37"/>
  <c r="P6" i="37"/>
  <c r="P30" i="37"/>
  <c r="P26" i="37"/>
  <c r="P29" i="37"/>
  <c r="P17" i="37"/>
  <c r="P15" i="37"/>
  <c r="P35" i="37"/>
  <c r="P39" i="37"/>
  <c r="P22" i="37"/>
  <c r="P18" i="37"/>
  <c r="P16" i="37"/>
  <c r="P14" i="37"/>
  <c r="P8" i="37"/>
  <c r="P27" i="37"/>
  <c r="P4" i="37"/>
  <c r="P37" i="37"/>
  <c r="P41" i="37"/>
  <c r="P25" i="37"/>
  <c r="P40" i="37"/>
  <c r="P5" i="37"/>
  <c r="P20" i="37"/>
  <c r="P10" i="37"/>
  <c r="P28" i="37"/>
  <c r="P38" i="37"/>
  <c r="P7" i="37"/>
  <c r="P23" i="37"/>
  <c r="P42" i="37"/>
  <c r="P11" i="37"/>
  <c r="P9" i="37"/>
  <c r="P32" i="37"/>
  <c r="P12" i="37"/>
  <c r="P13" i="37"/>
  <c r="P21" i="37"/>
  <c r="P24" i="37"/>
  <c r="P19" i="37"/>
  <c r="O33" i="37"/>
  <c r="O34" i="37"/>
  <c r="E34" i="37"/>
  <c r="Q39" i="37"/>
  <c r="H33" i="37"/>
  <c r="K33" i="37"/>
  <c r="F34" i="37"/>
  <c r="L33" i="37"/>
  <c r="Q34" i="37"/>
  <c r="Q40" i="37"/>
  <c r="Q42" i="37"/>
  <c r="Q36" i="37"/>
  <c r="F33" i="37"/>
  <c r="G33" i="37"/>
  <c r="I34" i="37"/>
  <c r="Q41" i="37"/>
  <c r="N33" i="37"/>
  <c r="H34" i="37"/>
  <c r="Q31" i="37"/>
  <c r="L34" i="37"/>
  <c r="E33" i="37"/>
  <c r="G34" i="37"/>
  <c r="N34" i="37"/>
  <c r="Q33" i="37"/>
  <c r="I33" i="37"/>
  <c r="K34" i="37"/>
  <c r="L31" i="37"/>
  <c r="K32" i="37"/>
  <c r="Q38" i="37"/>
  <c r="Q27" i="37"/>
  <c r="N37" i="37"/>
  <c r="N36" i="37"/>
  <c r="O31" i="37"/>
  <c r="H36" i="37"/>
  <c r="I31" i="37"/>
  <c r="L36" i="37"/>
  <c r="I29" i="37"/>
  <c r="G32" i="37"/>
  <c r="Q30" i="37"/>
  <c r="E32" i="37"/>
  <c r="G31" i="37"/>
  <c r="Q35" i="37"/>
  <c r="F28" i="37"/>
  <c r="N32" i="37"/>
  <c r="I36" i="37"/>
  <c r="I32" i="37"/>
  <c r="D49" i="37"/>
  <c r="O36" i="37"/>
  <c r="F36" i="37"/>
  <c r="K31" i="37"/>
  <c r="F31" i="37"/>
  <c r="H32" i="37"/>
  <c r="O32" i="37"/>
  <c r="Q17" i="37"/>
  <c r="E31" i="37"/>
  <c r="K36" i="37"/>
  <c r="L29" i="37"/>
  <c r="F32" i="37"/>
  <c r="H31" i="37"/>
  <c r="E36" i="37"/>
  <c r="K12" i="37"/>
  <c r="Q28" i="37"/>
  <c r="E21" i="37"/>
  <c r="G36" i="37"/>
  <c r="L32" i="37"/>
  <c r="N31" i="37"/>
  <c r="K11" i="37"/>
  <c r="N29" i="37"/>
  <c r="I21" i="37"/>
  <c r="E15" i="37"/>
  <c r="I12" i="37"/>
  <c r="H40" i="37"/>
  <c r="N9" i="37"/>
  <c r="F24" i="37"/>
  <c r="O23" i="37"/>
  <c r="H42" i="37"/>
  <c r="O25" i="37"/>
  <c r="N12" i="37"/>
  <c r="F22" i="37"/>
  <c r="N22" i="37"/>
  <c r="L24" i="37"/>
  <c r="E26" i="37"/>
  <c r="L39" i="37"/>
  <c r="N26" i="37"/>
  <c r="K26" i="37"/>
  <c r="L5" i="37"/>
  <c r="I10" i="37"/>
  <c r="L30" i="37"/>
  <c r="Q32" i="37"/>
  <c r="K13" i="37"/>
  <c r="E11" i="37"/>
  <c r="N35" i="37"/>
  <c r="K25" i="37"/>
  <c r="K24" i="37"/>
  <c r="Q5" i="37"/>
  <c r="I8" i="37"/>
  <c r="F35" i="37"/>
  <c r="L11" i="37"/>
  <c r="H29" i="37"/>
  <c r="Q26" i="37"/>
  <c r="O27" i="37"/>
  <c r="L25" i="37"/>
  <c r="H22" i="37"/>
  <c r="F11" i="37"/>
  <c r="F30" i="37"/>
  <c r="I40" i="37"/>
  <c r="J33" i="37"/>
  <c r="K10" i="37"/>
  <c r="K18" i="37"/>
  <c r="N24" i="37"/>
  <c r="O13" i="37"/>
  <c r="K22" i="37"/>
  <c r="K20" i="37"/>
  <c r="O10" i="37"/>
  <c r="I18" i="37"/>
  <c r="H37" i="37"/>
  <c r="I42" i="37"/>
  <c r="H24" i="37"/>
  <c r="Q23" i="37"/>
  <c r="Q7" i="37"/>
  <c r="M34" i="37"/>
  <c r="L16" i="37"/>
  <c r="F13" i="37"/>
  <c r="K23" i="37"/>
  <c r="K30" i="37"/>
  <c r="K16" i="37"/>
  <c r="O6" i="37"/>
  <c r="L13" i="37"/>
  <c r="E10" i="37"/>
  <c r="L17" i="37"/>
  <c r="F20" i="37"/>
  <c r="L22" i="37"/>
  <c r="K6" i="37"/>
  <c r="N11" i="37"/>
  <c r="I22" i="37"/>
  <c r="F37" i="37"/>
  <c r="L14" i="37"/>
  <c r="F17" i="37"/>
  <c r="H14" i="37"/>
  <c r="E29" i="37"/>
  <c r="N23" i="37"/>
  <c r="L18" i="37"/>
  <c r="L42" i="37"/>
  <c r="K17" i="37"/>
  <c r="O7" i="37"/>
  <c r="I17" i="37"/>
  <c r="Q37" i="37"/>
  <c r="H38" i="37"/>
  <c r="N21" i="37"/>
  <c r="L9" i="37"/>
  <c r="E38" i="37"/>
  <c r="E42" i="37"/>
  <c r="O29" i="37"/>
  <c r="I19" i="37"/>
  <c r="Q4" i="37"/>
  <c r="O26" i="37"/>
  <c r="F29" i="37"/>
  <c r="O28" i="37"/>
  <c r="O40" i="37"/>
  <c r="F25" i="37"/>
  <c r="E20" i="37"/>
  <c r="O35" i="37"/>
  <c r="N8" i="37"/>
  <c r="H8" i="37"/>
  <c r="E18" i="37"/>
  <c r="N28" i="37"/>
  <c r="O18" i="37"/>
  <c r="L38" i="37"/>
  <c r="L7" i="37"/>
  <c r="N40" i="37"/>
  <c r="I13" i="37"/>
  <c r="N7" i="37"/>
  <c r="J34" i="37"/>
  <c r="K5" i="37"/>
  <c r="O20" i="37"/>
  <c r="E19" i="37"/>
  <c r="H28" i="37"/>
  <c r="N4" i="37"/>
  <c r="F12" i="37"/>
  <c r="F40" i="37"/>
  <c r="H30" i="37"/>
  <c r="O30" i="37"/>
  <c r="O39" i="37"/>
  <c r="E35" i="37"/>
  <c r="O11" i="37"/>
  <c r="E25" i="37"/>
  <c r="F14" i="37"/>
  <c r="H23" i="37"/>
  <c r="N17" i="37"/>
  <c r="L41" i="37"/>
  <c r="N25" i="37"/>
  <c r="I20" i="37"/>
  <c r="F15" i="37"/>
  <c r="H15" i="37"/>
  <c r="E28" i="37"/>
  <c r="L35" i="37"/>
  <c r="O22" i="37"/>
  <c r="F16" i="37"/>
  <c r="N30" i="37"/>
  <c r="L15" i="37"/>
  <c r="E16" i="37"/>
  <c r="F38" i="37"/>
  <c r="F39" i="37"/>
  <c r="F26" i="37"/>
  <c r="Q13" i="37"/>
  <c r="I35" i="37"/>
  <c r="Q10" i="37"/>
  <c r="Q6" i="37"/>
  <c r="I41" i="37"/>
  <c r="F18" i="37"/>
  <c r="E30" i="37"/>
  <c r="O24" i="37"/>
  <c r="O41" i="37"/>
  <c r="O9" i="37"/>
  <c r="O4" i="37"/>
  <c r="N16" i="37"/>
  <c r="F27" i="37"/>
  <c r="E40" i="37"/>
  <c r="Q22" i="37"/>
  <c r="H27" i="37"/>
  <c r="Q8" i="37"/>
  <c r="K7" i="37"/>
  <c r="I24" i="37"/>
  <c r="O8" i="37"/>
  <c r="O15" i="37"/>
  <c r="E5" i="37"/>
  <c r="Q20" i="37"/>
  <c r="L19" i="37"/>
  <c r="H21" i="37"/>
  <c r="H39" i="37"/>
  <c r="O17" i="37"/>
  <c r="E41" i="37"/>
  <c r="H17" i="37"/>
  <c r="O19" i="37"/>
  <c r="E9" i="37"/>
  <c r="I15" i="37"/>
  <c r="K9" i="37"/>
  <c r="N18" i="37"/>
  <c r="I26" i="37"/>
  <c r="F41" i="37"/>
  <c r="L27" i="37"/>
  <c r="H11" i="37"/>
  <c r="H16" i="37"/>
  <c r="I27" i="37"/>
  <c r="L28" i="37"/>
  <c r="N27" i="37"/>
  <c r="N5" i="37"/>
  <c r="I28" i="37"/>
  <c r="N19" i="37"/>
  <c r="L37" i="37"/>
  <c r="M33" i="37"/>
  <c r="L12" i="37"/>
  <c r="H35" i="37"/>
  <c r="H25" i="37"/>
  <c r="H5" i="37"/>
  <c r="Q24" i="37"/>
  <c r="K27" i="37"/>
  <c r="Q15" i="37"/>
  <c r="L6" i="37"/>
  <c r="I39" i="37"/>
  <c r="Q11" i="37"/>
  <c r="E22" i="37"/>
  <c r="L21" i="37"/>
  <c r="K8" i="37"/>
  <c r="H19" i="37"/>
  <c r="Q14" i="37"/>
  <c r="O14" i="37"/>
  <c r="L26" i="37"/>
  <c r="K21" i="37"/>
  <c r="K35" i="37"/>
  <c r="L23" i="37"/>
  <c r="O5" i="37"/>
  <c r="H41" i="37"/>
  <c r="L10" i="37"/>
  <c r="O37" i="37"/>
  <c r="F42" i="37"/>
  <c r="I16" i="37"/>
  <c r="O12" i="37"/>
  <c r="K28" i="37"/>
  <c r="F21" i="37"/>
  <c r="F9" i="37"/>
  <c r="L40" i="37"/>
  <c r="E27" i="37"/>
  <c r="K38" i="37"/>
  <c r="O38" i="37"/>
  <c r="K15" i="37"/>
  <c r="I25" i="37"/>
  <c r="O42" i="37"/>
  <c r="I38" i="37"/>
  <c r="O21" i="37"/>
  <c r="N42" i="37"/>
  <c r="F10" i="37"/>
  <c r="Q29" i="37"/>
  <c r="Q19" i="37"/>
  <c r="E37" i="37"/>
  <c r="N10" i="37"/>
  <c r="E39" i="37"/>
  <c r="N14" i="37"/>
  <c r="L4" i="37"/>
  <c r="H18" i="37"/>
  <c r="E13" i="37"/>
  <c r="H13" i="37"/>
  <c r="N15" i="37"/>
  <c r="H20" i="37"/>
  <c r="E8" i="37"/>
  <c r="F19" i="37"/>
  <c r="N41" i="37"/>
  <c r="H10" i="37"/>
  <c r="E24" i="37"/>
  <c r="I30" i="37"/>
  <c r="O16" i="37"/>
  <c r="E23" i="37"/>
  <c r="K14" i="37"/>
  <c r="F8" i="37"/>
  <c r="N38" i="37"/>
  <c r="E17" i="37"/>
  <c r="I23" i="37"/>
  <c r="Q18" i="37"/>
  <c r="E12" i="37"/>
  <c r="K19" i="37"/>
  <c r="I37" i="37"/>
  <c r="F5" i="37"/>
  <c r="K4" i="37"/>
  <c r="I11" i="37"/>
  <c r="N39" i="37"/>
  <c r="H26" i="37"/>
  <c r="Q9" i="37"/>
  <c r="Q12" i="37"/>
  <c r="I5" i="37"/>
  <c r="L8" i="37"/>
  <c r="Q25" i="37"/>
  <c r="N13" i="37"/>
  <c r="L20" i="37"/>
  <c r="H12" i="37"/>
  <c r="E14" i="37"/>
  <c r="I9" i="37"/>
  <c r="Q16" i="37"/>
  <c r="I14" i="37"/>
  <c r="H9" i="37"/>
  <c r="F23" i="37"/>
  <c r="Q21" i="37"/>
  <c r="K29" i="37"/>
  <c r="K37" i="37"/>
  <c r="N20" i="37"/>
  <c r="N6" i="37"/>
  <c r="J32" i="37"/>
  <c r="M32" i="37"/>
  <c r="H6" i="37"/>
  <c r="E6" i="37"/>
  <c r="J18" i="37"/>
  <c r="M42" i="37"/>
  <c r="M39" i="37"/>
  <c r="J24" i="37"/>
  <c r="F6" i="37"/>
  <c r="J28" i="37"/>
  <c r="J6" i="37"/>
  <c r="J38" i="37"/>
  <c r="M20" i="37"/>
  <c r="I7" i="37"/>
  <c r="M25" i="37"/>
  <c r="J13" i="37"/>
  <c r="M8" i="37"/>
  <c r="J23" i="37"/>
  <c r="J9" i="37"/>
  <c r="J16" i="37"/>
  <c r="M27" i="37"/>
  <c r="J29" i="37"/>
  <c r="J30" i="37"/>
  <c r="M18" i="37"/>
  <c r="M4" i="37"/>
  <c r="M31" i="37"/>
  <c r="J26" i="37"/>
  <c r="J15" i="37"/>
  <c r="J35" i="37"/>
  <c r="E7" i="37"/>
  <c r="H4" i="37"/>
  <c r="J10" i="37"/>
  <c r="M37" i="37"/>
  <c r="M13" i="37"/>
  <c r="J17" i="37"/>
  <c r="J31" i="37"/>
  <c r="J20" i="37"/>
  <c r="M26" i="37"/>
  <c r="F4" i="37"/>
  <c r="G4" i="37"/>
  <c r="J5" i="37"/>
  <c r="F7" i="37"/>
  <c r="M24" i="37"/>
  <c r="J14" i="37"/>
  <c r="M23" i="37"/>
  <c r="H7" i="37"/>
  <c r="M7" i="37"/>
  <c r="M15" i="37"/>
  <c r="M41" i="37"/>
  <c r="M10" i="37"/>
  <c r="J7" i="37"/>
  <c r="J27" i="37"/>
  <c r="J11" i="37"/>
  <c r="M21" i="37"/>
  <c r="J22" i="37"/>
  <c r="J8" i="37"/>
  <c r="J37" i="37"/>
  <c r="I4" i="37"/>
  <c r="M12" i="37"/>
  <c r="M11" i="37"/>
  <c r="J19" i="37"/>
  <c r="J25" i="37"/>
  <c r="J21" i="37"/>
  <c r="M38" i="37"/>
  <c r="M35" i="37"/>
  <c r="M29" i="37"/>
  <c r="M30" i="37"/>
  <c r="M6" i="37"/>
  <c r="M16" i="37"/>
  <c r="M5" i="37"/>
  <c r="M22" i="37"/>
  <c r="M40" i="37"/>
  <c r="M28" i="37"/>
  <c r="E4" i="37"/>
  <c r="M9" i="37"/>
  <c r="M19" i="37"/>
  <c r="M36" i="37"/>
  <c r="J12" i="37"/>
  <c r="M14" i="37"/>
  <c r="J4" i="37"/>
  <c r="M17" i="37"/>
  <c r="I6" i="37"/>
  <c r="J36" i="37"/>
  <c r="G19" i="37"/>
  <c r="G23" i="37"/>
  <c r="G12" i="37"/>
  <c r="G17" i="37"/>
  <c r="G8" i="37"/>
  <c r="G21" i="37"/>
  <c r="G13" i="37"/>
  <c r="G27" i="37"/>
  <c r="G15" i="37"/>
  <c r="G29" i="37"/>
  <c r="G35" i="37"/>
  <c r="G9" i="37"/>
  <c r="G16" i="37"/>
  <c r="G14" i="37"/>
  <c r="G30" i="37"/>
  <c r="G38" i="37"/>
  <c r="G11" i="37"/>
  <c r="G22" i="37"/>
  <c r="G26" i="37"/>
  <c r="G20" i="37"/>
  <c r="G10" i="37"/>
  <c r="G24" i="37"/>
  <c r="G7" i="37"/>
  <c r="G25" i="37"/>
  <c r="G37" i="37"/>
  <c r="G18" i="37"/>
  <c r="G28" i="37"/>
  <c r="C51" i="37"/>
  <c r="C60" i="37"/>
  <c r="C65" i="37"/>
  <c r="C62" i="37"/>
  <c r="C61" i="37"/>
  <c r="C69" i="37"/>
  <c r="C52" i="37"/>
  <c r="C53" i="37"/>
  <c r="C58" i="37"/>
  <c r="C63" i="37"/>
  <c r="C77" i="37"/>
  <c r="AB77" i="37" s="1"/>
  <c r="C71" i="37"/>
  <c r="C56" i="37"/>
  <c r="C68" i="37"/>
  <c r="C64" i="37"/>
  <c r="C67" i="37"/>
  <c r="C66" i="37"/>
  <c r="C57" i="37"/>
  <c r="C76" i="37"/>
  <c r="AB76" i="37" s="1"/>
  <c r="C73" i="37"/>
  <c r="C54" i="37"/>
  <c r="C75" i="37"/>
  <c r="AB75" i="37" s="1"/>
  <c r="C72" i="37"/>
  <c r="C59" i="37"/>
  <c r="AB59" i="37" s="1"/>
  <c r="G5" i="37"/>
  <c r="G6" i="37"/>
  <c r="G40" i="37"/>
  <c r="G41" i="37"/>
  <c r="G39" i="37"/>
  <c r="G42" i="37"/>
  <c r="T3" i="37"/>
  <c r="S3" i="37"/>
  <c r="X68" i="37"/>
  <c r="D3" i="37"/>
  <c r="P3" i="37"/>
  <c r="U3" i="37"/>
  <c r="X4" i="37"/>
  <c r="V57" i="37"/>
  <c r="W48" i="37"/>
  <c r="W58" i="37"/>
  <c r="X67" i="37"/>
  <c r="X69" i="37"/>
  <c r="X63" i="37"/>
  <c r="V51" i="37"/>
  <c r="X65" i="37"/>
  <c r="X58" i="37"/>
  <c r="W56" i="37"/>
  <c r="X3" i="37" l="1"/>
  <c r="AB3" i="37" s="1"/>
  <c r="W57" i="37"/>
  <c r="AB57" i="37" s="1"/>
  <c r="AB70" i="37"/>
  <c r="AB66" i="37"/>
  <c r="W63" i="37"/>
  <c r="AB63" i="37" s="1"/>
  <c r="AB71" i="37"/>
  <c r="V72" i="37"/>
  <c r="W72" i="37"/>
  <c r="V73" i="37"/>
  <c r="X73" i="37"/>
  <c r="V78" i="37"/>
  <c r="AB78" i="37" s="1"/>
  <c r="AB55" i="37"/>
  <c r="W65" i="37"/>
  <c r="AB65" i="37" s="1"/>
  <c r="AB60" i="37"/>
  <c r="AB51" i="37"/>
  <c r="AB53" i="37"/>
  <c r="AB49" i="37"/>
  <c r="AB45" i="37"/>
  <c r="AB33" i="37"/>
  <c r="AB11" i="37"/>
  <c r="AB39" i="37"/>
  <c r="AB50" i="37"/>
  <c r="AB36" i="37"/>
  <c r="AB54" i="37"/>
  <c r="AB52" i="37"/>
  <c r="AB62" i="37"/>
  <c r="AB64" i="37"/>
  <c r="AB22" i="37"/>
  <c r="AB29" i="37"/>
  <c r="AB61" i="37"/>
  <c r="AB41" i="37"/>
  <c r="F81" i="37"/>
  <c r="AB16" i="37"/>
  <c r="I81" i="37"/>
  <c r="AB10" i="37"/>
  <c r="AB5" i="37"/>
  <c r="G81" i="37"/>
  <c r="AB27" i="37"/>
  <c r="AB20" i="37"/>
  <c r="AB35" i="37"/>
  <c r="M81" i="37"/>
  <c r="AB7" i="37"/>
  <c r="AB14" i="37"/>
  <c r="AB12" i="37"/>
  <c r="AB37" i="37"/>
  <c r="AB23" i="37"/>
  <c r="AB21" i="37"/>
  <c r="N81" i="37"/>
  <c r="O81" i="37"/>
  <c r="E81" i="37"/>
  <c r="V80" i="37"/>
  <c r="AB80" i="37" s="1"/>
  <c r="AB69" i="37"/>
  <c r="AB68" i="37"/>
  <c r="AB56" i="37"/>
  <c r="T81" i="37"/>
  <c r="AB8" i="37"/>
  <c r="AB43" i="37"/>
  <c r="AB28" i="37"/>
  <c r="AB18" i="37"/>
  <c r="Q81" i="37"/>
  <c r="AB13" i="37"/>
  <c r="H81" i="37"/>
  <c r="J81" i="37"/>
  <c r="AB47" i="37"/>
  <c r="L81" i="37"/>
  <c r="AB46" i="37"/>
  <c r="AB19" i="37"/>
  <c r="AB9" i="37"/>
  <c r="AB48" i="37"/>
  <c r="AB6" i="37"/>
  <c r="AB15" i="37"/>
  <c r="AB17" i="37"/>
  <c r="AB34" i="37"/>
  <c r="AB38" i="37"/>
  <c r="AB40" i="37"/>
  <c r="AB30" i="37"/>
  <c r="AB24" i="37"/>
  <c r="AB42" i="37"/>
  <c r="AB67" i="37"/>
  <c r="AB4" i="37"/>
  <c r="AB31" i="37"/>
  <c r="AB25" i="37"/>
  <c r="AB44" i="37"/>
  <c r="C81" i="37"/>
  <c r="P81" i="37"/>
  <c r="D81" i="37"/>
  <c r="U81" i="37"/>
  <c r="AB26" i="37"/>
  <c r="AB32" i="37"/>
  <c r="R81" i="37"/>
  <c r="S81" i="37"/>
  <c r="AB58" i="37"/>
  <c r="X81" i="37" l="1"/>
  <c r="AB73" i="37"/>
  <c r="AB72" i="37"/>
  <c r="W81" i="37"/>
  <c r="V81" i="37"/>
  <c r="AB81" i="37" l="1"/>
  <c r="AQ11" i="4" s="1"/>
  <c r="AQ12" i="4" s="1"/>
</calcChain>
</file>

<file path=xl/comments1.xml><?xml version="1.0" encoding="utf-8"?>
<comments xmlns="http://schemas.openxmlformats.org/spreadsheetml/2006/main">
  <authors>
    <author>作者</author>
  </authors>
  <commentLis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>妇产科接生人次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>转入或者转出病人数量</t>
        </r>
      </text>
    </comment>
    <comment ref="AE28" authorId="0" shapeId="0">
      <text>
        <r>
          <rPr>
            <b/>
            <sz val="9"/>
            <color indexed="81"/>
            <rFont val="宋体"/>
            <family val="3"/>
            <charset val="134"/>
          </rPr>
          <t>中医科病房搬家后，住院病人住眼科，基本不输液，护理工作目前是眼科医生在做</t>
        </r>
      </text>
    </comment>
    <comment ref="BE41" authorId="0" shapeId="0">
      <text>
        <r>
          <rPr>
            <sz val="9"/>
            <color indexed="81"/>
            <rFont val="宋体"/>
            <family val="3"/>
            <charset val="134"/>
          </rPr>
          <t>检验科每季度科室室间质控工作量（按照微生物标准核算）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<sst xmlns="http://schemas.openxmlformats.org/spreadsheetml/2006/main" count="1317" uniqueCount="624">
  <si>
    <t>科室</t>
    <phoneticPr fontId="2" type="noConversion"/>
  </si>
  <si>
    <t>护士长</t>
  </si>
  <si>
    <t>副主任</t>
  </si>
  <si>
    <t>换药风险积分</t>
    <phoneticPr fontId="2" type="noConversion"/>
  </si>
  <si>
    <t>备注</t>
    <phoneticPr fontId="2" type="noConversion"/>
  </si>
  <si>
    <t>门诊基础绩效积分</t>
    <phoneticPr fontId="2" type="noConversion"/>
  </si>
  <si>
    <t>住院基础绩效积分</t>
    <phoneticPr fontId="2" type="noConversion"/>
  </si>
  <si>
    <t>绩效积
分合计</t>
    <phoneticPr fontId="2" type="noConversion"/>
  </si>
  <si>
    <t>合计</t>
    <phoneticPr fontId="2" type="noConversion"/>
  </si>
  <si>
    <t>首诊
人次</t>
    <phoneticPr fontId="2" type="noConversion"/>
  </si>
  <si>
    <t>归档
病历</t>
    <phoneticPr fontId="2" type="noConversion"/>
  </si>
  <si>
    <t>全麻</t>
  </si>
  <si>
    <t>椎麻</t>
  </si>
  <si>
    <t>麻醉例数统计</t>
    <phoneticPr fontId="2" type="noConversion"/>
  </si>
  <si>
    <t>护理等级天数统计</t>
  </si>
  <si>
    <t>换药例数统计</t>
    <phoneticPr fontId="2" type="noConversion"/>
  </si>
  <si>
    <t>城区内</t>
    <phoneticPr fontId="2" type="noConversion"/>
  </si>
  <si>
    <t>乡镇</t>
    <phoneticPr fontId="2" type="noConversion"/>
  </si>
  <si>
    <t>地市</t>
    <phoneticPr fontId="2" type="noConversion"/>
  </si>
  <si>
    <t>急诊出车次数统计</t>
    <phoneticPr fontId="2" type="noConversion"/>
  </si>
  <si>
    <t>分娩人
次统计</t>
    <phoneticPr fontId="2" type="noConversion"/>
  </si>
  <si>
    <t>特大
换药</t>
    <phoneticPr fontId="2" type="noConversion"/>
  </si>
  <si>
    <t>大
换药</t>
    <phoneticPr fontId="2" type="noConversion"/>
  </si>
  <si>
    <t>中
换药</t>
    <phoneticPr fontId="2" type="noConversion"/>
  </si>
  <si>
    <t>小
换药</t>
    <phoneticPr fontId="2" type="noConversion"/>
  </si>
  <si>
    <t>特护
天数</t>
    <phoneticPr fontId="2" type="noConversion"/>
  </si>
  <si>
    <t>重症监
护天数</t>
    <phoneticPr fontId="2" type="noConversion"/>
  </si>
  <si>
    <t>一级护
理天数</t>
    <phoneticPr fontId="2" type="noConversion"/>
  </si>
  <si>
    <t>二级护
理天数</t>
    <phoneticPr fontId="2" type="noConversion"/>
  </si>
  <si>
    <t>三级护
理天数</t>
    <phoneticPr fontId="2" type="noConversion"/>
  </si>
  <si>
    <t>医务科</t>
  </si>
  <si>
    <t>护理部</t>
  </si>
  <si>
    <t>院感科</t>
  </si>
  <si>
    <t>病案室</t>
  </si>
  <si>
    <t>财务科</t>
  </si>
  <si>
    <t>科教科</t>
  </si>
  <si>
    <t>门诊部</t>
  </si>
  <si>
    <t>器械科</t>
  </si>
  <si>
    <t>人事科</t>
  </si>
  <si>
    <t>调度中心</t>
  </si>
  <si>
    <t>信息科</t>
  </si>
  <si>
    <t>医保办</t>
  </si>
  <si>
    <t>院办</t>
  </si>
  <si>
    <t>保卫科</t>
  </si>
  <si>
    <t>招标办</t>
  </si>
  <si>
    <t>总务科</t>
  </si>
  <si>
    <t>日均有效
费用标准</t>
    <phoneticPr fontId="2" type="noConversion"/>
  </si>
  <si>
    <t>总系数</t>
    <phoneticPr fontId="2" type="noConversion"/>
  </si>
  <si>
    <t>门诊有效
费用标准</t>
    <phoneticPr fontId="2" type="noConversion"/>
  </si>
  <si>
    <t>分娩风险积分</t>
    <phoneticPr fontId="2" type="noConversion"/>
  </si>
  <si>
    <t>中医外治积分</t>
    <phoneticPr fontId="2" type="noConversion"/>
  </si>
  <si>
    <t>全院有效收入</t>
  </si>
  <si>
    <t>计划有效收入</t>
  </si>
  <si>
    <t>实际完成比例</t>
  </si>
  <si>
    <t>目标每系数绩效</t>
  </si>
  <si>
    <t>本月每系数绩效</t>
  </si>
  <si>
    <t>绩效表实发金额</t>
  </si>
  <si>
    <t>实发绩效占比</t>
  </si>
  <si>
    <t>挂号
诊查费</t>
    <phoneticPr fontId="2" type="noConversion"/>
  </si>
  <si>
    <t>会诊
收入</t>
    <phoneticPr fontId="2" type="noConversion"/>
  </si>
  <si>
    <t>无痛
胃镜</t>
    <phoneticPr fontId="2" type="noConversion"/>
  </si>
  <si>
    <t>无痛
肠镜</t>
    <phoneticPr fontId="2" type="noConversion"/>
  </si>
  <si>
    <t>无痛
分娩</t>
    <phoneticPr fontId="2" type="noConversion"/>
  </si>
  <si>
    <t>无痛
人流</t>
    <phoneticPr fontId="2" type="noConversion"/>
  </si>
  <si>
    <t>四类
手术</t>
    <phoneticPr fontId="2" type="noConversion"/>
  </si>
  <si>
    <t>三类
手术</t>
    <phoneticPr fontId="2" type="noConversion"/>
  </si>
  <si>
    <t>神经
麻醉</t>
    <phoneticPr fontId="2" type="noConversion"/>
  </si>
  <si>
    <t>一类
手术</t>
    <phoneticPr fontId="2" type="noConversion"/>
  </si>
  <si>
    <t>二类
手术</t>
    <phoneticPr fontId="2" type="noConversion"/>
  </si>
  <si>
    <t>无效出车</t>
    <phoneticPr fontId="2" type="noConversion"/>
  </si>
  <si>
    <t>工会主席</t>
    <phoneticPr fontId="2" type="noConversion"/>
  </si>
  <si>
    <t>康复执
行统计</t>
    <phoneticPr fontId="2" type="noConversion"/>
  </si>
  <si>
    <t>康复开
单统计</t>
    <phoneticPr fontId="2" type="noConversion"/>
  </si>
  <si>
    <t>中医开
单统计</t>
    <phoneticPr fontId="2" type="noConversion"/>
  </si>
  <si>
    <t>中医执
行统计</t>
    <phoneticPr fontId="2" type="noConversion"/>
  </si>
  <si>
    <t>临床路
径人次</t>
    <phoneticPr fontId="2" type="noConversion"/>
  </si>
  <si>
    <t>绩效积分比</t>
    <phoneticPr fontId="2" type="noConversion"/>
  </si>
  <si>
    <t>绩效
合计</t>
    <phoneticPr fontId="2" type="noConversion"/>
  </si>
  <si>
    <t>神一科</t>
  </si>
  <si>
    <t>神二科</t>
  </si>
  <si>
    <t>神三科</t>
  </si>
  <si>
    <t>心二科</t>
  </si>
  <si>
    <t>呼吸内科</t>
  </si>
  <si>
    <t>消化内科</t>
  </si>
  <si>
    <t>儿一科</t>
  </si>
  <si>
    <t>儿二科</t>
  </si>
  <si>
    <t>新生儿科</t>
  </si>
  <si>
    <t>康复科</t>
  </si>
  <si>
    <t>中医科</t>
  </si>
  <si>
    <t>神经外科</t>
  </si>
  <si>
    <t>骨二科</t>
  </si>
  <si>
    <t>妇产科</t>
  </si>
  <si>
    <t>烧伤肛肠科</t>
  </si>
  <si>
    <t>肿瘤科</t>
  </si>
  <si>
    <t>ICU</t>
  </si>
  <si>
    <t>血透室</t>
  </si>
  <si>
    <t>手术室手术收入统计</t>
    <phoneticPr fontId="2" type="noConversion"/>
  </si>
  <si>
    <t>临床路径积分</t>
    <phoneticPr fontId="2" type="noConversion"/>
  </si>
  <si>
    <t>绩效积分占有效收入比例</t>
    <phoneticPr fontId="2" type="noConversion"/>
  </si>
  <si>
    <t>当月核算绩效积分合计</t>
    <phoneticPr fontId="2" type="noConversion"/>
  </si>
  <si>
    <t>眼科</t>
  </si>
  <si>
    <t>普外一科</t>
  </si>
  <si>
    <t>普外二科</t>
  </si>
  <si>
    <t>口腔科</t>
  </si>
  <si>
    <t>急诊内科</t>
  </si>
  <si>
    <t>耳鼻喉科</t>
  </si>
  <si>
    <t>多筛</t>
    <phoneticPr fontId="2" type="noConversion"/>
  </si>
  <si>
    <t>肿瘤支气管镜</t>
    <phoneticPr fontId="2" type="noConversion"/>
  </si>
  <si>
    <t>心内科</t>
  </si>
  <si>
    <t>内分泌科</t>
  </si>
  <si>
    <t>胸泌尿外科</t>
  </si>
  <si>
    <t>骨一科</t>
  </si>
  <si>
    <t>妇科门诊</t>
  </si>
  <si>
    <t>皮肤科</t>
  </si>
  <si>
    <t>驾驶员体检</t>
  </si>
  <si>
    <t>碎石科</t>
  </si>
  <si>
    <t>门诊手术室</t>
  </si>
  <si>
    <t>麻醉科</t>
  </si>
  <si>
    <t>检验科</t>
  </si>
  <si>
    <t>放射科</t>
  </si>
  <si>
    <t>CT室</t>
  </si>
  <si>
    <t>磁共振室</t>
  </si>
  <si>
    <t>心电图室</t>
  </si>
  <si>
    <t>超声科</t>
  </si>
  <si>
    <t>脑电图室</t>
  </si>
  <si>
    <t>胃镜室</t>
  </si>
  <si>
    <t>介入室</t>
  </si>
  <si>
    <t>病理科</t>
  </si>
  <si>
    <t>供应室</t>
  </si>
  <si>
    <t>血库</t>
  </si>
  <si>
    <t>药剂办公室</t>
  </si>
  <si>
    <t>门诊西药房</t>
  </si>
  <si>
    <t>门诊中药房</t>
  </si>
  <si>
    <t>住院药房</t>
  </si>
  <si>
    <t>药库</t>
  </si>
  <si>
    <t>液体库</t>
  </si>
  <si>
    <t>分院药房</t>
  </si>
  <si>
    <t>服务部</t>
  </si>
  <si>
    <t>纪检科</t>
  </si>
  <si>
    <t>公卫科</t>
  </si>
  <si>
    <t>医疗发展部</t>
  </si>
  <si>
    <t>二甲办</t>
  </si>
  <si>
    <t>司机班</t>
  </si>
  <si>
    <t>司法鉴定</t>
  </si>
  <si>
    <t>规培人员</t>
  </si>
  <si>
    <t>下乡</t>
  </si>
  <si>
    <t>进修人员</t>
  </si>
  <si>
    <t>产假人员</t>
  </si>
  <si>
    <t>非在岗</t>
  </si>
  <si>
    <t>借调人员</t>
  </si>
  <si>
    <t>事假人员</t>
  </si>
  <si>
    <t>新乡对调</t>
  </si>
  <si>
    <t>轮转</t>
  </si>
  <si>
    <t>门诊绩效</t>
    <phoneticPr fontId="2" type="noConversion"/>
  </si>
  <si>
    <t>住院绩效</t>
    <phoneticPr fontId="2" type="noConversion"/>
  </si>
  <si>
    <t>介入手术收入</t>
    <phoneticPr fontId="2" type="noConversion"/>
  </si>
  <si>
    <t>检验科</t>
    <phoneticPr fontId="8" type="noConversion"/>
  </si>
  <si>
    <t>放射</t>
    <phoneticPr fontId="8" type="noConversion"/>
  </si>
  <si>
    <t>CT</t>
    <phoneticPr fontId="8" type="noConversion"/>
  </si>
  <si>
    <t>核磁</t>
    <phoneticPr fontId="8" type="noConversion"/>
  </si>
  <si>
    <t>心电图</t>
    <phoneticPr fontId="8" type="noConversion"/>
  </si>
  <si>
    <t>超声检查</t>
    <phoneticPr fontId="8" type="noConversion"/>
  </si>
  <si>
    <t>脑电图</t>
    <phoneticPr fontId="8" type="noConversion"/>
  </si>
  <si>
    <t>胃镜</t>
    <phoneticPr fontId="8" type="noConversion"/>
  </si>
  <si>
    <t>供应室</t>
    <phoneticPr fontId="8" type="noConversion"/>
  </si>
  <si>
    <t>药剂办公室</t>
    <phoneticPr fontId="8" type="noConversion"/>
  </si>
  <si>
    <t>收费统计</t>
    <phoneticPr fontId="8" type="noConversion"/>
  </si>
  <si>
    <t>每门诊
人次绩效</t>
    <phoneticPr fontId="2" type="noConversion"/>
  </si>
  <si>
    <t>床日奖励
标准</t>
    <phoneticPr fontId="2" type="noConversion"/>
  </si>
  <si>
    <t>抽血</t>
    <phoneticPr fontId="8" type="noConversion"/>
  </si>
  <si>
    <t>临检</t>
    <phoneticPr fontId="8" type="noConversion"/>
  </si>
  <si>
    <t>免疫</t>
    <phoneticPr fontId="8" type="noConversion"/>
  </si>
  <si>
    <t>生化</t>
    <phoneticPr fontId="8" type="noConversion"/>
  </si>
  <si>
    <t>体液</t>
    <phoneticPr fontId="8" type="noConversion"/>
  </si>
  <si>
    <t>微生物</t>
    <phoneticPr fontId="8" type="noConversion"/>
  </si>
  <si>
    <t>外检</t>
    <phoneticPr fontId="8" type="noConversion"/>
  </si>
  <si>
    <t>普通DR</t>
    <phoneticPr fontId="8" type="noConversion"/>
  </si>
  <si>
    <t>造影</t>
    <phoneticPr fontId="8" type="noConversion"/>
  </si>
  <si>
    <t>CT平扫</t>
    <phoneticPr fontId="8" type="noConversion"/>
  </si>
  <si>
    <t>CT增强</t>
    <phoneticPr fontId="8" type="noConversion"/>
  </si>
  <si>
    <t>血管造影</t>
    <phoneticPr fontId="8" type="noConversion"/>
  </si>
  <si>
    <t>光盘刻录</t>
    <phoneticPr fontId="8" type="noConversion"/>
  </si>
  <si>
    <t>核磁平扫</t>
    <phoneticPr fontId="8" type="noConversion"/>
  </si>
  <si>
    <t>核磁增强</t>
    <phoneticPr fontId="8" type="noConversion"/>
  </si>
  <si>
    <t>普通
心电图</t>
    <phoneticPr fontId="8" type="noConversion"/>
  </si>
  <si>
    <t>动态
心电图</t>
    <phoneticPr fontId="8" type="noConversion"/>
  </si>
  <si>
    <t>动态
血压监测</t>
    <phoneticPr fontId="8" type="noConversion"/>
  </si>
  <si>
    <t>心率变异分析</t>
    <phoneticPr fontId="8" type="noConversion"/>
  </si>
  <si>
    <t>无创心功能监测</t>
    <phoneticPr fontId="8" type="noConversion"/>
  </si>
  <si>
    <t>脑血流检查</t>
    <phoneticPr fontId="8" type="noConversion"/>
  </si>
  <si>
    <t>心电图诊断例数</t>
    <phoneticPr fontId="8" type="noConversion"/>
  </si>
  <si>
    <t>黑白超声</t>
    <phoneticPr fontId="8" type="noConversion"/>
  </si>
  <si>
    <t>浅表超声</t>
    <phoneticPr fontId="8" type="noConversion"/>
  </si>
  <si>
    <t>普通彩超</t>
    <phoneticPr fontId="8" type="noConversion"/>
  </si>
  <si>
    <t>心脏彩超</t>
    <phoneticPr fontId="8" type="noConversion"/>
  </si>
  <si>
    <t>腔内彩超</t>
    <phoneticPr fontId="8" type="noConversion"/>
  </si>
  <si>
    <t>双肾血管超声</t>
    <phoneticPr fontId="8" type="noConversion"/>
  </si>
  <si>
    <t>思维彩超</t>
    <phoneticPr fontId="8" type="noConversion"/>
  </si>
  <si>
    <t>B超床旁加收</t>
    <phoneticPr fontId="8" type="noConversion"/>
  </si>
  <si>
    <t>骨密度监测</t>
    <phoneticPr fontId="8" type="noConversion"/>
  </si>
  <si>
    <t>经颅多普勒检查</t>
    <phoneticPr fontId="8" type="noConversion"/>
  </si>
  <si>
    <t>脑地形图</t>
    <phoneticPr fontId="8" type="noConversion"/>
  </si>
  <si>
    <t>红外线乳腺扫描</t>
    <phoneticPr fontId="8" type="noConversion"/>
  </si>
  <si>
    <t>14碳呼吸实验</t>
    <phoneticPr fontId="8" type="noConversion"/>
  </si>
  <si>
    <t>无痛电子胃镜</t>
    <phoneticPr fontId="8" type="noConversion"/>
  </si>
  <si>
    <t>无痛电子肠镜</t>
    <phoneticPr fontId="8" type="noConversion"/>
  </si>
  <si>
    <t>食管镜检测</t>
    <phoneticPr fontId="8" type="noConversion"/>
  </si>
  <si>
    <t>十二指肠镜</t>
    <phoneticPr fontId="8" type="noConversion"/>
  </si>
  <si>
    <t>结肠镜检查</t>
    <phoneticPr fontId="8" type="noConversion"/>
  </si>
  <si>
    <t>经内镜染色</t>
    <phoneticPr fontId="8" type="noConversion"/>
  </si>
  <si>
    <t>大消毒包</t>
    <phoneticPr fontId="8" type="noConversion"/>
  </si>
  <si>
    <t>中消毒包</t>
    <phoneticPr fontId="8" type="noConversion"/>
  </si>
  <si>
    <t>小消毒包</t>
    <phoneticPr fontId="8" type="noConversion"/>
  </si>
  <si>
    <t>敷料包</t>
    <phoneticPr fontId="8" type="noConversion"/>
  </si>
  <si>
    <t>腔镜包</t>
    <phoneticPr fontId="8" type="noConversion"/>
  </si>
  <si>
    <t>西药处方数量</t>
    <phoneticPr fontId="8" type="noConversion"/>
  </si>
  <si>
    <t>西药种类数量</t>
    <phoneticPr fontId="8" type="noConversion"/>
  </si>
  <si>
    <t>收费金额</t>
    <phoneticPr fontId="8" type="noConversion"/>
  </si>
  <si>
    <t>收费笔数</t>
    <phoneticPr fontId="8" type="noConversion"/>
  </si>
  <si>
    <t>下乡扶贫</t>
  </si>
  <si>
    <t>急诊出车</t>
    <phoneticPr fontId="2" type="noConversion"/>
  </si>
  <si>
    <t>驾驶员体检人次</t>
    <phoneticPr fontId="2" type="noConversion"/>
  </si>
  <si>
    <t>无痛胃肠镜</t>
    <phoneticPr fontId="2" type="noConversion"/>
  </si>
  <si>
    <t>肿瘤支气管镜</t>
    <phoneticPr fontId="2" type="noConversion"/>
  </si>
  <si>
    <t>中药</t>
    <phoneticPr fontId="8" type="noConversion"/>
  </si>
  <si>
    <t>手术积分</t>
    <phoneticPr fontId="2" type="noConversion"/>
  </si>
  <si>
    <t>多筛</t>
    <phoneticPr fontId="2" type="noConversion"/>
  </si>
  <si>
    <t>科研</t>
    <phoneticPr fontId="2" type="noConversion"/>
  </si>
  <si>
    <t>介入手术积分</t>
    <phoneticPr fontId="2" type="noConversion"/>
  </si>
  <si>
    <t>介入射线积分</t>
    <phoneticPr fontId="2" type="noConversion"/>
  </si>
  <si>
    <t>介入首诊绩效</t>
    <phoneticPr fontId="2" type="noConversion"/>
  </si>
  <si>
    <t>手术积分合计</t>
    <phoneticPr fontId="2" type="noConversion"/>
  </si>
  <si>
    <t>介入首诊</t>
    <phoneticPr fontId="2" type="noConversion"/>
  </si>
  <si>
    <t xml:space="preserve">介入首诊
</t>
    <phoneticPr fontId="2" type="noConversion"/>
  </si>
  <si>
    <t>检验</t>
    <phoneticPr fontId="2" type="noConversion"/>
  </si>
  <si>
    <t>放射</t>
    <phoneticPr fontId="2" type="noConversion"/>
  </si>
  <si>
    <t>CT</t>
    <phoneticPr fontId="2" type="noConversion"/>
  </si>
  <si>
    <t>磁共振</t>
    <phoneticPr fontId="2" type="noConversion"/>
  </si>
  <si>
    <t>心电图</t>
    <phoneticPr fontId="2" type="noConversion"/>
  </si>
  <si>
    <t>超声科</t>
    <phoneticPr fontId="2" type="noConversion"/>
  </si>
  <si>
    <t>脑电图</t>
    <phoneticPr fontId="2" type="noConversion"/>
  </si>
  <si>
    <t>胃镜</t>
    <phoneticPr fontId="2" type="noConversion"/>
  </si>
  <si>
    <t>供应</t>
    <phoneticPr fontId="2" type="noConversion"/>
  </si>
  <si>
    <t>财务</t>
    <phoneticPr fontId="2" type="noConversion"/>
  </si>
  <si>
    <t>药剂</t>
    <phoneticPr fontId="2" type="noConversion"/>
  </si>
  <si>
    <t>医技手术积分</t>
    <phoneticPr fontId="2" type="noConversion"/>
  </si>
  <si>
    <t>科室信息表</t>
    <phoneticPr fontId="2" type="noConversion"/>
  </si>
  <si>
    <t>绩效办</t>
  </si>
  <si>
    <t>医院高管</t>
  </si>
  <si>
    <t>转科</t>
  </si>
  <si>
    <t>120医护</t>
  </si>
  <si>
    <t>120医生</t>
  </si>
  <si>
    <t>洗衣房</t>
  </si>
  <si>
    <t>优质护理</t>
  </si>
  <si>
    <t>绩效办</t>
    <phoneticPr fontId="2" type="noConversion"/>
  </si>
  <si>
    <t>120医护</t>
    <phoneticPr fontId="2" type="noConversion"/>
  </si>
  <si>
    <t>1</t>
  </si>
  <si>
    <t>科室名称</t>
  </si>
  <si>
    <t>眼科</t>
    <phoneticPr fontId="2" type="noConversion"/>
  </si>
  <si>
    <t>绩效办</t>
    <phoneticPr fontId="2" type="noConversion"/>
  </si>
  <si>
    <t>姓名</t>
    <phoneticPr fontId="2" type="noConversion"/>
  </si>
  <si>
    <t>职位</t>
    <phoneticPr fontId="2" type="noConversion"/>
  </si>
  <si>
    <t>出勤系数</t>
    <phoneticPr fontId="2" type="noConversion"/>
  </si>
  <si>
    <t>岗位系数</t>
    <phoneticPr fontId="2" type="noConversion"/>
  </si>
  <si>
    <t>管理系数</t>
    <phoneticPr fontId="2" type="noConversion"/>
  </si>
  <si>
    <t>岗位性质</t>
    <phoneticPr fontId="2" type="noConversion"/>
  </si>
  <si>
    <t>心内科主任</t>
  </si>
  <si>
    <t>心内科护士长</t>
  </si>
  <si>
    <t>急诊科主任</t>
  </si>
  <si>
    <t>放射科主任</t>
  </si>
  <si>
    <t>神一科护士长</t>
  </si>
  <si>
    <t>神二科主任</t>
  </si>
  <si>
    <t>神三科主任</t>
  </si>
  <si>
    <t>神三科护士长</t>
  </si>
  <si>
    <t>消化内科主任</t>
  </si>
  <si>
    <t>消化内科护士长</t>
  </si>
  <si>
    <t>内分泌科主任</t>
  </si>
  <si>
    <t>内分泌科护士长</t>
  </si>
  <si>
    <t>儿一科主任</t>
  </si>
  <si>
    <t>儿二科主任</t>
  </si>
  <si>
    <t>儿二科护士长</t>
  </si>
  <si>
    <t>新生儿科主任</t>
  </si>
  <si>
    <t>新生儿科护士长</t>
  </si>
  <si>
    <t>康复科主任</t>
  </si>
  <si>
    <t>康复科护士长</t>
  </si>
  <si>
    <t>中医科主任</t>
  </si>
  <si>
    <t>中医科护士长</t>
  </si>
  <si>
    <t>普外一科主任</t>
  </si>
  <si>
    <t>普外科护士长</t>
  </si>
  <si>
    <t>神经外科副主任</t>
  </si>
  <si>
    <t>神经外科副护士长</t>
  </si>
  <si>
    <t>胸泌尿外科主任</t>
  </si>
  <si>
    <t>胸泌尿外科护士长</t>
  </si>
  <si>
    <t>骨一科主任</t>
  </si>
  <si>
    <t>骨一科护士长</t>
  </si>
  <si>
    <t>骨二科主任</t>
  </si>
  <si>
    <t>妇产科主任</t>
  </si>
  <si>
    <t>妇产科护士长</t>
  </si>
  <si>
    <t>烧伤肛肠科主任</t>
  </si>
  <si>
    <t>肿瘤科主任</t>
  </si>
  <si>
    <t>肿瘤科护士长</t>
  </si>
  <si>
    <t>ICU科主任</t>
  </si>
  <si>
    <t>心一科副护士长</t>
  </si>
  <si>
    <t>呼吸内科副护士长</t>
  </si>
  <si>
    <t>急诊科护士长</t>
  </si>
  <si>
    <t>血透室主任</t>
  </si>
  <si>
    <t>血透室护士长</t>
  </si>
  <si>
    <t>眼科主任</t>
  </si>
  <si>
    <t>耳鼻喉科主任</t>
  </si>
  <si>
    <t>口腔科主任</t>
  </si>
  <si>
    <t>麻醉科主任</t>
  </si>
  <si>
    <t>检验科主任</t>
  </si>
  <si>
    <t>医务科主任</t>
  </si>
  <si>
    <t>医务科副主任</t>
  </si>
  <si>
    <t>服务部主任</t>
  </si>
  <si>
    <t>财务科主任</t>
  </si>
  <si>
    <t>科教科主任</t>
  </si>
  <si>
    <t>科教科副主任</t>
  </si>
  <si>
    <t>院办主任</t>
  </si>
  <si>
    <t>院办副主任</t>
  </si>
  <si>
    <t>二甲办主任</t>
  </si>
  <si>
    <t>二甲副主任</t>
  </si>
  <si>
    <t>招标办主任</t>
  </si>
  <si>
    <t>院长</t>
  </si>
  <si>
    <t>副院长</t>
  </si>
  <si>
    <t>工会主席</t>
  </si>
  <si>
    <t>老院长</t>
  </si>
  <si>
    <t>胃镜室主任</t>
  </si>
  <si>
    <t>病理科主任</t>
  </si>
  <si>
    <t>供应室护士长</t>
  </si>
  <si>
    <t>血库主任</t>
  </si>
  <si>
    <t>药剂办公室主任</t>
  </si>
  <si>
    <t>药剂办公室副主任</t>
  </si>
  <si>
    <t>院感科主任</t>
  </si>
  <si>
    <t>人事科副主任</t>
  </si>
  <si>
    <t>纪检科主任</t>
  </si>
  <si>
    <t>纪检科副主任</t>
  </si>
  <si>
    <t>公卫科主任</t>
  </si>
  <si>
    <t>公卫科副主任</t>
  </si>
  <si>
    <t>信息主任</t>
  </si>
  <si>
    <t>信息副主任</t>
  </si>
  <si>
    <t>医保办主任</t>
  </si>
  <si>
    <t>医保办副主任</t>
  </si>
  <si>
    <t>器械科主任</t>
  </si>
  <si>
    <t>器械科副主任</t>
  </si>
  <si>
    <t>总务科主任</t>
  </si>
  <si>
    <t>总务科副主任</t>
  </si>
  <si>
    <t>保卫科主任</t>
  </si>
  <si>
    <t>保卫科副主任</t>
  </si>
  <si>
    <t>病案室副主任</t>
  </si>
  <si>
    <t>医疗发展部主任</t>
  </si>
  <si>
    <t>调度中心主任</t>
  </si>
  <si>
    <t>调度中心副护士长</t>
  </si>
  <si>
    <t>调度中心副主任</t>
  </si>
  <si>
    <t>绩效办主任</t>
  </si>
  <si>
    <t>磁共振室主任</t>
  </si>
  <si>
    <t>心电图室主任</t>
  </si>
  <si>
    <t>CT室主任</t>
  </si>
  <si>
    <t>脑电图室主任</t>
  </si>
  <si>
    <t>普外二科主任</t>
  </si>
  <si>
    <t>驾驶员体检主任</t>
  </si>
  <si>
    <t>麻醉科护士长</t>
  </si>
  <si>
    <t>呼吸内科副主任</t>
  </si>
  <si>
    <t>骨二科护士长</t>
  </si>
  <si>
    <t>神二科护士长</t>
  </si>
  <si>
    <t>普外二科护士长</t>
  </si>
  <si>
    <t>烧伤肛肠科护士长</t>
  </si>
  <si>
    <t>门诊部主任</t>
  </si>
  <si>
    <t>妇科门诊主任</t>
  </si>
  <si>
    <t>超声科主任</t>
  </si>
  <si>
    <t>儿一科副护士长</t>
  </si>
  <si>
    <t>门诊手术室主任</t>
  </si>
  <si>
    <t>科室</t>
  </si>
  <si>
    <t>主任</t>
  </si>
  <si>
    <t>岗位</t>
    <phoneticPr fontId="2" type="noConversion"/>
  </si>
  <si>
    <t>门诊基础绩效</t>
    <phoneticPr fontId="2" type="noConversion"/>
  </si>
  <si>
    <t>住院基础绩效</t>
    <phoneticPr fontId="2" type="noConversion"/>
  </si>
  <si>
    <t>首诊风险积分</t>
    <phoneticPr fontId="2" type="noConversion"/>
  </si>
  <si>
    <t>基础绩效积分</t>
    <phoneticPr fontId="2" type="noConversion"/>
  </si>
  <si>
    <t>病理质量积分</t>
    <phoneticPr fontId="2" type="noConversion"/>
  </si>
  <si>
    <t>门诊人次积分</t>
    <phoneticPr fontId="2" type="noConversion"/>
  </si>
  <si>
    <t>麻醉风险积分</t>
    <phoneticPr fontId="2" type="noConversion"/>
  </si>
  <si>
    <t>会诊风险积分</t>
    <phoneticPr fontId="2" type="noConversion"/>
  </si>
  <si>
    <t>功能康复积分</t>
    <phoneticPr fontId="2" type="noConversion"/>
  </si>
  <si>
    <t>中药积分</t>
    <phoneticPr fontId="2" type="noConversion"/>
  </si>
  <si>
    <t>护理风险积分</t>
    <phoneticPr fontId="2" type="noConversion"/>
  </si>
  <si>
    <t>管理绩效</t>
    <phoneticPr fontId="2" type="noConversion"/>
  </si>
  <si>
    <t>积分合计</t>
    <phoneticPr fontId="2" type="noConversion"/>
  </si>
  <si>
    <t>绩效合计</t>
    <phoneticPr fontId="2" type="noConversion"/>
  </si>
  <si>
    <t>医生基础绩效</t>
    <phoneticPr fontId="2" type="noConversion"/>
  </si>
  <si>
    <t>护士基础绩效</t>
    <phoneticPr fontId="2" type="noConversion"/>
  </si>
  <si>
    <t>医生奖励性绩效</t>
    <phoneticPr fontId="2" type="noConversion"/>
  </si>
  <si>
    <t>护士奖励性绩效</t>
    <phoneticPr fontId="2" type="noConversion"/>
  </si>
  <si>
    <t>绩效积分合计</t>
    <phoneticPr fontId="2" type="noConversion"/>
  </si>
  <si>
    <t>门诊
绩效</t>
    <phoneticPr fontId="2" type="noConversion"/>
  </si>
  <si>
    <t>住院
绩效</t>
    <phoneticPr fontId="2" type="noConversion"/>
  </si>
  <si>
    <t>收住院
绩效</t>
    <phoneticPr fontId="2" type="noConversion"/>
  </si>
  <si>
    <t>病历
绩效</t>
    <phoneticPr fontId="2" type="noConversion"/>
  </si>
  <si>
    <t>挂号
绩效</t>
    <phoneticPr fontId="2" type="noConversion"/>
  </si>
  <si>
    <t>临床路
径绩效</t>
    <phoneticPr fontId="2" type="noConversion"/>
  </si>
  <si>
    <t>麻醉
绩效</t>
    <phoneticPr fontId="2" type="noConversion"/>
  </si>
  <si>
    <t>分娩
绩效</t>
    <phoneticPr fontId="2" type="noConversion"/>
  </si>
  <si>
    <t>会诊
绩效</t>
    <phoneticPr fontId="2" type="noConversion"/>
  </si>
  <si>
    <t>换药
绩效</t>
    <phoneticPr fontId="2" type="noConversion"/>
  </si>
  <si>
    <t>康复
绩效</t>
    <phoneticPr fontId="2" type="noConversion"/>
  </si>
  <si>
    <t>中医治
疗绩效</t>
    <phoneticPr fontId="2" type="noConversion"/>
  </si>
  <si>
    <t>中药
绩效</t>
    <phoneticPr fontId="2" type="noConversion"/>
  </si>
  <si>
    <t>等级护
理绩效</t>
    <phoneticPr fontId="2" type="noConversion"/>
  </si>
  <si>
    <t>手术
绩效</t>
    <phoneticPr fontId="2" type="noConversion"/>
  </si>
  <si>
    <t>介入手术绩效</t>
    <phoneticPr fontId="2" type="noConversion"/>
  </si>
  <si>
    <t>介入射
线绩效</t>
    <phoneticPr fontId="2" type="noConversion"/>
  </si>
  <si>
    <t>介入首
诊绩效</t>
    <phoneticPr fontId="2" type="noConversion"/>
  </si>
  <si>
    <t>科主任
绩效</t>
    <phoneticPr fontId="2" type="noConversion"/>
  </si>
  <si>
    <t>科室副
主任</t>
    <phoneticPr fontId="2" type="noConversion"/>
  </si>
  <si>
    <t>护士长
绩效</t>
    <phoneticPr fontId="2" type="noConversion"/>
  </si>
  <si>
    <t>扣款</t>
    <phoneticPr fontId="2" type="noConversion"/>
  </si>
  <si>
    <t>补款</t>
    <phoneticPr fontId="2" type="noConversion"/>
  </si>
  <si>
    <t>冯院长</t>
    <phoneticPr fontId="2" type="noConversion"/>
  </si>
  <si>
    <t>药剂办公室</t>
    <phoneticPr fontId="2" type="noConversion"/>
  </si>
  <si>
    <t>医院高管</t>
    <phoneticPr fontId="2" type="noConversion"/>
  </si>
  <si>
    <t>肿瘤气管镜</t>
    <phoneticPr fontId="2" type="noConversion"/>
  </si>
  <si>
    <t>急诊内科</t>
    <phoneticPr fontId="2" type="noConversion"/>
  </si>
  <si>
    <t>下乡</t>
    <phoneticPr fontId="2" type="noConversion"/>
  </si>
  <si>
    <t>神一科主任</t>
    <phoneticPr fontId="2" type="noConversion"/>
  </si>
  <si>
    <t>ICU护士长</t>
  </si>
  <si>
    <t>护理部主任</t>
  </si>
  <si>
    <t>助理馆员</t>
  </si>
  <si>
    <t>考核系数</t>
    <phoneticPr fontId="2" type="noConversion"/>
  </si>
  <si>
    <t>医疗组</t>
    <phoneticPr fontId="2" type="noConversion"/>
  </si>
  <si>
    <t>护理组</t>
    <phoneticPr fontId="2" type="noConversion"/>
  </si>
  <si>
    <t>医生基础人均</t>
    <phoneticPr fontId="2" type="noConversion"/>
  </si>
  <si>
    <t>护理基础人均</t>
    <phoneticPr fontId="2" type="noConversion"/>
  </si>
  <si>
    <t>员工</t>
    <phoneticPr fontId="2" type="noConversion"/>
  </si>
  <si>
    <t>院领导</t>
    <phoneticPr fontId="2" type="noConversion"/>
  </si>
  <si>
    <t>病历质量积分</t>
    <phoneticPr fontId="2" type="noConversion"/>
  </si>
  <si>
    <t>普外二科</t>
    <phoneticPr fontId="2" type="noConversion"/>
  </si>
  <si>
    <t>神二科</t>
    <phoneticPr fontId="2" type="noConversion"/>
  </si>
  <si>
    <t>绩效合计</t>
    <phoneticPr fontId="2" type="noConversion"/>
  </si>
  <si>
    <t>门诊
草药</t>
    <phoneticPr fontId="2" type="noConversion"/>
  </si>
  <si>
    <t>妇产科
多筛</t>
    <phoneticPr fontId="2" type="noConversion"/>
  </si>
  <si>
    <t>住院
草药</t>
    <phoneticPr fontId="2" type="noConversion"/>
  </si>
  <si>
    <t>门诊有
效收入</t>
    <phoneticPr fontId="2" type="noConversion"/>
  </si>
  <si>
    <t>住院有
效收入</t>
    <phoneticPr fontId="2" type="noConversion"/>
  </si>
  <si>
    <t>介入手
术收入</t>
    <phoneticPr fontId="2" type="noConversion"/>
  </si>
  <si>
    <t>介入手
术台次</t>
    <phoneticPr fontId="2" type="noConversion"/>
  </si>
  <si>
    <t>驾驶员
体检人次</t>
    <phoneticPr fontId="2" type="noConversion"/>
  </si>
  <si>
    <t>妇产科</t>
    <phoneticPr fontId="2" type="noConversion"/>
  </si>
  <si>
    <t>肿瘤</t>
    <phoneticPr fontId="2" type="noConversion"/>
  </si>
  <si>
    <t>核磁</t>
    <phoneticPr fontId="2" type="noConversion"/>
  </si>
  <si>
    <t>超声</t>
    <phoneticPr fontId="2" type="noConversion"/>
  </si>
  <si>
    <t>医技手术</t>
    <phoneticPr fontId="2" type="noConversion"/>
  </si>
  <si>
    <t>抽血</t>
    <phoneticPr fontId="2" type="noConversion"/>
  </si>
  <si>
    <t>临检</t>
    <phoneticPr fontId="2" type="noConversion"/>
  </si>
  <si>
    <t>免疫</t>
    <phoneticPr fontId="2" type="noConversion"/>
  </si>
  <si>
    <t>生化</t>
    <phoneticPr fontId="2" type="noConversion"/>
  </si>
  <si>
    <t>体液</t>
    <phoneticPr fontId="2" type="noConversion"/>
  </si>
  <si>
    <t>微生物</t>
    <phoneticPr fontId="2" type="noConversion"/>
  </si>
  <si>
    <t>外检数量</t>
    <phoneticPr fontId="2" type="noConversion"/>
  </si>
  <si>
    <t>普通DR</t>
    <phoneticPr fontId="2" type="noConversion"/>
  </si>
  <si>
    <t>造影</t>
    <phoneticPr fontId="2" type="noConversion"/>
  </si>
  <si>
    <t>CT平扫</t>
    <phoneticPr fontId="2" type="noConversion"/>
  </si>
  <si>
    <t>CT增强</t>
    <phoneticPr fontId="2" type="noConversion"/>
  </si>
  <si>
    <t>血管造影</t>
    <phoneticPr fontId="2" type="noConversion"/>
  </si>
  <si>
    <t>刻录光盘</t>
    <phoneticPr fontId="2" type="noConversion"/>
  </si>
  <si>
    <t>磁共振平扫</t>
    <phoneticPr fontId="2" type="noConversion"/>
  </si>
  <si>
    <t>磁共振增强</t>
    <phoneticPr fontId="2" type="noConversion"/>
  </si>
  <si>
    <t>普通心电图</t>
    <phoneticPr fontId="2" type="noConversion"/>
  </si>
  <si>
    <t>动态心电图</t>
    <phoneticPr fontId="2" type="noConversion"/>
  </si>
  <si>
    <t>动态血压监测</t>
    <phoneticPr fontId="2" type="noConversion"/>
  </si>
  <si>
    <t>心率变异性分析</t>
    <phoneticPr fontId="2" type="noConversion"/>
  </si>
  <si>
    <t>无创心功能监测</t>
    <phoneticPr fontId="2" type="noConversion"/>
  </si>
  <si>
    <t>脑血流检查</t>
    <phoneticPr fontId="2" type="noConversion"/>
  </si>
  <si>
    <t>心电图例数</t>
    <phoneticPr fontId="2" type="noConversion"/>
  </si>
  <si>
    <t>黑白超声</t>
    <phoneticPr fontId="2" type="noConversion"/>
  </si>
  <si>
    <t>浅表超声</t>
    <phoneticPr fontId="2" type="noConversion"/>
  </si>
  <si>
    <t>普通彩超</t>
    <phoneticPr fontId="2" type="noConversion"/>
  </si>
  <si>
    <t>心脏彩超</t>
    <phoneticPr fontId="2" type="noConversion"/>
  </si>
  <si>
    <t>腔内彩超</t>
    <phoneticPr fontId="2" type="noConversion"/>
  </si>
  <si>
    <t>双肾及肾血管超声</t>
    <phoneticPr fontId="2" type="noConversion"/>
  </si>
  <si>
    <t>思维彩超</t>
    <phoneticPr fontId="2" type="noConversion"/>
  </si>
  <si>
    <t>B超床旁加收</t>
    <phoneticPr fontId="2" type="noConversion"/>
  </si>
  <si>
    <t>骨密度数量</t>
    <phoneticPr fontId="2" type="noConversion"/>
  </si>
  <si>
    <t>经颅多普勒检查</t>
    <phoneticPr fontId="2" type="noConversion"/>
  </si>
  <si>
    <t>脑地形图</t>
    <phoneticPr fontId="2" type="noConversion"/>
  </si>
  <si>
    <t>红外线乳腺扫描</t>
    <phoneticPr fontId="2" type="noConversion"/>
  </si>
  <si>
    <t>14碳呼吸</t>
    <phoneticPr fontId="2" type="noConversion"/>
  </si>
  <si>
    <t>无痛电子胃镜</t>
    <phoneticPr fontId="2" type="noConversion"/>
  </si>
  <si>
    <t>无痛电子肠镜</t>
    <phoneticPr fontId="2" type="noConversion"/>
  </si>
  <si>
    <t>电子纤维食管镜检查</t>
    <phoneticPr fontId="2" type="noConversion"/>
  </si>
  <si>
    <t>电子纤维胃、十二指肠镜检查</t>
    <phoneticPr fontId="2" type="noConversion"/>
  </si>
  <si>
    <t>电子纤维结肠镜检查</t>
    <phoneticPr fontId="2" type="noConversion"/>
  </si>
  <si>
    <t>经内镜染色体检查</t>
    <phoneticPr fontId="2" type="noConversion"/>
  </si>
  <si>
    <t>大消毒包</t>
    <phoneticPr fontId="2" type="noConversion"/>
  </si>
  <si>
    <t>中消毒宝</t>
    <phoneticPr fontId="2" type="noConversion"/>
  </si>
  <si>
    <t>小消毒包</t>
    <phoneticPr fontId="2" type="noConversion"/>
  </si>
  <si>
    <t>敷料包</t>
    <phoneticPr fontId="2" type="noConversion"/>
  </si>
  <si>
    <t>腔镜包</t>
    <phoneticPr fontId="2" type="noConversion"/>
  </si>
  <si>
    <t>西药处方数量</t>
    <phoneticPr fontId="2" type="noConversion"/>
  </si>
  <si>
    <t>西药品种数量</t>
    <phoneticPr fontId="2" type="noConversion"/>
  </si>
  <si>
    <t>收费金额</t>
    <phoneticPr fontId="2" type="noConversion"/>
  </si>
  <si>
    <t>收费笔数</t>
    <phoneticPr fontId="2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</si>
  <si>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</si>
  <si>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</si>
  <si>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</si>
  <si>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</si>
  <si>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</si>
  <si>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</si>
  <si>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</si>
  <si>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</si>
  <si>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</si>
  <si>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</si>
  <si>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</si>
  <si>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</si>
  <si>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</si>
  <si>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</si>
  <si>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</si>
  <si>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</si>
  <si>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</si>
  <si>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</si>
  <si>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</si>
  <si>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</si>
  <si>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</si>
  <si>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</si>
  <si>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</si>
  <si>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</si>
  <si>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</si>
  <si>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</si>
  <si>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</si>
  <si>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</si>
  <si>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</si>
  <si>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</si>
  <si>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</si>
  <si>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</si>
  <si>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</si>
  <si>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</si>
  <si>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</si>
  <si>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</si>
  <si>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</si>
  <si>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</si>
  <si>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</si>
  <si>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</si>
  <si>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</si>
  <si>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</si>
  <si>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</si>
  <si>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</si>
  <si>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</si>
  <si>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</si>
  <si>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</si>
  <si>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</si>
  <si>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</si>
  <si>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</si>
  <si>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</si>
  <si>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</si>
  <si>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</si>
  <si>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测试1</t>
    <phoneticPr fontId="2" type="noConversion"/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</si>
  <si>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</si>
  <si>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</si>
  <si>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</si>
  <si>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</si>
  <si>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</si>
  <si>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</si>
  <si>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</si>
  <si>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</si>
  <si>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</si>
  <si>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</si>
  <si>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</si>
  <si>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</si>
  <si>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</si>
  <si>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</si>
  <si>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</si>
  <si>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</si>
  <si>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</si>
  <si>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</si>
  <si>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</si>
  <si>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</si>
  <si>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</si>
  <si>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</si>
  <si>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</si>
  <si>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</si>
  <si>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</si>
  <si>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</si>
  <si>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</si>
  <si>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</si>
  <si>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</si>
  <si>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</si>
  <si>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</si>
  <si>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</si>
  <si>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</si>
  <si>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</si>
  <si>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</si>
  <si>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</si>
  <si>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</si>
  <si>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</si>
  <si>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</si>
  <si>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</si>
  <si>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</si>
  <si>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</si>
  <si>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</si>
  <si>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</si>
  <si>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</si>
  <si>
    <t>测试100</t>
  </si>
  <si>
    <t>测试101</t>
  </si>
  <si>
    <t>测试102</t>
  </si>
  <si>
    <t>测试103</t>
  </si>
  <si>
    <t>测试104</t>
  </si>
  <si>
    <t>测试105</t>
  </si>
  <si>
    <t>测试106</t>
  </si>
  <si>
    <t>测试107</t>
  </si>
  <si>
    <t>测试108</t>
  </si>
  <si>
    <t>测试109</t>
  </si>
  <si>
    <t>测试110</t>
  </si>
  <si>
    <t>测试111</t>
  </si>
  <si>
    <t>测试112</t>
  </si>
  <si>
    <t>测试113</t>
  </si>
  <si>
    <t>测试114</t>
  </si>
  <si>
    <t>测试115</t>
  </si>
  <si>
    <t>测试116</t>
  </si>
  <si>
    <t>测试117</t>
  </si>
  <si>
    <t>测试118</t>
  </si>
  <si>
    <t>测试119</t>
  </si>
  <si>
    <t>测试120</t>
  </si>
  <si>
    <t>张三01</t>
  </si>
  <si>
    <t>李四02</t>
  </si>
  <si>
    <t>赵武12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</si>
</sst>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 "/>
    <numFmt numFmtId="178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Arial"/>
      <family val="2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142">
    <xf numFmtId="0" fontId="0" fillId="0" borderId="0" xfId="0"/>
    <xf numFmtId="176" fontId="0" fillId="3" borderId="0" xfId="0" applyNumberFormat="1" applyFill="1"/>
    <xf numFmtId="176" fontId="0" fillId="3" borderId="0" xfId="0" applyNumberFormat="1" applyFill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176" fontId="0" fillId="0" borderId="0" xfId="0" applyNumberFormat="1" applyFill="1"/>
    <xf numFmtId="0" fontId="0" fillId="0" borderId="9" xfId="0" applyBorder="1"/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1" xfId="0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9" fontId="0" fillId="0" borderId="0" xfId="0" applyNumberFormat="1"/>
    <xf numFmtId="178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 applyFill="1"/>
    <xf numFmtId="178" fontId="0" fillId="0" borderId="0" xfId="0" applyNumberFormat="1" applyFill="1"/>
    <xf numFmtId="176" fontId="0" fillId="6" borderId="0" xfId="0" applyNumberFormat="1" applyFill="1"/>
    <xf numFmtId="0" fontId="4" fillId="0" borderId="1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176" fontId="0" fillId="8" borderId="0" xfId="0" applyNumberFormat="1" applyFill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176" fontId="0" fillId="2" borderId="0" xfId="0" applyNumberFormat="1" applyFill="1"/>
    <xf numFmtId="0" fontId="0" fillId="0" borderId="9" xfId="0" applyFill="1" applyBorder="1"/>
    <xf numFmtId="0" fontId="9" fillId="0" borderId="0" xfId="0" applyFont="1"/>
    <xf numFmtId="49" fontId="6" fillId="0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0" fillId="9" borderId="9" xfId="0" applyFill="1" applyBorder="1"/>
    <xf numFmtId="1" fontId="0" fillId="0" borderId="0" xfId="0" applyNumberFormat="1"/>
    <xf numFmtId="0" fontId="0" fillId="0" borderId="0" xfId="0" applyNumberFormat="1"/>
    <xf numFmtId="0" fontId="0" fillId="4" borderId="9" xfId="0" applyFill="1" applyBorder="1"/>
    <xf numFmtId="1" fontId="0" fillId="10" borderId="9" xfId="0" applyNumberFormat="1" applyFill="1" applyBorder="1" applyAlignment="1">
      <alignment horizontal="center" wrapText="1"/>
    </xf>
    <xf numFmtId="0" fontId="0" fillId="10" borderId="9" xfId="0" applyFill="1" applyBorder="1" applyAlignment="1">
      <alignment horizontal="center" wrapText="1"/>
    </xf>
    <xf numFmtId="0" fontId="0" fillId="10" borderId="9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1" fontId="0" fillId="0" borderId="9" xfId="0" applyNumberFormat="1" applyBorder="1"/>
    <xf numFmtId="176" fontId="5" fillId="11" borderId="1" xfId="0" applyNumberFormat="1" applyFont="1" applyFill="1" applyBorder="1" applyAlignment="1">
      <alignment vertical="center"/>
    </xf>
    <xf numFmtId="178" fontId="0" fillId="11" borderId="1" xfId="0" applyNumberForma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vertical="center"/>
    </xf>
    <xf numFmtId="10" fontId="0" fillId="11" borderId="1" xfId="1" applyNumberFormat="1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0" fontId="0" fillId="0" borderId="9" xfId="0" applyNumberFormat="1" applyBorder="1"/>
    <xf numFmtId="0" fontId="0" fillId="11" borderId="9" xfId="0" applyFill="1" applyBorder="1"/>
    <xf numFmtId="0" fontId="0" fillId="11" borderId="0" xfId="0" applyFill="1"/>
    <xf numFmtId="0" fontId="0" fillId="12" borderId="9" xfId="0" applyFill="1" applyBorder="1"/>
    <xf numFmtId="0" fontId="0" fillId="12" borderId="9" xfId="0" applyFill="1" applyBorder="1" applyAlignment="1">
      <alignment horizontal="center" vertical="center" wrapText="1"/>
    </xf>
    <xf numFmtId="0" fontId="0" fillId="12" borderId="9" xfId="0" applyNumberForma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/>
    <xf numFmtId="176" fontId="5" fillId="0" borderId="0" xfId="0" applyNumberFormat="1" applyFont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3" fillId="0" borderId="9" xfId="0" applyNumberFormat="1" applyFont="1" applyBorder="1" applyAlignment="1">
      <alignment vertical="center" wrapText="1"/>
    </xf>
    <xf numFmtId="176" fontId="3" fillId="0" borderId="9" xfId="0" applyNumberFormat="1" applyFont="1" applyBorder="1" applyAlignment="1">
      <alignment vertical="center"/>
    </xf>
    <xf numFmtId="176" fontId="5" fillId="0" borderId="0" xfId="0" applyNumberFormat="1" applyFont="1" applyFill="1" applyAlignment="1">
      <alignment vertical="center"/>
    </xf>
    <xf numFmtId="176" fontId="5" fillId="0" borderId="0" xfId="0" applyNumberFormat="1" applyFont="1" applyAlignment="1">
      <alignment vertical="center" wrapText="1"/>
    </xf>
    <xf numFmtId="176" fontId="0" fillId="7" borderId="1" xfId="0" applyNumberFormat="1" applyFill="1" applyBorder="1" applyAlignment="1">
      <alignment horizontal="center" vertical="center"/>
    </xf>
    <xf numFmtId="0" fontId="10" fillId="0" borderId="9" xfId="0" applyFont="1" applyFill="1" applyBorder="1"/>
    <xf numFmtId="1" fontId="10" fillId="0" borderId="9" xfId="0" applyNumberFormat="1" applyFont="1" applyFill="1" applyBorder="1"/>
    <xf numFmtId="0" fontId="10" fillId="0" borderId="0" xfId="0" applyFont="1" applyFill="1"/>
    <xf numFmtId="0" fontId="0" fillId="13" borderId="9" xfId="0" applyFill="1" applyBorder="1"/>
    <xf numFmtId="176" fontId="0" fillId="9" borderId="9" xfId="0" applyNumberFormat="1" applyFill="1" applyBorder="1" applyAlignment="1">
      <alignment horizontal="center"/>
    </xf>
    <xf numFmtId="176" fontId="0" fillId="14" borderId="0" xfId="0" applyNumberFormat="1" applyFill="1"/>
    <xf numFmtId="0" fontId="0" fillId="14" borderId="9" xfId="0" applyFill="1" applyBorder="1"/>
    <xf numFmtId="176" fontId="0" fillId="15" borderId="9" xfId="0" applyNumberFormat="1" applyFill="1" applyBorder="1" applyAlignment="1">
      <alignment horizontal="center" vertical="center" wrapText="1"/>
    </xf>
    <xf numFmtId="176" fontId="0" fillId="15" borderId="9" xfId="0" applyNumberFormat="1" applyFill="1" applyBorder="1" applyAlignment="1">
      <alignment horizontal="center" vertical="center"/>
    </xf>
    <xf numFmtId="176" fontId="0" fillId="15" borderId="0" xfId="0" applyNumberFormat="1" applyFill="1" applyAlignment="1">
      <alignment horizontal="center" vertical="center"/>
    </xf>
    <xf numFmtId="176" fontId="5" fillId="15" borderId="1" xfId="0" applyNumberFormat="1" applyFont="1" applyFill="1" applyBorder="1" applyAlignment="1">
      <alignment vertical="center"/>
    </xf>
    <xf numFmtId="178" fontId="0" fillId="15" borderId="1" xfId="0" applyNumberFormat="1" applyFill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/>
    </xf>
    <xf numFmtId="176" fontId="0" fillId="16" borderId="9" xfId="0" applyNumberFormat="1" applyFill="1" applyBorder="1" applyAlignment="1">
      <alignment horizontal="center" vertical="center"/>
    </xf>
    <xf numFmtId="176" fontId="6" fillId="3" borderId="9" xfId="0" applyNumberFormat="1" applyFont="1" applyFill="1" applyBorder="1" applyAlignment="1">
      <alignment horizontal="center"/>
    </xf>
    <xf numFmtId="176" fontId="0" fillId="6" borderId="9" xfId="0" applyNumberForma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14" borderId="0" xfId="0" applyNumberFormat="1" applyFill="1" applyAlignment="1">
      <alignment horizontal="center"/>
    </xf>
    <xf numFmtId="178" fontId="0" fillId="6" borderId="0" xfId="0" applyNumberFormat="1" applyFill="1" applyAlignment="1">
      <alignment horizontal="center"/>
    </xf>
    <xf numFmtId="178" fontId="0" fillId="6" borderId="9" xfId="0" applyNumberFormat="1" applyFill="1" applyBorder="1"/>
    <xf numFmtId="178" fontId="0" fillId="6" borderId="0" xfId="0" applyNumberFormat="1" applyFill="1" applyAlignment="1">
      <alignment horizontal="center" vertic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6" borderId="9" xfId="0" applyNumberForma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/>
    </xf>
    <xf numFmtId="178" fontId="0" fillId="0" borderId="9" xfId="0" applyNumberFormat="1" applyBorder="1"/>
    <xf numFmtId="178" fontId="0" fillId="0" borderId="9" xfId="0" applyNumberFormat="1" applyFill="1" applyBorder="1" applyAlignment="1">
      <alignment horizontal="center"/>
    </xf>
    <xf numFmtId="178" fontId="0" fillId="0" borderId="9" xfId="0" applyNumberFormat="1" applyFill="1" applyBorder="1"/>
    <xf numFmtId="178" fontId="0" fillId="18" borderId="9" xfId="0" applyNumberFormat="1" applyFill="1" applyBorder="1"/>
    <xf numFmtId="176" fontId="0" fillId="0" borderId="2" xfId="0" applyNumberFormat="1" applyBorder="1" applyAlignment="1">
      <alignment horizontal="center"/>
    </xf>
    <xf numFmtId="176" fontId="0" fillId="5" borderId="9" xfId="0" applyNumberFormat="1" applyFill="1" applyBorder="1" applyAlignment="1">
      <alignment horizontal="center"/>
    </xf>
    <xf numFmtId="178" fontId="0" fillId="5" borderId="9" xfId="0" applyNumberFormat="1" applyFill="1" applyBorder="1" applyAlignment="1">
      <alignment horizontal="center"/>
    </xf>
    <xf numFmtId="176" fontId="0" fillId="19" borderId="9" xfId="0" applyNumberFormat="1" applyFill="1" applyBorder="1" applyAlignment="1">
      <alignment horizontal="center"/>
    </xf>
    <xf numFmtId="176" fontId="0" fillId="20" borderId="9" xfId="0" applyNumberFormat="1" applyFill="1" applyBorder="1" applyAlignment="1">
      <alignment horizontal="center"/>
    </xf>
    <xf numFmtId="176" fontId="0" fillId="21" borderId="9" xfId="0" applyNumberFormat="1" applyFill="1" applyBorder="1" applyAlignment="1">
      <alignment horizontal="center"/>
    </xf>
    <xf numFmtId="178" fontId="0" fillId="0" borderId="9" xfId="0" applyNumberFormat="1" applyFill="1" applyBorder="1" applyAlignment="1">
      <alignment vertical="center"/>
    </xf>
    <xf numFmtId="178" fontId="0" fillId="0" borderId="0" xfId="0" applyNumberFormat="1" applyFill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8" fontId="0" fillId="0" borderId="9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/>
    </xf>
    <xf numFmtId="176" fontId="0" fillId="21" borderId="9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wrapText="1"/>
    </xf>
    <xf numFmtId="178" fontId="0" fillId="6" borderId="4" xfId="0" applyNumberFormat="1" applyFill="1" applyBorder="1" applyAlignment="1">
      <alignment horizontal="center" wrapText="1"/>
    </xf>
    <xf numFmtId="178" fontId="0" fillId="6" borderId="2" xfId="0" applyNumberFormat="1" applyFill="1" applyBorder="1" applyAlignment="1">
      <alignment horizontal="center"/>
    </xf>
    <xf numFmtId="178" fontId="0" fillId="6" borderId="21" xfId="0" applyNumberFormat="1" applyFill="1" applyBorder="1" applyAlignment="1">
      <alignment horizontal="center"/>
    </xf>
    <xf numFmtId="178" fontId="0" fillId="6" borderId="3" xfId="0" applyNumberForma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 vertical="center" wrapText="1"/>
    </xf>
    <xf numFmtId="178" fontId="0" fillId="6" borderId="4" xfId="0" applyNumberFormat="1" applyFill="1" applyBorder="1" applyAlignment="1">
      <alignment horizontal="center" vertical="center" wrapText="1"/>
    </xf>
    <xf numFmtId="178" fontId="0" fillId="6" borderId="9" xfId="0" applyNumberFormat="1" applyFill="1" applyBorder="1" applyAlignment="1">
      <alignment horizontal="center"/>
    </xf>
    <xf numFmtId="178" fontId="0" fillId="6" borderId="9" xfId="0" applyNumberFormat="1" applyFill="1" applyBorder="1" applyAlignment="1">
      <alignment horizontal="center" vertical="center" wrapText="1"/>
    </xf>
    <xf numFmtId="178" fontId="0" fillId="17" borderId="5" xfId="0" applyNumberFormat="1" applyFill="1" applyBorder="1" applyAlignment="1">
      <alignment horizontal="center" vertical="center"/>
    </xf>
    <xf numFmtId="178" fontId="0" fillId="17" borderId="4" xfId="0" applyNumberForma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4" fillId="9" borderId="18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Medium9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W8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7" sqref="E17"/>
    </sheetView>
  </sheetViews>
  <sheetFormatPr defaultColWidth="11.81640625" defaultRowHeight="14" x14ac:dyDescent="0.25"/>
  <cols>
    <col min="1" max="1" width="11.81640625" style="83"/>
    <col min="2" max="2" width="11.90625" style="84" bestFit="1" customWidth="1"/>
    <col min="3" max="3" width="11.54296875" style="83" customWidth="1"/>
    <col min="4" max="4" width="5.90625" style="83" hidden="1" customWidth="1"/>
    <col min="5" max="6" width="11.90625" style="83" bestFit="1" customWidth="1"/>
    <col min="7" max="7" width="12.453125" style="83" bestFit="1" customWidth="1"/>
    <col min="8" max="46" width="11.90625" style="83" bestFit="1" customWidth="1"/>
    <col min="47" max="98" width="11.90625" style="23" bestFit="1" customWidth="1"/>
    <col min="99" max="99" width="13.54296875" style="23" bestFit="1" customWidth="1"/>
    <col min="100" max="100" width="11.90625" style="23" bestFit="1" customWidth="1"/>
    <col min="101" max="101" width="11.90625" style="83" bestFit="1" customWidth="1"/>
    <col min="102" max="16384" width="11.81640625" style="83"/>
  </cols>
  <sheetData>
    <row r="1" spans="2:101" x14ac:dyDescent="0.25"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</row>
    <row r="2" spans="2:101" x14ac:dyDescent="0.25"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</row>
    <row r="3" spans="2:101" s="85" customFormat="1" ht="13.5" customHeight="1" x14ac:dyDescent="0.25">
      <c r="B3" s="116" t="s">
        <v>0</v>
      </c>
      <c r="C3" s="112" t="s">
        <v>438</v>
      </c>
      <c r="D3" s="112" t="s">
        <v>439</v>
      </c>
      <c r="E3" s="112" t="s">
        <v>440</v>
      </c>
      <c r="F3" s="112" t="s">
        <v>441</v>
      </c>
      <c r="G3" s="112" t="s">
        <v>442</v>
      </c>
      <c r="H3" s="112" t="s">
        <v>9</v>
      </c>
      <c r="I3" s="112" t="s">
        <v>10</v>
      </c>
      <c r="J3" s="112" t="s">
        <v>58</v>
      </c>
      <c r="K3" s="114" t="s">
        <v>96</v>
      </c>
      <c r="L3" s="114"/>
      <c r="M3" s="114"/>
      <c r="N3" s="114"/>
      <c r="O3" s="112" t="s">
        <v>443</v>
      </c>
      <c r="P3" s="112" t="s">
        <v>444</v>
      </c>
      <c r="Q3" s="112" t="s">
        <v>75</v>
      </c>
      <c r="R3" s="114" t="s">
        <v>13</v>
      </c>
      <c r="S3" s="114"/>
      <c r="T3" s="114"/>
      <c r="U3" s="114"/>
      <c r="V3" s="114"/>
      <c r="W3" s="114"/>
      <c r="X3" s="114"/>
      <c r="Y3" s="114"/>
      <c r="Z3" s="114"/>
      <c r="AA3" s="112" t="s">
        <v>59</v>
      </c>
      <c r="AB3" s="112" t="s">
        <v>20</v>
      </c>
      <c r="AC3" s="115" t="s">
        <v>14</v>
      </c>
      <c r="AD3" s="115"/>
      <c r="AE3" s="115"/>
      <c r="AF3" s="115"/>
      <c r="AG3" s="115"/>
      <c r="AH3" s="114" t="s">
        <v>15</v>
      </c>
      <c r="AI3" s="114"/>
      <c r="AJ3" s="114"/>
      <c r="AK3" s="114"/>
      <c r="AL3" s="112" t="s">
        <v>72</v>
      </c>
      <c r="AM3" s="112" t="s">
        <v>71</v>
      </c>
      <c r="AN3" s="112" t="s">
        <v>73</v>
      </c>
      <c r="AO3" s="112" t="s">
        <v>74</v>
      </c>
      <c r="AP3" s="114" t="s">
        <v>19</v>
      </c>
      <c r="AQ3" s="114"/>
      <c r="AR3" s="114"/>
      <c r="AS3" s="114"/>
      <c r="AT3" s="112" t="s">
        <v>445</v>
      </c>
      <c r="AU3" s="109" t="s">
        <v>446</v>
      </c>
      <c r="AV3" s="110"/>
      <c r="AW3" s="86" t="s">
        <v>447</v>
      </c>
      <c r="AX3" s="109" t="s">
        <v>234</v>
      </c>
      <c r="AY3" s="110"/>
      <c r="AZ3" s="110"/>
      <c r="BA3" s="110"/>
      <c r="BB3" s="110"/>
      <c r="BC3" s="110"/>
      <c r="BD3" s="111"/>
      <c r="BE3" s="109" t="s">
        <v>235</v>
      </c>
      <c r="BF3" s="111"/>
      <c r="BG3" s="109" t="s">
        <v>236</v>
      </c>
      <c r="BH3" s="110"/>
      <c r="BI3" s="110"/>
      <c r="BJ3" s="111"/>
      <c r="BK3" s="109" t="s">
        <v>448</v>
      </c>
      <c r="BL3" s="111"/>
      <c r="BM3" s="109" t="s">
        <v>238</v>
      </c>
      <c r="BN3" s="110"/>
      <c r="BO3" s="110"/>
      <c r="BP3" s="110"/>
      <c r="BQ3" s="110"/>
      <c r="BR3" s="110"/>
      <c r="BS3" s="111"/>
      <c r="BT3" s="109" t="s">
        <v>449</v>
      </c>
      <c r="BU3" s="110"/>
      <c r="BV3" s="110"/>
      <c r="BW3" s="110"/>
      <c r="BX3" s="110"/>
      <c r="BY3" s="110"/>
      <c r="BZ3" s="110"/>
      <c r="CA3" s="111"/>
      <c r="CB3" s="109" t="s">
        <v>240</v>
      </c>
      <c r="CC3" s="110"/>
      <c r="CD3" s="110"/>
      <c r="CE3" s="110"/>
      <c r="CF3" s="111"/>
      <c r="CG3" s="109" t="s">
        <v>241</v>
      </c>
      <c r="CH3" s="110"/>
      <c r="CI3" s="110"/>
      <c r="CJ3" s="110"/>
      <c r="CK3" s="110"/>
      <c r="CL3" s="110"/>
      <c r="CM3" s="111"/>
      <c r="CN3" s="109" t="s">
        <v>242</v>
      </c>
      <c r="CO3" s="110"/>
      <c r="CP3" s="110"/>
      <c r="CQ3" s="110"/>
      <c r="CR3" s="111"/>
      <c r="CS3" s="109" t="s">
        <v>244</v>
      </c>
      <c r="CT3" s="111"/>
      <c r="CU3" s="109" t="s">
        <v>243</v>
      </c>
      <c r="CV3" s="111"/>
      <c r="CW3" s="107" t="s">
        <v>450</v>
      </c>
    </row>
    <row r="4" spans="2:101" s="87" customFormat="1" ht="28" x14ac:dyDescent="0.25">
      <c r="B4" s="117"/>
      <c r="C4" s="113"/>
      <c r="D4" s="113"/>
      <c r="E4" s="113"/>
      <c r="F4" s="113"/>
      <c r="G4" s="113"/>
      <c r="H4" s="113"/>
      <c r="I4" s="113"/>
      <c r="J4" s="113"/>
      <c r="K4" s="88" t="s">
        <v>67</v>
      </c>
      <c r="L4" s="88" t="s">
        <v>68</v>
      </c>
      <c r="M4" s="88" t="s">
        <v>65</v>
      </c>
      <c r="N4" s="88" t="s">
        <v>64</v>
      </c>
      <c r="O4" s="113"/>
      <c r="P4" s="113"/>
      <c r="Q4" s="113"/>
      <c r="R4" s="88" t="s">
        <v>11</v>
      </c>
      <c r="S4" s="88" t="s">
        <v>12</v>
      </c>
      <c r="T4" s="88" t="s">
        <v>66</v>
      </c>
      <c r="U4" s="88" t="s">
        <v>65</v>
      </c>
      <c r="V4" s="88" t="s">
        <v>64</v>
      </c>
      <c r="W4" s="88" t="s">
        <v>60</v>
      </c>
      <c r="X4" s="88" t="s">
        <v>61</v>
      </c>
      <c r="Y4" s="88" t="s">
        <v>62</v>
      </c>
      <c r="Z4" s="88" t="s">
        <v>63</v>
      </c>
      <c r="AA4" s="113"/>
      <c r="AB4" s="113"/>
      <c r="AC4" s="88" t="s">
        <v>25</v>
      </c>
      <c r="AD4" s="88" t="s">
        <v>26</v>
      </c>
      <c r="AE4" s="88" t="s">
        <v>27</v>
      </c>
      <c r="AF4" s="88" t="s">
        <v>28</v>
      </c>
      <c r="AG4" s="88" t="s">
        <v>29</v>
      </c>
      <c r="AH4" s="88" t="s">
        <v>21</v>
      </c>
      <c r="AI4" s="88" t="s">
        <v>22</v>
      </c>
      <c r="AJ4" s="88" t="s">
        <v>23</v>
      </c>
      <c r="AK4" s="88" t="s">
        <v>24</v>
      </c>
      <c r="AL4" s="113"/>
      <c r="AM4" s="113"/>
      <c r="AN4" s="113"/>
      <c r="AO4" s="113"/>
      <c r="AP4" s="89" t="s">
        <v>16</v>
      </c>
      <c r="AQ4" s="89" t="s">
        <v>17</v>
      </c>
      <c r="AR4" s="89" t="s">
        <v>18</v>
      </c>
      <c r="AS4" s="89" t="s">
        <v>69</v>
      </c>
      <c r="AT4" s="113"/>
      <c r="AU4" s="89" t="s">
        <v>106</v>
      </c>
      <c r="AV4" s="89" t="s">
        <v>227</v>
      </c>
      <c r="AW4" s="88" t="s">
        <v>107</v>
      </c>
      <c r="AX4" s="89" t="s">
        <v>451</v>
      </c>
      <c r="AY4" s="89" t="s">
        <v>452</v>
      </c>
      <c r="AZ4" s="89" t="s">
        <v>453</v>
      </c>
      <c r="BA4" s="89" t="s">
        <v>454</v>
      </c>
      <c r="BB4" s="89" t="s">
        <v>455</v>
      </c>
      <c r="BC4" s="89" t="s">
        <v>456</v>
      </c>
      <c r="BD4" s="89" t="s">
        <v>457</v>
      </c>
      <c r="BE4" s="89" t="s">
        <v>458</v>
      </c>
      <c r="BF4" s="89" t="s">
        <v>459</v>
      </c>
      <c r="BG4" s="89" t="s">
        <v>460</v>
      </c>
      <c r="BH4" s="89" t="s">
        <v>461</v>
      </c>
      <c r="BI4" s="89" t="s">
        <v>462</v>
      </c>
      <c r="BJ4" s="89" t="s">
        <v>463</v>
      </c>
      <c r="BK4" s="89" t="s">
        <v>464</v>
      </c>
      <c r="BL4" s="89" t="s">
        <v>465</v>
      </c>
      <c r="BM4" s="89" t="s">
        <v>466</v>
      </c>
      <c r="BN4" s="89" t="s">
        <v>467</v>
      </c>
      <c r="BO4" s="89" t="s">
        <v>468</v>
      </c>
      <c r="BP4" s="89" t="s">
        <v>469</v>
      </c>
      <c r="BQ4" s="89" t="s">
        <v>470</v>
      </c>
      <c r="BR4" s="89" t="s">
        <v>471</v>
      </c>
      <c r="BS4" s="89" t="s">
        <v>472</v>
      </c>
      <c r="BT4" s="89" t="s">
        <v>473</v>
      </c>
      <c r="BU4" s="89" t="s">
        <v>474</v>
      </c>
      <c r="BV4" s="89" t="s">
        <v>475</v>
      </c>
      <c r="BW4" s="89" t="s">
        <v>476</v>
      </c>
      <c r="BX4" s="89" t="s">
        <v>477</v>
      </c>
      <c r="BY4" s="89" t="s">
        <v>478</v>
      </c>
      <c r="BZ4" s="89" t="s">
        <v>479</v>
      </c>
      <c r="CA4" s="89" t="s">
        <v>480</v>
      </c>
      <c r="CB4" s="89" t="s">
        <v>481</v>
      </c>
      <c r="CC4" s="89" t="s">
        <v>482</v>
      </c>
      <c r="CD4" s="89" t="s">
        <v>483</v>
      </c>
      <c r="CE4" s="89" t="s">
        <v>240</v>
      </c>
      <c r="CF4" s="89" t="s">
        <v>484</v>
      </c>
      <c r="CG4" s="89" t="s">
        <v>485</v>
      </c>
      <c r="CH4" s="89" t="s">
        <v>486</v>
      </c>
      <c r="CI4" s="89" t="s">
        <v>487</v>
      </c>
      <c r="CJ4" s="89" t="s">
        <v>488</v>
      </c>
      <c r="CK4" s="89" t="s">
        <v>489</v>
      </c>
      <c r="CL4" s="89" t="s">
        <v>490</v>
      </c>
      <c r="CM4" s="89" t="s">
        <v>491</v>
      </c>
      <c r="CN4" s="89" t="s">
        <v>492</v>
      </c>
      <c r="CO4" s="89" t="s">
        <v>493</v>
      </c>
      <c r="CP4" s="89" t="s">
        <v>494</v>
      </c>
      <c r="CQ4" s="89" t="s">
        <v>495</v>
      </c>
      <c r="CR4" s="89" t="s">
        <v>496</v>
      </c>
      <c r="CS4" s="89" t="s">
        <v>497</v>
      </c>
      <c r="CT4" s="89" t="s">
        <v>498</v>
      </c>
      <c r="CU4" s="89" t="s">
        <v>499</v>
      </c>
      <c r="CV4" s="89" t="s">
        <v>500</v>
      </c>
      <c r="CW4" s="108"/>
    </row>
    <row r="5" spans="2:101" x14ac:dyDescent="0.25">
      <c r="B5" s="90" t="s">
        <v>78</v>
      </c>
      <c r="C5" s="91">
        <v>94.61</v>
      </c>
      <c r="D5" s="92"/>
      <c r="E5" s="91">
        <v>0.12</v>
      </c>
      <c r="F5" s="91">
        <v>90617</v>
      </c>
      <c r="G5" s="91">
        <v>282486.91499999998</v>
      </c>
      <c r="H5" s="92">
        <v>96</v>
      </c>
      <c r="I5" s="92">
        <v>100</v>
      </c>
      <c r="J5" s="92">
        <v>1317.5</v>
      </c>
      <c r="K5" s="92"/>
      <c r="L5" s="92"/>
      <c r="M5" s="92"/>
      <c r="N5" s="92"/>
      <c r="O5" s="92">
        <v>2758.2</v>
      </c>
      <c r="P5" s="92">
        <v>2</v>
      </c>
      <c r="Q5" s="92">
        <v>4</v>
      </c>
      <c r="R5" s="92"/>
      <c r="S5" s="92"/>
      <c r="T5" s="92"/>
      <c r="U5" s="92"/>
      <c r="V5" s="92"/>
      <c r="W5" s="92"/>
      <c r="X5" s="92"/>
      <c r="Y5" s="92"/>
      <c r="Z5" s="92"/>
      <c r="AA5" s="92">
        <v>600</v>
      </c>
      <c r="AB5" s="92"/>
      <c r="AC5" s="92">
        <v>0</v>
      </c>
      <c r="AD5" s="92">
        <v>0</v>
      </c>
      <c r="AE5" s="92">
        <v>116</v>
      </c>
      <c r="AF5" s="92">
        <v>871</v>
      </c>
      <c r="AG5" s="92">
        <v>1</v>
      </c>
      <c r="AH5" s="92"/>
      <c r="AI5" s="92"/>
      <c r="AJ5" s="92"/>
      <c r="AK5" s="92"/>
      <c r="AL5" s="92">
        <v>611.1</v>
      </c>
      <c r="AM5" s="92">
        <v>611.1</v>
      </c>
      <c r="AN5" s="92">
        <v>149.80000000000001</v>
      </c>
      <c r="AO5" s="92">
        <v>149.80000000000001</v>
      </c>
      <c r="AP5" s="92"/>
      <c r="AQ5" s="92"/>
      <c r="AR5" s="92"/>
      <c r="AS5" s="92"/>
      <c r="AT5" s="92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2"/>
    </row>
    <row r="6" spans="2:101" x14ac:dyDescent="0.25">
      <c r="B6" s="90" t="s">
        <v>79</v>
      </c>
      <c r="C6" s="91">
        <v>0</v>
      </c>
      <c r="D6" s="92"/>
      <c r="E6" s="91">
        <v>0</v>
      </c>
      <c r="F6" s="91">
        <v>154049.70000000001</v>
      </c>
      <c r="G6" s="91">
        <v>327516.99499999994</v>
      </c>
      <c r="H6" s="92">
        <v>104</v>
      </c>
      <c r="I6" s="92">
        <v>105</v>
      </c>
      <c r="J6" s="92">
        <v>1876</v>
      </c>
      <c r="K6" s="92"/>
      <c r="L6" s="92"/>
      <c r="M6" s="92"/>
      <c r="N6" s="92"/>
      <c r="O6" s="92">
        <v>1379.1</v>
      </c>
      <c r="P6" s="92">
        <v>1</v>
      </c>
      <c r="Q6" s="92">
        <v>4</v>
      </c>
      <c r="R6" s="92"/>
      <c r="S6" s="92"/>
      <c r="T6" s="92"/>
      <c r="U6" s="92"/>
      <c r="V6" s="92"/>
      <c r="W6" s="92"/>
      <c r="X6" s="92"/>
      <c r="Y6" s="92"/>
      <c r="Z6" s="92"/>
      <c r="AA6" s="92">
        <v>356</v>
      </c>
      <c r="AB6" s="92"/>
      <c r="AC6" s="92">
        <v>0</v>
      </c>
      <c r="AD6" s="92">
        <v>0</v>
      </c>
      <c r="AE6" s="92">
        <v>237</v>
      </c>
      <c r="AF6" s="92">
        <v>726</v>
      </c>
      <c r="AG6" s="92">
        <v>26</v>
      </c>
      <c r="AH6" s="92">
        <v>0</v>
      </c>
      <c r="AI6" s="92">
        <v>2</v>
      </c>
      <c r="AJ6" s="92">
        <v>0</v>
      </c>
      <c r="AK6" s="92">
        <v>0</v>
      </c>
      <c r="AL6" s="92">
        <v>9504.9</v>
      </c>
      <c r="AM6" s="92">
        <v>9504.9</v>
      </c>
      <c r="AN6" s="92">
        <v>7683.35</v>
      </c>
      <c r="AO6" s="92">
        <v>7683.35</v>
      </c>
      <c r="AP6" s="92"/>
      <c r="AQ6" s="92"/>
      <c r="AR6" s="92"/>
      <c r="AS6" s="92"/>
      <c r="AT6" s="92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2"/>
    </row>
    <row r="7" spans="2:101" x14ac:dyDescent="0.25">
      <c r="B7" s="90" t="s">
        <v>80</v>
      </c>
      <c r="C7" s="91">
        <v>2136.87</v>
      </c>
      <c r="D7" s="92"/>
      <c r="E7" s="91">
        <v>1153.3</v>
      </c>
      <c r="F7" s="91">
        <v>82062.199999999983</v>
      </c>
      <c r="G7" s="91">
        <v>300615.83750000008</v>
      </c>
      <c r="H7" s="92">
        <v>144</v>
      </c>
      <c r="I7" s="92">
        <v>101</v>
      </c>
      <c r="J7" s="92">
        <v>1518.5</v>
      </c>
      <c r="K7" s="92"/>
      <c r="L7" s="92"/>
      <c r="M7" s="92"/>
      <c r="N7" s="92"/>
      <c r="O7" s="92">
        <v>1379.1</v>
      </c>
      <c r="P7" s="92">
        <v>1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>
        <v>756</v>
      </c>
      <c r="AB7" s="92"/>
      <c r="AC7" s="92">
        <v>0</v>
      </c>
      <c r="AD7" s="92">
        <v>0</v>
      </c>
      <c r="AE7" s="92">
        <v>86</v>
      </c>
      <c r="AF7" s="92">
        <v>1192</v>
      </c>
      <c r="AG7" s="92">
        <v>0</v>
      </c>
      <c r="AH7" s="92"/>
      <c r="AI7" s="92"/>
      <c r="AJ7" s="92"/>
      <c r="AK7" s="92"/>
      <c r="AL7" s="92">
        <v>1785</v>
      </c>
      <c r="AM7" s="92">
        <v>1785</v>
      </c>
      <c r="AN7" s="92">
        <v>860.6</v>
      </c>
      <c r="AO7" s="92">
        <v>860.6</v>
      </c>
      <c r="AP7" s="92"/>
      <c r="AQ7" s="92"/>
      <c r="AR7" s="92"/>
      <c r="AS7" s="92"/>
      <c r="AT7" s="92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2"/>
    </row>
    <row r="8" spans="2:101" x14ac:dyDescent="0.25">
      <c r="B8" s="90" t="s">
        <v>108</v>
      </c>
      <c r="C8" s="91">
        <v>0</v>
      </c>
      <c r="D8" s="92"/>
      <c r="E8" s="91">
        <v>267.33999999999997</v>
      </c>
      <c r="F8" s="91">
        <v>124498.50000000001</v>
      </c>
      <c r="G8" s="91">
        <v>840598.75249999925</v>
      </c>
      <c r="H8" s="92">
        <v>282</v>
      </c>
      <c r="I8" s="92">
        <v>284</v>
      </c>
      <c r="J8" s="92">
        <v>2762</v>
      </c>
      <c r="K8" s="92"/>
      <c r="L8" s="92"/>
      <c r="M8" s="92"/>
      <c r="N8" s="92"/>
      <c r="O8" s="92">
        <v>147330.25000000015</v>
      </c>
      <c r="P8" s="92">
        <v>66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>
        <v>2816</v>
      </c>
      <c r="AB8" s="92"/>
      <c r="AC8" s="92">
        <v>130.64583333333334</v>
      </c>
      <c r="AD8" s="92">
        <v>0</v>
      </c>
      <c r="AE8" s="92">
        <v>1796</v>
      </c>
      <c r="AF8" s="92">
        <v>681</v>
      </c>
      <c r="AG8" s="92">
        <v>33</v>
      </c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2"/>
    </row>
    <row r="9" spans="2:101" x14ac:dyDescent="0.25">
      <c r="B9" s="90" t="s">
        <v>82</v>
      </c>
      <c r="C9" s="91">
        <v>135.68</v>
      </c>
      <c r="D9" s="92"/>
      <c r="E9" s="91">
        <v>0</v>
      </c>
      <c r="F9" s="91">
        <v>187174.7</v>
      </c>
      <c r="G9" s="91">
        <v>377540.62999999995</v>
      </c>
      <c r="H9" s="92">
        <v>148</v>
      </c>
      <c r="I9" s="92">
        <v>123</v>
      </c>
      <c r="J9" s="92">
        <v>5836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>
        <v>1088</v>
      </c>
      <c r="AB9" s="92"/>
      <c r="AC9" s="92">
        <v>0</v>
      </c>
      <c r="AD9" s="92">
        <v>0</v>
      </c>
      <c r="AE9" s="92">
        <v>627</v>
      </c>
      <c r="AF9" s="92">
        <v>646</v>
      </c>
      <c r="AG9" s="92">
        <v>0</v>
      </c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4"/>
      <c r="CQ9" s="93"/>
      <c r="CR9" s="93"/>
      <c r="CS9" s="93"/>
      <c r="CT9" s="93"/>
      <c r="CU9" s="93"/>
      <c r="CV9" s="93"/>
      <c r="CW9" s="92"/>
    </row>
    <row r="10" spans="2:101" x14ac:dyDescent="0.25">
      <c r="B10" s="90" t="s">
        <v>83</v>
      </c>
      <c r="C10" s="91">
        <v>0</v>
      </c>
      <c r="D10" s="92"/>
      <c r="E10" s="91">
        <v>0</v>
      </c>
      <c r="F10" s="91">
        <v>166594.00000000003</v>
      </c>
      <c r="G10" s="91">
        <v>349290.57250000007</v>
      </c>
      <c r="H10" s="92">
        <v>122</v>
      </c>
      <c r="I10" s="92">
        <v>104</v>
      </c>
      <c r="J10" s="92">
        <v>3306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>
        <v>1280</v>
      </c>
      <c r="AB10" s="92"/>
      <c r="AC10" s="92">
        <v>0</v>
      </c>
      <c r="AD10" s="92">
        <v>0</v>
      </c>
      <c r="AE10" s="92">
        <v>283</v>
      </c>
      <c r="AF10" s="92">
        <v>570</v>
      </c>
      <c r="AG10" s="92">
        <v>7</v>
      </c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2"/>
    </row>
    <row r="11" spans="2:101" x14ac:dyDescent="0.25">
      <c r="B11" s="90" t="s">
        <v>109</v>
      </c>
      <c r="C11" s="91">
        <v>0</v>
      </c>
      <c r="D11" s="92"/>
      <c r="E11" s="91">
        <v>0</v>
      </c>
      <c r="F11" s="91">
        <v>82281.049999999988</v>
      </c>
      <c r="G11" s="91">
        <v>284522.89</v>
      </c>
      <c r="H11" s="92">
        <v>106</v>
      </c>
      <c r="I11" s="92">
        <v>94</v>
      </c>
      <c r="J11" s="92">
        <v>1276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>
        <v>1040</v>
      </c>
      <c r="AB11" s="92"/>
      <c r="AC11" s="92">
        <v>0</v>
      </c>
      <c r="AD11" s="92">
        <v>0</v>
      </c>
      <c r="AE11" s="92">
        <v>56</v>
      </c>
      <c r="AF11" s="92">
        <v>994</v>
      </c>
      <c r="AG11" s="92">
        <v>29</v>
      </c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2"/>
    </row>
    <row r="12" spans="2:101" x14ac:dyDescent="0.25">
      <c r="B12" s="90" t="s">
        <v>84</v>
      </c>
      <c r="C12" s="91">
        <v>0</v>
      </c>
      <c r="D12" s="92"/>
      <c r="E12" s="91">
        <v>0</v>
      </c>
      <c r="F12" s="91">
        <v>113362.90000000002</v>
      </c>
      <c r="G12" s="91">
        <v>471710.28749999986</v>
      </c>
      <c r="H12" s="92">
        <v>274</v>
      </c>
      <c r="I12" s="92">
        <v>327</v>
      </c>
      <c r="J12" s="92">
        <v>2088.5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>
        <v>64</v>
      </c>
      <c r="AB12" s="92"/>
      <c r="AC12" s="92">
        <v>0</v>
      </c>
      <c r="AD12" s="92">
        <v>4.083333333333333</v>
      </c>
      <c r="AE12" s="92">
        <v>1120</v>
      </c>
      <c r="AF12" s="92">
        <v>0</v>
      </c>
      <c r="AG12" s="92">
        <v>442</v>
      </c>
      <c r="AH12" s="92"/>
      <c r="AI12" s="92"/>
      <c r="AJ12" s="92"/>
      <c r="AK12" s="92"/>
      <c r="AL12" s="92">
        <v>17092.900000000001</v>
      </c>
      <c r="AM12" s="92">
        <v>17092.900000000001</v>
      </c>
      <c r="AN12" s="92">
        <v>56374</v>
      </c>
      <c r="AO12" s="92">
        <v>56374</v>
      </c>
      <c r="AP12" s="92"/>
      <c r="AQ12" s="92"/>
      <c r="AR12" s="92"/>
      <c r="AS12" s="92"/>
      <c r="AT12" s="92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2"/>
    </row>
    <row r="13" spans="2:101" x14ac:dyDescent="0.25">
      <c r="B13" s="90" t="s">
        <v>85</v>
      </c>
      <c r="C13" s="91">
        <v>0</v>
      </c>
      <c r="D13" s="92"/>
      <c r="E13" s="91">
        <v>0</v>
      </c>
      <c r="F13" s="91">
        <v>80834.66</v>
      </c>
      <c r="G13" s="91">
        <v>356166.06199999992</v>
      </c>
      <c r="H13" s="92">
        <v>234</v>
      </c>
      <c r="I13" s="92">
        <v>285</v>
      </c>
      <c r="J13" s="92">
        <v>1508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>
        <v>0</v>
      </c>
      <c r="AD13" s="92">
        <v>0.25</v>
      </c>
      <c r="AE13" s="92">
        <v>1178</v>
      </c>
      <c r="AF13" s="92">
        <v>0</v>
      </c>
      <c r="AG13" s="92">
        <v>0</v>
      </c>
      <c r="AH13" s="92"/>
      <c r="AI13" s="92"/>
      <c r="AJ13" s="92"/>
      <c r="AK13" s="92"/>
      <c r="AL13" s="92"/>
      <c r="AM13" s="92"/>
      <c r="AN13" s="92">
        <v>38777.199999999997</v>
      </c>
      <c r="AO13" s="92">
        <v>38777.199999999997</v>
      </c>
      <c r="AP13" s="92"/>
      <c r="AQ13" s="92"/>
      <c r="AR13" s="92"/>
      <c r="AS13" s="92"/>
      <c r="AT13" s="92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2"/>
    </row>
    <row r="14" spans="2:101" x14ac:dyDescent="0.25">
      <c r="B14" s="90" t="s">
        <v>86</v>
      </c>
      <c r="C14" s="91">
        <v>0</v>
      </c>
      <c r="D14" s="92"/>
      <c r="E14" s="91">
        <v>0</v>
      </c>
      <c r="F14" s="91">
        <v>42922.500000000007</v>
      </c>
      <c r="G14" s="91">
        <v>204608.37650000001</v>
      </c>
      <c r="H14" s="92">
        <v>103</v>
      </c>
      <c r="I14" s="92">
        <v>40</v>
      </c>
      <c r="J14" s="92">
        <v>949.5</v>
      </c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>
        <v>0</v>
      </c>
      <c r="AD14" s="92">
        <v>256.4791666667</v>
      </c>
      <c r="AE14" s="92">
        <v>0</v>
      </c>
      <c r="AF14" s="92">
        <v>0</v>
      </c>
      <c r="AG14" s="92">
        <v>0</v>
      </c>
      <c r="AH14" s="92"/>
      <c r="AI14" s="92"/>
      <c r="AJ14" s="92"/>
      <c r="AK14" s="92"/>
      <c r="AL14" s="92">
        <v>14478.1</v>
      </c>
      <c r="AM14" s="92">
        <v>14478.1</v>
      </c>
      <c r="AN14" s="92"/>
      <c r="AO14" s="92"/>
      <c r="AP14" s="92"/>
      <c r="AQ14" s="92"/>
      <c r="AR14" s="92"/>
      <c r="AS14" s="92"/>
      <c r="AT14" s="92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2"/>
    </row>
    <row r="15" spans="2:101" ht="14.25" customHeight="1" x14ac:dyDescent="0.25">
      <c r="B15" s="90" t="s">
        <v>87</v>
      </c>
      <c r="C15" s="91">
        <v>0</v>
      </c>
      <c r="D15" s="92"/>
      <c r="E15" s="91">
        <v>917.63</v>
      </c>
      <c r="F15" s="91">
        <v>108205.8</v>
      </c>
      <c r="G15" s="91">
        <v>199622.095</v>
      </c>
      <c r="H15" s="92">
        <v>24</v>
      </c>
      <c r="I15" s="92">
        <v>29</v>
      </c>
      <c r="J15" s="92">
        <v>467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v>256</v>
      </c>
      <c r="AB15" s="92"/>
      <c r="AC15" s="92">
        <v>0</v>
      </c>
      <c r="AD15" s="92">
        <v>0</v>
      </c>
      <c r="AE15" s="92">
        <v>5</v>
      </c>
      <c r="AF15" s="92">
        <v>539</v>
      </c>
      <c r="AG15" s="92">
        <v>45</v>
      </c>
      <c r="AH15" s="92"/>
      <c r="AI15" s="92"/>
      <c r="AJ15" s="92"/>
      <c r="AK15" s="92"/>
      <c r="AL15" s="92">
        <v>39800.199999999997</v>
      </c>
      <c r="AM15" s="92">
        <v>39800.199999999997</v>
      </c>
      <c r="AN15" s="92">
        <v>87611.35</v>
      </c>
      <c r="AO15" s="92">
        <v>87611.35</v>
      </c>
      <c r="AP15" s="92"/>
      <c r="AQ15" s="92"/>
      <c r="AR15" s="92"/>
      <c r="AS15" s="92"/>
      <c r="AT15" s="92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2"/>
    </row>
    <row r="16" spans="2:101" x14ac:dyDescent="0.25">
      <c r="B16" s="90" t="s">
        <v>88</v>
      </c>
      <c r="C16" s="91">
        <v>6247.4299999999994</v>
      </c>
      <c r="D16" s="92"/>
      <c r="E16" s="91">
        <v>2706.07</v>
      </c>
      <c r="F16" s="91">
        <v>71790.799999999901</v>
      </c>
      <c r="G16" s="91">
        <v>46154.470000000008</v>
      </c>
      <c r="H16" s="92">
        <v>36</v>
      </c>
      <c r="I16" s="92">
        <v>27</v>
      </c>
      <c r="J16" s="92">
        <v>1007.5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>
        <v>0</v>
      </c>
      <c r="AD16" s="92">
        <v>0</v>
      </c>
      <c r="AE16" s="92">
        <v>30</v>
      </c>
      <c r="AF16" s="92">
        <v>211</v>
      </c>
      <c r="AG16" s="92">
        <v>104</v>
      </c>
      <c r="AH16" s="92"/>
      <c r="AI16" s="92"/>
      <c r="AJ16" s="92"/>
      <c r="AK16" s="92"/>
      <c r="AL16" s="92"/>
      <c r="AM16" s="92"/>
      <c r="AN16" s="92">
        <v>6128.4</v>
      </c>
      <c r="AO16" s="92">
        <v>6128.4</v>
      </c>
      <c r="AP16" s="92"/>
      <c r="AQ16" s="92"/>
      <c r="AR16" s="92"/>
      <c r="AS16" s="92"/>
      <c r="AT16" s="92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2"/>
    </row>
    <row r="17" spans="2:101" x14ac:dyDescent="0.25">
      <c r="B17" s="90" t="s">
        <v>101</v>
      </c>
      <c r="C17" s="91">
        <v>0</v>
      </c>
      <c r="D17" s="92"/>
      <c r="E17" s="91">
        <v>0</v>
      </c>
      <c r="F17" s="91">
        <v>38032.700000000004</v>
      </c>
      <c r="G17" s="91">
        <v>197961.44999999998</v>
      </c>
      <c r="H17" s="92">
        <v>52</v>
      </c>
      <c r="I17" s="92">
        <v>47</v>
      </c>
      <c r="J17" s="92">
        <v>875.5</v>
      </c>
      <c r="K17" s="92"/>
      <c r="L17" s="92"/>
      <c r="M17" s="92">
        <v>42395</v>
      </c>
      <c r="N17" s="92"/>
      <c r="O17" s="92"/>
      <c r="P17" s="92"/>
      <c r="Q17" s="92">
        <v>5</v>
      </c>
      <c r="R17" s="92"/>
      <c r="S17" s="92"/>
      <c r="T17" s="92"/>
      <c r="U17" s="92"/>
      <c r="V17" s="92"/>
      <c r="W17" s="92"/>
      <c r="X17" s="92"/>
      <c r="Y17" s="92"/>
      <c r="Z17" s="92"/>
      <c r="AA17" s="92">
        <v>912</v>
      </c>
      <c r="AB17" s="92"/>
      <c r="AC17" s="92">
        <v>0</v>
      </c>
      <c r="AD17" s="92">
        <v>38.833333333333336</v>
      </c>
      <c r="AE17" s="92">
        <v>115</v>
      </c>
      <c r="AF17" s="92">
        <v>225</v>
      </c>
      <c r="AG17" s="92">
        <v>16</v>
      </c>
      <c r="AH17" s="92">
        <v>0</v>
      </c>
      <c r="AI17" s="92">
        <v>21</v>
      </c>
      <c r="AJ17" s="92">
        <v>30</v>
      </c>
      <c r="AK17" s="92">
        <v>9</v>
      </c>
      <c r="AL17" s="92">
        <v>3515.2</v>
      </c>
      <c r="AM17" s="92">
        <v>3515.2</v>
      </c>
      <c r="AN17" s="92"/>
      <c r="AO17" s="92"/>
      <c r="AP17" s="92"/>
      <c r="AQ17" s="92"/>
      <c r="AR17" s="92"/>
      <c r="AS17" s="92"/>
      <c r="AT17" s="92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2"/>
    </row>
    <row r="18" spans="2:101" x14ac:dyDescent="0.25">
      <c r="B18" s="95" t="s">
        <v>89</v>
      </c>
      <c r="C18" s="91">
        <v>0</v>
      </c>
      <c r="D18" s="92"/>
      <c r="E18" s="91">
        <v>0</v>
      </c>
      <c r="F18" s="91">
        <v>52909.549999999988</v>
      </c>
      <c r="G18" s="91">
        <v>604886.05750000011</v>
      </c>
      <c r="H18" s="92">
        <v>109</v>
      </c>
      <c r="I18" s="92">
        <v>90</v>
      </c>
      <c r="J18" s="92">
        <v>784.5</v>
      </c>
      <c r="K18" s="92"/>
      <c r="L18" s="92"/>
      <c r="M18" s="92">
        <v>17015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896</v>
      </c>
      <c r="AB18" s="92"/>
      <c r="AC18" s="92">
        <v>0.125</v>
      </c>
      <c r="AD18" s="92">
        <v>203.79166666666666</v>
      </c>
      <c r="AE18" s="92">
        <v>827</v>
      </c>
      <c r="AF18" s="92">
        <v>91</v>
      </c>
      <c r="AG18" s="92">
        <v>6</v>
      </c>
      <c r="AH18" s="92">
        <v>0</v>
      </c>
      <c r="AI18" s="92">
        <v>77</v>
      </c>
      <c r="AJ18" s="92">
        <v>17</v>
      </c>
      <c r="AK18" s="92">
        <v>18</v>
      </c>
      <c r="AL18" s="92">
        <v>23349.599999999999</v>
      </c>
      <c r="AM18" s="92">
        <v>23349.599999999999</v>
      </c>
      <c r="AN18" s="92"/>
      <c r="AO18" s="92"/>
      <c r="AP18" s="92"/>
      <c r="AQ18" s="92"/>
      <c r="AR18" s="92"/>
      <c r="AS18" s="92"/>
      <c r="AT18" s="92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2"/>
    </row>
    <row r="19" spans="2:101" x14ac:dyDescent="0.25">
      <c r="B19" s="90" t="s">
        <v>110</v>
      </c>
      <c r="C19" s="91">
        <v>0</v>
      </c>
      <c r="D19" s="92"/>
      <c r="E19" s="91">
        <v>0</v>
      </c>
      <c r="F19" s="91">
        <v>235007.64000000004</v>
      </c>
      <c r="G19" s="91">
        <v>231253.98999999996</v>
      </c>
      <c r="H19" s="92">
        <v>86</v>
      </c>
      <c r="I19" s="92">
        <v>60</v>
      </c>
      <c r="J19" s="92">
        <v>1594.5</v>
      </c>
      <c r="K19" s="92"/>
      <c r="L19" s="92"/>
      <c r="M19" s="92">
        <v>14309</v>
      </c>
      <c r="N19" s="92"/>
      <c r="O19" s="92"/>
      <c r="P19" s="92"/>
      <c r="Q19" s="92"/>
      <c r="R19" s="92">
        <v>0</v>
      </c>
      <c r="S19" s="92">
        <v>0</v>
      </c>
      <c r="T19" s="92">
        <v>59.8</v>
      </c>
      <c r="U19" s="92"/>
      <c r="V19" s="92"/>
      <c r="W19" s="92"/>
      <c r="X19" s="92"/>
      <c r="Y19" s="92"/>
      <c r="Z19" s="92"/>
      <c r="AA19" s="92">
        <v>1792</v>
      </c>
      <c r="AB19" s="92"/>
      <c r="AC19" s="92">
        <v>0</v>
      </c>
      <c r="AD19" s="92">
        <v>0.125</v>
      </c>
      <c r="AE19" s="92">
        <v>199</v>
      </c>
      <c r="AF19" s="92">
        <v>570</v>
      </c>
      <c r="AG19" s="92">
        <v>28</v>
      </c>
      <c r="AH19" s="92">
        <v>0</v>
      </c>
      <c r="AI19" s="92">
        <v>117.9</v>
      </c>
      <c r="AJ19" s="92">
        <v>138</v>
      </c>
      <c r="AK19" s="92">
        <v>1</v>
      </c>
      <c r="AL19" s="92">
        <v>0</v>
      </c>
      <c r="AM19" s="92"/>
      <c r="AN19" s="92">
        <v>661.44</v>
      </c>
      <c r="AO19" s="92">
        <v>661.44</v>
      </c>
      <c r="AP19" s="92">
        <v>51</v>
      </c>
      <c r="AQ19" s="92">
        <v>109</v>
      </c>
      <c r="AR19" s="92">
        <v>3</v>
      </c>
      <c r="AS19" s="92">
        <v>31</v>
      </c>
      <c r="AT19" s="92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2"/>
    </row>
    <row r="20" spans="2:101" x14ac:dyDescent="0.25">
      <c r="B20" s="90" t="s">
        <v>111</v>
      </c>
      <c r="C20" s="91">
        <v>0</v>
      </c>
      <c r="D20" s="92"/>
      <c r="E20" s="91">
        <v>0</v>
      </c>
      <c r="F20" s="91">
        <v>54619.929999999978</v>
      </c>
      <c r="G20" s="91">
        <v>284900.72999999986</v>
      </c>
      <c r="H20" s="92">
        <v>58</v>
      </c>
      <c r="I20" s="92">
        <v>55</v>
      </c>
      <c r="J20" s="92">
        <v>886.5</v>
      </c>
      <c r="K20" s="92"/>
      <c r="L20" s="92"/>
      <c r="M20" s="92">
        <v>73133</v>
      </c>
      <c r="N20" s="92"/>
      <c r="O20" s="92">
        <v>10318.4</v>
      </c>
      <c r="P20" s="92">
        <v>4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>
        <v>612</v>
      </c>
      <c r="AB20" s="92"/>
      <c r="AC20" s="92">
        <v>0</v>
      </c>
      <c r="AD20" s="92">
        <v>49.041666666666664</v>
      </c>
      <c r="AE20" s="92">
        <v>535</v>
      </c>
      <c r="AF20" s="92">
        <v>274</v>
      </c>
      <c r="AG20" s="92">
        <v>1</v>
      </c>
      <c r="AH20" s="92">
        <v>15</v>
      </c>
      <c r="AI20" s="92">
        <v>134</v>
      </c>
      <c r="AJ20" s="92">
        <v>4</v>
      </c>
      <c r="AK20" s="92">
        <v>0</v>
      </c>
      <c r="AL20" s="92"/>
      <c r="AM20" s="92"/>
      <c r="AN20" s="92">
        <v>1760.6</v>
      </c>
      <c r="AO20" s="92">
        <v>768.4</v>
      </c>
      <c r="AP20" s="92"/>
      <c r="AQ20" s="92"/>
      <c r="AR20" s="92"/>
      <c r="AS20" s="92"/>
      <c r="AT20" s="92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2"/>
    </row>
    <row r="21" spans="2:101" x14ac:dyDescent="0.25">
      <c r="B21" s="90" t="s">
        <v>90</v>
      </c>
      <c r="C21" s="91">
        <v>0</v>
      </c>
      <c r="D21" s="92"/>
      <c r="E21" s="91">
        <v>0</v>
      </c>
      <c r="F21" s="91">
        <v>78811.740000000005</v>
      </c>
      <c r="G21" s="91">
        <v>237107.55999999991</v>
      </c>
      <c r="H21" s="92">
        <v>65</v>
      </c>
      <c r="I21" s="92">
        <v>65</v>
      </c>
      <c r="J21" s="92">
        <v>884</v>
      </c>
      <c r="K21" s="92"/>
      <c r="L21" s="92"/>
      <c r="M21" s="92">
        <v>65299</v>
      </c>
      <c r="N21" s="92"/>
      <c r="O21" s="92">
        <v>7738.8</v>
      </c>
      <c r="P21" s="92">
        <v>6</v>
      </c>
      <c r="Q21" s="92"/>
      <c r="R21" s="92">
        <v>0</v>
      </c>
      <c r="S21" s="92">
        <v>0</v>
      </c>
      <c r="T21" s="92">
        <v>6.25</v>
      </c>
      <c r="U21" s="92"/>
      <c r="V21" s="92"/>
      <c r="W21" s="92"/>
      <c r="X21" s="92"/>
      <c r="Y21" s="92"/>
      <c r="Z21" s="92"/>
      <c r="AA21" s="92">
        <v>1152</v>
      </c>
      <c r="AB21" s="92"/>
      <c r="AC21" s="92">
        <v>0</v>
      </c>
      <c r="AD21" s="92">
        <v>4.1666666666666664E-2</v>
      </c>
      <c r="AE21" s="92">
        <v>403</v>
      </c>
      <c r="AF21" s="92">
        <v>369</v>
      </c>
      <c r="AG21" s="92">
        <v>0</v>
      </c>
      <c r="AH21" s="92">
        <v>25</v>
      </c>
      <c r="AI21" s="92">
        <v>207.5</v>
      </c>
      <c r="AJ21" s="92">
        <v>2</v>
      </c>
      <c r="AK21" s="92">
        <v>2</v>
      </c>
      <c r="AL21" s="92">
        <v>2331</v>
      </c>
      <c r="AM21" s="92">
        <v>2331</v>
      </c>
      <c r="AN21" s="92">
        <v>1479.4</v>
      </c>
      <c r="AO21" s="92">
        <v>1479.4</v>
      </c>
      <c r="AP21" s="92"/>
      <c r="AQ21" s="92"/>
      <c r="AR21" s="92"/>
      <c r="AS21" s="92"/>
      <c r="AT21" s="92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2"/>
    </row>
    <row r="22" spans="2:101" x14ac:dyDescent="0.25">
      <c r="B22" s="96" t="s">
        <v>91</v>
      </c>
      <c r="C22" s="91">
        <v>0</v>
      </c>
      <c r="D22" s="97">
        <v>27625</v>
      </c>
      <c r="E22" s="91">
        <v>0</v>
      </c>
      <c r="F22" s="91">
        <v>65797.719999999987</v>
      </c>
      <c r="G22" s="91">
        <v>525215.05499999993</v>
      </c>
      <c r="H22" s="92">
        <v>172</v>
      </c>
      <c r="I22" s="92">
        <v>151</v>
      </c>
      <c r="J22" s="92">
        <v>756.5</v>
      </c>
      <c r="K22" s="92"/>
      <c r="L22" s="92"/>
      <c r="M22" s="92">
        <v>99746</v>
      </c>
      <c r="N22" s="92"/>
      <c r="O22" s="92"/>
      <c r="P22" s="92"/>
      <c r="Q22" s="92">
        <v>131</v>
      </c>
      <c r="R22" s="92">
        <v>0</v>
      </c>
      <c r="S22" s="92">
        <v>0</v>
      </c>
      <c r="T22" s="92">
        <v>100.5</v>
      </c>
      <c r="U22" s="92"/>
      <c r="V22" s="92"/>
      <c r="W22" s="92"/>
      <c r="X22" s="92"/>
      <c r="Y22" s="92"/>
      <c r="Z22" s="92"/>
      <c r="AA22" s="92">
        <v>384</v>
      </c>
      <c r="AB22" s="92">
        <v>104</v>
      </c>
      <c r="AC22" s="92">
        <v>0</v>
      </c>
      <c r="AD22" s="92">
        <v>4.1666666666666664E-2</v>
      </c>
      <c r="AE22" s="92">
        <v>253</v>
      </c>
      <c r="AF22" s="92">
        <v>615</v>
      </c>
      <c r="AG22" s="92">
        <v>14</v>
      </c>
      <c r="AH22" s="92">
        <v>0</v>
      </c>
      <c r="AI22" s="92">
        <v>220.85</v>
      </c>
      <c r="AJ22" s="92">
        <v>8.75</v>
      </c>
      <c r="AK22" s="92">
        <v>0</v>
      </c>
      <c r="AL22" s="92"/>
      <c r="AM22" s="92"/>
      <c r="AN22" s="92"/>
      <c r="AO22" s="92"/>
      <c r="AR22" s="92"/>
      <c r="AS22" s="92"/>
      <c r="AT22" s="92"/>
      <c r="AU22" s="83">
        <v>79</v>
      </c>
      <c r="AV22" s="83">
        <v>88</v>
      </c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2"/>
    </row>
    <row r="23" spans="2:101" x14ac:dyDescent="0.25">
      <c r="B23" s="90" t="s">
        <v>92</v>
      </c>
      <c r="C23" s="91">
        <v>0</v>
      </c>
      <c r="D23" s="92"/>
      <c r="E23" s="91">
        <v>0</v>
      </c>
      <c r="F23" s="91">
        <v>24230.629999999994</v>
      </c>
      <c r="G23" s="91">
        <v>150414.255</v>
      </c>
      <c r="H23" s="92">
        <v>18</v>
      </c>
      <c r="I23" s="92">
        <v>21</v>
      </c>
      <c r="J23" s="92">
        <v>335</v>
      </c>
      <c r="K23" s="92"/>
      <c r="L23" s="92"/>
      <c r="M23" s="92">
        <v>12595</v>
      </c>
      <c r="N23" s="92"/>
      <c r="O23" s="92"/>
      <c r="P23" s="92"/>
      <c r="Q23" s="92"/>
      <c r="R23" s="92">
        <v>0</v>
      </c>
      <c r="S23" s="92">
        <v>0</v>
      </c>
      <c r="T23" s="92">
        <v>2</v>
      </c>
      <c r="U23" s="92"/>
      <c r="V23" s="92"/>
      <c r="W23" s="92"/>
      <c r="X23" s="92"/>
      <c r="Y23" s="92"/>
      <c r="Z23" s="92"/>
      <c r="AA23" s="92">
        <v>448</v>
      </c>
      <c r="AB23" s="92"/>
      <c r="AC23" s="92">
        <v>0</v>
      </c>
      <c r="AD23" s="92">
        <v>0</v>
      </c>
      <c r="AE23" s="92">
        <v>26</v>
      </c>
      <c r="AF23" s="92">
        <v>515</v>
      </c>
      <c r="AG23" s="92">
        <v>0</v>
      </c>
      <c r="AH23" s="92">
        <v>0</v>
      </c>
      <c r="AI23" s="92">
        <v>20</v>
      </c>
      <c r="AJ23" s="92">
        <v>117</v>
      </c>
      <c r="AK23" s="92">
        <v>0</v>
      </c>
      <c r="AL23" s="92"/>
      <c r="AM23" s="92"/>
      <c r="AN23" s="92">
        <v>6506.5</v>
      </c>
      <c r="AO23" s="92">
        <v>3009.5</v>
      </c>
      <c r="AP23" s="92"/>
      <c r="AQ23" s="92"/>
      <c r="AR23" s="92"/>
      <c r="AS23" s="92"/>
      <c r="AT23" s="92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2"/>
    </row>
    <row r="24" spans="2:101" x14ac:dyDescent="0.25">
      <c r="B24" s="90" t="s">
        <v>93</v>
      </c>
      <c r="C24" s="91">
        <v>0</v>
      </c>
      <c r="D24" s="92"/>
      <c r="E24" s="91">
        <v>9.3800000000000008</v>
      </c>
      <c r="F24" s="91">
        <v>52640.2</v>
      </c>
      <c r="G24" s="91">
        <v>276409.39499999996</v>
      </c>
      <c r="H24" s="92">
        <v>111</v>
      </c>
      <c r="I24" s="92">
        <v>94</v>
      </c>
      <c r="J24" s="92">
        <v>1476</v>
      </c>
      <c r="K24" s="92"/>
      <c r="L24" s="92"/>
      <c r="M24" s="92">
        <v>1307</v>
      </c>
      <c r="N24" s="92"/>
      <c r="O24" s="92">
        <v>5691.7</v>
      </c>
      <c r="P24" s="92">
        <v>4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768</v>
      </c>
      <c r="AB24" s="92"/>
      <c r="AC24" s="92">
        <v>0</v>
      </c>
      <c r="AD24" s="92">
        <v>0</v>
      </c>
      <c r="AE24" s="92">
        <v>306</v>
      </c>
      <c r="AF24" s="92">
        <v>954</v>
      </c>
      <c r="AG24" s="92">
        <v>7</v>
      </c>
      <c r="AH24" s="92">
        <v>14</v>
      </c>
      <c r="AI24" s="92">
        <v>57</v>
      </c>
      <c r="AJ24" s="92">
        <v>42</v>
      </c>
      <c r="AK24" s="92">
        <v>3</v>
      </c>
      <c r="AL24" s="92"/>
      <c r="AM24" s="92"/>
      <c r="AN24" s="92">
        <v>139.19999999999999</v>
      </c>
      <c r="AO24" s="92">
        <v>139.19999999999999</v>
      </c>
      <c r="AP24" s="92"/>
      <c r="AQ24" s="92"/>
      <c r="AR24" s="92"/>
      <c r="AS24" s="92"/>
      <c r="AT24" s="92"/>
      <c r="AU24" s="93"/>
      <c r="AV24" s="93"/>
      <c r="AW24" s="92">
        <v>363.3</v>
      </c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2"/>
    </row>
    <row r="25" spans="2:101" x14ac:dyDescent="0.25">
      <c r="B25" s="90" t="s">
        <v>94</v>
      </c>
      <c r="C25" s="91">
        <v>0</v>
      </c>
      <c r="D25" s="92"/>
      <c r="E25" s="91">
        <v>0</v>
      </c>
      <c r="F25" s="91">
        <v>81</v>
      </c>
      <c r="G25" s="91">
        <v>320207.27999999997</v>
      </c>
      <c r="H25" s="92">
        <v>56</v>
      </c>
      <c r="I25" s="92"/>
      <c r="J25" s="92">
        <v>1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2560</v>
      </c>
      <c r="AB25" s="92"/>
      <c r="AC25" s="92">
        <v>0</v>
      </c>
      <c r="AD25" s="92">
        <v>144.375</v>
      </c>
      <c r="AE25" s="92">
        <v>3</v>
      </c>
      <c r="AF25" s="92">
        <v>2</v>
      </c>
      <c r="AG25" s="92">
        <v>0</v>
      </c>
      <c r="AH25" s="92"/>
      <c r="AI25" s="92"/>
      <c r="AJ25" s="92"/>
      <c r="AK25" s="92"/>
      <c r="AL25" s="92">
        <v>16394.400000000001</v>
      </c>
      <c r="AM25" s="92">
        <v>16394.400000000001</v>
      </c>
      <c r="AN25" s="92"/>
      <c r="AO25" s="92"/>
      <c r="AP25" s="92"/>
      <c r="AQ25" s="92"/>
      <c r="AR25" s="92"/>
      <c r="AS25" s="92"/>
      <c r="AT25" s="92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2"/>
    </row>
    <row r="26" spans="2:101" x14ac:dyDescent="0.25">
      <c r="B26" s="96" t="s">
        <v>104</v>
      </c>
      <c r="C26" s="91">
        <v>1.0900000000000001</v>
      </c>
      <c r="D26" s="92"/>
      <c r="E26" s="91">
        <v>0</v>
      </c>
      <c r="F26" s="91">
        <v>179387.07999999996</v>
      </c>
      <c r="G26" s="91">
        <v>136860.18799999994</v>
      </c>
      <c r="H26" s="92">
        <v>83</v>
      </c>
      <c r="I26" s="92">
        <v>69</v>
      </c>
      <c r="J26" s="92">
        <v>4046</v>
      </c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>
        <v>164</v>
      </c>
      <c r="AB26" s="92"/>
      <c r="AC26" s="92">
        <v>0</v>
      </c>
      <c r="AD26" s="92">
        <v>0</v>
      </c>
      <c r="AE26" s="92">
        <v>229</v>
      </c>
      <c r="AF26" s="92">
        <v>365</v>
      </c>
      <c r="AG26" s="92">
        <v>18</v>
      </c>
      <c r="AH26" s="92">
        <v>0</v>
      </c>
      <c r="AI26" s="92">
        <v>0</v>
      </c>
      <c r="AJ26" s="92">
        <v>1</v>
      </c>
      <c r="AK26" s="92">
        <v>1</v>
      </c>
      <c r="AL26" s="92"/>
      <c r="AM26" s="92"/>
      <c r="AN26" s="92"/>
      <c r="AO26" s="92"/>
      <c r="AP26" s="92">
        <v>50</v>
      </c>
      <c r="AQ26" s="92">
        <v>130</v>
      </c>
      <c r="AR26" s="92">
        <v>3</v>
      </c>
      <c r="AS26" s="92">
        <v>44</v>
      </c>
      <c r="AT26" s="92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2"/>
    </row>
    <row r="27" spans="2:101" x14ac:dyDescent="0.25">
      <c r="B27" s="98" t="s">
        <v>95</v>
      </c>
      <c r="C27" s="91">
        <v>1.2</v>
      </c>
      <c r="D27" s="92"/>
      <c r="E27" s="91">
        <v>0</v>
      </c>
      <c r="F27" s="91">
        <v>240683.15000000002</v>
      </c>
      <c r="G27" s="91">
        <v>256</v>
      </c>
      <c r="H27" s="92"/>
      <c r="I27" s="92"/>
      <c r="J27" s="92">
        <v>7.5</v>
      </c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>
        <v>256</v>
      </c>
      <c r="AB27" s="92"/>
      <c r="AC27" s="92">
        <v>0</v>
      </c>
      <c r="AD27" s="92">
        <v>0</v>
      </c>
      <c r="AE27" s="92"/>
      <c r="AF27" s="92"/>
      <c r="AG27" s="92"/>
      <c r="AH27" s="92">
        <v>0</v>
      </c>
      <c r="AI27" s="92">
        <v>0</v>
      </c>
      <c r="AJ27" s="92">
        <v>22</v>
      </c>
      <c r="AK27" s="92">
        <v>230</v>
      </c>
      <c r="AL27" s="92"/>
      <c r="AM27" s="92"/>
      <c r="AN27" s="92"/>
      <c r="AO27" s="92"/>
      <c r="AP27" s="92"/>
      <c r="AQ27" s="92"/>
      <c r="AR27" s="92"/>
      <c r="AS27" s="92"/>
      <c r="AT27" s="92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2"/>
    </row>
    <row r="28" spans="2:101" x14ac:dyDescent="0.25">
      <c r="B28" s="98" t="s">
        <v>100</v>
      </c>
      <c r="C28" s="91">
        <v>0</v>
      </c>
      <c r="D28" s="92"/>
      <c r="E28" s="91">
        <v>0</v>
      </c>
      <c r="F28" s="91">
        <v>37458.550000000003</v>
      </c>
      <c r="G28" s="91">
        <v>16985.64</v>
      </c>
      <c r="H28" s="92">
        <v>6</v>
      </c>
      <c r="I28" s="92">
        <v>6</v>
      </c>
      <c r="J28" s="92">
        <v>611</v>
      </c>
      <c r="K28" s="92"/>
      <c r="L28" s="92">
        <v>6460.2</v>
      </c>
      <c r="M28" s="92"/>
      <c r="N28" s="92"/>
      <c r="O28" s="92"/>
      <c r="P28" s="92"/>
      <c r="Q28" s="92">
        <v>3</v>
      </c>
      <c r="R28" s="92">
        <v>0</v>
      </c>
      <c r="S28" s="92">
        <v>0</v>
      </c>
      <c r="T28" s="92">
        <v>8.4</v>
      </c>
      <c r="U28" s="92"/>
      <c r="V28" s="92"/>
      <c r="W28" s="92"/>
      <c r="X28" s="92"/>
      <c r="Y28" s="92"/>
      <c r="Z28" s="92"/>
      <c r="AA28" s="92">
        <v>1472</v>
      </c>
      <c r="AB28" s="92"/>
      <c r="AC28" s="92">
        <v>0</v>
      </c>
      <c r="AD28" s="92">
        <v>0</v>
      </c>
      <c r="AE28" s="92"/>
      <c r="AF28" s="92">
        <v>12</v>
      </c>
      <c r="AG28" s="92">
        <v>0</v>
      </c>
      <c r="AH28" s="92">
        <v>0</v>
      </c>
      <c r="AI28" s="92">
        <v>18.7</v>
      </c>
      <c r="AJ28" s="92">
        <v>7</v>
      </c>
      <c r="AK28" s="92">
        <v>12</v>
      </c>
      <c r="AL28" s="92"/>
      <c r="AM28" s="92"/>
      <c r="AN28" s="92"/>
      <c r="AO28" s="92"/>
      <c r="AP28" s="92"/>
      <c r="AQ28" s="92"/>
      <c r="AR28" s="92"/>
      <c r="AS28" s="92"/>
      <c r="AT28" s="92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2"/>
    </row>
    <row r="29" spans="2:101" x14ac:dyDescent="0.25">
      <c r="B29" s="98" t="s">
        <v>105</v>
      </c>
      <c r="C29" s="91">
        <v>0</v>
      </c>
      <c r="D29" s="92"/>
      <c r="E29" s="91">
        <v>0</v>
      </c>
      <c r="F29" s="91">
        <v>126802.33499999998</v>
      </c>
      <c r="G29" s="91">
        <v>18319.599999999999</v>
      </c>
      <c r="H29" s="92"/>
      <c r="I29" s="92"/>
      <c r="J29" s="92">
        <v>2782</v>
      </c>
      <c r="K29" s="92"/>
      <c r="L29" s="92"/>
      <c r="M29" s="92">
        <v>12234</v>
      </c>
      <c r="N29" s="92"/>
      <c r="O29" s="92"/>
      <c r="P29" s="92"/>
      <c r="Q29" s="92"/>
      <c r="R29" s="92">
        <v>0</v>
      </c>
      <c r="S29" s="92">
        <v>0</v>
      </c>
      <c r="T29" s="92">
        <v>1</v>
      </c>
      <c r="U29" s="92"/>
      <c r="V29" s="92"/>
      <c r="W29" s="92"/>
      <c r="X29" s="92"/>
      <c r="Y29" s="92"/>
      <c r="Z29" s="92"/>
      <c r="AA29" s="92">
        <v>1472</v>
      </c>
      <c r="AB29" s="92"/>
      <c r="AC29" s="92">
        <v>0</v>
      </c>
      <c r="AD29" s="92">
        <v>0</v>
      </c>
      <c r="AE29" s="92"/>
      <c r="AF29" s="92"/>
      <c r="AG29" s="92"/>
      <c r="AH29" s="92">
        <v>0</v>
      </c>
      <c r="AI29" s="92">
        <v>15</v>
      </c>
      <c r="AJ29" s="92">
        <v>12</v>
      </c>
      <c r="AK29" s="92">
        <v>0</v>
      </c>
      <c r="AL29" s="92"/>
      <c r="AM29" s="92"/>
      <c r="AN29" s="92"/>
      <c r="AO29" s="92"/>
      <c r="AP29" s="92"/>
      <c r="AQ29" s="92"/>
      <c r="AR29" s="92"/>
      <c r="AS29" s="92"/>
      <c r="AT29" s="92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2"/>
    </row>
    <row r="30" spans="2:101" x14ac:dyDescent="0.25">
      <c r="B30" s="98" t="s">
        <v>103</v>
      </c>
      <c r="C30" s="91">
        <v>0</v>
      </c>
      <c r="D30" s="92"/>
      <c r="E30" s="91">
        <v>0</v>
      </c>
      <c r="F30" s="91">
        <v>28468.619999999995</v>
      </c>
      <c r="G30" s="91">
        <v>2785.1</v>
      </c>
      <c r="H30" s="92">
        <v>1</v>
      </c>
      <c r="I30" s="92"/>
      <c r="J30" s="92">
        <v>508.5</v>
      </c>
      <c r="K30" s="92"/>
      <c r="L30" s="92"/>
      <c r="M30" s="92">
        <v>694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>
        <v>640</v>
      </c>
      <c r="AB30" s="92"/>
      <c r="AC30" s="92">
        <v>0</v>
      </c>
      <c r="AD30" s="92">
        <v>0</v>
      </c>
      <c r="AE30" s="92"/>
      <c r="AF30" s="92"/>
      <c r="AG30" s="92"/>
      <c r="AH30" s="92">
        <v>34.5</v>
      </c>
      <c r="AI30" s="92">
        <v>71</v>
      </c>
      <c r="AJ30" s="92">
        <v>13</v>
      </c>
      <c r="AK30" s="92">
        <v>7.55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2"/>
    </row>
    <row r="31" spans="2:101" x14ac:dyDescent="0.25">
      <c r="B31" s="98" t="s">
        <v>102</v>
      </c>
      <c r="C31" s="91">
        <v>0</v>
      </c>
      <c r="D31" s="92"/>
      <c r="E31" s="91">
        <v>0</v>
      </c>
      <c r="F31" s="91">
        <v>53791.1</v>
      </c>
      <c r="G31" s="91">
        <v>229146.90499999997</v>
      </c>
      <c r="H31" s="92">
        <v>62</v>
      </c>
      <c r="I31" s="92">
        <v>60</v>
      </c>
      <c r="J31" s="92">
        <v>1228.5</v>
      </c>
      <c r="K31" s="92"/>
      <c r="L31" s="92"/>
      <c r="M31" s="92">
        <v>49413</v>
      </c>
      <c r="N31" s="92"/>
      <c r="O31" s="92"/>
      <c r="P31" s="92"/>
      <c r="Q31" s="92">
        <v>4</v>
      </c>
      <c r="R31" s="92"/>
      <c r="S31" s="92"/>
      <c r="T31" s="92"/>
      <c r="U31" s="92"/>
      <c r="V31" s="92"/>
      <c r="W31" s="92"/>
      <c r="X31" s="92"/>
      <c r="Y31" s="92"/>
      <c r="Z31" s="92"/>
      <c r="AA31" s="92">
        <v>1160</v>
      </c>
      <c r="AB31" s="92"/>
      <c r="AC31" s="92">
        <v>4.1666666666666664E-2</v>
      </c>
      <c r="AD31" s="92">
        <v>38.25</v>
      </c>
      <c r="AE31" s="92">
        <v>126</v>
      </c>
      <c r="AF31" s="92">
        <v>280</v>
      </c>
      <c r="AG31" s="92">
        <v>26</v>
      </c>
      <c r="AH31" s="92">
        <v>0</v>
      </c>
      <c r="AI31" s="92">
        <v>22</v>
      </c>
      <c r="AJ31" s="92">
        <v>31</v>
      </c>
      <c r="AK31" s="92">
        <v>44</v>
      </c>
      <c r="AL31" s="92">
        <v>4258.1000000000004</v>
      </c>
      <c r="AM31" s="92">
        <v>4258.1000000000004</v>
      </c>
      <c r="AN31" s="92">
        <v>860.6</v>
      </c>
      <c r="AO31" s="92">
        <v>860.6</v>
      </c>
      <c r="AP31" s="92"/>
      <c r="AQ31" s="92"/>
      <c r="AR31" s="92"/>
      <c r="AS31" s="92"/>
      <c r="AT31" s="92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2"/>
    </row>
    <row r="32" spans="2:101" x14ac:dyDescent="0.25">
      <c r="B32" s="96" t="s">
        <v>112</v>
      </c>
      <c r="C32" s="91">
        <v>0</v>
      </c>
      <c r="D32" s="92"/>
      <c r="E32" s="91">
        <v>0</v>
      </c>
      <c r="F32" s="91">
        <v>247535.99000000008</v>
      </c>
      <c r="G32" s="91">
        <v>684.3</v>
      </c>
      <c r="H32" s="92">
        <v>36</v>
      </c>
      <c r="I32" s="92"/>
      <c r="J32" s="92">
        <v>4242</v>
      </c>
      <c r="K32" s="92"/>
      <c r="L32" s="92"/>
      <c r="M32" s="92"/>
      <c r="N32" s="92"/>
      <c r="O32" s="92"/>
      <c r="P32" s="92"/>
      <c r="Q32" s="92"/>
      <c r="R32" s="92">
        <v>0</v>
      </c>
      <c r="S32" s="92">
        <v>0</v>
      </c>
      <c r="T32" s="92">
        <v>55</v>
      </c>
      <c r="U32" s="92"/>
      <c r="V32" s="92"/>
      <c r="W32" s="92"/>
      <c r="X32" s="92"/>
      <c r="Y32" s="92"/>
      <c r="Z32" s="92"/>
      <c r="AA32" s="92">
        <v>328</v>
      </c>
      <c r="AB32" s="92"/>
      <c r="AC32" s="92"/>
      <c r="AD32" s="92"/>
      <c r="AE32" s="92"/>
      <c r="AF32" s="92"/>
      <c r="AG32" s="92"/>
      <c r="AH32" s="92">
        <v>32.409999999999997</v>
      </c>
      <c r="AI32" s="92">
        <v>48.899999999999991</v>
      </c>
      <c r="AJ32" s="92">
        <v>3</v>
      </c>
      <c r="AK32" s="92">
        <v>7</v>
      </c>
      <c r="AL32" s="92"/>
      <c r="AM32" s="92"/>
      <c r="AN32" s="92"/>
      <c r="AO32" s="92"/>
      <c r="AP32" s="92"/>
      <c r="AQ32" s="92"/>
      <c r="AR32" s="92"/>
      <c r="AS32" s="92"/>
      <c r="AT32" s="92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2"/>
    </row>
    <row r="33" spans="2:101" x14ac:dyDescent="0.25">
      <c r="B33" s="98" t="s">
        <v>621</v>
      </c>
      <c r="C33" s="91">
        <v>0</v>
      </c>
      <c r="D33" s="92"/>
      <c r="E33" s="91">
        <v>0</v>
      </c>
      <c r="F33" s="91">
        <v>34699.770000000004</v>
      </c>
      <c r="G33" s="91">
        <v>0</v>
      </c>
      <c r="H33" s="92"/>
      <c r="I33" s="92"/>
      <c r="J33" s="92">
        <v>230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>
        <v>2691.2</v>
      </c>
      <c r="AO33" s="92">
        <v>2691.2</v>
      </c>
      <c r="AP33" s="92"/>
      <c r="AQ33" s="92"/>
      <c r="AR33" s="92"/>
      <c r="AS33" s="92"/>
      <c r="AT33" s="92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2"/>
    </row>
    <row r="34" spans="2:101" x14ac:dyDescent="0.25">
      <c r="B34" s="98" t="s">
        <v>622</v>
      </c>
      <c r="C34" s="91">
        <v>8.39</v>
      </c>
      <c r="D34" s="92"/>
      <c r="E34" s="91">
        <v>0</v>
      </c>
      <c r="F34" s="91">
        <v>32079.73000000001</v>
      </c>
      <c r="G34" s="91">
        <v>0</v>
      </c>
      <c r="H34" s="92">
        <v>22</v>
      </c>
      <c r="I34" s="92"/>
      <c r="J34" s="92">
        <v>1417.5</v>
      </c>
      <c r="K34" s="92"/>
      <c r="L34" s="92"/>
      <c r="M34" s="92"/>
      <c r="N34" s="92"/>
      <c r="O34" s="92"/>
      <c r="P34" s="92"/>
      <c r="Q34" s="92"/>
      <c r="R34" s="92">
        <v>0</v>
      </c>
      <c r="S34" s="92">
        <v>0</v>
      </c>
      <c r="T34" s="92">
        <v>6.4399999999999995</v>
      </c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2"/>
    </row>
    <row r="35" spans="2:101" x14ac:dyDescent="0.25">
      <c r="B35" s="98" t="s">
        <v>623</v>
      </c>
      <c r="C35" s="91">
        <v>5978.0000000000009</v>
      </c>
      <c r="D35" s="92"/>
      <c r="E35" s="91">
        <v>0</v>
      </c>
      <c r="F35" s="91">
        <v>68240.02000000012</v>
      </c>
      <c r="G35" s="91">
        <v>0</v>
      </c>
      <c r="H35" s="92">
        <v>7</v>
      </c>
      <c r="I35" s="92"/>
      <c r="J35" s="92">
        <v>11106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2"/>
    </row>
    <row r="36" spans="2:101" x14ac:dyDescent="0.25">
      <c r="B36" s="98" t="s">
        <v>113</v>
      </c>
      <c r="C36" s="91">
        <v>131.1</v>
      </c>
      <c r="D36" s="92"/>
      <c r="E36" s="91">
        <v>0</v>
      </c>
      <c r="F36" s="91">
        <v>21507.200000000004</v>
      </c>
      <c r="G36" s="91">
        <v>3296.5</v>
      </c>
      <c r="H36" s="92"/>
      <c r="I36" s="92"/>
      <c r="J36" s="92">
        <v>1697.5</v>
      </c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>
        <v>320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2"/>
    </row>
    <row r="37" spans="2:101" x14ac:dyDescent="0.25">
      <c r="B37" s="98" t="s">
        <v>114</v>
      </c>
      <c r="C37" s="91"/>
      <c r="D37" s="92"/>
      <c r="E37" s="91">
        <v>0</v>
      </c>
      <c r="F37" s="91">
        <v>0</v>
      </c>
      <c r="G37" s="91">
        <v>-1255.42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17">
        <v>4554</v>
      </c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2"/>
    </row>
    <row r="38" spans="2:101" x14ac:dyDescent="0.25">
      <c r="B38" s="98" t="s">
        <v>115</v>
      </c>
      <c r="C38" s="91">
        <v>0</v>
      </c>
      <c r="D38" s="92"/>
      <c r="E38" s="91">
        <v>0</v>
      </c>
      <c r="F38" s="91">
        <v>941.1099999999999</v>
      </c>
      <c r="G38" s="91">
        <v>378.4</v>
      </c>
      <c r="H38" s="92"/>
      <c r="I38" s="92"/>
      <c r="J38" s="92">
        <v>7.5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2"/>
    </row>
    <row r="39" spans="2:101" x14ac:dyDescent="0.25">
      <c r="B39" s="99" t="s">
        <v>116</v>
      </c>
      <c r="C39" s="91"/>
      <c r="D39" s="92"/>
      <c r="E39" s="91">
        <v>0</v>
      </c>
      <c r="F39" s="91">
        <v>37302.585500000001</v>
      </c>
      <c r="G39" s="91">
        <v>0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>
        <v>95</v>
      </c>
      <c r="X39" s="92">
        <v>57</v>
      </c>
      <c r="Y39" s="92"/>
      <c r="Z39" s="92"/>
      <c r="AA39" s="92"/>
      <c r="AB39" s="92"/>
      <c r="AC39" s="92"/>
      <c r="AD39" s="92"/>
      <c r="AE39" s="92"/>
      <c r="AF39" s="92"/>
      <c r="AG39" s="92"/>
      <c r="AH39" s="92">
        <v>89</v>
      </c>
      <c r="AI39" s="92">
        <v>50</v>
      </c>
      <c r="AJ39" s="92">
        <v>4</v>
      </c>
      <c r="AK39" s="92">
        <v>0</v>
      </c>
      <c r="AL39" s="92"/>
      <c r="AM39" s="92"/>
      <c r="AN39" s="92"/>
      <c r="AO39" s="92"/>
      <c r="AP39" s="92"/>
      <c r="AQ39" s="92"/>
      <c r="AR39" s="92"/>
      <c r="AS39" s="92"/>
      <c r="AT39" s="92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2"/>
    </row>
    <row r="40" spans="2:101" x14ac:dyDescent="0.25">
      <c r="B40" s="90" t="s">
        <v>117</v>
      </c>
      <c r="C40" s="91"/>
      <c r="D40" s="92"/>
      <c r="E40" s="91">
        <v>0</v>
      </c>
      <c r="F40" s="91">
        <v>0</v>
      </c>
      <c r="G40" s="91">
        <v>535611.93500000006</v>
      </c>
      <c r="H40" s="92"/>
      <c r="I40" s="92"/>
      <c r="J40" s="92">
        <v>9</v>
      </c>
      <c r="K40" s="92"/>
      <c r="L40" s="92"/>
      <c r="M40" s="92">
        <v>736312</v>
      </c>
      <c r="N40" s="92"/>
      <c r="O40" s="92"/>
      <c r="P40" s="92"/>
      <c r="Q40" s="92"/>
      <c r="R40" s="92">
        <v>113.41</v>
      </c>
      <c r="S40" s="92">
        <v>154</v>
      </c>
      <c r="T40" s="92">
        <v>27</v>
      </c>
      <c r="U40" s="92"/>
      <c r="V40" s="92"/>
      <c r="W40" s="92"/>
      <c r="X40" s="92"/>
      <c r="Y40" s="92">
        <v>16</v>
      </c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>
        <v>4489.2</v>
      </c>
      <c r="AP40" s="92"/>
      <c r="AQ40" s="92"/>
      <c r="AR40" s="92"/>
      <c r="AS40" s="92"/>
      <c r="AT40" s="92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2"/>
    </row>
    <row r="41" spans="2:101" x14ac:dyDescent="0.25">
      <c r="B41" s="90" t="s">
        <v>118</v>
      </c>
      <c r="C41" s="91"/>
      <c r="D41" s="92"/>
      <c r="E41" s="91">
        <v>0</v>
      </c>
      <c r="F41" s="91">
        <v>0</v>
      </c>
      <c r="G41" s="91">
        <v>1452300.5340000002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3"/>
      <c r="AV41" s="93"/>
      <c r="AW41" s="93"/>
      <c r="AX41" s="92">
        <v>6822</v>
      </c>
      <c r="AY41" s="92">
        <v>30127</v>
      </c>
      <c r="AZ41" s="92">
        <v>10285</v>
      </c>
      <c r="BA41" s="92">
        <v>122067</v>
      </c>
      <c r="BB41" s="92">
        <v>3657</v>
      </c>
      <c r="BC41" s="83">
        <v>827</v>
      </c>
      <c r="BD41" s="83">
        <v>6167</v>
      </c>
      <c r="BE41" s="92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2"/>
    </row>
    <row r="42" spans="2:101" x14ac:dyDescent="0.25">
      <c r="B42" s="100" t="s">
        <v>119</v>
      </c>
      <c r="C42" s="91"/>
      <c r="D42" s="92"/>
      <c r="E42" s="91">
        <v>0</v>
      </c>
      <c r="F42" s="91">
        <v>0</v>
      </c>
      <c r="G42" s="91">
        <v>191523.25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E42" s="92"/>
      <c r="AF42" s="92"/>
      <c r="AG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2">
        <v>3590</v>
      </c>
      <c r="BF42" s="92">
        <v>25</v>
      </c>
      <c r="BG42" s="92"/>
      <c r="BH42" s="92"/>
      <c r="BI42" s="92"/>
      <c r="BJ42" s="92"/>
      <c r="BK42" s="92"/>
      <c r="BL42" s="92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2"/>
    </row>
    <row r="43" spans="2:101" x14ac:dyDescent="0.25">
      <c r="B43" s="100" t="s">
        <v>120</v>
      </c>
      <c r="C43" s="91"/>
      <c r="D43" s="92"/>
      <c r="E43" s="91">
        <v>0</v>
      </c>
      <c r="F43" s="91">
        <v>0</v>
      </c>
      <c r="G43" s="91">
        <v>1033658.9100000001</v>
      </c>
      <c r="H43" s="92"/>
      <c r="I43" s="92"/>
      <c r="J43" s="92"/>
      <c r="K43" s="92"/>
      <c r="L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G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83"/>
      <c r="BF43" s="83"/>
      <c r="BG43" s="92">
        <v>3747</v>
      </c>
      <c r="BH43" s="92">
        <v>86</v>
      </c>
      <c r="BI43" s="92">
        <v>60.400000000000034</v>
      </c>
      <c r="BJ43" s="92">
        <v>91</v>
      </c>
      <c r="BK43" s="92"/>
      <c r="BL43" s="92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2">
        <v>1058.3999999999983</v>
      </c>
    </row>
    <row r="44" spans="2:101" x14ac:dyDescent="0.25">
      <c r="B44" s="100" t="s">
        <v>121</v>
      </c>
      <c r="C44" s="91"/>
      <c r="D44" s="92"/>
      <c r="E44" s="91">
        <v>0</v>
      </c>
      <c r="F44" s="91">
        <v>0</v>
      </c>
      <c r="G44" s="91">
        <v>363317.25699999998</v>
      </c>
      <c r="H44" s="92"/>
      <c r="I44" s="92"/>
      <c r="J44" s="92"/>
      <c r="K44" s="92"/>
      <c r="L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E44" s="92"/>
      <c r="AF44" s="92"/>
      <c r="AG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83"/>
      <c r="BF44" s="83"/>
      <c r="BG44" s="92"/>
      <c r="BH44" s="92"/>
      <c r="BI44" s="92"/>
      <c r="BJ44" s="92"/>
      <c r="BK44" s="92">
        <v>1587</v>
      </c>
      <c r="BL44" s="92">
        <v>97</v>
      </c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2"/>
    </row>
    <row r="45" spans="2:101" x14ac:dyDescent="0.25">
      <c r="B45" s="100" t="s">
        <v>122</v>
      </c>
      <c r="C45" s="91"/>
      <c r="D45" s="92"/>
      <c r="E45" s="91">
        <v>0</v>
      </c>
      <c r="F45" s="91">
        <v>0</v>
      </c>
      <c r="G45" s="91">
        <v>147952.804</v>
      </c>
      <c r="H45" s="92"/>
      <c r="I45" s="92"/>
      <c r="J45" s="92"/>
      <c r="K45" s="92"/>
      <c r="L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83"/>
      <c r="BF45" s="83"/>
      <c r="BG45" s="83"/>
      <c r="BH45" s="83"/>
      <c r="BI45" s="83"/>
      <c r="BJ45" s="83"/>
      <c r="BK45" s="83"/>
      <c r="BL45" s="92"/>
      <c r="BM45" s="92">
        <v>3877</v>
      </c>
      <c r="BN45" s="92">
        <v>53</v>
      </c>
      <c r="BO45" s="92">
        <v>5</v>
      </c>
      <c r="BP45" s="92">
        <v>54</v>
      </c>
      <c r="BQ45" s="92">
        <v>112</v>
      </c>
      <c r="BR45" s="83">
        <v>0</v>
      </c>
      <c r="BS45" s="83">
        <v>338</v>
      </c>
      <c r="BT45" s="8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2"/>
    </row>
    <row r="46" spans="2:101" x14ac:dyDescent="0.25">
      <c r="B46" s="100" t="s">
        <v>123</v>
      </c>
      <c r="C46" s="91"/>
      <c r="D46" s="92"/>
      <c r="E46" s="91">
        <v>0</v>
      </c>
      <c r="F46" s="91">
        <v>0</v>
      </c>
      <c r="G46" s="91">
        <v>857270.30999999994</v>
      </c>
      <c r="H46" s="92"/>
      <c r="I46" s="92"/>
      <c r="J46" s="92"/>
      <c r="K46" s="92"/>
      <c r="L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83"/>
      <c r="BF46" s="83"/>
      <c r="BG46" s="83"/>
      <c r="BH46" s="83"/>
      <c r="BI46" s="83"/>
      <c r="BJ46" s="83"/>
      <c r="BK46" s="83"/>
      <c r="BL46" s="83"/>
      <c r="BT46" s="92">
        <v>64</v>
      </c>
      <c r="BU46" s="92">
        <v>5965</v>
      </c>
      <c r="BV46" s="92">
        <v>5107</v>
      </c>
      <c r="BW46" s="92">
        <v>1298</v>
      </c>
      <c r="BX46" s="92">
        <v>72</v>
      </c>
      <c r="BY46" s="83">
        <v>13</v>
      </c>
      <c r="BZ46" s="83">
        <v>43</v>
      </c>
      <c r="CA46" s="83">
        <v>27</v>
      </c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2">
        <v>1527.6</v>
      </c>
    </row>
    <row r="47" spans="2:101" x14ac:dyDescent="0.25">
      <c r="B47" s="100" t="s">
        <v>124</v>
      </c>
      <c r="C47" s="91"/>
      <c r="D47" s="92"/>
      <c r="E47" s="91">
        <v>0</v>
      </c>
      <c r="F47" s="91">
        <v>0</v>
      </c>
      <c r="G47" s="91">
        <v>19592.7</v>
      </c>
      <c r="H47" s="92"/>
      <c r="I47" s="92"/>
      <c r="J47" s="92"/>
      <c r="K47" s="92"/>
      <c r="L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83"/>
      <c r="BF47" s="83"/>
      <c r="BG47" s="83"/>
      <c r="BH47" s="83"/>
      <c r="BI47" s="83"/>
      <c r="BJ47" s="83"/>
      <c r="BK47" s="83"/>
      <c r="BL47" s="83"/>
      <c r="BT47" s="83"/>
      <c r="BU47" s="83"/>
      <c r="BV47" s="83"/>
      <c r="BW47" s="83"/>
      <c r="BX47" s="83"/>
      <c r="BY47" s="83"/>
      <c r="BZ47" s="83"/>
      <c r="CA47" s="92"/>
      <c r="CB47" s="92">
        <v>25</v>
      </c>
      <c r="CC47" s="92">
        <v>166</v>
      </c>
      <c r="CD47" s="92">
        <v>23</v>
      </c>
      <c r="CE47" s="92">
        <v>23</v>
      </c>
      <c r="CF47" s="92">
        <v>0</v>
      </c>
      <c r="CG47" s="83"/>
      <c r="CH47" s="8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2"/>
    </row>
    <row r="48" spans="2:101" x14ac:dyDescent="0.25">
      <c r="B48" s="100" t="s">
        <v>125</v>
      </c>
      <c r="C48" s="91"/>
      <c r="D48" s="92"/>
      <c r="E48" s="91">
        <v>0</v>
      </c>
      <c r="F48" s="91">
        <v>0</v>
      </c>
      <c r="G48" s="91">
        <v>175121.62</v>
      </c>
      <c r="H48" s="92"/>
      <c r="I48" s="92"/>
      <c r="J48" s="92"/>
      <c r="K48" s="92"/>
      <c r="L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83"/>
      <c r="BF48" s="83"/>
      <c r="BG48" s="83"/>
      <c r="BH48" s="83"/>
      <c r="BI48" s="83"/>
      <c r="BJ48" s="83"/>
      <c r="BK48" s="83"/>
      <c r="BL48" s="83"/>
      <c r="BT48" s="83"/>
      <c r="BU48" s="83"/>
      <c r="BV48" s="83"/>
      <c r="BW48" s="83"/>
      <c r="BX48" s="83"/>
      <c r="BY48" s="83"/>
      <c r="BZ48" s="83"/>
      <c r="CA48" s="92"/>
      <c r="CG48" s="92">
        <v>323</v>
      </c>
      <c r="CH48" s="92">
        <v>95</v>
      </c>
      <c r="CI48" s="92">
        <v>57</v>
      </c>
      <c r="CJ48" s="92">
        <v>335</v>
      </c>
      <c r="CK48" s="92">
        <v>279</v>
      </c>
      <c r="CL48" s="83">
        <v>46</v>
      </c>
      <c r="CM48" s="83">
        <v>0</v>
      </c>
      <c r="CN48" s="93"/>
      <c r="CO48" s="93"/>
      <c r="CP48" s="93"/>
      <c r="CQ48" s="93"/>
      <c r="CR48" s="93"/>
      <c r="CS48" s="93"/>
      <c r="CT48" s="93"/>
      <c r="CU48" s="93"/>
      <c r="CV48" s="93"/>
      <c r="CW48" s="92">
        <v>19466.3</v>
      </c>
    </row>
    <row r="49" spans="2:101" x14ac:dyDescent="0.25">
      <c r="B49" s="90" t="s">
        <v>126</v>
      </c>
      <c r="C49" s="91"/>
      <c r="D49" s="92"/>
      <c r="E49" s="91">
        <v>0</v>
      </c>
      <c r="F49" s="91">
        <v>0</v>
      </c>
      <c r="G49" s="91">
        <v>172802.95749999999</v>
      </c>
      <c r="H49" s="92"/>
      <c r="I49" s="92"/>
      <c r="J49" s="92"/>
      <c r="K49" s="92"/>
      <c r="L49" s="92"/>
      <c r="M49" s="92"/>
      <c r="N49" s="92"/>
      <c r="O49" s="92">
        <v>176595.55</v>
      </c>
      <c r="P49" s="92">
        <v>84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83"/>
      <c r="BF49" s="83"/>
      <c r="BG49" s="83"/>
      <c r="BH49" s="83"/>
      <c r="BI49" s="83"/>
      <c r="BJ49" s="83"/>
      <c r="BK49" s="83"/>
      <c r="BL49" s="83"/>
      <c r="BT49" s="83"/>
      <c r="BU49" s="83"/>
      <c r="BV49" s="83"/>
      <c r="BW49" s="83"/>
      <c r="BX49" s="83"/>
      <c r="BY49" s="83"/>
      <c r="BZ49" s="83"/>
      <c r="CA49" s="92"/>
      <c r="CG49" s="92"/>
      <c r="CH49" s="92"/>
      <c r="CI49" s="92"/>
      <c r="CJ49" s="92"/>
      <c r="CK49" s="92"/>
      <c r="CL49" s="83"/>
      <c r="CM49" s="83"/>
      <c r="CN49" s="92"/>
      <c r="CO49" s="92"/>
      <c r="CP49" s="92"/>
      <c r="CQ49" s="92"/>
      <c r="CR49" s="92"/>
      <c r="CS49" s="92"/>
      <c r="CT49" s="92"/>
      <c r="CU49" s="93"/>
      <c r="CV49" s="93"/>
      <c r="CW49" s="92"/>
    </row>
    <row r="50" spans="2:101" x14ac:dyDescent="0.25">
      <c r="B50" s="96" t="s">
        <v>127</v>
      </c>
      <c r="C50" s="91"/>
      <c r="D50" s="92"/>
      <c r="E50" s="91">
        <v>0</v>
      </c>
      <c r="F50" s="91">
        <v>0</v>
      </c>
      <c r="G50" s="91">
        <v>-1522.925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83"/>
      <c r="BF50" s="83"/>
      <c r="BG50" s="83"/>
      <c r="BH50" s="83"/>
      <c r="BI50" s="83"/>
      <c r="BJ50" s="83"/>
      <c r="BK50" s="83"/>
      <c r="BL50" s="83"/>
      <c r="BT50" s="83"/>
      <c r="BU50" s="83"/>
      <c r="BV50" s="83"/>
      <c r="BW50" s="83"/>
      <c r="BX50" s="83"/>
      <c r="BY50" s="83"/>
      <c r="BZ50" s="83"/>
      <c r="CA50" s="92"/>
      <c r="CG50" s="92"/>
      <c r="CH50" s="92"/>
      <c r="CI50" s="92"/>
      <c r="CJ50" s="92"/>
      <c r="CK50" s="92"/>
      <c r="CL50" s="83"/>
      <c r="CM50" s="83"/>
      <c r="CN50" s="92"/>
      <c r="CO50" s="92"/>
      <c r="CP50" s="92"/>
      <c r="CQ50" s="92"/>
      <c r="CR50" s="92"/>
      <c r="CS50" s="92"/>
      <c r="CT50" s="92"/>
      <c r="CU50" s="93"/>
      <c r="CV50" s="93"/>
      <c r="CW50" s="92"/>
    </row>
    <row r="51" spans="2:101" x14ac:dyDescent="0.25">
      <c r="B51" s="90" t="s">
        <v>128</v>
      </c>
      <c r="C51" s="91"/>
      <c r="D51" s="92"/>
      <c r="E51" s="91">
        <v>0</v>
      </c>
      <c r="F51" s="91">
        <v>0</v>
      </c>
      <c r="G51" s="91">
        <v>-20777.644999999997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83"/>
      <c r="BF51" s="83"/>
      <c r="BG51" s="83"/>
      <c r="BH51" s="83"/>
      <c r="BI51" s="83"/>
      <c r="BJ51" s="83"/>
      <c r="BK51" s="83"/>
      <c r="BL51" s="83"/>
      <c r="BT51" s="83"/>
      <c r="BU51" s="83"/>
      <c r="BV51" s="83"/>
      <c r="BW51" s="83"/>
      <c r="BX51" s="83"/>
      <c r="BY51" s="83"/>
      <c r="BZ51" s="83"/>
      <c r="CA51" s="92"/>
      <c r="CL51" s="83"/>
      <c r="CM51" s="83"/>
      <c r="CN51" s="92">
        <v>49</v>
      </c>
      <c r="CO51" s="92">
        <v>176</v>
      </c>
      <c r="CP51" s="92">
        <v>80</v>
      </c>
      <c r="CQ51" s="92"/>
      <c r="CR51" s="92">
        <v>60</v>
      </c>
      <c r="CS51" s="92"/>
      <c r="CT51" s="92"/>
      <c r="CU51" s="93"/>
      <c r="CV51" s="93"/>
      <c r="CW51" s="92"/>
    </row>
    <row r="52" spans="2:101" x14ac:dyDescent="0.25">
      <c r="B52" s="90" t="s">
        <v>129</v>
      </c>
      <c r="C52" s="91"/>
      <c r="D52" s="92"/>
      <c r="E52" s="91">
        <v>0</v>
      </c>
      <c r="F52" s="91">
        <v>0</v>
      </c>
      <c r="G52" s="91">
        <v>-24743.395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83"/>
      <c r="BF52" s="83"/>
      <c r="BG52" s="83"/>
      <c r="BH52" s="83"/>
      <c r="BI52" s="83"/>
      <c r="BJ52" s="83"/>
      <c r="BK52" s="83"/>
      <c r="BL52" s="83"/>
      <c r="BT52" s="83"/>
      <c r="BU52" s="83"/>
      <c r="BV52" s="83"/>
      <c r="BW52" s="83"/>
      <c r="BX52" s="83"/>
      <c r="BY52" s="83"/>
      <c r="BZ52" s="83"/>
      <c r="CA52" s="92"/>
      <c r="CL52" s="83"/>
      <c r="CM52" s="83"/>
      <c r="CN52" s="92"/>
      <c r="CO52" s="92"/>
      <c r="CP52" s="92"/>
      <c r="CQ52" s="92"/>
      <c r="CR52" s="92"/>
      <c r="CS52" s="92"/>
      <c r="CT52" s="92"/>
      <c r="CU52" s="93"/>
      <c r="CV52" s="93"/>
      <c r="CW52" s="92"/>
    </row>
    <row r="53" spans="2:101" x14ac:dyDescent="0.25">
      <c r="B53" s="90" t="s">
        <v>130</v>
      </c>
      <c r="C53" s="91"/>
      <c r="D53" s="92"/>
      <c r="E53" s="91">
        <v>0</v>
      </c>
      <c r="F53" s="91">
        <v>0</v>
      </c>
      <c r="G53" s="91">
        <v>-166072.08499999999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83"/>
      <c r="BF53" s="83"/>
      <c r="BG53" s="83"/>
      <c r="BH53" s="83"/>
      <c r="BI53" s="83"/>
      <c r="BJ53" s="83"/>
      <c r="BK53" s="83"/>
      <c r="BL53" s="83"/>
      <c r="BT53" s="83"/>
      <c r="BU53" s="83"/>
      <c r="BV53" s="92"/>
      <c r="BW53" s="92"/>
      <c r="BX53" s="92"/>
      <c r="BY53" s="92"/>
      <c r="BZ53" s="92"/>
      <c r="CA53" s="92"/>
      <c r="CL53" s="83"/>
      <c r="CM53" s="83"/>
      <c r="CP53" s="83"/>
      <c r="CQ53" s="83"/>
      <c r="CR53" s="83"/>
      <c r="CS53" s="83">
        <v>49191</v>
      </c>
      <c r="CT53" s="83">
        <v>217681</v>
      </c>
      <c r="CU53" s="93"/>
      <c r="CV53" s="93"/>
      <c r="CW53" s="92"/>
    </row>
    <row r="54" spans="2:101" x14ac:dyDescent="0.25">
      <c r="B54" s="90" t="s">
        <v>131</v>
      </c>
      <c r="C54" s="91"/>
      <c r="D54" s="92"/>
      <c r="E54" s="91">
        <v>0</v>
      </c>
      <c r="F54" s="91">
        <v>0</v>
      </c>
      <c r="G54" s="91">
        <v>0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2"/>
    </row>
    <row r="55" spans="2:101" x14ac:dyDescent="0.25">
      <c r="B55" s="96" t="s">
        <v>132</v>
      </c>
      <c r="C55" s="91"/>
      <c r="D55" s="92"/>
      <c r="E55" s="91">
        <v>0</v>
      </c>
      <c r="F55" s="91">
        <v>0</v>
      </c>
      <c r="G55" s="91">
        <v>0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2"/>
    </row>
    <row r="56" spans="2:101" x14ac:dyDescent="0.25">
      <c r="B56" s="90" t="s">
        <v>133</v>
      </c>
      <c r="C56" s="91"/>
      <c r="D56" s="92"/>
      <c r="E56" s="91">
        <v>0</v>
      </c>
      <c r="F56" s="91">
        <v>0</v>
      </c>
      <c r="G56" s="91">
        <v>0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2"/>
    </row>
    <row r="57" spans="2:101" x14ac:dyDescent="0.25">
      <c r="B57" s="90" t="s">
        <v>134</v>
      </c>
      <c r="C57" s="91"/>
      <c r="D57" s="92"/>
      <c r="E57" s="91">
        <v>0</v>
      </c>
      <c r="F57" s="91">
        <v>0</v>
      </c>
      <c r="G57" s="91">
        <v>0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2"/>
    </row>
    <row r="58" spans="2:101" x14ac:dyDescent="0.25">
      <c r="B58" s="90" t="s">
        <v>135</v>
      </c>
      <c r="C58" s="91"/>
      <c r="D58" s="92"/>
      <c r="E58" s="91">
        <v>0</v>
      </c>
      <c r="F58" s="91">
        <v>0</v>
      </c>
      <c r="G58" s="91">
        <v>0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2"/>
    </row>
    <row r="59" spans="2:101" x14ac:dyDescent="0.25">
      <c r="B59" s="90" t="s">
        <v>136</v>
      </c>
      <c r="C59" s="91"/>
      <c r="D59" s="92"/>
      <c r="E59" s="91">
        <v>0</v>
      </c>
      <c r="F59" s="91">
        <v>0</v>
      </c>
      <c r="G59" s="91">
        <v>0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2"/>
    </row>
    <row r="60" spans="2:101" x14ac:dyDescent="0.25">
      <c r="B60" s="90" t="s">
        <v>30</v>
      </c>
      <c r="C60" s="91">
        <v>0</v>
      </c>
      <c r="D60" s="92"/>
      <c r="E60" s="91">
        <v>0</v>
      </c>
      <c r="F60" s="91">
        <v>57185.720000000008</v>
      </c>
      <c r="G60" s="91">
        <v>7987.3000000000029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2"/>
    </row>
    <row r="61" spans="2:101" x14ac:dyDescent="0.25">
      <c r="B61" s="90" t="s">
        <v>36</v>
      </c>
      <c r="C61" s="91"/>
      <c r="D61" s="92"/>
      <c r="E61" s="92"/>
      <c r="F61" s="91">
        <v>0</v>
      </c>
      <c r="G61" s="91">
        <v>-572.875</v>
      </c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2"/>
    </row>
    <row r="62" spans="2:101" x14ac:dyDescent="0.25">
      <c r="B62" s="90" t="s">
        <v>31</v>
      </c>
      <c r="C62" s="91"/>
      <c r="D62" s="92"/>
      <c r="E62" s="92"/>
      <c r="F62" s="91">
        <v>0</v>
      </c>
      <c r="G62" s="91">
        <v>-1609.0450000000001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2"/>
    </row>
    <row r="63" spans="2:101" x14ac:dyDescent="0.25">
      <c r="B63" s="90" t="s">
        <v>137</v>
      </c>
      <c r="C63" s="91"/>
      <c r="D63" s="92"/>
      <c r="E63" s="92"/>
      <c r="F63" s="91">
        <v>0</v>
      </c>
      <c r="G63" s="91">
        <v>-107.5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2"/>
    </row>
    <row r="64" spans="2:101" x14ac:dyDescent="0.25">
      <c r="B64" s="90" t="s">
        <v>34</v>
      </c>
      <c r="C64" s="91"/>
      <c r="D64" s="92"/>
      <c r="E64" s="92"/>
      <c r="F64" s="91">
        <v>0</v>
      </c>
      <c r="G64" s="91">
        <v>-4569.8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83">
        <v>19401735.600000001</v>
      </c>
      <c r="CV64" s="83">
        <v>57227</v>
      </c>
      <c r="CW64" s="92"/>
    </row>
    <row r="65" spans="2:101" x14ac:dyDescent="0.25">
      <c r="B65" s="90" t="s">
        <v>32</v>
      </c>
      <c r="C65" s="91"/>
      <c r="D65" s="92"/>
      <c r="E65" s="92"/>
      <c r="F65" s="91">
        <v>0</v>
      </c>
      <c r="G65" s="91">
        <v>-2988.09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2"/>
    </row>
    <row r="66" spans="2:101" x14ac:dyDescent="0.25">
      <c r="B66" s="90" t="s">
        <v>38</v>
      </c>
      <c r="C66" s="91"/>
      <c r="D66" s="92"/>
      <c r="E66" s="92"/>
      <c r="F66" s="91">
        <v>0</v>
      </c>
      <c r="G66" s="91">
        <v>0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2"/>
    </row>
    <row r="67" spans="2:101" x14ac:dyDescent="0.25">
      <c r="B67" s="90" t="s">
        <v>35</v>
      </c>
      <c r="C67" s="91"/>
      <c r="D67" s="92"/>
      <c r="E67" s="92"/>
      <c r="F67" s="91">
        <v>0</v>
      </c>
      <c r="G67" s="91">
        <v>-280.66000000000003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2"/>
    </row>
    <row r="68" spans="2:101" x14ac:dyDescent="0.25">
      <c r="B68" s="90" t="s">
        <v>138</v>
      </c>
      <c r="C68" s="91"/>
      <c r="D68" s="92"/>
      <c r="E68" s="92"/>
      <c r="F68" s="91">
        <v>0</v>
      </c>
      <c r="G68" s="91">
        <v>0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2"/>
    </row>
    <row r="69" spans="2:101" x14ac:dyDescent="0.25">
      <c r="B69" s="90" t="s">
        <v>139</v>
      </c>
      <c r="C69" s="91"/>
      <c r="D69" s="92"/>
      <c r="E69" s="92"/>
      <c r="F69" s="91">
        <v>0</v>
      </c>
      <c r="G69" s="91">
        <v>-286.315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2"/>
    </row>
    <row r="70" spans="2:101" x14ac:dyDescent="0.25">
      <c r="B70" s="90" t="s">
        <v>40</v>
      </c>
      <c r="C70" s="91"/>
      <c r="D70" s="92"/>
      <c r="E70" s="92"/>
      <c r="F70" s="91">
        <v>0</v>
      </c>
      <c r="G70" s="91">
        <v>-3021.28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2"/>
    </row>
    <row r="71" spans="2:101" x14ac:dyDescent="0.25">
      <c r="B71" s="90" t="s">
        <v>41</v>
      </c>
      <c r="C71" s="91"/>
      <c r="D71" s="92"/>
      <c r="E71" s="92"/>
      <c r="F71" s="91">
        <v>0</v>
      </c>
      <c r="G71" s="91">
        <v>-51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2"/>
    </row>
    <row r="72" spans="2:101" x14ac:dyDescent="0.25">
      <c r="B72" s="90" t="s">
        <v>42</v>
      </c>
      <c r="C72" s="91"/>
      <c r="D72" s="92"/>
      <c r="E72" s="92"/>
      <c r="F72" s="91">
        <v>0</v>
      </c>
      <c r="G72" s="91">
        <v>-260.34000000000003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2"/>
    </row>
    <row r="73" spans="2:101" x14ac:dyDescent="0.25">
      <c r="B73" s="90" t="s">
        <v>37</v>
      </c>
      <c r="C73" s="91"/>
      <c r="D73" s="92"/>
      <c r="E73" s="92"/>
      <c r="F73" s="91">
        <v>0</v>
      </c>
      <c r="G73" s="91">
        <v>-661.4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2"/>
    </row>
    <row r="74" spans="2:101" x14ac:dyDescent="0.25">
      <c r="B74" s="90" t="s">
        <v>45</v>
      </c>
      <c r="C74" s="91"/>
      <c r="D74" s="92"/>
      <c r="E74" s="92"/>
      <c r="F74" s="91">
        <v>0</v>
      </c>
      <c r="G74" s="91">
        <v>-3796.7200000000003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2"/>
    </row>
    <row r="75" spans="2:101" x14ac:dyDescent="0.25">
      <c r="B75" s="90" t="s">
        <v>43</v>
      </c>
      <c r="C75" s="91"/>
      <c r="D75" s="92"/>
      <c r="E75" s="92"/>
      <c r="F75" s="91">
        <v>0</v>
      </c>
      <c r="G75" s="91">
        <v>-42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2"/>
    </row>
    <row r="76" spans="2:101" x14ac:dyDescent="0.25">
      <c r="B76" s="90" t="s">
        <v>33</v>
      </c>
      <c r="C76" s="91"/>
      <c r="D76" s="92"/>
      <c r="E76" s="92"/>
      <c r="F76" s="91">
        <v>0</v>
      </c>
      <c r="G76" s="91">
        <v>-1600.1525000000001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101"/>
      <c r="AO76" s="92"/>
      <c r="AP76" s="92"/>
      <c r="AQ76" s="92"/>
      <c r="AR76" s="92"/>
      <c r="AS76" s="92"/>
      <c r="AT76" s="92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2"/>
    </row>
    <row r="77" spans="2:101" x14ac:dyDescent="0.25">
      <c r="B77" s="90" t="s">
        <v>140</v>
      </c>
      <c r="C77" s="91"/>
      <c r="D77" s="92"/>
      <c r="E77" s="92"/>
      <c r="F77" s="91">
        <v>0</v>
      </c>
      <c r="G77" s="91">
        <v>-70.739999999999995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2"/>
    </row>
    <row r="78" spans="2:101" s="102" customFormat="1" x14ac:dyDescent="0.25">
      <c r="B78" s="103" t="s">
        <v>39</v>
      </c>
      <c r="C78" s="91"/>
      <c r="D78" s="104"/>
      <c r="E78" s="104"/>
      <c r="F78" s="91">
        <v>0</v>
      </c>
      <c r="G78" s="91">
        <v>-3571.4</v>
      </c>
      <c r="H78" s="92"/>
      <c r="I78" s="92"/>
      <c r="J78" s="92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>
        <v>125</v>
      </c>
      <c r="AQ78" s="104">
        <v>363</v>
      </c>
      <c r="AR78" s="104">
        <v>6</v>
      </c>
      <c r="AS78" s="104">
        <v>91</v>
      </c>
      <c r="AT78" s="104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2"/>
    </row>
    <row r="79" spans="2:101" x14ac:dyDescent="0.25">
      <c r="B79" s="105" t="s">
        <v>141</v>
      </c>
      <c r="C79" s="91"/>
      <c r="D79" s="92"/>
      <c r="E79" s="92"/>
      <c r="F79" s="91">
        <v>0</v>
      </c>
      <c r="G79" s="91">
        <v>-298.8</v>
      </c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2"/>
    </row>
    <row r="80" spans="2:101" x14ac:dyDescent="0.25">
      <c r="B80" s="90" t="s">
        <v>44</v>
      </c>
      <c r="C80" s="91"/>
      <c r="D80" s="92"/>
      <c r="E80" s="92"/>
      <c r="F80" s="91">
        <v>0</v>
      </c>
      <c r="G80" s="91">
        <v>-1185.0875000000001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2"/>
    </row>
    <row r="81" spans="2:101" x14ac:dyDescent="0.25">
      <c r="B81" s="90" t="s">
        <v>247</v>
      </c>
      <c r="C81" s="91"/>
      <c r="D81" s="92"/>
      <c r="E81" s="92"/>
      <c r="F81" s="91">
        <v>0</v>
      </c>
      <c r="G81" s="91">
        <v>0</v>
      </c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2"/>
    </row>
    <row r="82" spans="2:101" x14ac:dyDescent="0.25">
      <c r="B82" s="90" t="s">
        <v>142</v>
      </c>
      <c r="C82" s="91"/>
      <c r="D82" s="92"/>
      <c r="E82" s="92"/>
      <c r="F82" s="91">
        <v>0</v>
      </c>
      <c r="G82" s="91">
        <v>0</v>
      </c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>
        <v>113</v>
      </c>
      <c r="AQ82" s="92">
        <v>301</v>
      </c>
      <c r="AR82" s="92">
        <v>6</v>
      </c>
      <c r="AS82" s="92">
        <v>83</v>
      </c>
      <c r="AT82" s="92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2"/>
    </row>
    <row r="83" spans="2:101" x14ac:dyDescent="0.25">
      <c r="B83" s="90" t="s">
        <v>143</v>
      </c>
      <c r="C83" s="91"/>
      <c r="D83" s="92"/>
      <c r="E83" s="92"/>
      <c r="F83" s="91">
        <v>0</v>
      </c>
      <c r="G83" s="91">
        <v>-337.18</v>
      </c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2"/>
    </row>
    <row r="84" spans="2:101" x14ac:dyDescent="0.25">
      <c r="B84" s="90" t="s">
        <v>145</v>
      </c>
      <c r="C84" s="91"/>
      <c r="D84" s="92"/>
      <c r="E84" s="92"/>
      <c r="F84" s="91">
        <v>0</v>
      </c>
      <c r="G84" s="91">
        <v>0</v>
      </c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2"/>
    </row>
    <row r="85" spans="2:101" x14ac:dyDescent="0.25">
      <c r="B85" s="73" t="s">
        <v>250</v>
      </c>
      <c r="C85" s="91"/>
      <c r="D85" s="92"/>
      <c r="E85" s="92"/>
      <c r="F85" s="91"/>
      <c r="G85" s="9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2"/>
    </row>
    <row r="86" spans="2:101" x14ac:dyDescent="0.25">
      <c r="B86" s="73" t="s">
        <v>146</v>
      </c>
      <c r="C86" s="91"/>
      <c r="D86" s="92"/>
      <c r="E86" s="92"/>
      <c r="F86" s="91"/>
      <c r="G86" s="9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2"/>
    </row>
    <row r="87" spans="2:101" x14ac:dyDescent="0.25">
      <c r="B87" s="73" t="s">
        <v>252</v>
      </c>
      <c r="C87" s="91"/>
      <c r="D87" s="92"/>
      <c r="E87" s="92"/>
      <c r="F87" s="91"/>
      <c r="G87" s="9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2"/>
    </row>
    <row r="88" spans="2:101" x14ac:dyDescent="0.25">
      <c r="B88" s="73" t="s">
        <v>253</v>
      </c>
      <c r="C88" s="91"/>
      <c r="D88" s="92"/>
      <c r="E88" s="92"/>
      <c r="F88" s="91"/>
      <c r="G88" s="91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2"/>
    </row>
    <row r="89" spans="2:101" x14ac:dyDescent="0.25">
      <c r="B89" s="90" t="s">
        <v>8</v>
      </c>
      <c r="C89" s="91"/>
      <c r="D89" s="92"/>
      <c r="E89" s="92"/>
      <c r="F89" s="91">
        <v>0</v>
      </c>
      <c r="G89" s="91">
        <v>0</v>
      </c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106">
        <v>125</v>
      </c>
      <c r="AQ89" s="106">
        <v>363</v>
      </c>
      <c r="AR89" s="106">
        <v>6</v>
      </c>
      <c r="AS89" s="106">
        <v>91</v>
      </c>
      <c r="AT89" s="92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2"/>
    </row>
  </sheetData>
  <mergeCells count="37">
    <mergeCell ref="G3:G4"/>
    <mergeCell ref="B3:B4"/>
    <mergeCell ref="C3:C4"/>
    <mergeCell ref="D3:D4"/>
    <mergeCell ref="E3:E4"/>
    <mergeCell ref="F3:F4"/>
    <mergeCell ref="AH3:AK3"/>
    <mergeCell ref="H3:H4"/>
    <mergeCell ref="I3:I4"/>
    <mergeCell ref="J3:J4"/>
    <mergeCell ref="K3:N3"/>
    <mergeCell ref="O3:O4"/>
    <mergeCell ref="P3:P4"/>
    <mergeCell ref="Q3:Q4"/>
    <mergeCell ref="R3:Z3"/>
    <mergeCell ref="AA3:AA4"/>
    <mergeCell ref="AB3:AB4"/>
    <mergeCell ref="AC3:AG3"/>
    <mergeCell ref="BM3:BS3"/>
    <mergeCell ref="AL3:AL4"/>
    <mergeCell ref="AM3:AM4"/>
    <mergeCell ref="AN3:AN4"/>
    <mergeCell ref="AO3:AO4"/>
    <mergeCell ref="AP3:AS3"/>
    <mergeCell ref="AT3:AT4"/>
    <mergeCell ref="AU3:AV3"/>
    <mergeCell ref="AX3:BD3"/>
    <mergeCell ref="BE3:BF3"/>
    <mergeCell ref="BG3:BJ3"/>
    <mergeCell ref="BK3:BL3"/>
    <mergeCell ref="CW3:CW4"/>
    <mergeCell ref="BT3:CA3"/>
    <mergeCell ref="CB3:CF3"/>
    <mergeCell ref="CG3:CM3"/>
    <mergeCell ref="CN3:CR3"/>
    <mergeCell ref="CS3:CT3"/>
    <mergeCell ref="CU3:CV3"/>
  </mergeCells>
  <phoneticPr fontId="2" type="noConversion"/>
  <dataValidations count="1">
    <dataValidation type="custom" allowBlank="1" showInputMessage="1" showErrorMessage="1" sqref="AO78">
      <formula1>SUM(AO78:AO78)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CH137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13.36328125" defaultRowHeight="12.5" customHeight="1" x14ac:dyDescent="0.25"/>
  <cols>
    <col min="1" max="1" width="5.81640625" style="1" customWidth="1"/>
    <col min="2" max="2" width="13.36328125" style="72"/>
    <col min="3" max="3" width="12.6328125" style="2" customWidth="1"/>
    <col min="4" max="4" width="14.54296875" style="2" customWidth="1"/>
    <col min="5" max="5" width="12.90625" style="2" customWidth="1"/>
    <col min="6" max="6" width="12.26953125" style="2" customWidth="1"/>
    <col min="7" max="7" width="11.36328125" style="2" customWidth="1"/>
    <col min="8" max="8" width="10" style="1" customWidth="1"/>
    <col min="9" max="9" width="8.08984375" style="1" customWidth="1"/>
    <col min="10" max="19" width="13.36328125" style="1"/>
    <col min="20" max="20" width="13.36328125" style="2"/>
    <col min="21" max="21" width="13.36328125" style="27"/>
    <col min="22" max="36" width="13.36328125" style="2"/>
    <col min="37" max="37" width="17.26953125" style="2" customWidth="1"/>
    <col min="38" max="38" width="18.36328125" style="2" customWidth="1"/>
    <col min="39" max="39" width="18.90625" style="2" customWidth="1"/>
    <col min="40" max="40" width="17.81640625" style="1" customWidth="1"/>
    <col min="41" max="41" width="13.36328125" style="2"/>
    <col min="42" max="42" width="24.26953125" style="1" customWidth="1"/>
    <col min="43" max="43" width="21.54296875" style="1" customWidth="1"/>
    <col min="44" max="16384" width="13.36328125" style="1"/>
  </cols>
  <sheetData>
    <row r="1" spans="2:43" ht="29.5" customHeight="1" x14ac:dyDescent="0.25">
      <c r="U1" s="3"/>
    </row>
    <row r="2" spans="2:43" ht="15" customHeight="1" x14ac:dyDescent="0.25">
      <c r="B2" s="72">
        <v>1</v>
      </c>
      <c r="C2" s="2">
        <v>2</v>
      </c>
      <c r="D2" s="2">
        <v>3</v>
      </c>
      <c r="E2" s="1">
        <v>4</v>
      </c>
      <c r="F2" s="2">
        <v>5</v>
      </c>
      <c r="G2" s="2">
        <v>6</v>
      </c>
      <c r="H2" s="1">
        <v>7</v>
      </c>
      <c r="I2" s="2">
        <v>8</v>
      </c>
      <c r="J2" s="2">
        <v>9</v>
      </c>
      <c r="K2" s="1">
        <v>10</v>
      </c>
      <c r="L2" s="2">
        <v>11</v>
      </c>
      <c r="M2" s="2">
        <v>12</v>
      </c>
      <c r="N2" s="1">
        <v>13</v>
      </c>
      <c r="O2" s="2">
        <v>14</v>
      </c>
      <c r="P2" s="2">
        <v>15</v>
      </c>
      <c r="Q2" s="1">
        <v>16</v>
      </c>
      <c r="R2" s="2">
        <v>17</v>
      </c>
      <c r="S2" s="2">
        <v>18</v>
      </c>
      <c r="T2" s="1">
        <v>19</v>
      </c>
      <c r="U2" s="2">
        <v>20</v>
      </c>
      <c r="V2" s="2">
        <v>21</v>
      </c>
      <c r="W2" s="1">
        <v>22</v>
      </c>
      <c r="X2" s="2">
        <v>23</v>
      </c>
      <c r="Y2" s="2">
        <v>24</v>
      </c>
      <c r="Z2" s="1">
        <v>25</v>
      </c>
      <c r="AA2" s="2">
        <v>26</v>
      </c>
      <c r="AB2" s="2">
        <v>27</v>
      </c>
      <c r="AC2" s="1">
        <v>28</v>
      </c>
      <c r="AD2" s="2">
        <v>29</v>
      </c>
      <c r="AE2" s="2">
        <v>30</v>
      </c>
      <c r="AF2" s="1">
        <v>31</v>
      </c>
      <c r="AG2" s="2">
        <v>32</v>
      </c>
      <c r="AH2" s="2">
        <v>33</v>
      </c>
      <c r="AI2" s="1">
        <v>34</v>
      </c>
      <c r="AJ2" s="2">
        <v>35</v>
      </c>
      <c r="AK2" s="2">
        <v>36</v>
      </c>
      <c r="AL2" s="1">
        <v>37</v>
      </c>
      <c r="AM2" s="2">
        <v>38</v>
      </c>
      <c r="AN2" s="2">
        <v>39</v>
      </c>
    </row>
    <row r="3" spans="2:43" s="76" customFormat="1" ht="43.5" customHeight="1" x14ac:dyDescent="0.25">
      <c r="B3" s="80" t="s">
        <v>0</v>
      </c>
      <c r="C3" s="74" t="s">
        <v>5</v>
      </c>
      <c r="D3" s="74" t="s">
        <v>6</v>
      </c>
      <c r="E3" s="74" t="s">
        <v>220</v>
      </c>
      <c r="F3" s="74" t="s">
        <v>221</v>
      </c>
      <c r="G3" s="74" t="s">
        <v>222</v>
      </c>
      <c r="H3" s="74" t="s">
        <v>377</v>
      </c>
      <c r="I3" s="74" t="s">
        <v>434</v>
      </c>
      <c r="J3" s="75" t="s">
        <v>380</v>
      </c>
      <c r="K3" s="75" t="s">
        <v>97</v>
      </c>
      <c r="L3" s="75" t="s">
        <v>381</v>
      </c>
      <c r="M3" s="75" t="s">
        <v>49</v>
      </c>
      <c r="N3" s="75" t="s">
        <v>107</v>
      </c>
      <c r="O3" s="75" t="s">
        <v>382</v>
      </c>
      <c r="P3" s="75" t="s">
        <v>3</v>
      </c>
      <c r="Q3" s="75" t="s">
        <v>383</v>
      </c>
      <c r="R3" s="75" t="s">
        <v>50</v>
      </c>
      <c r="S3" s="75" t="s">
        <v>384</v>
      </c>
      <c r="T3" s="75" t="s">
        <v>385</v>
      </c>
      <c r="U3" s="75" t="s">
        <v>106</v>
      </c>
      <c r="V3" s="75" t="s">
        <v>227</v>
      </c>
      <c r="W3" s="75" t="s">
        <v>234</v>
      </c>
      <c r="X3" s="75" t="s">
        <v>235</v>
      </c>
      <c r="Y3" s="75" t="s">
        <v>236</v>
      </c>
      <c r="Z3" s="75" t="s">
        <v>237</v>
      </c>
      <c r="AA3" s="75" t="s">
        <v>238</v>
      </c>
      <c r="AB3" s="75" t="s">
        <v>239</v>
      </c>
      <c r="AC3" s="75" t="s">
        <v>240</v>
      </c>
      <c r="AD3" s="75" t="s">
        <v>241</v>
      </c>
      <c r="AE3" s="75" t="s">
        <v>242</v>
      </c>
      <c r="AF3" s="75" t="s">
        <v>243</v>
      </c>
      <c r="AG3" s="75" t="s">
        <v>244</v>
      </c>
      <c r="AH3" s="75" t="s">
        <v>245</v>
      </c>
      <c r="AI3" s="75" t="s">
        <v>225</v>
      </c>
      <c r="AJ3" s="75" t="s">
        <v>228</v>
      </c>
      <c r="AK3" s="75" t="s">
        <v>229</v>
      </c>
      <c r="AL3" s="75" t="s">
        <v>230</v>
      </c>
      <c r="AM3" s="75" t="s">
        <v>231</v>
      </c>
      <c r="AN3" s="75" t="s">
        <v>7</v>
      </c>
      <c r="AP3" s="77" t="s">
        <v>51</v>
      </c>
      <c r="AQ3" s="78">
        <v>9329474.4600000009</v>
      </c>
    </row>
    <row r="4" spans="2:43" ht="17" customHeight="1" x14ac:dyDescent="0.25">
      <c r="B4" s="73" t="s">
        <v>78</v>
      </c>
      <c r="C4" s="3">
        <f>ROUND(VLOOKUP(B:B,录入表!B:F,5,0)/VLOOKUP(科室绩效工资核算1!B:B,奖励标准!A:B,2,0)*VLOOKUP(B:B,奖励标准!A:C,3,0),0)</f>
        <v>4728</v>
      </c>
      <c r="D4" s="3">
        <f>ROUND(VLOOKUP(B:B,录入表!B:G,6,0)/VLOOKUP(科室绩效工资核算1!B:B,奖励标准!A:D,4,0)*VLOOKUP(B:B,奖励标准!A:E,5,0),0)</f>
        <v>15694</v>
      </c>
      <c r="E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" s="3">
        <f>ROUND(VLOOKUP(B:B,录入表!B:AT,45,0)*VLOOKUP(科室绩效工资核算1!B:B,奖励标准!A:AR,44,0),0)</f>
        <v>0</v>
      </c>
      <c r="G4" s="3">
        <f>ROUND((VLOOKUP(B:B,录入表!B:W,22,0)+VLOOKUP(B:B,录入表!B:X,23,0))*VLOOKUP(B:B,奖励标准!A:AS,45,0),0)</f>
        <v>0</v>
      </c>
      <c r="H4" s="3">
        <f>ROUND(VLOOKUP(B:B,录入表!B:H,7,0)*VLOOKUP(B:B,奖励标准!A:F,6,0),0)</f>
        <v>1920</v>
      </c>
      <c r="I4" s="3">
        <f>ROUND(VLOOKUP(B:B,录入表!B:I,8,0)*VLOOKUP(B:B,奖励标准!A:G,7,0),0)</f>
        <v>1000</v>
      </c>
      <c r="J4" s="3">
        <f>ROUND(VLOOKUP(B:B,录入表!B:J,9,0)*VLOOKUP(B:B,奖励标准!A:H,8,0),0)</f>
        <v>395</v>
      </c>
      <c r="K4" s="3">
        <f>ROUND(VLOOKUP(B:B,录入表!B:Q,16,0)*VLOOKUP(科室绩效工资核算1!B:B,奖励标准!A:O,15,0),0)</f>
        <v>120</v>
      </c>
      <c r="L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" s="3">
        <f>ROUND(VLOOKUP(科室绩效工资核算1!B:B,录入表!B:AB,27,0)*VLOOKUP(科室绩效工资核算1!B:B,奖励标准!A:Z,26,0),0)</f>
        <v>0</v>
      </c>
      <c r="N4" s="3">
        <f>ROUND(VLOOKUP(B:B,录入表!B:AW,48,0)*VLOOKUP(B:B,奖励标准!A:AT,46,0),0)</f>
        <v>0</v>
      </c>
      <c r="O4" s="3">
        <f>ROUND(VLOOKUP(科室绩效工资核算1!B:B,录入表!B:AA,26,0)*VLOOKUP(B:B,奖励标准!A:Y,25,0),0)</f>
        <v>120</v>
      </c>
      <c r="P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" s="3">
        <f>ROUND(VLOOKUP(B:B,录入表!B:AL,37,0)*VLOOKUP(B:B,奖励标准!A:AJ,36,0)+ROUND(VLOOKUP(B:B,录入表!B:AM,38,0)*VLOOKUP(B:B,奖励标准!A:AK,37,0),0),0)</f>
        <v>92</v>
      </c>
      <c r="R4" s="3">
        <f>ROUND(VLOOKUP(B:B,录入表!B:AN,39,0)*VLOOKUP(B:B,奖励标准!A:AL,38,0)+VLOOKUP(B:B,录入表!B:AO,40,0)*VLOOKUP(B:B,奖励标准!A:AM,39,0),0)</f>
        <v>22</v>
      </c>
      <c r="S4" s="3">
        <f>ROUND(((VLOOKUP(B:B,录入表!B:C,2,0)+VLOOKUP(B:B,录入表!B:E,4,0))*VLOOKUP(B:B,奖励标准!A:CU,99,0)),0)</f>
        <v>5</v>
      </c>
      <c r="T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1848</v>
      </c>
      <c r="U4" s="3">
        <f>ROUND(VLOOKUP(科室绩效工资核算1!B:B,录入表!B:AU,46,0)*VLOOKUP(B:B,奖励标准!A:CV,100,0),0)</f>
        <v>0</v>
      </c>
      <c r="V4" s="3">
        <f>ROUND(VLOOKUP(科室绩效工资核算1!B:B,录入表!B:AV,47,0)*VLOOKUP(B:B,奖励标准!A:CW,101,0),0)</f>
        <v>0</v>
      </c>
      <c r="W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" s="28">
        <f>ROUND(VLOOKUP(B:B,录入表!B:BF,56,0)*VLOOKUP(B:B,奖励标准!A:BD,55,0)+VLOOKUP(B:B,录入表!B:BF,57,0)*VLOOKUP(B:B,奖励标准!A:BD,56,0),0)</f>
        <v>0</v>
      </c>
      <c r="Y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" s="28">
        <f>ROUND(VLOOKUP(B:B,录入表!B:BL,62,0)*VLOOKUP(B:B,奖励标准!A:BJ,61,0)+VLOOKUP(B:B,奖励标准!A:BJ,62,0)*VLOOKUP(B:B,录入表!B:BL,63,0),0)</f>
        <v>0</v>
      </c>
      <c r="AA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" s="82">
        <f>ROUND(VLOOKUP(B:B,录入表!B:CV,98,0)*VLOOKUP(B:B,奖励标准!A:CT,97,0)+VLOOKUP(B:B,奖励标准!A:CU,98,0)*VLOOKUP(B:B,录入表!B:CV,99,0),0)</f>
        <v>0</v>
      </c>
      <c r="AG4" s="82">
        <f>ROUND(VLOOKUP(B:B,录入表!B:CT,96,0)*VLOOKUP(B:B,奖励标准!A:CR,95,0)+VLOOKUP(B:B,录入表!B:CT,97,0)*VLOOKUP(B:B,奖励标准!A:CR,96,0),0)</f>
        <v>0</v>
      </c>
      <c r="AH4" s="28">
        <f>ROUND(VLOOKUP(B:B,录入表!B:CW,100,0)*VLOOKUP(科室绩效工资核算1!B:B,奖励标准!A:L,11,0),0)</f>
        <v>0</v>
      </c>
      <c r="AI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" s="3">
        <f>ROUND(VLOOKUP(科室绩效工资核算1!B:B,录入表!B:O,14,0)*VLOOKUP(科室绩效工资核算1!B:B,奖励标准!A:M,13,0),0)</f>
        <v>276</v>
      </c>
      <c r="AK4" s="3">
        <f>ROUND(VLOOKUP(科室绩效工资核算1!B:B,录入表!B:P,15,0)*VLOOKUP(科室绩效工资核算1!B:B,奖励标准!A:N,14,0),0)</f>
        <v>120</v>
      </c>
      <c r="AL4" s="3">
        <f>ROUND(VLOOKUP(科室绩效工资核算1!B:B,录入表!B:P,15,0)*VLOOKUP(科室绩效工资核算1!B:B,奖励标准!A:AU,47,0),0)</f>
        <v>100</v>
      </c>
      <c r="AM4" s="3">
        <f>SUM(AH4:AL4)</f>
        <v>496</v>
      </c>
      <c r="AN4" s="3">
        <f>SUM(C4:AG4)</f>
        <v>25944</v>
      </c>
      <c r="AP4" s="44" t="s">
        <v>52</v>
      </c>
      <c r="AQ4" s="49">
        <v>10749314.629999999</v>
      </c>
    </row>
    <row r="5" spans="2:43" ht="17.5" customHeight="1" x14ac:dyDescent="0.25">
      <c r="B5" s="73" t="s">
        <v>79</v>
      </c>
      <c r="C5" s="3">
        <f>ROUND(VLOOKUP(B:B,录入表!B:F,5,0)/VLOOKUP(科室绩效工资核算1!B:B,奖励标准!A:B,2,0)*VLOOKUP(B:B,奖励标准!A:C,3,0),0)</f>
        <v>7968</v>
      </c>
      <c r="D5" s="3">
        <f>ROUND(VLOOKUP(B:B,录入表!B:G,6,0)/VLOOKUP(科室绩效工资核算1!B:B,奖励标准!A:D,4,0)*VLOOKUP(B:B,奖励标准!A:E,5,0),0)</f>
        <v>18150</v>
      </c>
      <c r="E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" s="3">
        <f>ROUND(VLOOKUP(B:B,录入表!B:AT,45,0)*VLOOKUP(科室绩效工资核算1!B:B,奖励标准!A:AR,44,0),0)</f>
        <v>0</v>
      </c>
      <c r="G5" s="3">
        <f>ROUND((VLOOKUP(B:B,录入表!B:W,22,0)+VLOOKUP(B:B,录入表!B:X,23,0))*VLOOKUP(B:B,奖励标准!A:AS,45,0),0)</f>
        <v>0</v>
      </c>
      <c r="H5" s="3">
        <f>ROUND(VLOOKUP(B:B,录入表!B:H,7,0)*VLOOKUP(B:B,奖励标准!A:F,6,0),0)</f>
        <v>2080</v>
      </c>
      <c r="I5" s="3">
        <f>ROUND(VLOOKUP(B:B,录入表!B:I,8,0)*VLOOKUP(B:B,奖励标准!A:G,7,0),0)</f>
        <v>1050</v>
      </c>
      <c r="J5" s="3">
        <f>ROUND(VLOOKUP(B:B,录入表!B:J,9,0)*VLOOKUP(B:B,奖励标准!A:H,8,0),0)</f>
        <v>563</v>
      </c>
      <c r="K5" s="3">
        <f>ROUND(VLOOKUP(B:B,录入表!B:Q,16,0)*VLOOKUP(科室绩效工资核算1!B:B,奖励标准!A:O,15,0),0)</f>
        <v>120</v>
      </c>
      <c r="L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" s="3">
        <f>ROUND(VLOOKUP(科室绩效工资核算1!B:B,录入表!B:AB,27,0)*VLOOKUP(科室绩效工资核算1!B:B,奖励标准!A:Z,26,0),0)</f>
        <v>0</v>
      </c>
      <c r="N5" s="3">
        <f>ROUND(VLOOKUP(B:B,录入表!B:AW,48,0)*VLOOKUP(B:B,奖励标准!A:AT,46,0),0)</f>
        <v>0</v>
      </c>
      <c r="O5" s="3">
        <f>ROUND(VLOOKUP(科室绩效工资核算1!B:B,录入表!B:AA,26,0)*VLOOKUP(B:B,奖励标准!A:Y,25,0),0)</f>
        <v>71</v>
      </c>
      <c r="P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16</v>
      </c>
      <c r="Q5" s="3">
        <f>ROUND(VLOOKUP(B:B,录入表!B:AL,37,0)*VLOOKUP(B:B,奖励标准!A:AJ,36,0)+ROUND(VLOOKUP(B:B,录入表!B:AM,38,0)*VLOOKUP(B:B,奖励标准!A:AK,37,0),0),0)</f>
        <v>1425</v>
      </c>
      <c r="R5" s="3">
        <f>ROUND(VLOOKUP(B:B,录入表!B:AN,39,0)*VLOOKUP(B:B,奖励标准!A:AL,38,0)+VLOOKUP(B:B,录入表!B:AO,40,0)*VLOOKUP(B:B,奖励标准!A:AM,39,0),0)</f>
        <v>1153</v>
      </c>
      <c r="S5" s="3">
        <f>ROUND(((VLOOKUP(B:B,录入表!B:C,2,0)+VLOOKUP(B:B,录入表!B:E,4,0))*VLOOKUP(B:B,奖励标准!A:CU,99,0)),0)</f>
        <v>0</v>
      </c>
      <c r="T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1912</v>
      </c>
      <c r="U5" s="3">
        <f>ROUND(VLOOKUP(科室绩效工资核算1!B:B,录入表!B:AU,46,0)*VLOOKUP(B:B,奖励标准!A:CV,100,0),0)</f>
        <v>0</v>
      </c>
      <c r="V5" s="3">
        <f>ROUND(VLOOKUP(科室绩效工资核算1!B:B,录入表!B:AV,47,0)*VLOOKUP(B:B,奖励标准!A:CW,101,0),0)</f>
        <v>0</v>
      </c>
      <c r="W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" s="28">
        <f>ROUND(VLOOKUP(B:B,录入表!B:BF,56,0)*VLOOKUP(B:B,奖励标准!A:BD,55,0)+VLOOKUP(B:B,录入表!B:BF,57,0)*VLOOKUP(B:B,奖励标准!A:BD,56,0),0)</f>
        <v>0</v>
      </c>
      <c r="Y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" s="28">
        <f>ROUND(VLOOKUP(B:B,录入表!B:BL,62,0)*VLOOKUP(B:B,奖励标准!A:BJ,61,0)+VLOOKUP(B:B,奖励标准!A:BJ,62,0)*VLOOKUP(B:B,录入表!B:BL,63,0),0)</f>
        <v>0</v>
      </c>
      <c r="AA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" s="82">
        <f>ROUND(VLOOKUP(B:B,录入表!B:CV,98,0)*VLOOKUP(B:B,奖励标准!A:CT,97,0)+VLOOKUP(B:B,奖励标准!A:CU,98,0)*VLOOKUP(B:B,录入表!B:CV,99,0),0)</f>
        <v>0</v>
      </c>
      <c r="AG5" s="82">
        <f>ROUND(VLOOKUP(B:B,录入表!B:CT,96,0)*VLOOKUP(B:B,奖励标准!A:CR,95,0)+VLOOKUP(B:B,录入表!B:CT,97,0)*VLOOKUP(B:B,奖励标准!A:CR,96,0),0)</f>
        <v>0</v>
      </c>
      <c r="AH5" s="28">
        <f>ROUND(VLOOKUP(B:B,录入表!B:CW,100,0)*VLOOKUP(科室绩效工资核算1!B:B,奖励标准!A:L,11,0),0)</f>
        <v>0</v>
      </c>
      <c r="AI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" s="3">
        <f>ROUND(VLOOKUP(科室绩效工资核算1!B:B,录入表!B:O,14,0)*VLOOKUP(科室绩效工资核算1!B:B,奖励标准!A:M,13,0),0)</f>
        <v>138</v>
      </c>
      <c r="AK5" s="3">
        <f>ROUND(VLOOKUP(科室绩效工资核算1!B:B,录入表!B:P,15,0)*VLOOKUP(科室绩效工资核算1!B:B,奖励标准!A:N,14,0),0)</f>
        <v>60</v>
      </c>
      <c r="AL5" s="3">
        <f>ROUND(VLOOKUP(科室绩效工资核算1!B:B,录入表!B:P,15,0)*VLOOKUP(科室绩效工资核算1!B:B,奖励标准!A:AU,47,0),0)</f>
        <v>50</v>
      </c>
      <c r="AM5" s="3">
        <f>SUM(AH5:AL5)</f>
        <v>248</v>
      </c>
      <c r="AN5" s="3">
        <f t="shared" ref="AN5:AN68" si="0">SUM(C5:AG5)</f>
        <v>34508</v>
      </c>
      <c r="AP5" s="44" t="s">
        <v>53</v>
      </c>
      <c r="AQ5" s="46">
        <f>AQ3/AQ4</f>
        <v>0.86791342342539668</v>
      </c>
    </row>
    <row r="6" spans="2:43" ht="12.5" customHeight="1" x14ac:dyDescent="0.25">
      <c r="B6" s="73" t="s">
        <v>80</v>
      </c>
      <c r="C6" s="3">
        <f>ROUND(VLOOKUP(B:B,录入表!B:F,5,0)/VLOOKUP(科室绩效工资核算1!B:B,奖励标准!A:B,2,0)*VLOOKUP(B:B,奖励标准!A:C,3,0),0)</f>
        <v>4208</v>
      </c>
      <c r="D6" s="3">
        <f>ROUND(VLOOKUP(B:B,录入表!B:G,6,0)/VLOOKUP(科室绩效工资核算1!B:B,奖励标准!A:D,4,0)*VLOOKUP(B:B,奖励标准!A:E,5,0),0)</f>
        <v>16618</v>
      </c>
      <c r="E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" s="3">
        <f>ROUND(VLOOKUP(B:B,录入表!B:AT,45,0)*VLOOKUP(科室绩效工资核算1!B:B,奖励标准!A:AR,44,0),0)</f>
        <v>0</v>
      </c>
      <c r="G6" s="3">
        <f>ROUND((VLOOKUP(B:B,录入表!B:W,22,0)+VLOOKUP(B:B,录入表!B:X,23,0))*VLOOKUP(B:B,奖励标准!A:AS,45,0),0)</f>
        <v>0</v>
      </c>
      <c r="H6" s="3">
        <f>ROUND(VLOOKUP(B:B,录入表!B:H,7,0)*VLOOKUP(B:B,奖励标准!A:F,6,0),0)</f>
        <v>2880</v>
      </c>
      <c r="I6" s="3">
        <f>ROUND(VLOOKUP(B:B,录入表!B:I,8,0)*VLOOKUP(B:B,奖励标准!A:G,7,0),0)</f>
        <v>1010</v>
      </c>
      <c r="J6" s="3">
        <f>ROUND(VLOOKUP(B:B,录入表!B:J,9,0)*VLOOKUP(B:B,奖励标准!A:H,8,0),0)</f>
        <v>456</v>
      </c>
      <c r="K6" s="3">
        <f>ROUND(VLOOKUP(B:B,录入表!B:Q,16,0)*VLOOKUP(科室绩效工资核算1!B:B,奖励标准!A:O,15,0),0)</f>
        <v>0</v>
      </c>
      <c r="L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" s="3">
        <f>ROUND(VLOOKUP(科室绩效工资核算1!B:B,录入表!B:AB,27,0)*VLOOKUP(科室绩效工资核算1!B:B,奖励标准!A:Z,26,0),0)</f>
        <v>0</v>
      </c>
      <c r="N6" s="3">
        <f>ROUND(VLOOKUP(B:B,录入表!B:AW,48,0)*VLOOKUP(B:B,奖励标准!A:AT,46,0),0)</f>
        <v>0</v>
      </c>
      <c r="O6" s="3">
        <f>ROUND(VLOOKUP(科室绩效工资核算1!B:B,录入表!B:AA,26,0)*VLOOKUP(B:B,奖励标准!A:Y,25,0),0)</f>
        <v>151</v>
      </c>
      <c r="P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" s="3">
        <f>ROUND(VLOOKUP(B:B,录入表!B:AL,37,0)*VLOOKUP(B:B,奖励标准!A:AJ,36,0)+ROUND(VLOOKUP(B:B,录入表!B:AM,38,0)*VLOOKUP(B:B,奖励标准!A:AK,37,0),0),0)</f>
        <v>268</v>
      </c>
      <c r="R6" s="3">
        <f>ROUND(VLOOKUP(B:B,录入表!B:AN,39,0)*VLOOKUP(B:B,奖励标准!A:AL,38,0)+VLOOKUP(B:B,录入表!B:AO,40,0)*VLOOKUP(B:B,奖励标准!A:AM,39,0),0)</f>
        <v>129</v>
      </c>
      <c r="S6" s="3">
        <f>ROUND(((VLOOKUP(B:B,录入表!B:C,2,0)+VLOOKUP(B:B,录入表!B:E,4,0))*VLOOKUP(B:B,奖励标准!A:CU,99,0)),0)</f>
        <v>165</v>
      </c>
      <c r="T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2352</v>
      </c>
      <c r="U6" s="3">
        <f>ROUND(VLOOKUP(科室绩效工资核算1!B:B,录入表!B:AU,46,0)*VLOOKUP(B:B,奖励标准!A:CV,100,0),0)</f>
        <v>0</v>
      </c>
      <c r="V6" s="3">
        <f>ROUND(VLOOKUP(科室绩效工资核算1!B:B,录入表!B:AV,47,0)*VLOOKUP(B:B,奖励标准!A:CW,101,0),0)</f>
        <v>0</v>
      </c>
      <c r="W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" s="28">
        <f>ROUND(VLOOKUP(B:B,录入表!B:BF,56,0)*VLOOKUP(B:B,奖励标准!A:BD,55,0)+VLOOKUP(B:B,录入表!B:BF,57,0)*VLOOKUP(B:B,奖励标准!A:BD,56,0),0)</f>
        <v>0</v>
      </c>
      <c r="Y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" s="28">
        <f>ROUND(VLOOKUP(B:B,录入表!B:BL,62,0)*VLOOKUP(B:B,奖励标准!A:BJ,61,0)+VLOOKUP(B:B,奖励标准!A:BJ,62,0)*VLOOKUP(B:B,录入表!B:BL,63,0),0)</f>
        <v>0</v>
      </c>
      <c r="AA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" s="82">
        <f>ROUND(VLOOKUP(B:B,录入表!B:CV,98,0)*VLOOKUP(B:B,奖励标准!A:CT,97,0)+VLOOKUP(B:B,奖励标准!A:CU,98,0)*VLOOKUP(B:B,录入表!B:CV,99,0),0)</f>
        <v>0</v>
      </c>
      <c r="AG6" s="82">
        <f>ROUND(VLOOKUP(B:B,录入表!B:CT,96,0)*VLOOKUP(B:B,奖励标准!A:CR,95,0)+VLOOKUP(B:B,录入表!B:CT,97,0)*VLOOKUP(B:B,奖励标准!A:CR,96,0),0)</f>
        <v>0</v>
      </c>
      <c r="AH6" s="28">
        <f>ROUND(VLOOKUP(B:B,录入表!B:CW,100,0)*VLOOKUP(科室绩效工资核算1!B:B,奖励标准!A:L,11,0),0)</f>
        <v>0</v>
      </c>
      <c r="AI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" s="3">
        <f>ROUND(VLOOKUP(科室绩效工资核算1!B:B,录入表!B:O,14,0)*VLOOKUP(科室绩效工资核算1!B:B,奖励标准!A:M,13,0),0)</f>
        <v>138</v>
      </c>
      <c r="AK6" s="3">
        <f>ROUND(VLOOKUP(科室绩效工资核算1!B:B,录入表!B:P,15,0)*VLOOKUP(科室绩效工资核算1!B:B,奖励标准!A:N,14,0),0)</f>
        <v>60</v>
      </c>
      <c r="AL6" s="3">
        <f>ROUND(VLOOKUP(科室绩效工资核算1!B:B,录入表!B:P,15,0)*VLOOKUP(科室绩效工资核算1!B:B,奖励标准!A:AU,47,0),0)</f>
        <v>50</v>
      </c>
      <c r="AM6" s="3">
        <f t="shared" ref="AM6:AM69" si="1">SUM(AH6:AL6)</f>
        <v>248</v>
      </c>
      <c r="AN6" s="3">
        <f t="shared" si="0"/>
        <v>28237</v>
      </c>
      <c r="AP6" s="44" t="s">
        <v>54</v>
      </c>
      <c r="AQ6" s="45">
        <v>1774</v>
      </c>
    </row>
    <row r="7" spans="2:43" ht="12.5" customHeight="1" x14ac:dyDescent="0.25">
      <c r="B7" s="73" t="s">
        <v>108</v>
      </c>
      <c r="C7" s="3">
        <f>ROUND(VLOOKUP(B:B,录入表!B:F,5,0)/VLOOKUP(科室绩效工资核算1!B:B,奖励标准!A:B,2,0)*VLOOKUP(B:B,奖励标准!A:C,3,0),0)</f>
        <v>6330</v>
      </c>
      <c r="D7" s="3">
        <f>ROUND(VLOOKUP(B:B,录入表!B:G,6,0)/VLOOKUP(科室绩效工资核算1!B:B,奖励标准!A:D,4,0)*VLOOKUP(B:B,奖励标准!A:E,5,0),0)</f>
        <v>46352</v>
      </c>
      <c r="E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" s="3">
        <f>ROUND(VLOOKUP(B:B,录入表!B:AT,45,0)*VLOOKUP(科室绩效工资核算1!B:B,奖励标准!A:AR,44,0),0)</f>
        <v>0</v>
      </c>
      <c r="G7" s="3">
        <f>ROUND((VLOOKUP(B:B,录入表!B:W,22,0)+VLOOKUP(B:B,录入表!B:X,23,0))*VLOOKUP(B:B,奖励标准!A:AS,45,0),0)</f>
        <v>0</v>
      </c>
      <c r="H7" s="3">
        <f>ROUND(VLOOKUP(B:B,录入表!B:H,7,0)*VLOOKUP(B:B,奖励标准!A:F,6,0),0)</f>
        <v>5640</v>
      </c>
      <c r="I7" s="3">
        <f>ROUND(VLOOKUP(B:B,录入表!B:I,8,0)*VLOOKUP(B:B,奖励标准!A:G,7,0),0)</f>
        <v>2840</v>
      </c>
      <c r="J7" s="3">
        <f>ROUND(VLOOKUP(B:B,录入表!B:J,9,0)*VLOOKUP(B:B,奖励标准!A:H,8,0),0)</f>
        <v>829</v>
      </c>
      <c r="K7" s="3">
        <f>ROUND(VLOOKUP(B:B,录入表!B:Q,16,0)*VLOOKUP(科室绩效工资核算1!B:B,奖励标准!A:O,15,0),0)</f>
        <v>0</v>
      </c>
      <c r="L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" s="3">
        <f>ROUND(VLOOKUP(科室绩效工资核算1!B:B,录入表!B:AB,27,0)*VLOOKUP(科室绩效工资核算1!B:B,奖励标准!A:Z,26,0),0)</f>
        <v>0</v>
      </c>
      <c r="N7" s="3">
        <f>ROUND(VLOOKUP(B:B,录入表!B:AW,48,0)*VLOOKUP(B:B,奖励标准!A:AT,46,0),0)</f>
        <v>0</v>
      </c>
      <c r="O7" s="3">
        <f>ROUND(VLOOKUP(科室绩效工资核算1!B:B,录入表!B:AA,26,0)*VLOOKUP(B:B,奖励标准!A:Y,25,0),0)</f>
        <v>563</v>
      </c>
      <c r="P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" s="3">
        <f>ROUND(VLOOKUP(B:B,录入表!B:AL,37,0)*VLOOKUP(B:B,奖励标准!A:AJ,36,0)+ROUND(VLOOKUP(B:B,录入表!B:AM,38,0)*VLOOKUP(B:B,奖励标准!A:AK,37,0),0),0)</f>
        <v>0</v>
      </c>
      <c r="R7" s="3">
        <f>ROUND(VLOOKUP(B:B,录入表!B:AN,39,0)*VLOOKUP(B:B,奖励标准!A:AL,38,0)+VLOOKUP(B:B,录入表!B:AO,40,0)*VLOOKUP(B:B,奖励标准!A:AM,39,0),0)</f>
        <v>0</v>
      </c>
      <c r="S7" s="3">
        <f>ROUND(((VLOOKUP(B:B,录入表!B:C,2,0)+VLOOKUP(B:B,录入表!B:E,4,0))*VLOOKUP(B:B,奖励标准!A:CU,99,0)),0)</f>
        <v>13</v>
      </c>
      <c r="T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9345</v>
      </c>
      <c r="U7" s="3">
        <f>ROUND(VLOOKUP(科室绩效工资核算1!B:B,录入表!B:AU,46,0)*VLOOKUP(B:B,奖励标准!A:CV,100,0),0)</f>
        <v>0</v>
      </c>
      <c r="V7" s="3">
        <f>ROUND(VLOOKUP(科室绩效工资核算1!B:B,录入表!B:AV,47,0)*VLOOKUP(B:B,奖励标准!A:CW,101,0),0)</f>
        <v>0</v>
      </c>
      <c r="W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" s="28">
        <f>ROUND(VLOOKUP(B:B,录入表!B:BF,56,0)*VLOOKUP(B:B,奖励标准!A:BD,55,0)+VLOOKUP(B:B,录入表!B:BF,57,0)*VLOOKUP(B:B,奖励标准!A:BD,56,0),0)</f>
        <v>0</v>
      </c>
      <c r="Y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" s="28">
        <f>ROUND(VLOOKUP(B:B,录入表!B:BL,62,0)*VLOOKUP(B:B,奖励标准!A:BJ,61,0)+VLOOKUP(B:B,奖励标准!A:BJ,62,0)*VLOOKUP(B:B,录入表!B:BL,63,0),0)</f>
        <v>0</v>
      </c>
      <c r="AA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" s="82">
        <f>ROUND(VLOOKUP(B:B,录入表!B:CV,98,0)*VLOOKUP(B:B,奖励标准!A:CT,97,0)+VLOOKUP(B:B,奖励标准!A:CU,98,0)*VLOOKUP(B:B,录入表!B:CV,99,0),0)</f>
        <v>0</v>
      </c>
      <c r="AG7" s="82">
        <f>ROUND(VLOOKUP(B:B,录入表!B:CT,96,0)*VLOOKUP(B:B,奖励标准!A:CR,95,0)+VLOOKUP(B:B,录入表!B:CT,97,0)*VLOOKUP(B:B,奖励标准!A:CR,96,0),0)</f>
        <v>0</v>
      </c>
      <c r="AH7" s="28">
        <f>ROUND(VLOOKUP(B:B,录入表!B:CW,100,0)*VLOOKUP(科室绩效工资核算1!B:B,奖励标准!A:L,11,0),0)</f>
        <v>0</v>
      </c>
      <c r="AI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" s="3">
        <f>ROUND(VLOOKUP(科室绩效工资核算1!B:B,录入表!B:O,14,0)*VLOOKUP(科室绩效工资核算1!B:B,奖励标准!A:M,13,0),0)</f>
        <v>14733</v>
      </c>
      <c r="AK7" s="3">
        <f>ROUND(VLOOKUP(科室绩效工资核算1!B:B,录入表!B:P,15,0)*VLOOKUP(科室绩效工资核算1!B:B,奖励标准!A:N,14,0),0)</f>
        <v>3960</v>
      </c>
      <c r="AL7" s="3">
        <f>ROUND(VLOOKUP(科室绩效工资核算1!B:B,录入表!B:P,15,0)*VLOOKUP(科室绩效工资核算1!B:B,奖励标准!A:AU,47,0),0)</f>
        <v>3300</v>
      </c>
      <c r="AM7" s="3">
        <f t="shared" si="1"/>
        <v>21993</v>
      </c>
      <c r="AN7" s="3">
        <f t="shared" si="0"/>
        <v>71912</v>
      </c>
      <c r="AP7" s="44" t="s">
        <v>55</v>
      </c>
      <c r="AQ7" s="45">
        <f>ROUND(AQ6*AQ5,2)</f>
        <v>1539.68</v>
      </c>
    </row>
    <row r="8" spans="2:43" ht="12.5" customHeight="1" x14ac:dyDescent="0.25">
      <c r="B8" s="73" t="s">
        <v>82</v>
      </c>
      <c r="C8" s="3">
        <f>ROUND(VLOOKUP(B:B,录入表!B:F,5,0)/VLOOKUP(科室绩效工资核算1!B:B,奖励标准!A:B,2,0)*VLOOKUP(B:B,奖励标准!A:C,3,0),0)</f>
        <v>9359</v>
      </c>
      <c r="D8" s="3">
        <f>ROUND(VLOOKUP(B:B,录入表!B:G,6,0)/VLOOKUP(科室绩效工资核算1!B:B,奖励标准!A:D,4,0)*VLOOKUP(B:B,奖励标准!A:E,5,0),0)</f>
        <v>20716</v>
      </c>
      <c r="E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" s="3">
        <f>ROUND(VLOOKUP(B:B,录入表!B:AT,45,0)*VLOOKUP(科室绩效工资核算1!B:B,奖励标准!A:AR,44,0),0)</f>
        <v>0</v>
      </c>
      <c r="G8" s="3">
        <f>ROUND((VLOOKUP(B:B,录入表!B:W,22,0)+VLOOKUP(B:B,录入表!B:X,23,0))*VLOOKUP(B:B,奖励标准!A:AS,45,0),0)</f>
        <v>0</v>
      </c>
      <c r="H8" s="3">
        <f>ROUND(VLOOKUP(B:B,录入表!B:H,7,0)*VLOOKUP(B:B,奖励标准!A:F,6,0),0)</f>
        <v>2960</v>
      </c>
      <c r="I8" s="3">
        <f>ROUND(VLOOKUP(B:B,录入表!B:I,8,0)*VLOOKUP(B:B,奖励标准!A:G,7,0),0)</f>
        <v>1230</v>
      </c>
      <c r="J8" s="3">
        <f>ROUND(VLOOKUP(B:B,录入表!B:J,9,0)*VLOOKUP(B:B,奖励标准!A:H,8,0),0)</f>
        <v>1751</v>
      </c>
      <c r="K8" s="3">
        <f>ROUND(VLOOKUP(B:B,录入表!B:Q,16,0)*VLOOKUP(科室绩效工资核算1!B:B,奖励标准!A:O,15,0),0)</f>
        <v>0</v>
      </c>
      <c r="L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" s="3">
        <f>ROUND(VLOOKUP(科室绩效工资核算1!B:B,录入表!B:AB,27,0)*VLOOKUP(科室绩效工资核算1!B:B,奖励标准!A:Z,26,0),0)</f>
        <v>0</v>
      </c>
      <c r="N8" s="3">
        <f>ROUND(VLOOKUP(B:B,录入表!B:AW,48,0)*VLOOKUP(B:B,奖励标准!A:AT,46,0),0)</f>
        <v>0</v>
      </c>
      <c r="O8" s="3">
        <f>ROUND(VLOOKUP(科室绩效工资核算1!B:B,录入表!B:AA,26,0)*VLOOKUP(B:B,奖励标准!A:Y,25,0),0)</f>
        <v>218</v>
      </c>
      <c r="P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" s="3">
        <f>ROUND(VLOOKUP(B:B,录入表!B:AL,37,0)*VLOOKUP(B:B,奖励标准!A:AJ,36,0)+ROUND(VLOOKUP(B:B,录入表!B:AM,38,0)*VLOOKUP(B:B,奖励标准!A:AK,37,0),0),0)</f>
        <v>0</v>
      </c>
      <c r="R8" s="3">
        <f>ROUND(VLOOKUP(B:B,录入表!B:AN,39,0)*VLOOKUP(B:B,奖励标准!A:AL,38,0)+VLOOKUP(B:B,录入表!B:AO,40,0)*VLOOKUP(B:B,奖励标准!A:AM,39,0),0)</f>
        <v>0</v>
      </c>
      <c r="S8" s="3">
        <f>ROUND(((VLOOKUP(B:B,录入表!B:C,2,0)+VLOOKUP(B:B,录入表!B:E,4,0))*VLOOKUP(B:B,奖励标准!A:CU,99,0)),0)</f>
        <v>7</v>
      </c>
      <c r="T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2668</v>
      </c>
      <c r="U8" s="3">
        <f>ROUND(VLOOKUP(科室绩效工资核算1!B:B,录入表!B:AU,46,0)*VLOOKUP(B:B,奖励标准!A:CV,100,0),0)</f>
        <v>0</v>
      </c>
      <c r="V8" s="3">
        <f>ROUND(VLOOKUP(科室绩效工资核算1!B:B,录入表!B:AV,47,0)*VLOOKUP(B:B,奖励标准!A:CW,101,0),0)</f>
        <v>0</v>
      </c>
      <c r="W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" s="28">
        <f>ROUND(VLOOKUP(B:B,录入表!B:BF,56,0)*VLOOKUP(B:B,奖励标准!A:BD,55,0)+VLOOKUP(B:B,录入表!B:BF,57,0)*VLOOKUP(B:B,奖励标准!A:BD,56,0),0)</f>
        <v>0</v>
      </c>
      <c r="Y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" s="28">
        <f>ROUND(VLOOKUP(B:B,录入表!B:BL,62,0)*VLOOKUP(B:B,奖励标准!A:BJ,61,0)+VLOOKUP(B:B,奖励标准!A:BJ,62,0)*VLOOKUP(B:B,录入表!B:BL,63,0),0)</f>
        <v>0</v>
      </c>
      <c r="AA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" s="82">
        <f>ROUND(VLOOKUP(B:B,录入表!B:CV,98,0)*VLOOKUP(B:B,奖励标准!A:CT,97,0)+VLOOKUP(B:B,奖励标准!A:CU,98,0)*VLOOKUP(B:B,录入表!B:CV,99,0),0)</f>
        <v>0</v>
      </c>
      <c r="AG8" s="82">
        <f>ROUND(VLOOKUP(B:B,录入表!B:CT,96,0)*VLOOKUP(B:B,奖励标准!A:CR,95,0)+VLOOKUP(B:B,录入表!B:CT,97,0)*VLOOKUP(B:B,奖励标准!A:CR,96,0),0)</f>
        <v>0</v>
      </c>
      <c r="AH8" s="28">
        <f>ROUND(VLOOKUP(B:B,录入表!B:CW,100,0)*VLOOKUP(科室绩效工资核算1!B:B,奖励标准!A:L,11,0),0)</f>
        <v>0</v>
      </c>
      <c r="AI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" s="3">
        <f>ROUND(VLOOKUP(科室绩效工资核算1!B:B,录入表!B:O,14,0)*VLOOKUP(科室绩效工资核算1!B:B,奖励标准!A:M,13,0),0)</f>
        <v>0</v>
      </c>
      <c r="AK8" s="3">
        <f>ROUND(VLOOKUP(科室绩效工资核算1!B:B,录入表!B:P,15,0)*VLOOKUP(科室绩效工资核算1!B:B,奖励标准!A:N,14,0),0)</f>
        <v>0</v>
      </c>
      <c r="AL8" s="3">
        <f>ROUND(VLOOKUP(科室绩效工资核算1!B:B,录入表!B:P,15,0)*VLOOKUP(科室绩效工资核算1!B:B,奖励标准!A:AU,47,0),0)</f>
        <v>0</v>
      </c>
      <c r="AM8" s="3">
        <f t="shared" si="1"/>
        <v>0</v>
      </c>
      <c r="AN8" s="3">
        <f t="shared" si="0"/>
        <v>38909</v>
      </c>
      <c r="AP8" s="44" t="s">
        <v>99</v>
      </c>
      <c r="AQ8" s="66">
        <f>科室绩效工资核算2!U88+中层绩效!V123+科室绩效工资核算1!AM88</f>
        <v>2038196.4425423881</v>
      </c>
    </row>
    <row r="9" spans="2:43" ht="12.5" customHeight="1" x14ac:dyDescent="0.25">
      <c r="B9" s="73" t="s">
        <v>83</v>
      </c>
      <c r="C9" s="3">
        <f>ROUND(VLOOKUP(B:B,录入表!B:F,5,0)/VLOOKUP(科室绩效工资核算1!B:B,奖励标准!A:B,2,0)*VLOOKUP(B:B,奖励标准!A:C,3,0),0)</f>
        <v>8261</v>
      </c>
      <c r="D9" s="3">
        <f>ROUND(VLOOKUP(B:B,录入表!B:G,6,0)/VLOOKUP(科室绩效工资核算1!B:B,奖励标准!A:D,4,0)*VLOOKUP(B:B,奖励标准!A:E,5,0),0)</f>
        <v>19118</v>
      </c>
      <c r="E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9" s="3">
        <f>ROUND(VLOOKUP(B:B,录入表!B:AT,45,0)*VLOOKUP(科室绩效工资核算1!B:B,奖励标准!A:AR,44,0),0)</f>
        <v>0</v>
      </c>
      <c r="G9" s="3">
        <f>ROUND((VLOOKUP(B:B,录入表!B:W,22,0)+VLOOKUP(B:B,录入表!B:X,23,0))*VLOOKUP(B:B,奖励标准!A:AS,45,0),0)</f>
        <v>0</v>
      </c>
      <c r="H9" s="3">
        <f>ROUND(VLOOKUP(B:B,录入表!B:H,7,0)*VLOOKUP(B:B,奖励标准!A:F,6,0),0)</f>
        <v>2440</v>
      </c>
      <c r="I9" s="3">
        <f>ROUND(VLOOKUP(B:B,录入表!B:I,8,0)*VLOOKUP(B:B,奖励标准!A:G,7,0),0)</f>
        <v>1040</v>
      </c>
      <c r="J9" s="3">
        <f>ROUND(VLOOKUP(B:B,录入表!B:J,9,0)*VLOOKUP(B:B,奖励标准!A:H,8,0),0)</f>
        <v>992</v>
      </c>
      <c r="K9" s="3">
        <f>ROUND(VLOOKUP(B:B,录入表!B:Q,16,0)*VLOOKUP(科室绩效工资核算1!B:B,奖励标准!A:O,15,0),0)</f>
        <v>0</v>
      </c>
      <c r="L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9" s="3">
        <f>ROUND(VLOOKUP(科室绩效工资核算1!B:B,录入表!B:AB,27,0)*VLOOKUP(科室绩效工资核算1!B:B,奖励标准!A:Z,26,0),0)</f>
        <v>0</v>
      </c>
      <c r="N9" s="3">
        <f>ROUND(VLOOKUP(B:B,录入表!B:AW,48,0)*VLOOKUP(B:B,奖励标准!A:AT,46,0),0)</f>
        <v>0</v>
      </c>
      <c r="O9" s="3">
        <f>ROUND(VLOOKUP(科室绩效工资核算1!B:B,录入表!B:AA,26,0)*VLOOKUP(B:B,奖励标准!A:Y,25,0),0)</f>
        <v>256</v>
      </c>
      <c r="P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9" s="3">
        <f>ROUND(VLOOKUP(B:B,录入表!B:AL,37,0)*VLOOKUP(B:B,奖励标准!A:AJ,36,0)+ROUND(VLOOKUP(B:B,录入表!B:AM,38,0)*VLOOKUP(B:B,奖励标准!A:AK,37,0),0),0)</f>
        <v>0</v>
      </c>
      <c r="R9" s="3">
        <f>ROUND(VLOOKUP(B:B,录入表!B:AN,39,0)*VLOOKUP(B:B,奖励标准!A:AL,38,0)+VLOOKUP(B:B,录入表!B:AO,40,0)*VLOOKUP(B:B,奖励标准!A:AM,39,0),0)</f>
        <v>0</v>
      </c>
      <c r="S9" s="3">
        <f>ROUND(((VLOOKUP(B:B,录入表!B:C,2,0)+VLOOKUP(B:B,录入表!B:E,4,0))*VLOOKUP(B:B,奖励标准!A:CU,99,0)),0)</f>
        <v>0</v>
      </c>
      <c r="T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1715</v>
      </c>
      <c r="U9" s="3">
        <f>ROUND(VLOOKUP(科室绩效工资核算1!B:B,录入表!B:AU,46,0)*VLOOKUP(B:B,奖励标准!A:CV,100,0),0)</f>
        <v>0</v>
      </c>
      <c r="V9" s="3">
        <f>ROUND(VLOOKUP(科室绩效工资核算1!B:B,录入表!B:AV,47,0)*VLOOKUP(B:B,奖励标准!A:CW,101,0),0)</f>
        <v>0</v>
      </c>
      <c r="W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9" s="28">
        <f>ROUND(VLOOKUP(B:B,录入表!B:BF,56,0)*VLOOKUP(B:B,奖励标准!A:BD,55,0)+VLOOKUP(B:B,录入表!B:BF,57,0)*VLOOKUP(B:B,奖励标准!A:BD,56,0),0)</f>
        <v>0</v>
      </c>
      <c r="Y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9" s="28">
        <f>ROUND(VLOOKUP(B:B,录入表!B:BL,62,0)*VLOOKUP(B:B,奖励标准!A:BJ,61,0)+VLOOKUP(B:B,奖励标准!A:BJ,62,0)*VLOOKUP(B:B,录入表!B:BL,63,0),0)</f>
        <v>0</v>
      </c>
      <c r="AA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9" s="82">
        <f>ROUND(VLOOKUP(B:B,录入表!B:CV,98,0)*VLOOKUP(B:B,奖励标准!A:CT,97,0)+VLOOKUP(B:B,奖励标准!A:CU,98,0)*VLOOKUP(B:B,录入表!B:CV,99,0),0)</f>
        <v>0</v>
      </c>
      <c r="AG9" s="82">
        <f>ROUND(VLOOKUP(B:B,录入表!B:CT,96,0)*VLOOKUP(B:B,奖励标准!A:CR,95,0)+VLOOKUP(B:B,录入表!B:CT,97,0)*VLOOKUP(B:B,奖励标准!A:CR,96,0),0)</f>
        <v>0</v>
      </c>
      <c r="AH9" s="28">
        <f>ROUND(VLOOKUP(B:B,录入表!B:CW,100,0)*VLOOKUP(科室绩效工资核算1!B:B,奖励标准!A:L,11,0),0)</f>
        <v>0</v>
      </c>
      <c r="AI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9" s="3">
        <f>ROUND(VLOOKUP(科室绩效工资核算1!B:B,录入表!B:O,14,0)*VLOOKUP(科室绩效工资核算1!B:B,奖励标准!A:M,13,0),0)</f>
        <v>0</v>
      </c>
      <c r="AK9" s="3">
        <f>ROUND(VLOOKUP(科室绩效工资核算1!B:B,录入表!B:P,15,0)*VLOOKUP(科室绩效工资核算1!B:B,奖励标准!A:N,14,0),0)</f>
        <v>0</v>
      </c>
      <c r="AL9" s="3">
        <f>ROUND(VLOOKUP(科室绩效工资核算1!B:B,录入表!B:P,15,0)*VLOOKUP(科室绩效工资核算1!B:B,奖励标准!A:AU,47,0),0)</f>
        <v>0</v>
      </c>
      <c r="AM9" s="3">
        <f t="shared" si="1"/>
        <v>0</v>
      </c>
      <c r="AN9" s="3">
        <f t="shared" si="0"/>
        <v>33822</v>
      </c>
      <c r="AP9" s="47" t="s">
        <v>98</v>
      </c>
      <c r="AQ9" s="48">
        <f>AQ8/AQ3</f>
        <v>0.21846851623648561</v>
      </c>
    </row>
    <row r="10" spans="2:43" ht="12.5" customHeight="1" x14ac:dyDescent="0.25">
      <c r="B10" s="73" t="s">
        <v>109</v>
      </c>
      <c r="C10" s="3">
        <f>ROUND(VLOOKUP(B:B,录入表!B:F,5,0)/VLOOKUP(科室绩效工资核算1!B:B,奖励标准!A:B,2,0)*VLOOKUP(B:B,奖励标准!A:C,3,0),0)</f>
        <v>4047</v>
      </c>
      <c r="D10" s="3">
        <f>ROUND(VLOOKUP(B:B,录入表!B:G,6,0)/VLOOKUP(科室绩效工资核算1!B:B,奖励标准!A:D,4,0)*VLOOKUP(B:B,奖励标准!A:E,5,0),0)</f>
        <v>15535</v>
      </c>
      <c r="E1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0" s="3">
        <f>ROUND(VLOOKUP(B:B,录入表!B:AT,45,0)*VLOOKUP(科室绩效工资核算1!B:B,奖励标准!A:AR,44,0),0)</f>
        <v>0</v>
      </c>
      <c r="G10" s="3">
        <f>ROUND((VLOOKUP(B:B,录入表!B:W,22,0)+VLOOKUP(B:B,录入表!B:X,23,0))*VLOOKUP(B:B,奖励标准!A:AS,45,0),0)</f>
        <v>0</v>
      </c>
      <c r="H10" s="3">
        <f>ROUND(VLOOKUP(B:B,录入表!B:H,7,0)*VLOOKUP(B:B,奖励标准!A:F,6,0),0)</f>
        <v>2120</v>
      </c>
      <c r="I10" s="3">
        <f>ROUND(VLOOKUP(B:B,录入表!B:I,8,0)*VLOOKUP(B:B,奖励标准!A:G,7,0),0)</f>
        <v>940</v>
      </c>
      <c r="J10" s="3">
        <f>ROUND(VLOOKUP(B:B,录入表!B:J,9,0)*VLOOKUP(B:B,奖励标准!A:H,8,0),0)</f>
        <v>383</v>
      </c>
      <c r="K10" s="3">
        <f>ROUND(VLOOKUP(B:B,录入表!B:Q,16,0)*VLOOKUP(科室绩效工资核算1!B:B,奖励标准!A:O,15,0),0)</f>
        <v>0</v>
      </c>
      <c r="L1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0" s="3">
        <f>ROUND(VLOOKUP(科室绩效工资核算1!B:B,录入表!B:AB,27,0)*VLOOKUP(科室绩效工资核算1!B:B,奖励标准!A:Z,26,0),0)</f>
        <v>0</v>
      </c>
      <c r="N10" s="3">
        <f>ROUND(VLOOKUP(B:B,录入表!B:AW,48,0)*VLOOKUP(B:B,奖励标准!A:AT,46,0),0)</f>
        <v>0</v>
      </c>
      <c r="O10" s="3">
        <f>ROUND(VLOOKUP(科室绩效工资核算1!B:B,录入表!B:AA,26,0)*VLOOKUP(B:B,奖励标准!A:Y,25,0),0)</f>
        <v>208</v>
      </c>
      <c r="P1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0" s="3">
        <f>ROUND(VLOOKUP(B:B,录入表!B:AL,37,0)*VLOOKUP(B:B,奖励标准!A:AJ,36,0)+ROUND(VLOOKUP(B:B,录入表!B:AM,38,0)*VLOOKUP(B:B,奖励标准!A:AK,37,0),0),0)</f>
        <v>0</v>
      </c>
      <c r="R10" s="3">
        <f>ROUND(VLOOKUP(B:B,录入表!B:AN,39,0)*VLOOKUP(B:B,奖励标准!A:AL,38,0)+VLOOKUP(B:B,录入表!B:AO,40,0)*VLOOKUP(B:B,奖励标准!A:AM,39,0),0)</f>
        <v>0</v>
      </c>
      <c r="S10" s="3">
        <f>ROUND(((VLOOKUP(B:B,录入表!B:C,2,0)+VLOOKUP(B:B,录入表!B:E,4,0))*VLOOKUP(B:B,奖励标准!A:CU,99,0)),0)</f>
        <v>0</v>
      </c>
      <c r="T1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1964</v>
      </c>
      <c r="U10" s="3">
        <f>ROUND(VLOOKUP(科室绩效工资核算1!B:B,录入表!B:AU,46,0)*VLOOKUP(B:B,奖励标准!A:CV,100,0),0)</f>
        <v>0</v>
      </c>
      <c r="V10" s="3">
        <f>ROUND(VLOOKUP(科室绩效工资核算1!B:B,录入表!B:AV,47,0)*VLOOKUP(B:B,奖励标准!A:CW,101,0),0)</f>
        <v>0</v>
      </c>
      <c r="W1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0" s="28">
        <f>ROUND(VLOOKUP(B:B,录入表!B:BF,56,0)*VLOOKUP(B:B,奖励标准!A:BD,55,0)+VLOOKUP(B:B,录入表!B:BF,57,0)*VLOOKUP(B:B,奖励标准!A:BD,56,0),0)</f>
        <v>0</v>
      </c>
      <c r="Y1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0" s="28">
        <f>ROUND(VLOOKUP(B:B,录入表!B:BL,62,0)*VLOOKUP(B:B,奖励标准!A:BJ,61,0)+VLOOKUP(B:B,奖励标准!A:BJ,62,0)*VLOOKUP(B:B,录入表!B:BL,63,0),0)</f>
        <v>0</v>
      </c>
      <c r="AA1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0" s="82">
        <f>ROUND(VLOOKUP(B:B,录入表!B:CV,98,0)*VLOOKUP(B:B,奖励标准!A:CT,97,0)+VLOOKUP(B:B,奖励标准!A:CU,98,0)*VLOOKUP(B:B,录入表!B:CV,99,0),0)</f>
        <v>0</v>
      </c>
      <c r="AG10" s="82">
        <f>ROUND(VLOOKUP(B:B,录入表!B:CT,96,0)*VLOOKUP(B:B,奖励标准!A:CR,95,0)+VLOOKUP(B:B,录入表!B:CT,97,0)*VLOOKUP(B:B,奖励标准!A:CR,96,0),0)</f>
        <v>0</v>
      </c>
      <c r="AH10" s="28">
        <f>ROUND(VLOOKUP(B:B,录入表!B:CW,100,0)*VLOOKUP(科室绩效工资核算1!B:B,奖励标准!A:L,11,0),0)</f>
        <v>0</v>
      </c>
      <c r="AI1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0" s="3">
        <f>ROUND(VLOOKUP(科室绩效工资核算1!B:B,录入表!B:O,14,0)*VLOOKUP(科室绩效工资核算1!B:B,奖励标准!A:M,13,0),0)</f>
        <v>0</v>
      </c>
      <c r="AK10" s="3">
        <f>ROUND(VLOOKUP(科室绩效工资核算1!B:B,录入表!B:P,15,0)*VLOOKUP(科室绩效工资核算1!B:B,奖励标准!A:N,14,0),0)</f>
        <v>0</v>
      </c>
      <c r="AL10" s="3">
        <f>ROUND(VLOOKUP(科室绩效工资核算1!B:B,录入表!B:P,15,0)*VLOOKUP(科室绩效工资核算1!B:B,奖励标准!A:AU,47,0),0)</f>
        <v>0</v>
      </c>
      <c r="AM10" s="3">
        <f t="shared" si="1"/>
        <v>0</v>
      </c>
      <c r="AN10" s="3">
        <f t="shared" si="0"/>
        <v>25197</v>
      </c>
      <c r="AP10" s="47" t="s">
        <v>76</v>
      </c>
      <c r="AQ10" s="48">
        <f>ROUND((AQ3*23.5%)/AQ8,4)</f>
        <v>1.0757000000000001</v>
      </c>
    </row>
    <row r="11" spans="2:43" ht="12.5" customHeight="1" x14ac:dyDescent="0.25">
      <c r="B11" s="73" t="s">
        <v>84</v>
      </c>
      <c r="C11" s="3">
        <f>ROUND(VLOOKUP(B:B,录入表!B:F,5,0)/VLOOKUP(科室绩效工资核算1!B:B,奖励标准!A:B,2,0)*VLOOKUP(B:B,奖励标准!A:C,3,0),0)</f>
        <v>5530</v>
      </c>
      <c r="D11" s="3">
        <f>ROUND(VLOOKUP(B:B,录入表!B:G,6,0)/VLOOKUP(科室绩效工资核算1!B:B,奖励标准!A:D,4,0)*VLOOKUP(B:B,奖励标准!A:E,5,0),0)</f>
        <v>25692</v>
      </c>
      <c r="E1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1" s="3">
        <f>ROUND(VLOOKUP(B:B,录入表!B:AT,45,0)*VLOOKUP(科室绩效工资核算1!B:B,奖励标准!A:AR,44,0),0)</f>
        <v>0</v>
      </c>
      <c r="G11" s="3">
        <f>ROUND((VLOOKUP(B:B,录入表!B:W,22,0)+VLOOKUP(B:B,录入表!B:X,23,0))*VLOOKUP(B:B,奖励标准!A:AS,45,0),0)</f>
        <v>0</v>
      </c>
      <c r="H11" s="3">
        <f>ROUND(VLOOKUP(B:B,录入表!B:H,7,0)*VLOOKUP(B:B,奖励标准!A:F,6,0),0)</f>
        <v>5480</v>
      </c>
      <c r="I11" s="3">
        <f>ROUND(VLOOKUP(B:B,录入表!B:I,8,0)*VLOOKUP(B:B,奖励标准!A:G,7,0),0)</f>
        <v>3270</v>
      </c>
      <c r="J11" s="3">
        <f>ROUND(VLOOKUP(B:B,录入表!B:J,9,0)*VLOOKUP(B:B,奖励标准!A:H,8,0),0)</f>
        <v>627</v>
      </c>
      <c r="K11" s="3">
        <f>ROUND(VLOOKUP(B:B,录入表!B:Q,16,0)*VLOOKUP(科室绩效工资核算1!B:B,奖励标准!A:O,15,0),0)</f>
        <v>0</v>
      </c>
      <c r="L1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1" s="3">
        <f>ROUND(VLOOKUP(科室绩效工资核算1!B:B,录入表!B:AB,27,0)*VLOOKUP(科室绩效工资核算1!B:B,奖励标准!A:Z,26,0),0)</f>
        <v>0</v>
      </c>
      <c r="N11" s="3">
        <f>ROUND(VLOOKUP(B:B,录入表!B:AW,48,0)*VLOOKUP(B:B,奖励标准!A:AT,46,0),0)</f>
        <v>0</v>
      </c>
      <c r="O11" s="3">
        <f>ROUND(VLOOKUP(科室绩效工资核算1!B:B,录入表!B:AA,26,0)*VLOOKUP(B:B,奖励标准!A:Y,25,0),0)</f>
        <v>13</v>
      </c>
      <c r="P1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1" s="3">
        <f>ROUND(VLOOKUP(B:B,录入表!B:AL,37,0)*VLOOKUP(B:B,奖励标准!A:AJ,36,0)+ROUND(VLOOKUP(B:B,录入表!B:AM,38,0)*VLOOKUP(B:B,奖励标准!A:AK,37,0),0),0)</f>
        <v>2564</v>
      </c>
      <c r="R11" s="3">
        <f>ROUND(VLOOKUP(B:B,录入表!B:AN,39,0)*VLOOKUP(B:B,奖励标准!A:AL,38,0)+VLOOKUP(B:B,录入表!B:AO,40,0)*VLOOKUP(B:B,奖励标准!A:AM,39,0),0)</f>
        <v>8456</v>
      </c>
      <c r="S11" s="3">
        <f>ROUND(((VLOOKUP(B:B,录入表!B:C,2,0)+VLOOKUP(B:B,录入表!B:E,4,0))*VLOOKUP(B:B,奖励标准!A:CU,99,0)),0)</f>
        <v>0</v>
      </c>
      <c r="T1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3424</v>
      </c>
      <c r="U11" s="3">
        <f>ROUND(VLOOKUP(科室绩效工资核算1!B:B,录入表!B:AU,46,0)*VLOOKUP(B:B,奖励标准!A:CV,100,0),0)</f>
        <v>0</v>
      </c>
      <c r="V11" s="3">
        <f>ROUND(VLOOKUP(科室绩效工资核算1!B:B,录入表!B:AV,47,0)*VLOOKUP(B:B,奖励标准!A:CW,101,0),0)</f>
        <v>0</v>
      </c>
      <c r="W1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1" s="28">
        <f>ROUND(VLOOKUP(B:B,录入表!B:BF,56,0)*VLOOKUP(B:B,奖励标准!A:BD,55,0)+VLOOKUP(B:B,录入表!B:BF,57,0)*VLOOKUP(B:B,奖励标准!A:BD,56,0),0)</f>
        <v>0</v>
      </c>
      <c r="Y1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1" s="28">
        <f>ROUND(VLOOKUP(B:B,录入表!B:BL,62,0)*VLOOKUP(B:B,奖励标准!A:BJ,61,0)+VLOOKUP(B:B,奖励标准!A:BJ,62,0)*VLOOKUP(B:B,录入表!B:BL,63,0),0)</f>
        <v>0</v>
      </c>
      <c r="AA1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1" s="82">
        <f>ROUND(VLOOKUP(B:B,录入表!B:CV,98,0)*VLOOKUP(B:B,奖励标准!A:CT,97,0)+VLOOKUP(B:B,奖励标准!A:CU,98,0)*VLOOKUP(B:B,录入表!B:CV,99,0),0)</f>
        <v>0</v>
      </c>
      <c r="AG11" s="82">
        <f>ROUND(VLOOKUP(B:B,录入表!B:CT,96,0)*VLOOKUP(B:B,奖励标准!A:CR,95,0)+VLOOKUP(B:B,录入表!B:CT,97,0)*VLOOKUP(B:B,奖励标准!A:CR,96,0),0)</f>
        <v>0</v>
      </c>
      <c r="AH11" s="28">
        <f>ROUND(VLOOKUP(B:B,录入表!B:CW,100,0)*VLOOKUP(科室绩效工资核算1!B:B,奖励标准!A:L,11,0),0)</f>
        <v>0</v>
      </c>
      <c r="AI1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1" s="3">
        <f>ROUND(VLOOKUP(科室绩效工资核算1!B:B,录入表!B:O,14,0)*VLOOKUP(科室绩效工资核算1!B:B,奖励标准!A:M,13,0),0)</f>
        <v>0</v>
      </c>
      <c r="AK11" s="3">
        <f>ROUND(VLOOKUP(科室绩效工资核算1!B:B,录入表!B:P,15,0)*VLOOKUP(科室绩效工资核算1!B:B,奖励标准!A:N,14,0),0)</f>
        <v>0</v>
      </c>
      <c r="AL11" s="3">
        <f>ROUND(VLOOKUP(科室绩效工资核算1!B:B,录入表!B:P,15,0)*VLOOKUP(科室绩效工资核算1!B:B,奖励标准!A:AU,47,0),0)</f>
        <v>0</v>
      </c>
      <c r="AM11" s="3">
        <f t="shared" si="1"/>
        <v>0</v>
      </c>
      <c r="AN11" s="3">
        <f t="shared" si="0"/>
        <v>55056</v>
      </c>
      <c r="AP11" s="47" t="s">
        <v>56</v>
      </c>
      <c r="AQ11" s="49">
        <f>绩效明细表!AB81</f>
        <v>2187130.383510048</v>
      </c>
    </row>
    <row r="12" spans="2:43" ht="12.5" customHeight="1" x14ac:dyDescent="0.25">
      <c r="B12" s="73" t="s">
        <v>85</v>
      </c>
      <c r="C12" s="3">
        <f>ROUND(VLOOKUP(B:B,录入表!B:F,5,0)/VLOOKUP(科室绩效工资核算1!B:B,奖励标准!A:B,2,0)*VLOOKUP(B:B,奖励标准!A:C,3,0),0)</f>
        <v>3911</v>
      </c>
      <c r="D12" s="3">
        <f>ROUND(VLOOKUP(B:B,录入表!B:G,6,0)/VLOOKUP(科室绩效工资核算1!B:B,奖励标准!A:D,4,0)*VLOOKUP(B:B,奖励标准!A:E,5,0),0)</f>
        <v>19352</v>
      </c>
      <c r="E1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2" s="3">
        <f>ROUND(VLOOKUP(B:B,录入表!B:AT,45,0)*VLOOKUP(科室绩效工资核算1!B:B,奖励标准!A:AR,44,0),0)</f>
        <v>0</v>
      </c>
      <c r="G12" s="3">
        <f>ROUND((VLOOKUP(B:B,录入表!B:W,22,0)+VLOOKUP(B:B,录入表!B:X,23,0))*VLOOKUP(B:B,奖励标准!A:AS,45,0),0)</f>
        <v>0</v>
      </c>
      <c r="H12" s="3">
        <f>ROUND(VLOOKUP(B:B,录入表!B:H,7,0)*VLOOKUP(B:B,奖励标准!A:F,6,0),0)</f>
        <v>4680</v>
      </c>
      <c r="I12" s="3">
        <f>ROUND(VLOOKUP(B:B,录入表!B:I,8,0)*VLOOKUP(B:B,奖励标准!A:G,7,0),0)</f>
        <v>2850</v>
      </c>
      <c r="J12" s="3">
        <f>ROUND(VLOOKUP(B:B,录入表!B:J,9,0)*VLOOKUP(B:B,奖励标准!A:H,8,0),0)</f>
        <v>452</v>
      </c>
      <c r="K12" s="3">
        <f>ROUND(VLOOKUP(B:B,录入表!B:Q,16,0)*VLOOKUP(科室绩效工资核算1!B:B,奖励标准!A:O,15,0),0)</f>
        <v>0</v>
      </c>
      <c r="L1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2" s="3">
        <f>ROUND(VLOOKUP(科室绩效工资核算1!B:B,录入表!B:AB,27,0)*VLOOKUP(科室绩效工资核算1!B:B,奖励标准!A:Z,26,0),0)</f>
        <v>0</v>
      </c>
      <c r="N12" s="3">
        <f>ROUND(VLOOKUP(B:B,录入表!B:AW,48,0)*VLOOKUP(B:B,奖励标准!A:AT,46,0),0)</f>
        <v>0</v>
      </c>
      <c r="O12" s="3">
        <f>ROUND(VLOOKUP(科室绩效工资核算1!B:B,录入表!B:AA,26,0)*VLOOKUP(B:B,奖励标准!A:Y,25,0),0)</f>
        <v>0</v>
      </c>
      <c r="P1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2" s="3">
        <f>ROUND(VLOOKUP(B:B,录入表!B:AL,37,0)*VLOOKUP(B:B,奖励标准!A:AJ,36,0)+ROUND(VLOOKUP(B:B,录入表!B:AM,38,0)*VLOOKUP(B:B,奖励标准!A:AK,37,0),0),0)</f>
        <v>0</v>
      </c>
      <c r="R12" s="3">
        <f>ROUND(VLOOKUP(B:B,录入表!B:AN,39,0)*VLOOKUP(B:B,奖励标准!A:AL,38,0)+VLOOKUP(B:B,录入表!B:AO,40,0)*VLOOKUP(B:B,奖励标准!A:AM,39,0),0)</f>
        <v>5817</v>
      </c>
      <c r="S12" s="3">
        <f>ROUND(((VLOOKUP(B:B,录入表!B:C,2,0)+VLOOKUP(B:B,录入表!B:E,4,0))*VLOOKUP(B:B,奖励标准!A:CU,99,0)),0)</f>
        <v>0</v>
      </c>
      <c r="T1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2834</v>
      </c>
      <c r="U12" s="3">
        <f>ROUND(VLOOKUP(科室绩效工资核算1!B:B,录入表!B:AU,46,0)*VLOOKUP(B:B,奖励标准!A:CV,100,0),0)</f>
        <v>0</v>
      </c>
      <c r="V12" s="3">
        <f>ROUND(VLOOKUP(科室绩效工资核算1!B:B,录入表!B:AV,47,0)*VLOOKUP(B:B,奖励标准!A:CW,101,0),0)</f>
        <v>0</v>
      </c>
      <c r="W1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2" s="28">
        <f>ROUND(VLOOKUP(B:B,录入表!B:BF,56,0)*VLOOKUP(B:B,奖励标准!A:BD,55,0)+VLOOKUP(B:B,录入表!B:BF,57,0)*VLOOKUP(B:B,奖励标准!A:BD,56,0),0)</f>
        <v>0</v>
      </c>
      <c r="Y1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2" s="28">
        <f>ROUND(VLOOKUP(B:B,录入表!B:BL,62,0)*VLOOKUP(B:B,奖励标准!A:BJ,61,0)+VLOOKUP(B:B,奖励标准!A:BJ,62,0)*VLOOKUP(B:B,录入表!B:BL,63,0),0)</f>
        <v>0</v>
      </c>
      <c r="AA1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2" s="82">
        <f>ROUND(VLOOKUP(B:B,录入表!B:CV,98,0)*VLOOKUP(B:B,奖励标准!A:CT,97,0)+VLOOKUP(B:B,奖励标准!A:CU,98,0)*VLOOKUP(B:B,录入表!B:CV,99,0),0)</f>
        <v>0</v>
      </c>
      <c r="AG12" s="82">
        <f>ROUND(VLOOKUP(B:B,录入表!B:CT,96,0)*VLOOKUP(B:B,奖励标准!A:CR,95,0)+VLOOKUP(B:B,录入表!B:CT,97,0)*VLOOKUP(B:B,奖励标准!A:CR,96,0),0)</f>
        <v>0</v>
      </c>
      <c r="AH12" s="28">
        <f>ROUND(VLOOKUP(B:B,录入表!B:CW,100,0)*VLOOKUP(科室绩效工资核算1!B:B,奖励标准!A:L,11,0),0)</f>
        <v>0</v>
      </c>
      <c r="AI1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2" s="3">
        <f>ROUND(VLOOKUP(科室绩效工资核算1!B:B,录入表!B:O,14,0)*VLOOKUP(科室绩效工资核算1!B:B,奖励标准!A:M,13,0),0)</f>
        <v>0</v>
      </c>
      <c r="AK12" s="3">
        <f>ROUND(VLOOKUP(科室绩效工资核算1!B:B,录入表!B:P,15,0)*VLOOKUP(科室绩效工资核算1!B:B,奖励标准!A:N,14,0),0)</f>
        <v>0</v>
      </c>
      <c r="AL12" s="3">
        <f>ROUND(VLOOKUP(科室绩效工资核算1!B:B,录入表!B:P,15,0)*VLOOKUP(科室绩效工资核算1!B:B,奖励标准!A:AU,47,0),0)</f>
        <v>0</v>
      </c>
      <c r="AM12" s="3">
        <f t="shared" si="1"/>
        <v>0</v>
      </c>
      <c r="AN12" s="3">
        <f t="shared" si="0"/>
        <v>39896</v>
      </c>
      <c r="AP12" s="47" t="s">
        <v>57</v>
      </c>
      <c r="AQ12" s="48">
        <f>AQ11/AQ3</f>
        <v>0.23443232444521295</v>
      </c>
    </row>
    <row r="13" spans="2:43" ht="12.5" customHeight="1" x14ac:dyDescent="0.25">
      <c r="B13" s="73" t="s">
        <v>86</v>
      </c>
      <c r="C13" s="3">
        <f>ROUND(VLOOKUP(B:B,录入表!B:F,5,0)/VLOOKUP(科室绩效工资核算1!B:B,奖励标准!A:B,2,0)*VLOOKUP(B:B,奖励标准!A:C,3,0),0)</f>
        <v>2060</v>
      </c>
      <c r="D13" s="3">
        <f>ROUND(VLOOKUP(B:B,录入表!B:G,6,0)/VLOOKUP(科室绩效工资核算1!B:B,奖励标准!A:D,4,0)*VLOOKUP(B:B,奖励标准!A:E,5,0),0)</f>
        <v>11090</v>
      </c>
      <c r="E1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3" s="3">
        <f>ROUND(VLOOKUP(B:B,录入表!B:AT,45,0)*VLOOKUP(科室绩效工资核算1!B:B,奖励标准!A:AR,44,0),0)</f>
        <v>0</v>
      </c>
      <c r="G13" s="3">
        <f>ROUND((VLOOKUP(B:B,录入表!B:W,22,0)+VLOOKUP(B:B,录入表!B:X,23,0))*VLOOKUP(B:B,奖励标准!A:AS,45,0),0)</f>
        <v>0</v>
      </c>
      <c r="H13" s="3">
        <f>ROUND(VLOOKUP(B:B,录入表!B:H,7,0)*VLOOKUP(B:B,奖励标准!A:F,6,0),0)</f>
        <v>2060</v>
      </c>
      <c r="I13" s="3">
        <f>ROUND(VLOOKUP(B:B,录入表!B:I,8,0)*VLOOKUP(B:B,奖励标准!A:G,7,0),0)</f>
        <v>2000</v>
      </c>
      <c r="J13" s="3">
        <f>ROUND(VLOOKUP(B:B,录入表!B:J,9,0)*VLOOKUP(B:B,奖励标准!A:H,8,0),0)</f>
        <v>285</v>
      </c>
      <c r="K13" s="3">
        <f>ROUND(VLOOKUP(B:B,录入表!B:Q,16,0)*VLOOKUP(科室绩效工资核算1!B:B,奖励标准!A:O,15,0),0)</f>
        <v>0</v>
      </c>
      <c r="L1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3" s="3">
        <f>ROUND(VLOOKUP(科室绩效工资核算1!B:B,录入表!B:AB,27,0)*VLOOKUP(科室绩效工资核算1!B:B,奖励标准!A:Z,26,0),0)</f>
        <v>0</v>
      </c>
      <c r="N13" s="3">
        <f>ROUND(VLOOKUP(B:B,录入表!B:AW,48,0)*VLOOKUP(B:B,奖励标准!A:AT,46,0),0)</f>
        <v>0</v>
      </c>
      <c r="O13" s="3">
        <f>ROUND(VLOOKUP(科室绩效工资核算1!B:B,录入表!B:AA,26,0)*VLOOKUP(B:B,奖励标准!A:Y,25,0),0)</f>
        <v>0</v>
      </c>
      <c r="P1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3" s="3">
        <f>ROUND(VLOOKUP(B:B,录入表!B:AL,37,0)*VLOOKUP(B:B,奖励标准!A:AJ,36,0)+ROUND(VLOOKUP(B:B,录入表!B:AM,38,0)*VLOOKUP(B:B,奖励标准!A:AK,37,0),0),0)</f>
        <v>2172</v>
      </c>
      <c r="R13" s="3">
        <f>ROUND(VLOOKUP(B:B,录入表!B:AN,39,0)*VLOOKUP(B:B,奖励标准!A:AL,38,0)+VLOOKUP(B:B,录入表!B:AO,40,0)*VLOOKUP(B:B,奖励标准!A:AM,39,0),0)</f>
        <v>0</v>
      </c>
      <c r="S13" s="3">
        <f>ROUND(((VLOOKUP(B:B,录入表!B:C,2,0)+VLOOKUP(B:B,录入表!B:E,4,0))*VLOOKUP(B:B,奖励标准!A:CU,99,0)),0)</f>
        <v>0</v>
      </c>
      <c r="T1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3693</v>
      </c>
      <c r="U13" s="3">
        <f>ROUND(VLOOKUP(科室绩效工资核算1!B:B,录入表!B:AU,46,0)*VLOOKUP(B:B,奖励标准!A:CV,100,0),0)</f>
        <v>0</v>
      </c>
      <c r="V13" s="3">
        <f>ROUND(VLOOKUP(科室绩效工资核算1!B:B,录入表!B:AV,47,0)*VLOOKUP(B:B,奖励标准!A:CW,101,0),0)</f>
        <v>0</v>
      </c>
      <c r="W1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3" s="28">
        <f>ROUND(VLOOKUP(B:B,录入表!B:BF,56,0)*VLOOKUP(B:B,奖励标准!A:BD,55,0)+VLOOKUP(B:B,录入表!B:BF,57,0)*VLOOKUP(B:B,奖励标准!A:BD,56,0),0)</f>
        <v>0</v>
      </c>
      <c r="Y1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3" s="28">
        <f>ROUND(VLOOKUP(B:B,录入表!B:BL,62,0)*VLOOKUP(B:B,奖励标准!A:BJ,61,0)+VLOOKUP(B:B,奖励标准!A:BJ,62,0)*VLOOKUP(B:B,录入表!B:BL,63,0),0)</f>
        <v>0</v>
      </c>
      <c r="AA1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3" s="82">
        <f>ROUND(VLOOKUP(B:B,录入表!B:CV,98,0)*VLOOKUP(B:B,奖励标准!A:CT,97,0)+VLOOKUP(B:B,奖励标准!A:CU,98,0)*VLOOKUP(B:B,录入表!B:CV,99,0),0)</f>
        <v>0</v>
      </c>
      <c r="AG13" s="82">
        <f>ROUND(VLOOKUP(B:B,录入表!B:CT,96,0)*VLOOKUP(B:B,奖励标准!A:CR,95,0)+VLOOKUP(B:B,录入表!B:CT,97,0)*VLOOKUP(B:B,奖励标准!A:CR,96,0),0)</f>
        <v>0</v>
      </c>
      <c r="AH13" s="28">
        <f>ROUND(VLOOKUP(B:B,录入表!B:CW,100,0)*VLOOKUP(科室绩效工资核算1!B:B,奖励标准!A:L,11,0),0)</f>
        <v>0</v>
      </c>
      <c r="AI1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3" s="3">
        <f>ROUND(VLOOKUP(科室绩效工资核算1!B:B,录入表!B:O,14,0)*VLOOKUP(科室绩效工资核算1!B:B,奖励标准!A:M,13,0),0)</f>
        <v>0</v>
      </c>
      <c r="AK13" s="3">
        <f>ROUND(VLOOKUP(科室绩效工资核算1!B:B,录入表!B:P,15,0)*VLOOKUP(科室绩效工资核算1!B:B,奖励标准!A:N,14,0),0)</f>
        <v>0</v>
      </c>
      <c r="AL13" s="3">
        <f>ROUND(VLOOKUP(科室绩效工资核算1!B:B,录入表!B:P,15,0)*VLOOKUP(科室绩效工资核算1!B:B,奖励标准!A:AU,47,0),0)</f>
        <v>0</v>
      </c>
      <c r="AM13" s="3">
        <f t="shared" si="1"/>
        <v>0</v>
      </c>
      <c r="AN13" s="3">
        <f t="shared" si="0"/>
        <v>23360</v>
      </c>
    </row>
    <row r="14" spans="2:43" ht="12.5" customHeight="1" x14ac:dyDescent="0.25">
      <c r="B14" s="73" t="s">
        <v>87</v>
      </c>
      <c r="C14" s="3">
        <f>ROUND(VLOOKUP(B:B,录入表!B:F,5,0)/VLOOKUP(科室绩效工资核算1!B:B,奖励标准!A:B,2,0)*VLOOKUP(B:B,奖励标准!A:C,3,0),0)</f>
        <v>5153</v>
      </c>
      <c r="D14" s="3">
        <f>ROUND(VLOOKUP(B:B,录入表!B:G,6,0)/VLOOKUP(科室绩效工资核算1!B:B,奖励标准!A:D,4,0)*VLOOKUP(B:B,奖励标准!A:E,5,0),0)</f>
        <v>10793</v>
      </c>
      <c r="E1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4" s="3">
        <f>ROUND(VLOOKUP(B:B,录入表!B:AT,45,0)*VLOOKUP(科室绩效工资核算1!B:B,奖励标准!A:AR,44,0),0)</f>
        <v>0</v>
      </c>
      <c r="G14" s="3">
        <f>ROUND((VLOOKUP(B:B,录入表!B:W,22,0)+VLOOKUP(B:B,录入表!B:X,23,0))*VLOOKUP(B:B,奖励标准!A:AS,45,0),0)</f>
        <v>0</v>
      </c>
      <c r="H14" s="3">
        <f>ROUND(VLOOKUP(B:B,录入表!B:H,7,0)*VLOOKUP(B:B,奖励标准!A:F,6,0),0)</f>
        <v>480</v>
      </c>
      <c r="I14" s="3">
        <f>ROUND(VLOOKUP(B:B,录入表!B:I,8,0)*VLOOKUP(B:B,奖励标准!A:G,7,0),0)</f>
        <v>290</v>
      </c>
      <c r="J14" s="3">
        <f>ROUND(VLOOKUP(B:B,录入表!B:J,9,0)*VLOOKUP(B:B,奖励标准!A:H,8,0),0)</f>
        <v>140</v>
      </c>
      <c r="K14" s="3">
        <f>ROUND(VLOOKUP(B:B,录入表!B:Q,16,0)*VLOOKUP(科室绩效工资核算1!B:B,奖励标准!A:O,15,0),0)</f>
        <v>0</v>
      </c>
      <c r="L1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4" s="3">
        <f>ROUND(VLOOKUP(科室绩效工资核算1!B:B,录入表!B:AB,27,0)*VLOOKUP(科室绩效工资核算1!B:B,奖励标准!A:Z,26,0),0)</f>
        <v>0</v>
      </c>
      <c r="N14" s="3">
        <f>ROUND(VLOOKUP(B:B,录入表!B:AW,48,0)*VLOOKUP(B:B,奖励标准!A:AT,46,0),0)</f>
        <v>0</v>
      </c>
      <c r="O14" s="3">
        <f>ROUND(VLOOKUP(科室绩效工资核算1!B:B,录入表!B:AA,26,0)*VLOOKUP(B:B,奖励标准!A:Y,25,0),0)</f>
        <v>51</v>
      </c>
      <c r="P1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4" s="3">
        <f>ROUND(VLOOKUP(B:B,录入表!B:AL,37,0)*VLOOKUP(B:B,奖励标准!A:AJ,36,0)+ROUND(VLOOKUP(B:B,录入表!B:AM,38,0)*VLOOKUP(B:B,奖励标准!A:AK,37,0),0),0)</f>
        <v>5970</v>
      </c>
      <c r="R14" s="3">
        <f>ROUND(VLOOKUP(B:B,录入表!B:AN,39,0)*VLOOKUP(B:B,奖励标准!A:AL,38,0)+VLOOKUP(B:B,录入表!B:AO,40,0)*VLOOKUP(B:B,奖励标准!A:AM,39,0),0)</f>
        <v>13142</v>
      </c>
      <c r="S14" s="3">
        <f>ROUND(((VLOOKUP(B:B,录入表!B:C,2,0)+VLOOKUP(B:B,录入表!B:E,4,0))*VLOOKUP(B:B,奖励标准!A:CU,99,0)),0)</f>
        <v>46</v>
      </c>
      <c r="T1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1045</v>
      </c>
      <c r="U14" s="3">
        <f>ROUND(VLOOKUP(科室绩效工资核算1!B:B,录入表!B:AU,46,0)*VLOOKUP(B:B,奖励标准!A:CV,100,0),0)</f>
        <v>0</v>
      </c>
      <c r="V14" s="3">
        <f>ROUND(VLOOKUP(科室绩效工资核算1!B:B,录入表!B:AV,47,0)*VLOOKUP(B:B,奖励标准!A:CW,101,0),0)</f>
        <v>0</v>
      </c>
      <c r="W1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4" s="28">
        <f>ROUND(VLOOKUP(B:B,录入表!B:BF,56,0)*VLOOKUP(B:B,奖励标准!A:BD,55,0)+VLOOKUP(B:B,录入表!B:BF,57,0)*VLOOKUP(B:B,奖励标准!A:BD,56,0),0)</f>
        <v>0</v>
      </c>
      <c r="Y1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4" s="28">
        <f>ROUND(VLOOKUP(B:B,录入表!B:BL,62,0)*VLOOKUP(B:B,奖励标准!A:BJ,61,0)+VLOOKUP(B:B,奖励标准!A:BJ,62,0)*VLOOKUP(B:B,录入表!B:BL,63,0),0)</f>
        <v>0</v>
      </c>
      <c r="AA1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4" s="82">
        <f>ROUND(VLOOKUP(B:B,录入表!B:CV,98,0)*VLOOKUP(B:B,奖励标准!A:CT,97,0)+VLOOKUP(B:B,奖励标准!A:CU,98,0)*VLOOKUP(B:B,录入表!B:CV,99,0),0)</f>
        <v>0</v>
      </c>
      <c r="AG14" s="82">
        <f>ROUND(VLOOKUP(B:B,录入表!B:CT,96,0)*VLOOKUP(B:B,奖励标准!A:CR,95,0)+VLOOKUP(B:B,录入表!B:CT,97,0)*VLOOKUP(B:B,奖励标准!A:CR,96,0),0)</f>
        <v>0</v>
      </c>
      <c r="AH14" s="28">
        <f>ROUND(VLOOKUP(B:B,录入表!B:CW,100,0)*VLOOKUP(科室绩效工资核算1!B:B,奖励标准!A:L,11,0),0)</f>
        <v>0</v>
      </c>
      <c r="AI1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4" s="3">
        <f>ROUND(VLOOKUP(科室绩效工资核算1!B:B,录入表!B:O,14,0)*VLOOKUP(科室绩效工资核算1!B:B,奖励标准!A:M,13,0),0)</f>
        <v>0</v>
      </c>
      <c r="AK14" s="3">
        <f>ROUND(VLOOKUP(科室绩效工资核算1!B:B,录入表!B:P,15,0)*VLOOKUP(科室绩效工资核算1!B:B,奖励标准!A:N,14,0),0)</f>
        <v>0</v>
      </c>
      <c r="AL14" s="3">
        <f>ROUND(VLOOKUP(科室绩效工资核算1!B:B,录入表!B:P,15,0)*VLOOKUP(科室绩效工资核算1!B:B,奖励标准!A:AU,47,0),0)</f>
        <v>0</v>
      </c>
      <c r="AM14" s="3">
        <f t="shared" si="1"/>
        <v>0</v>
      </c>
      <c r="AN14" s="3">
        <f t="shared" si="0"/>
        <v>37110</v>
      </c>
    </row>
    <row r="15" spans="2:43" ht="12.5" customHeight="1" x14ac:dyDescent="0.25">
      <c r="B15" s="73" t="s">
        <v>88</v>
      </c>
      <c r="C15" s="3">
        <f>ROUND(VLOOKUP(B:B,录入表!B:F,5,0)/VLOOKUP(科室绩效工资核算1!B:B,奖励标准!A:B,2,0)*VLOOKUP(B:B,奖励标准!A:C,3,0),0)</f>
        <v>3392</v>
      </c>
      <c r="D15" s="3">
        <f>ROUND(VLOOKUP(B:B,录入表!B:G,6,0)/VLOOKUP(科室绩效工资核算1!B:B,奖励标准!A:D,4,0)*VLOOKUP(B:B,奖励标准!A:E,5,0),0)</f>
        <v>3730</v>
      </c>
      <c r="E1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5" s="3">
        <f>ROUND(VLOOKUP(B:B,录入表!B:AT,45,0)*VLOOKUP(科室绩效工资核算1!B:B,奖励标准!A:AR,44,0),0)</f>
        <v>0</v>
      </c>
      <c r="G15" s="3">
        <f>ROUND((VLOOKUP(B:B,录入表!B:W,22,0)+VLOOKUP(B:B,录入表!B:X,23,0))*VLOOKUP(B:B,奖励标准!A:AS,45,0),0)</f>
        <v>0</v>
      </c>
      <c r="H15" s="3">
        <f>ROUND(VLOOKUP(B:B,录入表!B:H,7,0)*VLOOKUP(B:B,奖励标准!A:F,6,0),0)</f>
        <v>720</v>
      </c>
      <c r="I15" s="3">
        <f>ROUND(VLOOKUP(B:B,录入表!B:I,8,0)*VLOOKUP(B:B,奖励标准!A:G,7,0),0)</f>
        <v>270</v>
      </c>
      <c r="J15" s="3">
        <f>ROUND(VLOOKUP(B:B,录入表!B:J,9,0)*VLOOKUP(B:B,奖励标准!A:H,8,0),0)</f>
        <v>302</v>
      </c>
      <c r="K15" s="3">
        <f>ROUND(VLOOKUP(B:B,录入表!B:Q,16,0)*VLOOKUP(科室绩效工资核算1!B:B,奖励标准!A:O,15,0),0)</f>
        <v>0</v>
      </c>
      <c r="L1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5" s="3">
        <f>ROUND(VLOOKUP(科室绩效工资核算1!B:B,录入表!B:AB,27,0)*VLOOKUP(科室绩效工资核算1!B:B,奖励标准!A:Z,26,0),0)</f>
        <v>0</v>
      </c>
      <c r="N15" s="3">
        <f>ROUND(VLOOKUP(B:B,录入表!B:AW,48,0)*VLOOKUP(B:B,奖励标准!A:AT,46,0),0)</f>
        <v>0</v>
      </c>
      <c r="O15" s="3">
        <f>ROUND(VLOOKUP(科室绩效工资核算1!B:B,录入表!B:AA,26,0)*VLOOKUP(B:B,奖励标准!A:Y,25,0),0)</f>
        <v>0</v>
      </c>
      <c r="P1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15" s="3">
        <f>ROUND(VLOOKUP(B:B,录入表!B:AL,37,0)*VLOOKUP(B:B,奖励标准!A:AJ,36,0)+ROUND(VLOOKUP(B:B,录入表!B:AM,38,0)*VLOOKUP(B:B,奖励标准!A:AK,37,0),0),0)</f>
        <v>0</v>
      </c>
      <c r="R15" s="3">
        <f>ROUND(VLOOKUP(B:B,录入表!B:AN,39,0)*VLOOKUP(B:B,奖励标准!A:AL,38,0)+VLOOKUP(B:B,录入表!B:AO,40,0)*VLOOKUP(B:B,奖励标准!A:AM,39,0),0)</f>
        <v>919</v>
      </c>
      <c r="S15" s="3">
        <f>ROUND(((VLOOKUP(B:B,录入表!B:C,2,0)+VLOOKUP(B:B,录入表!B:E,4,0))*VLOOKUP(B:B,奖励标准!A:CU,99,0)),0)</f>
        <v>448</v>
      </c>
      <c r="T1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597</v>
      </c>
      <c r="U15" s="3">
        <f>ROUND(VLOOKUP(科室绩效工资核算1!B:B,录入表!B:AU,46,0)*VLOOKUP(B:B,奖励标准!A:CV,100,0),0)</f>
        <v>0</v>
      </c>
      <c r="V15" s="3">
        <f>ROUND(VLOOKUP(科室绩效工资核算1!B:B,录入表!B:AV,47,0)*VLOOKUP(B:B,奖励标准!A:CW,101,0),0)</f>
        <v>0</v>
      </c>
      <c r="W1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5" s="28">
        <f>ROUND(VLOOKUP(B:B,录入表!B:BF,56,0)*VLOOKUP(B:B,奖励标准!A:BD,55,0)+VLOOKUP(B:B,录入表!B:BF,57,0)*VLOOKUP(B:B,奖励标准!A:BD,56,0),0)</f>
        <v>0</v>
      </c>
      <c r="Y1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5" s="28">
        <f>ROUND(VLOOKUP(B:B,录入表!B:BL,62,0)*VLOOKUP(B:B,奖励标准!A:BJ,61,0)+VLOOKUP(B:B,奖励标准!A:BJ,62,0)*VLOOKUP(B:B,录入表!B:BL,63,0),0)</f>
        <v>0</v>
      </c>
      <c r="AA1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5" s="82">
        <f>ROUND(VLOOKUP(B:B,录入表!B:CV,98,0)*VLOOKUP(B:B,奖励标准!A:CT,97,0)+VLOOKUP(B:B,奖励标准!A:CU,98,0)*VLOOKUP(B:B,录入表!B:CV,99,0),0)</f>
        <v>0</v>
      </c>
      <c r="AG15" s="82">
        <f>ROUND(VLOOKUP(B:B,录入表!B:CT,96,0)*VLOOKUP(B:B,奖励标准!A:CR,95,0)+VLOOKUP(B:B,录入表!B:CT,97,0)*VLOOKUP(B:B,奖励标准!A:CR,96,0),0)</f>
        <v>0</v>
      </c>
      <c r="AH15" s="28">
        <f>ROUND(VLOOKUP(B:B,录入表!B:CW,100,0)*VLOOKUP(科室绩效工资核算1!B:B,奖励标准!A:L,11,0),0)</f>
        <v>0</v>
      </c>
      <c r="AI1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15" s="3">
        <f>ROUND(VLOOKUP(科室绩效工资核算1!B:B,录入表!B:O,14,0)*VLOOKUP(科室绩效工资核算1!B:B,奖励标准!A:M,13,0),0)</f>
        <v>0</v>
      </c>
      <c r="AK15" s="3">
        <f>ROUND(VLOOKUP(科室绩效工资核算1!B:B,录入表!B:P,15,0)*VLOOKUP(科室绩效工资核算1!B:B,奖励标准!A:N,14,0),0)</f>
        <v>0</v>
      </c>
      <c r="AL15" s="3">
        <f>ROUND(VLOOKUP(科室绩效工资核算1!B:B,录入表!B:P,15,0)*VLOOKUP(科室绩效工资核算1!B:B,奖励标准!A:AU,47,0),0)</f>
        <v>0</v>
      </c>
      <c r="AM15" s="3">
        <f t="shared" si="1"/>
        <v>0</v>
      </c>
      <c r="AN15" s="3">
        <f t="shared" si="0"/>
        <v>10378</v>
      </c>
    </row>
    <row r="16" spans="2:43" ht="12.5" customHeight="1" x14ac:dyDescent="0.25">
      <c r="B16" s="73" t="s">
        <v>101</v>
      </c>
      <c r="C16" s="3">
        <f>ROUND(VLOOKUP(B:B,录入表!B:F,5,0)/VLOOKUP(科室绩效工资核算1!B:B,奖励标准!A:B,2,0)*VLOOKUP(B:B,奖励标准!A:C,3,0),0)</f>
        <v>1783</v>
      </c>
      <c r="D16" s="3">
        <f>ROUND(VLOOKUP(B:B,录入表!B:G,6,0)/VLOOKUP(科室绩效工资核算1!B:B,奖励标准!A:D,4,0)*VLOOKUP(B:B,奖励标准!A:E,5,0),0)</f>
        <v>14567</v>
      </c>
      <c r="E1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6" s="3">
        <f>ROUND(VLOOKUP(B:B,录入表!B:AT,45,0)*VLOOKUP(科室绩效工资核算1!B:B,奖励标准!A:AR,44,0),0)</f>
        <v>0</v>
      </c>
      <c r="G16" s="3">
        <f>ROUND((VLOOKUP(B:B,录入表!B:W,22,0)+VLOOKUP(B:B,录入表!B:X,23,0))*VLOOKUP(B:B,奖励标准!A:AS,45,0),0)</f>
        <v>0</v>
      </c>
      <c r="H16" s="3">
        <f>ROUND(VLOOKUP(B:B,录入表!B:H,7,0)*VLOOKUP(B:B,奖励标准!A:F,6,0),0)</f>
        <v>1040</v>
      </c>
      <c r="I16" s="3">
        <f>ROUND(VLOOKUP(B:B,录入表!B:I,8,0)*VLOOKUP(B:B,奖励标准!A:G,7,0),0)</f>
        <v>470</v>
      </c>
      <c r="J16" s="3">
        <f>ROUND(VLOOKUP(B:B,录入表!B:J,9,0)*VLOOKUP(B:B,奖励标准!A:H,8,0),0)</f>
        <v>263</v>
      </c>
      <c r="K16" s="3">
        <f>ROUND(VLOOKUP(B:B,录入表!B:Q,16,0)*VLOOKUP(科室绩效工资核算1!B:B,奖励标准!A:O,15,0),0)</f>
        <v>150</v>
      </c>
      <c r="L1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6" s="3">
        <f>ROUND(VLOOKUP(科室绩效工资核算1!B:B,录入表!B:AB,27,0)*VLOOKUP(科室绩效工资核算1!B:B,奖励标准!A:Z,26,0),0)</f>
        <v>0</v>
      </c>
      <c r="N16" s="3">
        <f>ROUND(VLOOKUP(B:B,录入表!B:AW,48,0)*VLOOKUP(B:B,奖励标准!A:AT,46,0),0)</f>
        <v>0</v>
      </c>
      <c r="O16" s="3">
        <f>ROUND(VLOOKUP(科室绩效工资核算1!B:B,录入表!B:AA,26,0)*VLOOKUP(B:B,奖励标准!A:Y,25,0),0)</f>
        <v>182</v>
      </c>
      <c r="P1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324</v>
      </c>
      <c r="Q16" s="3">
        <f>ROUND(VLOOKUP(B:B,录入表!B:AL,37,0)*VLOOKUP(B:B,奖励标准!A:AJ,36,0)+ROUND(VLOOKUP(B:B,录入表!B:AM,38,0)*VLOOKUP(B:B,奖励标准!A:AK,37,0),0),0)</f>
        <v>528</v>
      </c>
      <c r="R16" s="3">
        <f>ROUND(VLOOKUP(B:B,录入表!B:AN,39,0)*VLOOKUP(B:B,奖励标准!A:AL,38,0)+VLOOKUP(B:B,录入表!B:AO,40,0)*VLOOKUP(B:B,奖励标准!A:AM,39,0),0)</f>
        <v>0</v>
      </c>
      <c r="S16" s="3">
        <f>ROUND(((VLOOKUP(B:B,录入表!B:C,2,0)+VLOOKUP(B:B,录入表!B:E,4,0))*VLOOKUP(B:B,奖励标准!A:CU,99,0)),0)</f>
        <v>0</v>
      </c>
      <c r="T1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1822</v>
      </c>
      <c r="U16" s="3">
        <f>ROUND(VLOOKUP(科室绩效工资核算1!B:B,录入表!B:AU,46,0)*VLOOKUP(B:B,奖励标准!A:CV,100,0),0)</f>
        <v>0</v>
      </c>
      <c r="V16" s="3">
        <f>ROUND(VLOOKUP(科室绩效工资核算1!B:B,录入表!B:AV,47,0)*VLOOKUP(B:B,奖励标准!A:CW,101,0),0)</f>
        <v>0</v>
      </c>
      <c r="W1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6" s="28">
        <f>ROUND(VLOOKUP(B:B,录入表!B:BF,56,0)*VLOOKUP(B:B,奖励标准!A:BD,55,0)+VLOOKUP(B:B,录入表!B:BF,57,0)*VLOOKUP(B:B,奖励标准!A:BD,56,0),0)</f>
        <v>0</v>
      </c>
      <c r="Y1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6" s="28">
        <f>ROUND(VLOOKUP(B:B,录入表!B:BL,62,0)*VLOOKUP(B:B,奖励标准!A:BJ,61,0)+VLOOKUP(B:B,奖励标准!A:BJ,62,0)*VLOOKUP(B:B,录入表!B:BL,63,0),0)</f>
        <v>0</v>
      </c>
      <c r="AA1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6" s="82">
        <f>ROUND(VLOOKUP(B:B,录入表!B:CV,98,0)*VLOOKUP(B:B,奖励标准!A:CT,97,0)+VLOOKUP(B:B,奖励标准!A:CU,98,0)*VLOOKUP(B:B,录入表!B:CV,99,0),0)</f>
        <v>0</v>
      </c>
      <c r="AG16" s="82">
        <f>ROUND(VLOOKUP(B:B,录入表!B:CT,96,0)*VLOOKUP(B:B,奖励标准!A:CR,95,0)+VLOOKUP(B:B,录入表!B:CT,97,0)*VLOOKUP(B:B,奖励标准!A:CR,96,0),0)</f>
        <v>0</v>
      </c>
      <c r="AH16" s="28">
        <f>ROUND(VLOOKUP(B:B,录入表!B:CW,100,0)*VLOOKUP(科室绩效工资核算1!B:B,奖励标准!A:L,11,0),0)</f>
        <v>0</v>
      </c>
      <c r="AI1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4240</v>
      </c>
      <c r="AJ16" s="3">
        <f>ROUND(VLOOKUP(科室绩效工资核算1!B:B,录入表!B:O,14,0)*VLOOKUP(科室绩效工资核算1!B:B,奖励标准!A:M,13,0),0)</f>
        <v>0</v>
      </c>
      <c r="AK16" s="3">
        <f>ROUND(VLOOKUP(科室绩效工资核算1!B:B,录入表!B:P,15,0)*VLOOKUP(科室绩效工资核算1!B:B,奖励标准!A:N,14,0),0)</f>
        <v>0</v>
      </c>
      <c r="AL16" s="3">
        <f>ROUND(VLOOKUP(科室绩效工资核算1!B:B,录入表!B:P,15,0)*VLOOKUP(科室绩效工资核算1!B:B,奖励标准!A:AU,47,0),0)</f>
        <v>0</v>
      </c>
      <c r="AM16" s="3">
        <f t="shared" si="1"/>
        <v>4240</v>
      </c>
      <c r="AN16" s="3">
        <f t="shared" si="0"/>
        <v>21129</v>
      </c>
    </row>
    <row r="17" spans="1:86" ht="12.5" customHeight="1" x14ac:dyDescent="0.25">
      <c r="B17" s="73" t="s">
        <v>89</v>
      </c>
      <c r="C17" s="3">
        <f>ROUND(VLOOKUP(B:B,录入表!B:F,5,0)/VLOOKUP(科室绩效工资核算1!B:B,奖励标准!A:B,2,0)*VLOOKUP(B:B,奖励标准!A:C,3,0),0)</f>
        <v>2461</v>
      </c>
      <c r="D17" s="3">
        <f>ROUND(VLOOKUP(B:B,录入表!B:G,6,0)/VLOOKUP(科室绩效工资核算1!B:B,奖励标准!A:D,4,0)*VLOOKUP(B:B,奖励标准!A:E,5,0),0)</f>
        <v>54311</v>
      </c>
      <c r="E1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7" s="3">
        <f>ROUND(VLOOKUP(B:B,录入表!B:AT,45,0)*VLOOKUP(科室绩效工资核算1!B:B,奖励标准!A:AR,44,0),0)</f>
        <v>0</v>
      </c>
      <c r="G17" s="3">
        <f>ROUND((VLOOKUP(B:B,录入表!B:W,22,0)+VLOOKUP(B:B,录入表!B:X,23,0))*VLOOKUP(B:B,奖励标准!A:AS,45,0),0)</f>
        <v>0</v>
      </c>
      <c r="H17" s="3">
        <f>ROUND(VLOOKUP(B:B,录入表!B:H,7,0)*VLOOKUP(B:B,奖励标准!A:F,6,0),0)</f>
        <v>2180</v>
      </c>
      <c r="I17" s="3">
        <f>ROUND(VLOOKUP(B:B,录入表!B:I,8,0)*VLOOKUP(B:B,奖励标准!A:G,7,0),0)</f>
        <v>900</v>
      </c>
      <c r="J17" s="3">
        <f>ROUND(VLOOKUP(B:B,录入表!B:J,9,0)*VLOOKUP(B:B,奖励标准!A:H,8,0),0)</f>
        <v>235</v>
      </c>
      <c r="K17" s="3">
        <f>ROUND(VLOOKUP(B:B,录入表!B:Q,16,0)*VLOOKUP(科室绩效工资核算1!B:B,奖励标准!A:O,15,0),0)</f>
        <v>0</v>
      </c>
      <c r="L1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7" s="3">
        <f>ROUND(VLOOKUP(科室绩效工资核算1!B:B,录入表!B:AB,27,0)*VLOOKUP(科室绩效工资核算1!B:B,奖励标准!A:Z,26,0),0)</f>
        <v>0</v>
      </c>
      <c r="N17" s="3">
        <f>ROUND(VLOOKUP(B:B,录入表!B:AW,48,0)*VLOOKUP(B:B,奖励标准!A:AT,46,0),0)</f>
        <v>0</v>
      </c>
      <c r="O17" s="3">
        <f>ROUND(VLOOKUP(科室绩效工资核算1!B:B,录入表!B:AA,26,0)*VLOOKUP(B:B,奖励标准!A:Y,25,0),0)</f>
        <v>179</v>
      </c>
      <c r="P1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722</v>
      </c>
      <c r="Q17" s="3">
        <f>ROUND(VLOOKUP(B:B,录入表!B:AL,37,0)*VLOOKUP(B:B,奖励标准!A:AJ,36,0)+ROUND(VLOOKUP(B:B,录入表!B:AM,38,0)*VLOOKUP(B:B,奖励标准!A:AK,37,0),0),0)</f>
        <v>3502</v>
      </c>
      <c r="R17" s="3">
        <f>ROUND(VLOOKUP(B:B,录入表!B:AN,39,0)*VLOOKUP(B:B,奖励标准!A:AL,38,0)+VLOOKUP(B:B,录入表!B:AO,40,0)*VLOOKUP(B:B,奖励标准!A:AM,39,0),0)</f>
        <v>0</v>
      </c>
      <c r="S17" s="3">
        <f>ROUND(((VLOOKUP(B:B,录入表!B:C,2,0)+VLOOKUP(B:B,录入表!B:E,4,0))*VLOOKUP(B:B,奖励标准!A:CU,99,0)),0)</f>
        <v>0</v>
      </c>
      <c r="T1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8027</v>
      </c>
      <c r="U17" s="3">
        <f>ROUND(VLOOKUP(科室绩效工资核算1!B:B,录入表!B:AU,46,0)*VLOOKUP(B:B,奖励标准!A:CV,100,0),0)</f>
        <v>0</v>
      </c>
      <c r="V17" s="3">
        <f>ROUND(VLOOKUP(科室绩效工资核算1!B:B,录入表!B:AV,47,0)*VLOOKUP(B:B,奖励标准!A:CW,101,0),0)</f>
        <v>0</v>
      </c>
      <c r="W1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7" s="28">
        <f>ROUND(VLOOKUP(B:B,录入表!B:BF,56,0)*VLOOKUP(B:B,奖励标准!A:BD,55,0)+VLOOKUP(B:B,录入表!B:BF,57,0)*VLOOKUP(B:B,奖励标准!A:BD,56,0),0)</f>
        <v>0</v>
      </c>
      <c r="Y1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7" s="28">
        <f>ROUND(VLOOKUP(B:B,录入表!B:BL,62,0)*VLOOKUP(B:B,奖励标准!A:BJ,61,0)+VLOOKUP(B:B,奖励标准!A:BJ,62,0)*VLOOKUP(B:B,录入表!B:BL,63,0),0)</f>
        <v>0</v>
      </c>
      <c r="AA1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7" s="82">
        <f>ROUND(VLOOKUP(B:B,录入表!B:CV,98,0)*VLOOKUP(B:B,奖励标准!A:CT,97,0)+VLOOKUP(B:B,奖励标准!A:CU,98,0)*VLOOKUP(B:B,录入表!B:CV,99,0),0)</f>
        <v>0</v>
      </c>
      <c r="AG17" s="82">
        <f>ROUND(VLOOKUP(B:B,录入表!B:CT,96,0)*VLOOKUP(B:B,奖励标准!A:CR,95,0)+VLOOKUP(B:B,录入表!B:CT,97,0)*VLOOKUP(B:B,奖励标准!A:CR,96,0),0)</f>
        <v>0</v>
      </c>
      <c r="AH17" s="28">
        <f>ROUND(VLOOKUP(B:B,录入表!B:CW,100,0)*VLOOKUP(科室绩效工资核算1!B:B,奖励标准!A:L,11,0),0)</f>
        <v>0</v>
      </c>
      <c r="AI1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1702</v>
      </c>
      <c r="AJ17" s="3">
        <f>ROUND(VLOOKUP(科室绩效工资核算1!B:B,录入表!B:O,14,0)*VLOOKUP(科室绩效工资核算1!B:B,奖励标准!A:M,13,0),0)</f>
        <v>0</v>
      </c>
      <c r="AK17" s="3">
        <f>ROUND(VLOOKUP(科室绩效工资核算1!B:B,录入表!B:P,15,0)*VLOOKUP(科室绩效工资核算1!B:B,奖励标准!A:N,14,0),0)</f>
        <v>0</v>
      </c>
      <c r="AL17" s="3">
        <f>ROUND(VLOOKUP(科室绩效工资核算1!B:B,录入表!B:P,15,0)*VLOOKUP(科室绩效工资核算1!B:B,奖励标准!A:AU,47,0),0)</f>
        <v>0</v>
      </c>
      <c r="AM17" s="3">
        <f t="shared" si="1"/>
        <v>1702</v>
      </c>
      <c r="AN17" s="3">
        <f t="shared" si="0"/>
        <v>72517</v>
      </c>
    </row>
    <row r="18" spans="1:86" ht="12.5" customHeight="1" x14ac:dyDescent="0.25">
      <c r="B18" s="73" t="s">
        <v>110</v>
      </c>
      <c r="C18" s="3">
        <f>ROUND(VLOOKUP(B:B,录入表!B:F,5,0)/VLOOKUP(科室绩效工资核算1!B:B,奖励标准!A:B,2,0)*VLOOKUP(B:B,奖励标准!A:C,3,0),0)</f>
        <v>16589</v>
      </c>
      <c r="D18" s="3">
        <f>ROUND(VLOOKUP(B:B,录入表!B:G,6,0)/VLOOKUP(科室绩效工资核算1!B:B,奖励标准!A:D,4,0)*VLOOKUP(B:B,奖励标准!A:E,5,0),0)</f>
        <v>17016</v>
      </c>
      <c r="F18" s="3">
        <f>ROUND(VLOOKUP(B:B,录入表!B:AT,45,0)*VLOOKUP(科室绩效工资核算1!B:B,奖励标准!A:AR,44,0),0)</f>
        <v>0</v>
      </c>
      <c r="G18" s="3">
        <f>ROUND((VLOOKUP(B:B,录入表!B:W,22,0)+VLOOKUP(B:B,录入表!B:X,23,0))*VLOOKUP(B:B,奖励标准!A:AS,45,0),0)</f>
        <v>0</v>
      </c>
      <c r="H18" s="3">
        <f>ROUND(VLOOKUP(B:B,录入表!B:H,7,0)*VLOOKUP(B:B,奖励标准!A:F,6,0),0)</f>
        <v>1720</v>
      </c>
      <c r="I18" s="3">
        <f>ROUND(VLOOKUP(B:B,录入表!B:I,8,0)*VLOOKUP(B:B,奖励标准!A:G,7,0),0)</f>
        <v>600</v>
      </c>
      <c r="J18" s="3">
        <f>ROUND(VLOOKUP(B:B,录入表!B:J,9,0)*VLOOKUP(B:B,奖励标准!A:H,8,0),0)</f>
        <v>478</v>
      </c>
      <c r="K18" s="3">
        <f>ROUND(VLOOKUP(B:B,录入表!B:Q,16,0)*VLOOKUP(科室绩效工资核算1!B:B,奖励标准!A:O,15,0),0)</f>
        <v>0</v>
      </c>
      <c r="L1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1794</v>
      </c>
      <c r="M1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5840</v>
      </c>
      <c r="N18" s="3">
        <f>ROUND(VLOOKUP(B:B,录入表!B:AW,48,0)*VLOOKUP(B:B,奖励标准!A:AT,46,0),0)</f>
        <v>0</v>
      </c>
      <c r="O18" s="3">
        <f>ROUND(VLOOKUP(科室绩效工资核算1!B:B,录入表!B:AA,26,0)*VLOOKUP(B:B,奖励标准!A:Y,25,0),0)</f>
        <v>358</v>
      </c>
      <c r="P1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1597</v>
      </c>
      <c r="Q18" s="3">
        <f>ROUND(VLOOKUP(B:B,录入表!B:AL,37,0)*VLOOKUP(B:B,奖励标准!A:AJ,36,0)+ROUND(VLOOKUP(B:B,录入表!B:AM,38,0)*VLOOKUP(B:B,奖励标准!A:AK,37,0),0),0)</f>
        <v>0</v>
      </c>
      <c r="R18" s="3">
        <f>ROUND(VLOOKUP(B:B,录入表!B:AN,39,0)*VLOOKUP(B:B,奖励标准!A:AL,38,0)+VLOOKUP(B:B,录入表!B:AO,40,0)*VLOOKUP(B:B,奖励标准!A:AM,39,0),0)</f>
        <v>99</v>
      </c>
      <c r="S18" s="3">
        <f>ROUND(((VLOOKUP(B:B,录入表!B:C,2,0)+VLOOKUP(B:B,录入表!B:E,4,0))*VLOOKUP(B:B,奖励标准!A:CU,99,0)),0)</f>
        <v>0</v>
      </c>
      <c r="T1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1546</v>
      </c>
      <c r="U18" s="3">
        <f>ROUND(VLOOKUP(科室绩效工资核算1!B:B,录入表!B:AU,46,0)*VLOOKUP(B:B,奖励标准!A:CV,100,0),0)</f>
        <v>0</v>
      </c>
      <c r="V18" s="3">
        <f>ROUND(VLOOKUP(科室绩效工资核算1!B:B,录入表!B:AV,47,0)*VLOOKUP(B:B,奖励标准!A:CW,101,0),0)</f>
        <v>0</v>
      </c>
      <c r="W1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8" s="28">
        <f>ROUND(VLOOKUP(B:B,录入表!B:BF,56,0)*VLOOKUP(B:B,奖励标准!A:BD,55,0)+VLOOKUP(B:B,录入表!B:BF,57,0)*VLOOKUP(B:B,奖励标准!A:BD,56,0),0)</f>
        <v>0</v>
      </c>
      <c r="Y1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8" s="28">
        <f>ROUND(VLOOKUP(B:B,录入表!B:BL,62,0)*VLOOKUP(B:B,奖励标准!A:BJ,61,0)+VLOOKUP(B:B,奖励标准!A:BJ,62,0)*VLOOKUP(B:B,录入表!B:BL,63,0),0)</f>
        <v>0</v>
      </c>
      <c r="AA1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8" s="82">
        <f>ROUND(VLOOKUP(B:B,录入表!B:CV,98,0)*VLOOKUP(B:B,奖励标准!A:CT,97,0)+VLOOKUP(B:B,奖励标准!A:CU,98,0)*VLOOKUP(B:B,录入表!B:CV,99,0),0)</f>
        <v>0</v>
      </c>
      <c r="AG18" s="82">
        <f>ROUND(VLOOKUP(B:B,录入表!B:CT,96,0)*VLOOKUP(B:B,奖励标准!A:CR,95,0)+VLOOKUP(B:B,录入表!B:CT,97,0)*VLOOKUP(B:B,奖励标准!A:CR,96,0),0)</f>
        <v>0</v>
      </c>
      <c r="AH18" s="28">
        <f>ROUND(VLOOKUP(B:B,录入表!B:CW,100,0)*VLOOKUP(科室绩效工资核算1!B:B,奖励标准!A:L,11,0),0)</f>
        <v>0</v>
      </c>
      <c r="AI1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1431</v>
      </c>
      <c r="AJ18" s="3">
        <f>ROUND(VLOOKUP(科室绩效工资核算1!B:B,录入表!B:O,14,0)*VLOOKUP(科室绩效工资核算1!B:B,奖励标准!A:M,13,0),0)</f>
        <v>0</v>
      </c>
      <c r="AK18" s="3">
        <f>ROUND(VLOOKUP(科室绩效工资核算1!B:B,录入表!B:P,15,0)*VLOOKUP(科室绩效工资核算1!B:B,奖励标准!A:N,14,0),0)</f>
        <v>0</v>
      </c>
      <c r="AL18" s="3">
        <f>ROUND(VLOOKUP(科室绩效工资核算1!B:B,录入表!B:P,15,0)*VLOOKUP(科室绩效工资核算1!B:B,奖励标准!A:AU,47,0),0)</f>
        <v>0</v>
      </c>
      <c r="AM18" s="3">
        <f t="shared" si="1"/>
        <v>1431</v>
      </c>
      <c r="AN18" s="3">
        <f t="shared" si="0"/>
        <v>47637</v>
      </c>
    </row>
    <row r="19" spans="1:86" ht="12.5" customHeight="1" x14ac:dyDescent="0.25">
      <c r="B19" s="73" t="s">
        <v>111</v>
      </c>
      <c r="C19" s="3">
        <f>ROUND(VLOOKUP(B:B,录入表!B:F,5,0)/VLOOKUP(科室绩效工资核算1!B:B,奖励标准!A:B,2,0)*VLOOKUP(B:B,奖励标准!A:C,3,0),0)</f>
        <v>2850</v>
      </c>
      <c r="D19" s="3">
        <f>ROUND(VLOOKUP(B:B,录入表!B:G,6,0)/VLOOKUP(科室绩效工资核算1!B:B,奖励标准!A:D,4,0)*VLOOKUP(B:B,奖励标准!A:E,5,0),0)</f>
        <v>20964</v>
      </c>
      <c r="E1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19" s="3">
        <f>ROUND(VLOOKUP(B:B,录入表!B:AT,45,0)*VLOOKUP(科室绩效工资核算1!B:B,奖励标准!A:AR,44,0),0)</f>
        <v>0</v>
      </c>
      <c r="G19" s="3">
        <f>ROUND((VLOOKUP(B:B,录入表!B:W,22,0)+VLOOKUP(B:B,录入表!B:X,23,0))*VLOOKUP(B:B,奖励标准!A:AS,45,0),0)</f>
        <v>0</v>
      </c>
      <c r="H19" s="3">
        <f>ROUND(VLOOKUP(B:B,录入表!B:H,7,0)*VLOOKUP(B:B,奖励标准!A:F,6,0),0)</f>
        <v>1160</v>
      </c>
      <c r="I19" s="3">
        <f>ROUND(VLOOKUP(B:B,录入表!B:I,8,0)*VLOOKUP(B:B,奖励标准!A:G,7,0),0)</f>
        <v>550</v>
      </c>
      <c r="J19" s="3">
        <f>ROUND(VLOOKUP(B:B,录入表!B:J,9,0)*VLOOKUP(B:B,奖励标准!A:H,8,0),0)</f>
        <v>266</v>
      </c>
      <c r="K19" s="3">
        <f>ROUND(VLOOKUP(B:B,录入表!B:Q,16,0)*VLOOKUP(科室绩效工资核算1!B:B,奖励标准!A:O,15,0),0)</f>
        <v>0</v>
      </c>
      <c r="L1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19" s="3">
        <f>ROUND(VLOOKUP(科室绩效工资核算1!B:B,录入表!B:AB,27,0)*VLOOKUP(科室绩效工资核算1!B:B,奖励标准!A:Z,26,0),0)</f>
        <v>0</v>
      </c>
      <c r="N19" s="3">
        <f>ROUND(VLOOKUP(B:B,录入表!B:AW,48,0)*VLOOKUP(B:B,奖励标准!A:AT,46,0),0)</f>
        <v>0</v>
      </c>
      <c r="O19" s="3">
        <f>ROUND(VLOOKUP(科室绩效工资核算1!B:B,录入表!B:AA,26,0)*VLOOKUP(B:B,奖励标准!A:Y,25,0),0)</f>
        <v>122</v>
      </c>
      <c r="P1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1251</v>
      </c>
      <c r="Q19" s="3">
        <f>ROUND(VLOOKUP(B:B,录入表!B:AL,37,0)*VLOOKUP(B:B,奖励标准!A:AJ,36,0)+ROUND(VLOOKUP(B:B,录入表!B:AM,38,0)*VLOOKUP(B:B,奖励标准!A:AK,37,0),0),0)</f>
        <v>0</v>
      </c>
      <c r="R19" s="3">
        <f>ROUND(VLOOKUP(B:B,录入表!B:AN,39,0)*VLOOKUP(B:B,奖励标准!A:AL,38,0)+VLOOKUP(B:B,录入表!B:AO,40,0)*VLOOKUP(B:B,奖励标准!A:AM,39,0),0)</f>
        <v>165</v>
      </c>
      <c r="S19" s="3">
        <f>ROUND(((VLOOKUP(B:B,录入表!B:C,2,0)+VLOOKUP(B:B,录入表!B:E,4,0))*VLOOKUP(B:B,奖励标准!A:CU,99,0)),0)</f>
        <v>0</v>
      </c>
      <c r="T1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3191</v>
      </c>
      <c r="U19" s="3">
        <f>ROUND(VLOOKUP(科室绩效工资核算1!B:B,录入表!B:AU,46,0)*VLOOKUP(B:B,奖励标准!A:CV,100,0),0)</f>
        <v>0</v>
      </c>
      <c r="V19" s="3">
        <f>ROUND(VLOOKUP(科室绩效工资核算1!B:B,录入表!B:AV,47,0)*VLOOKUP(B:B,奖励标准!A:CW,101,0),0)</f>
        <v>0</v>
      </c>
      <c r="W1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19" s="28">
        <f>ROUND(VLOOKUP(B:B,录入表!B:BF,56,0)*VLOOKUP(B:B,奖励标准!A:BD,55,0)+VLOOKUP(B:B,录入表!B:BF,57,0)*VLOOKUP(B:B,奖励标准!A:BD,56,0),0)</f>
        <v>0</v>
      </c>
      <c r="Y1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19" s="28">
        <f>ROUND(VLOOKUP(B:B,录入表!B:BL,62,0)*VLOOKUP(B:B,奖励标准!A:BJ,61,0)+VLOOKUP(B:B,奖励标准!A:BJ,62,0)*VLOOKUP(B:B,录入表!B:BL,63,0),0)</f>
        <v>0</v>
      </c>
      <c r="AA1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1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1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1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1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19" s="82">
        <f>ROUND(VLOOKUP(B:B,录入表!B:CV,98,0)*VLOOKUP(B:B,奖励标准!A:CT,97,0)+VLOOKUP(B:B,奖励标准!A:CU,98,0)*VLOOKUP(B:B,录入表!B:CV,99,0),0)</f>
        <v>0</v>
      </c>
      <c r="AG19" s="82">
        <f>ROUND(VLOOKUP(B:B,录入表!B:CT,96,0)*VLOOKUP(B:B,奖励标准!A:CR,95,0)+VLOOKUP(B:B,录入表!B:CT,97,0)*VLOOKUP(B:B,奖励标准!A:CR,96,0),0)</f>
        <v>0</v>
      </c>
      <c r="AH19" s="28">
        <f>ROUND(VLOOKUP(B:B,录入表!B:CW,100,0)*VLOOKUP(科室绩效工资核算1!B:B,奖励标准!A:L,11,0),0)</f>
        <v>0</v>
      </c>
      <c r="AI1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7313</v>
      </c>
      <c r="AJ19" s="3">
        <f>ROUND(VLOOKUP(科室绩效工资核算1!B:B,录入表!B:O,14,0)*VLOOKUP(科室绩效工资核算1!B:B,奖励标准!A:M,13,0),0)</f>
        <v>1032</v>
      </c>
      <c r="AK19" s="3">
        <f>ROUND(VLOOKUP(科室绩效工资核算1!B:B,录入表!B:P,15,0)*VLOOKUP(科室绩效工资核算1!B:B,奖励标准!A:N,14,0),0)</f>
        <v>240</v>
      </c>
      <c r="AL19" s="3">
        <f>ROUND(VLOOKUP(科室绩效工资核算1!B:B,录入表!B:P,15,0)*VLOOKUP(科室绩效工资核算1!B:B,奖励标准!A:AU,47,0),0)</f>
        <v>200</v>
      </c>
      <c r="AM19" s="3">
        <f t="shared" si="1"/>
        <v>8785</v>
      </c>
      <c r="AN19" s="3">
        <f t="shared" si="0"/>
        <v>30519</v>
      </c>
    </row>
    <row r="20" spans="1:86" ht="12.5" customHeight="1" x14ac:dyDescent="0.25">
      <c r="B20" s="73" t="s">
        <v>90</v>
      </c>
      <c r="C20" s="3">
        <f>ROUND(VLOOKUP(B:B,录入表!B:F,5,0)/VLOOKUP(科室绩效工资核算1!B:B,奖励标准!A:B,2,0)*VLOOKUP(B:B,奖励标准!A:C,3,0),0)</f>
        <v>4112</v>
      </c>
      <c r="D20" s="3">
        <f>ROUND(VLOOKUP(B:B,录入表!B:G,6,0)/VLOOKUP(科室绩效工资核算1!B:B,奖励标准!A:D,4,0)*VLOOKUP(B:B,奖励标准!A:E,5,0),0)</f>
        <v>17447</v>
      </c>
      <c r="E2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0" s="3">
        <f>ROUND(VLOOKUP(B:B,录入表!B:AT,45,0)*VLOOKUP(科室绩效工资核算1!B:B,奖励标准!A:AR,44,0),0)</f>
        <v>0</v>
      </c>
      <c r="G20" s="3">
        <f>ROUND((VLOOKUP(B:B,录入表!B:W,22,0)+VLOOKUP(B:B,录入表!B:X,23,0))*VLOOKUP(B:B,奖励标准!A:AS,45,0),0)</f>
        <v>0</v>
      </c>
      <c r="H20" s="3">
        <f>ROUND(VLOOKUP(B:B,录入表!B:H,7,0)*VLOOKUP(B:B,奖励标准!A:F,6,0),0)</f>
        <v>1300</v>
      </c>
      <c r="I20" s="3">
        <f>ROUND(VLOOKUP(B:B,录入表!B:I,8,0)*VLOOKUP(B:B,奖励标准!A:G,7,0),0)</f>
        <v>650</v>
      </c>
      <c r="J20" s="3">
        <f>ROUND(VLOOKUP(B:B,录入表!B:J,9,0)*VLOOKUP(B:B,奖励标准!A:H,8,0),0)</f>
        <v>265</v>
      </c>
      <c r="K20" s="3">
        <f>ROUND(VLOOKUP(B:B,录入表!B:Q,16,0)*VLOOKUP(科室绩效工资核算1!B:B,奖励标准!A:O,15,0),0)</f>
        <v>0</v>
      </c>
      <c r="L2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188</v>
      </c>
      <c r="M20" s="3">
        <f>ROUND(VLOOKUP(科室绩效工资核算1!B:B,录入表!B:AB,27,0)*VLOOKUP(科室绩效工资核算1!B:B,奖励标准!A:Z,26,0),0)</f>
        <v>0</v>
      </c>
      <c r="N20" s="3">
        <f>ROUND(VLOOKUP(B:B,录入表!B:AW,48,0)*VLOOKUP(B:B,奖励标准!A:AT,46,0),0)</f>
        <v>0</v>
      </c>
      <c r="O20" s="3">
        <f>ROUND(VLOOKUP(科室绩效工资核算1!B:B,录入表!B:AA,26,0)*VLOOKUP(B:B,奖励标准!A:Y,25,0),0)</f>
        <v>230</v>
      </c>
      <c r="P2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1941</v>
      </c>
      <c r="Q20" s="3">
        <f>ROUND(VLOOKUP(B:B,录入表!B:AL,37,0)*VLOOKUP(B:B,奖励标准!A:AJ,36,0)+ROUND(VLOOKUP(B:B,录入表!B:AM,38,0)*VLOOKUP(B:B,奖励标准!A:AK,37,0),0),0)</f>
        <v>350</v>
      </c>
      <c r="R20" s="3">
        <f>ROUND(VLOOKUP(B:B,录入表!B:AN,39,0)*VLOOKUP(B:B,奖励标准!A:AL,38,0)+VLOOKUP(B:B,录入表!B:AO,40,0)*VLOOKUP(B:B,奖励标准!A:AM,39,0),0)</f>
        <v>222</v>
      </c>
      <c r="S20" s="3">
        <f>ROUND(((VLOOKUP(B:B,录入表!B:C,2,0)+VLOOKUP(B:B,录入表!B:E,4,0))*VLOOKUP(B:B,奖励标准!A:CU,99,0)),0)</f>
        <v>0</v>
      </c>
      <c r="T2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1633</v>
      </c>
      <c r="U20" s="3">
        <f>ROUND(VLOOKUP(科室绩效工资核算1!B:B,录入表!B:AU,46,0)*VLOOKUP(B:B,奖励标准!A:CV,100,0),0)</f>
        <v>0</v>
      </c>
      <c r="V20" s="3">
        <f>ROUND(VLOOKUP(科室绩效工资核算1!B:B,录入表!B:AV,47,0)*VLOOKUP(B:B,奖励标准!A:CW,101,0),0)</f>
        <v>0</v>
      </c>
      <c r="W2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0" s="28">
        <f>ROUND(VLOOKUP(B:B,录入表!B:BF,56,0)*VLOOKUP(B:B,奖励标准!A:BD,55,0)+VLOOKUP(B:B,录入表!B:BF,57,0)*VLOOKUP(B:B,奖励标准!A:BD,56,0),0)</f>
        <v>0</v>
      </c>
      <c r="Y2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0" s="28">
        <f>ROUND(VLOOKUP(B:B,录入表!B:BL,62,0)*VLOOKUP(B:B,奖励标准!A:BJ,61,0)+VLOOKUP(B:B,奖励标准!A:BJ,62,0)*VLOOKUP(B:B,录入表!B:BL,63,0),0)</f>
        <v>0</v>
      </c>
      <c r="AA2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0" s="82">
        <f>ROUND(VLOOKUP(B:B,录入表!B:CV,98,0)*VLOOKUP(B:B,奖励标准!A:CT,97,0)+VLOOKUP(B:B,奖励标准!A:CU,98,0)*VLOOKUP(B:B,录入表!B:CV,99,0),0)</f>
        <v>0</v>
      </c>
      <c r="AG20" s="82">
        <f>ROUND(VLOOKUP(B:B,录入表!B:CT,96,0)*VLOOKUP(B:B,奖励标准!A:CR,95,0)+VLOOKUP(B:B,录入表!B:CT,97,0)*VLOOKUP(B:B,奖励标准!A:CR,96,0),0)</f>
        <v>0</v>
      </c>
      <c r="AH20" s="28">
        <f>ROUND(VLOOKUP(B:B,录入表!B:CW,100,0)*VLOOKUP(科室绩效工资核算1!B:B,奖励标准!A:L,11,0),0)</f>
        <v>0</v>
      </c>
      <c r="AI2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6530</v>
      </c>
      <c r="AJ20" s="3">
        <f>ROUND(VLOOKUP(科室绩效工资核算1!B:B,录入表!B:O,14,0)*VLOOKUP(科室绩效工资核算1!B:B,奖励标准!A:M,13,0),0)</f>
        <v>774</v>
      </c>
      <c r="AK20" s="3">
        <f>ROUND(VLOOKUP(科室绩效工资核算1!B:B,录入表!B:P,15,0)*VLOOKUP(科室绩效工资核算1!B:B,奖励标准!A:N,14,0),0)</f>
        <v>360</v>
      </c>
      <c r="AL20" s="3">
        <f>ROUND(VLOOKUP(科室绩效工资核算1!B:B,录入表!B:P,15,0)*VLOOKUP(科室绩效工资核算1!B:B,奖励标准!A:AU,47,0),0)</f>
        <v>300</v>
      </c>
      <c r="AM20" s="3">
        <f t="shared" si="1"/>
        <v>7964</v>
      </c>
      <c r="AN20" s="3">
        <f t="shared" si="0"/>
        <v>28338</v>
      </c>
    </row>
    <row r="21" spans="1:86" ht="12.5" customHeight="1" x14ac:dyDescent="0.25">
      <c r="B21" s="73" t="s">
        <v>91</v>
      </c>
      <c r="C21" s="3">
        <f>ROUND(VLOOKUP(B:B,录入表!B:F,5,0)/VLOOKUP(科室绩效工资核算1!B:B,奖励标准!A:B,2,0)*VLOOKUP(B:B,奖励标准!A:C,3,0),0)</f>
        <v>3433</v>
      </c>
      <c r="D21" s="3">
        <f>ROUND(VLOOKUP(B:B,录入表!B:G,6,0)/VLOOKUP(科室绩效工资核算1!B:B,奖励标准!A:D,4,0)*VLOOKUP(B:B,奖励标准!A:E,5,0),0)</f>
        <v>38647</v>
      </c>
      <c r="E2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1" s="3">
        <f>ROUND(VLOOKUP(B:B,录入表!B:AT,45,0)*VLOOKUP(科室绩效工资核算1!B:B,奖励标准!A:AR,44,0),0)</f>
        <v>0</v>
      </c>
      <c r="G21" s="3">
        <f>ROUND((VLOOKUP(B:B,录入表!B:W,22,0)+VLOOKUP(B:B,录入表!B:X,23,0))*VLOOKUP(B:B,奖励标准!A:AS,45,0),0)</f>
        <v>0</v>
      </c>
      <c r="H21" s="3">
        <f>ROUND(VLOOKUP(B:B,录入表!B:H,7,0)*VLOOKUP(B:B,奖励标准!A:F,6,0),0)</f>
        <v>3440</v>
      </c>
      <c r="I21" s="3">
        <f>ROUND(VLOOKUP(B:B,录入表!B:I,8,0)*VLOOKUP(B:B,奖励标准!A:G,7,0),0)</f>
        <v>1510</v>
      </c>
      <c r="J21" s="3">
        <f>ROUND(VLOOKUP(B:B,录入表!B:J,9,0)*VLOOKUP(B:B,奖励标准!A:H,8,0),0)</f>
        <v>227</v>
      </c>
      <c r="K21" s="3">
        <f>ROUND(VLOOKUP(B:B,录入表!B:Q,16,0)*VLOOKUP(科室绩效工资核算1!B:B,奖励标准!A:O,15,0),0)</f>
        <v>3930</v>
      </c>
      <c r="L2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3015</v>
      </c>
      <c r="M21" s="3">
        <f>ROUND(VLOOKUP(科室绩效工资核算1!B:B,录入表!B:AB,27,0)*VLOOKUP(科室绩效工资核算1!B:B,奖励标准!A:Z,26,0),0)</f>
        <v>5200</v>
      </c>
      <c r="N21" s="3">
        <f>ROUND(VLOOKUP(B:B,录入表!B:AW,48,0)*VLOOKUP(B:B,奖励标准!A:AT,46,0),0)</f>
        <v>0</v>
      </c>
      <c r="O21" s="3">
        <f>ROUND(VLOOKUP(科室绩效工资核算1!B:B,录入表!B:AA,26,0)*VLOOKUP(B:B,奖励标准!A:Y,25,0),0)</f>
        <v>77</v>
      </c>
      <c r="P2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1797</v>
      </c>
      <c r="Q21" s="3">
        <f>ROUND(VLOOKUP(B:B,录入表!B:AL,37,0)*VLOOKUP(B:B,奖励标准!A:AJ,36,0)+ROUND(VLOOKUP(B:B,录入表!B:AM,38,0)*VLOOKUP(B:B,奖励标准!A:AK,37,0),0),0)</f>
        <v>0</v>
      </c>
      <c r="R21" s="3">
        <f>ROUND(VLOOKUP(B:B,录入表!B:AN,39,0)*VLOOKUP(B:B,奖励标准!A:AL,38,0)+VLOOKUP(B:B,录入表!B:AO,40,0)*VLOOKUP(B:B,奖励标准!A:AM,39,0),0)</f>
        <v>0</v>
      </c>
      <c r="S21" s="3">
        <f>ROUND(((VLOOKUP(B:B,录入表!B:C,2,0)+VLOOKUP(B:B,录入表!B:E,4,0))*VLOOKUP(B:B,奖励标准!A:CU,99,0)),0)</f>
        <v>0</v>
      </c>
      <c r="T2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1735</v>
      </c>
      <c r="U21" s="3">
        <f>ROUND(VLOOKUP(科室绩效工资核算1!B:B,录入表!B:AU,46,0)*VLOOKUP(B:B,奖励标准!A:CV,100,0),0)</f>
        <v>3160</v>
      </c>
      <c r="V21" s="3">
        <f>ROUND(VLOOKUP(科室绩效工资核算1!B:B,录入表!B:AV,47,0)*VLOOKUP(B:B,奖励标准!A:CW,101,0),0)</f>
        <v>1760</v>
      </c>
      <c r="W2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1" s="28">
        <f>ROUND(VLOOKUP(B:B,录入表!B:BF,56,0)*VLOOKUP(B:B,奖励标准!A:BD,55,0)+VLOOKUP(B:B,录入表!B:BF,57,0)*VLOOKUP(B:B,奖励标准!A:BD,56,0),0)</f>
        <v>0</v>
      </c>
      <c r="Y2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1" s="28">
        <f>ROUND(VLOOKUP(B:B,录入表!B:BL,62,0)*VLOOKUP(B:B,奖励标准!A:BJ,61,0)+VLOOKUP(B:B,奖励标准!A:BJ,62,0)*VLOOKUP(B:B,录入表!B:BL,63,0),0)</f>
        <v>0</v>
      </c>
      <c r="AA2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1" s="82">
        <f>ROUND(VLOOKUP(B:B,录入表!B:CV,98,0)*VLOOKUP(B:B,奖励标准!A:CT,97,0)+VLOOKUP(B:B,奖励标准!A:CU,98,0)*VLOOKUP(B:B,录入表!B:CV,99,0),0)</f>
        <v>0</v>
      </c>
      <c r="AG21" s="82">
        <f>ROUND(VLOOKUP(B:B,录入表!B:CT,96,0)*VLOOKUP(B:B,奖励标准!A:CR,95,0)+VLOOKUP(B:B,录入表!B:CT,97,0)*VLOOKUP(B:B,奖励标准!A:CR,96,0),0)</f>
        <v>0</v>
      </c>
      <c r="AH21" s="28">
        <f>ROUND(VLOOKUP(B:B,录入表!B:CW,100,0)*VLOOKUP(科室绩效工资核算1!B:B,奖励标准!A:L,11,0),0)</f>
        <v>0</v>
      </c>
      <c r="AI2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9975</v>
      </c>
      <c r="AJ21" s="3">
        <f>ROUND(VLOOKUP(科室绩效工资核算1!B:B,录入表!B:O,14,0)*VLOOKUP(科室绩效工资核算1!B:B,奖励标准!A:M,13,0),0)</f>
        <v>0</v>
      </c>
      <c r="AK21" s="3">
        <f>ROUND(VLOOKUP(科室绩效工资核算1!B:B,录入表!B:P,15,0)*VLOOKUP(科室绩效工资核算1!B:B,奖励标准!A:N,14,0),0)</f>
        <v>0</v>
      </c>
      <c r="AL21" s="3">
        <f>ROUND(VLOOKUP(科室绩效工资核算1!B:B,录入表!B:P,15,0)*VLOOKUP(科室绩效工资核算1!B:B,奖励标准!A:AU,47,0),0)</f>
        <v>0</v>
      </c>
      <c r="AM21" s="3">
        <f t="shared" si="1"/>
        <v>9975</v>
      </c>
      <c r="AN21" s="3">
        <f>SUM(C21:AG21)-SUM(U21:V21)</f>
        <v>63011</v>
      </c>
    </row>
    <row r="22" spans="1:86" ht="12.5" customHeight="1" x14ac:dyDescent="0.25">
      <c r="B22" s="73" t="s">
        <v>92</v>
      </c>
      <c r="C22" s="3">
        <f>ROUND(VLOOKUP(B:B,录入表!B:F,5,0)/VLOOKUP(科室绩效工资核算1!B:B,奖励标准!A:B,2,0)*VLOOKUP(B:B,奖励标准!A:C,3,0),0)</f>
        <v>1264</v>
      </c>
      <c r="D22" s="3">
        <f>ROUND(VLOOKUP(B:B,录入表!B:G,6,0)/VLOOKUP(科室绩效工资核算1!B:B,奖励标准!A:D,4,0)*VLOOKUP(B:B,奖励标准!A:E,5,0),0)</f>
        <v>11068</v>
      </c>
      <c r="E2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2" s="3">
        <f>ROUND(VLOOKUP(B:B,录入表!B:AT,45,0)*VLOOKUP(科室绩效工资核算1!B:B,奖励标准!A:AR,44,0),0)</f>
        <v>0</v>
      </c>
      <c r="G22" s="3">
        <f>ROUND((VLOOKUP(B:B,录入表!B:W,22,0)+VLOOKUP(B:B,录入表!B:X,23,0))*VLOOKUP(B:B,奖励标准!A:AS,45,0),0)</f>
        <v>0</v>
      </c>
      <c r="H22" s="3">
        <f>ROUND(VLOOKUP(B:B,录入表!B:H,7,0)*VLOOKUP(B:B,奖励标准!A:F,6,0),0)</f>
        <v>360</v>
      </c>
      <c r="I22" s="3">
        <f>ROUND(VLOOKUP(B:B,录入表!B:I,8,0)*VLOOKUP(B:B,奖励标准!A:G,7,0),0)</f>
        <v>210</v>
      </c>
      <c r="J22" s="3">
        <f>ROUND(VLOOKUP(B:B,录入表!B:J,9,0)*VLOOKUP(B:B,奖励标准!A:H,8,0),0)</f>
        <v>101</v>
      </c>
      <c r="K22" s="3">
        <f>ROUND(VLOOKUP(B:B,录入表!B:Q,16,0)*VLOOKUP(科室绩效工资核算1!B:B,奖励标准!A:O,15,0),0)</f>
        <v>0</v>
      </c>
      <c r="L2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60</v>
      </c>
      <c r="M22" s="3">
        <f>ROUND(VLOOKUP(科室绩效工资核算1!B:B,录入表!B:AB,27,0)*VLOOKUP(科室绩效工资核算1!B:B,奖励标准!A:Z,26,0),0)</f>
        <v>0</v>
      </c>
      <c r="N22" s="3">
        <f>ROUND(VLOOKUP(B:B,录入表!B:AW,48,0)*VLOOKUP(B:B,奖励标准!A:AT,46,0),0)</f>
        <v>0</v>
      </c>
      <c r="O22" s="3">
        <f>ROUND(VLOOKUP(科室绩效工资核算1!B:B,录入表!B:AA,26,0)*VLOOKUP(B:B,奖励标准!A:Y,25,0),0)</f>
        <v>90</v>
      </c>
      <c r="P2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717</v>
      </c>
      <c r="Q22" s="3">
        <f>ROUND(VLOOKUP(B:B,录入表!B:AL,37,0)*VLOOKUP(B:B,奖励标准!A:AJ,36,0)+ROUND(VLOOKUP(B:B,录入表!B:AM,38,0)*VLOOKUP(B:B,奖励标准!A:AK,37,0),0),0)</f>
        <v>0</v>
      </c>
      <c r="R22" s="3">
        <f>ROUND(VLOOKUP(B:B,录入表!B:AN,39,0)*VLOOKUP(B:B,奖励标准!A:AL,38,0)+VLOOKUP(B:B,录入表!B:AO,40,0)*VLOOKUP(B:B,奖励标准!A:AM,39,0),0)</f>
        <v>626</v>
      </c>
      <c r="S22" s="3">
        <f>ROUND(((VLOOKUP(B:B,录入表!B:C,2,0)+VLOOKUP(B:B,录入表!B:E,4,0))*VLOOKUP(B:B,奖励标准!A:CU,99,0)),0)</f>
        <v>0</v>
      </c>
      <c r="T2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989</v>
      </c>
      <c r="U22" s="3">
        <f>ROUND(VLOOKUP(科室绩效工资核算1!B:B,录入表!B:AU,46,0)*VLOOKUP(B:B,奖励标准!A:CV,100,0),0)</f>
        <v>0</v>
      </c>
      <c r="V22" s="3">
        <f>ROUND(VLOOKUP(科室绩效工资核算1!B:B,录入表!B:AV,47,0)*VLOOKUP(B:B,奖励标准!A:CW,101,0),0)</f>
        <v>0</v>
      </c>
      <c r="W2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2" s="28">
        <f>ROUND(VLOOKUP(B:B,录入表!B:BF,56,0)*VLOOKUP(B:B,奖励标准!A:BD,55,0)+VLOOKUP(B:B,录入表!B:BF,57,0)*VLOOKUP(B:B,奖励标准!A:BD,56,0),0)</f>
        <v>0</v>
      </c>
      <c r="Y2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2" s="28">
        <f>ROUND(VLOOKUP(B:B,录入表!B:BL,62,0)*VLOOKUP(B:B,奖励标准!A:BJ,61,0)+VLOOKUP(B:B,奖励标准!A:BJ,62,0)*VLOOKUP(B:B,录入表!B:BL,63,0),0)</f>
        <v>0</v>
      </c>
      <c r="AA2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2" s="82">
        <f>ROUND(VLOOKUP(B:B,录入表!B:CV,98,0)*VLOOKUP(B:B,奖励标准!A:CT,97,0)+VLOOKUP(B:B,奖励标准!A:CU,98,0)*VLOOKUP(B:B,录入表!B:CV,99,0),0)</f>
        <v>0</v>
      </c>
      <c r="AG22" s="82">
        <f>ROUND(VLOOKUP(B:B,录入表!B:CT,96,0)*VLOOKUP(B:B,奖励标准!A:CR,95,0)+VLOOKUP(B:B,录入表!B:CT,97,0)*VLOOKUP(B:B,奖励标准!A:CR,96,0),0)</f>
        <v>0</v>
      </c>
      <c r="AH22" s="28">
        <f>ROUND(VLOOKUP(B:B,录入表!B:CW,100,0)*VLOOKUP(科室绩效工资核算1!B:B,奖励标准!A:L,11,0),0)</f>
        <v>0</v>
      </c>
      <c r="AI2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1260</v>
      </c>
      <c r="AJ22" s="3">
        <f>ROUND(VLOOKUP(科室绩效工资核算1!B:B,录入表!B:O,14,0)*VLOOKUP(科室绩效工资核算1!B:B,奖励标准!A:M,13,0),0)</f>
        <v>0</v>
      </c>
      <c r="AK22" s="3">
        <f>ROUND(VLOOKUP(科室绩效工资核算1!B:B,录入表!B:P,15,0)*VLOOKUP(科室绩效工资核算1!B:B,奖励标准!A:N,14,0),0)</f>
        <v>0</v>
      </c>
      <c r="AL22" s="3">
        <f>ROUND(VLOOKUP(科室绩效工资核算1!B:B,录入表!B:P,15,0)*VLOOKUP(科室绩效工资核算1!B:B,奖励标准!A:AU,47,0),0)</f>
        <v>0</v>
      </c>
      <c r="AM22" s="3">
        <f t="shared" si="1"/>
        <v>1260</v>
      </c>
      <c r="AN22" s="3">
        <f t="shared" si="0"/>
        <v>15485</v>
      </c>
    </row>
    <row r="23" spans="1:86" ht="12.5" customHeight="1" x14ac:dyDescent="0.25">
      <c r="B23" s="73" t="s">
        <v>93</v>
      </c>
      <c r="C23" s="3">
        <f>ROUND(VLOOKUP(B:B,录入表!B:F,5,0)/VLOOKUP(科室绩效工资核算1!B:B,奖励标准!A:B,2,0)*VLOOKUP(B:B,奖励标准!A:C,3,0),0)</f>
        <v>2746</v>
      </c>
      <c r="D23" s="3">
        <f>ROUND(VLOOKUP(B:B,录入表!B:G,6,0)/VLOOKUP(科室绩效工资核算1!B:B,奖励标准!A:D,4,0)*VLOOKUP(B:B,奖励标准!A:E,5,0),0)</f>
        <v>22113</v>
      </c>
      <c r="E2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3" s="3">
        <f>ROUND(VLOOKUP(B:B,录入表!B:AT,45,0)*VLOOKUP(科室绩效工资核算1!B:B,奖励标准!A:AR,44,0),0)</f>
        <v>0</v>
      </c>
      <c r="G23" s="3">
        <f>ROUND((VLOOKUP(B:B,录入表!B:W,22,0)+VLOOKUP(B:B,录入表!B:X,23,0))*VLOOKUP(B:B,奖励标准!A:AS,45,0),0)</f>
        <v>0</v>
      </c>
      <c r="H23" s="3">
        <f>ROUND(VLOOKUP(B:B,录入表!B:H,7,0)*VLOOKUP(B:B,奖励标准!A:F,6,0),0)</f>
        <v>2220</v>
      </c>
      <c r="I23" s="3">
        <f>ROUND(VLOOKUP(B:B,录入表!B:I,8,0)*VLOOKUP(B:B,奖励标准!A:G,7,0),0)</f>
        <v>940</v>
      </c>
      <c r="J23" s="3">
        <f>ROUND(VLOOKUP(B:B,录入表!B:J,9,0)*VLOOKUP(B:B,奖励标准!A:H,8,0),0)</f>
        <v>443</v>
      </c>
      <c r="K23" s="3">
        <f>ROUND(VLOOKUP(B:B,录入表!B:Q,16,0)*VLOOKUP(科室绩效工资核算1!B:B,奖励标准!A:O,15,0),0)</f>
        <v>0</v>
      </c>
      <c r="L2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3" s="3">
        <f>ROUND(VLOOKUP(科室绩效工资核算1!B:B,录入表!B:AB,27,0)*VLOOKUP(科室绩效工资核算1!B:B,奖励标准!A:Z,26,0),0)</f>
        <v>0</v>
      </c>
      <c r="N23" s="3">
        <f>ROUND(VLOOKUP(B:B,录入表!B:AW,48,0)*VLOOKUP(B:B,奖励标准!A:AT,46,0),0)</f>
        <v>36</v>
      </c>
      <c r="O23" s="3">
        <f>ROUND(VLOOKUP(科室绩效工资核算1!B:B,录入表!B:AA,26,0)*VLOOKUP(B:B,奖励标准!A:Y,25,0),0)</f>
        <v>154</v>
      </c>
      <c r="P2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814</v>
      </c>
      <c r="Q23" s="3">
        <f>ROUND(VLOOKUP(B:B,录入表!B:AL,37,0)*VLOOKUP(B:B,奖励标准!A:AJ,36,0)+ROUND(VLOOKUP(B:B,录入表!B:AM,38,0)*VLOOKUP(B:B,奖励标准!A:AK,37,0),0),0)</f>
        <v>0</v>
      </c>
      <c r="R23" s="3">
        <f>ROUND(VLOOKUP(B:B,录入表!B:AN,39,0)*VLOOKUP(B:B,奖励标准!A:AL,38,0)+VLOOKUP(B:B,录入表!B:AO,40,0)*VLOOKUP(B:B,奖励标准!A:AM,39,0),0)</f>
        <v>21</v>
      </c>
      <c r="S23" s="3">
        <f>ROUND(((VLOOKUP(B:B,录入表!B:C,2,0)+VLOOKUP(B:B,录入表!B:E,4,0))*VLOOKUP(B:B,奖励标准!A:CU,99,0)),0)</f>
        <v>0</v>
      </c>
      <c r="T2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2461</v>
      </c>
      <c r="U23" s="3">
        <f>ROUND(VLOOKUP(科室绩效工资核算1!B:B,录入表!B:AU,46,0)*VLOOKUP(B:B,奖励标准!A:CV,100,0),0)</f>
        <v>0</v>
      </c>
      <c r="V23" s="3">
        <f>ROUND(VLOOKUP(科室绩效工资核算1!B:B,录入表!B:AV,47,0)*VLOOKUP(B:B,奖励标准!A:CW,101,0),0)</f>
        <v>0</v>
      </c>
      <c r="W2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3" s="28">
        <f>ROUND(VLOOKUP(B:B,录入表!B:BF,56,0)*VLOOKUP(B:B,奖励标准!A:BD,55,0)+VLOOKUP(B:B,录入表!B:BF,57,0)*VLOOKUP(B:B,奖励标准!A:BD,56,0),0)</f>
        <v>0</v>
      </c>
      <c r="Y2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3" s="28">
        <f>ROUND(VLOOKUP(B:B,录入表!B:BL,62,0)*VLOOKUP(B:B,奖励标准!A:BJ,61,0)+VLOOKUP(B:B,奖励标准!A:BJ,62,0)*VLOOKUP(B:B,录入表!B:BL,63,0),0)</f>
        <v>0</v>
      </c>
      <c r="AA2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3" s="82">
        <f>ROUND(VLOOKUP(B:B,录入表!B:CV,98,0)*VLOOKUP(B:B,奖励标准!A:CT,97,0)+VLOOKUP(B:B,奖励标准!A:CU,98,0)*VLOOKUP(B:B,录入表!B:CV,99,0),0)</f>
        <v>0</v>
      </c>
      <c r="AG23" s="82">
        <f>ROUND(VLOOKUP(B:B,录入表!B:CT,96,0)*VLOOKUP(B:B,奖励标准!A:CR,95,0)+VLOOKUP(B:B,录入表!B:CT,97,0)*VLOOKUP(B:B,奖励标准!A:CR,96,0),0)</f>
        <v>0</v>
      </c>
      <c r="AH23" s="28">
        <f>ROUND(VLOOKUP(B:B,录入表!B:CW,100,0)*VLOOKUP(科室绩效工资核算1!B:B,奖励标准!A:L,11,0),0)</f>
        <v>0</v>
      </c>
      <c r="AI2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131</v>
      </c>
      <c r="AJ23" s="3">
        <f>ROUND(VLOOKUP(科室绩效工资核算1!B:B,录入表!B:O,14,0)*VLOOKUP(科室绩效工资核算1!B:B,奖励标准!A:M,13,0),0)</f>
        <v>569</v>
      </c>
      <c r="AK23" s="3">
        <f>ROUND(VLOOKUP(科室绩效工资核算1!B:B,录入表!B:P,15,0)*VLOOKUP(科室绩效工资核算1!B:B,奖励标准!A:N,14,0),0)</f>
        <v>240</v>
      </c>
      <c r="AL23" s="3">
        <f>ROUND(VLOOKUP(科室绩效工资核算1!B:B,录入表!B:P,15,0)*VLOOKUP(科室绩效工资核算1!B:B,奖励标准!A:AU,47,0),0)</f>
        <v>200</v>
      </c>
      <c r="AM23" s="3">
        <f t="shared" si="1"/>
        <v>1140</v>
      </c>
      <c r="AN23" s="3">
        <f t="shared" si="0"/>
        <v>31948</v>
      </c>
    </row>
    <row r="24" spans="1:86" ht="12.5" customHeight="1" x14ac:dyDescent="0.25">
      <c r="B24" s="73" t="s">
        <v>94</v>
      </c>
      <c r="C24" s="3">
        <f>ROUND(VLOOKUP(B:B,录入表!B:F,5,0)/VLOOKUP(科室绩效工资核算1!B:B,奖励标准!A:B,2,0)*VLOOKUP(B:B,奖励标准!A:C,3,0),0)</f>
        <v>4</v>
      </c>
      <c r="D24" s="3">
        <f>ROUND(VLOOKUP(B:B,录入表!B:G,6,0)/VLOOKUP(科室绩效工资核算1!B:B,奖励标准!A:D,4,0)*VLOOKUP(B:B,奖励标准!A:E,5,0),0)</f>
        <v>4865</v>
      </c>
      <c r="E2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4" s="3">
        <f>ROUND(VLOOKUP(B:B,录入表!B:AT,45,0)*VLOOKUP(科室绩效工资核算1!B:B,奖励标准!A:AR,44,0),0)</f>
        <v>0</v>
      </c>
      <c r="G24" s="3">
        <f>ROUND((VLOOKUP(B:B,录入表!B:W,22,0)+VLOOKUP(B:B,录入表!B:X,23,0))*VLOOKUP(B:B,奖励标准!A:AS,45,0),0)</f>
        <v>0</v>
      </c>
      <c r="H24" s="3">
        <f>ROUND(VLOOKUP(B:B,录入表!B:H,7,0)*VLOOKUP(B:B,奖励标准!A:F,6,0),0)</f>
        <v>1120</v>
      </c>
      <c r="I24" s="3">
        <f>ROUND(VLOOKUP(B:B,录入表!B:I,8,0)*VLOOKUP(B:B,奖励标准!A:G,7,0),0)</f>
        <v>0</v>
      </c>
      <c r="J24" s="3">
        <f>ROUND(VLOOKUP(B:B,录入表!B:J,9,0)*VLOOKUP(B:B,奖励标准!A:H,8,0),0)</f>
        <v>0</v>
      </c>
      <c r="K24" s="3">
        <f>ROUND(VLOOKUP(B:B,录入表!B:Q,16,0)*VLOOKUP(科室绩效工资核算1!B:B,奖励标准!A:O,15,0),0)</f>
        <v>0</v>
      </c>
      <c r="L2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4" s="3">
        <f>ROUND(VLOOKUP(科室绩效工资核算1!B:B,录入表!B:AB,27,0)*VLOOKUP(科室绩效工资核算1!B:B,奖励标准!A:Z,26,0),0)</f>
        <v>0</v>
      </c>
      <c r="N24" s="3">
        <f>ROUND(VLOOKUP(B:B,录入表!B:AW,48,0)*VLOOKUP(B:B,奖励标准!A:AT,46,0),0)</f>
        <v>0</v>
      </c>
      <c r="O24" s="3">
        <f>ROUND(VLOOKUP(科室绩效工资核算1!B:B,录入表!B:AA,26,0)*VLOOKUP(B:B,奖励标准!A:Y,25,0),0)</f>
        <v>512</v>
      </c>
      <c r="P2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24" s="3">
        <f>ROUND(VLOOKUP(B:B,录入表!B:AL,37,0)*VLOOKUP(B:B,奖励标准!A:AJ,36,0)+ROUND(VLOOKUP(B:B,录入表!B:AM,38,0)*VLOOKUP(B:B,奖励标准!A:AK,37,0),0),0)</f>
        <v>2459</v>
      </c>
      <c r="R24" s="3">
        <f>ROUND(VLOOKUP(B:B,录入表!B:AN,39,0)*VLOOKUP(B:B,奖励标准!A:AL,38,0)+VLOOKUP(B:B,录入表!B:AO,40,0)*VLOOKUP(B:B,奖励标准!A:AM,39,0),0)</f>
        <v>0</v>
      </c>
      <c r="S24" s="3">
        <f>ROUND(((VLOOKUP(B:B,录入表!B:C,2,0)+VLOOKUP(B:B,录入表!B:E,4,0))*VLOOKUP(B:B,奖励标准!A:CU,99,0)),0)</f>
        <v>0</v>
      </c>
      <c r="T2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4169</v>
      </c>
      <c r="U24" s="3">
        <f>ROUND(VLOOKUP(科室绩效工资核算1!B:B,录入表!B:AU,46,0)*VLOOKUP(B:B,奖励标准!A:CV,100,0),0)</f>
        <v>0</v>
      </c>
      <c r="V24" s="3">
        <f>ROUND(VLOOKUP(科室绩效工资核算1!B:B,录入表!B:AV,47,0)*VLOOKUP(B:B,奖励标准!A:CW,101,0),0)</f>
        <v>0</v>
      </c>
      <c r="W2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4" s="28">
        <f>ROUND(VLOOKUP(B:B,录入表!B:BF,56,0)*VLOOKUP(B:B,奖励标准!A:BD,55,0)+VLOOKUP(B:B,录入表!B:BF,57,0)*VLOOKUP(B:B,奖励标准!A:BD,56,0),0)</f>
        <v>0</v>
      </c>
      <c r="Y2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4" s="28">
        <f>ROUND(VLOOKUP(B:B,录入表!B:BL,62,0)*VLOOKUP(B:B,奖励标准!A:BJ,61,0)+VLOOKUP(B:B,奖励标准!A:BJ,62,0)*VLOOKUP(B:B,录入表!B:BL,63,0),0)</f>
        <v>0</v>
      </c>
      <c r="AA2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4" s="82">
        <f>ROUND(VLOOKUP(B:B,录入表!B:CV,98,0)*VLOOKUP(B:B,奖励标准!A:CT,97,0)+VLOOKUP(B:B,奖励标准!A:CU,98,0)*VLOOKUP(B:B,录入表!B:CV,99,0),0)</f>
        <v>0</v>
      </c>
      <c r="AG24" s="82">
        <f>ROUND(VLOOKUP(B:B,录入表!B:CT,96,0)*VLOOKUP(B:B,奖励标准!A:CR,95,0)+VLOOKUP(B:B,录入表!B:CT,97,0)*VLOOKUP(B:B,奖励标准!A:CR,96,0),0)</f>
        <v>0</v>
      </c>
      <c r="AH24" s="28">
        <f>ROUND(VLOOKUP(B:B,录入表!B:CW,100,0)*VLOOKUP(科室绩效工资核算1!B:B,奖励标准!A:L,11,0),0)</f>
        <v>0</v>
      </c>
      <c r="AI2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4" s="3">
        <f>ROUND(VLOOKUP(科室绩效工资核算1!B:B,录入表!B:O,14,0)*VLOOKUP(科室绩效工资核算1!B:B,奖励标准!A:M,13,0),0)</f>
        <v>0</v>
      </c>
      <c r="AK24" s="3">
        <f>ROUND(VLOOKUP(科室绩效工资核算1!B:B,录入表!B:P,15,0)*VLOOKUP(科室绩效工资核算1!B:B,奖励标准!A:N,14,0),0)</f>
        <v>0</v>
      </c>
      <c r="AL24" s="3">
        <f>ROUND(VLOOKUP(科室绩效工资核算1!B:B,录入表!B:P,15,0)*VLOOKUP(科室绩效工资核算1!B:B,奖励标准!A:AU,47,0),0)</f>
        <v>0</v>
      </c>
      <c r="AM24" s="3">
        <f t="shared" si="1"/>
        <v>0</v>
      </c>
      <c r="AN24" s="3">
        <f>SUM(C24:AG24)-SUM(U24:V24)</f>
        <v>13129</v>
      </c>
    </row>
    <row r="25" spans="1:86" ht="12.5" customHeight="1" x14ac:dyDescent="0.25">
      <c r="B25" s="73" t="s">
        <v>421</v>
      </c>
      <c r="C25" s="3">
        <f>ROUND(VLOOKUP(B:B,录入表!B:F,5,0)/VLOOKUP(科室绩效工资核算1!B:B,奖励标准!A:B,2,0)*VLOOKUP(B:B,奖励标准!A:C,3,0),0)</f>
        <v>12663</v>
      </c>
      <c r="D25" s="3">
        <f>ROUND(VLOOKUP(B:B,录入表!B:G,6,0)/VLOOKUP(科室绩效工资核算1!B:B,奖励标准!A:D,4,0)*VLOOKUP(B:B,奖励标准!A:E,5,0),0)</f>
        <v>14687</v>
      </c>
      <c r="E2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6790</v>
      </c>
      <c r="F25" s="3">
        <f>ROUND(VLOOKUP(B:B,录入表!B:AT,45,0)*VLOOKUP(科室绩效工资核算1!B:B,奖励标准!A:AR,44,0),0)</f>
        <v>0</v>
      </c>
      <c r="G25" s="3">
        <f>ROUND((VLOOKUP(B:B,录入表!B:W,22,0)+VLOOKUP(B:B,录入表!B:X,23,0))*VLOOKUP(B:B,奖励标准!A:AS,45,0),0)</f>
        <v>0</v>
      </c>
      <c r="H25" s="3">
        <f>ROUND(VLOOKUP(B:B,录入表!B:H,7,0)*VLOOKUP(B:B,奖励标准!A:F,6,0),0)</f>
        <v>1660</v>
      </c>
      <c r="I25" s="3">
        <f>ROUND(VLOOKUP(B:B,录入表!B:I,8,0)*VLOOKUP(B:B,奖励标准!A:G,7,0),0)</f>
        <v>690</v>
      </c>
      <c r="J25" s="3">
        <f>ROUND(VLOOKUP(B:B,录入表!B:J,9,0)*VLOOKUP(B:B,奖励标准!A:H,8,0),0)</f>
        <v>1214</v>
      </c>
      <c r="K25" s="3">
        <f>ROUND(VLOOKUP(B:B,录入表!B:Q,16,0)*VLOOKUP(科室绩效工资核算1!B:B,奖励标准!A:O,15,0),0)</f>
        <v>0</v>
      </c>
      <c r="L2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5" s="3">
        <f>ROUND(VLOOKUP(科室绩效工资核算1!B:B,录入表!B:AB,27,0)*VLOOKUP(科室绩效工资核算1!B:B,奖励标准!A:Z,26,0),0)</f>
        <v>0</v>
      </c>
      <c r="N25" s="3">
        <f>ROUND(VLOOKUP(B:B,录入表!B:AW,48,0)*VLOOKUP(B:B,奖励标准!A:AT,46,0),0)</f>
        <v>0</v>
      </c>
      <c r="O25" s="3">
        <f>ROUND(VLOOKUP(科室绩效工资核算1!B:B,录入表!B:AA,26,0)*VLOOKUP(B:B,奖励标准!A:Y,25,0),0)</f>
        <v>33</v>
      </c>
      <c r="P2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6</v>
      </c>
      <c r="Q25" s="3">
        <f>ROUND(VLOOKUP(B:B,录入表!B:AL,37,0)*VLOOKUP(B:B,奖励标准!A:AJ,36,0)+ROUND(VLOOKUP(B:B,录入表!B:AM,38,0)*VLOOKUP(B:B,奖励标准!A:AK,37,0),0),0)</f>
        <v>0</v>
      </c>
      <c r="R25" s="3">
        <f>ROUND(VLOOKUP(B:B,录入表!B:AN,39,0)*VLOOKUP(B:B,奖励标准!A:AL,38,0)+VLOOKUP(B:B,录入表!B:AO,40,0)*VLOOKUP(B:B,奖励标准!A:AM,39,0),0)</f>
        <v>0</v>
      </c>
      <c r="S25" s="3">
        <f>ROUND(((VLOOKUP(B:B,录入表!B:C,2,0)+VLOOKUP(B:B,录入表!B:E,4,0))*VLOOKUP(B:B,奖励标准!A:CU,99,0)),0)</f>
        <v>0</v>
      </c>
      <c r="T2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1232</v>
      </c>
      <c r="U25" s="3">
        <f>ROUND(VLOOKUP(科室绩效工资核算1!B:B,录入表!B:AU,46,0)*VLOOKUP(B:B,奖励标准!A:CV,100,0),0)</f>
        <v>0</v>
      </c>
      <c r="V25" s="3">
        <f>ROUND(VLOOKUP(科室绩效工资核算1!B:B,录入表!B:AV,47,0)*VLOOKUP(B:B,奖励标准!A:CW,101,0),0)</f>
        <v>0</v>
      </c>
      <c r="W2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5" s="28">
        <f>ROUND(VLOOKUP(B:B,录入表!B:BF,56,0)*VLOOKUP(B:B,奖励标准!A:BD,55,0)+VLOOKUP(B:B,录入表!B:BF,57,0)*VLOOKUP(B:B,奖励标准!A:BD,56,0),0)</f>
        <v>0</v>
      </c>
      <c r="Y2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5" s="28">
        <f>ROUND(VLOOKUP(B:B,录入表!B:BL,62,0)*VLOOKUP(B:B,奖励标准!A:BJ,61,0)+VLOOKUP(B:B,奖励标准!A:BJ,62,0)*VLOOKUP(B:B,录入表!B:BL,63,0),0)</f>
        <v>0</v>
      </c>
      <c r="AA2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5" s="82">
        <f>ROUND(VLOOKUP(B:B,录入表!B:CV,98,0)*VLOOKUP(B:B,奖励标准!A:CT,97,0)+VLOOKUP(B:B,奖励标准!A:CU,98,0)*VLOOKUP(B:B,录入表!B:CV,99,0),0)</f>
        <v>0</v>
      </c>
      <c r="AG25" s="82">
        <f>ROUND(VLOOKUP(B:B,录入表!B:CT,96,0)*VLOOKUP(B:B,奖励标准!A:CR,95,0)+VLOOKUP(B:B,录入表!B:CT,97,0)*VLOOKUP(B:B,奖励标准!A:CR,96,0),0)</f>
        <v>0</v>
      </c>
      <c r="AH25" s="28">
        <f>ROUND(VLOOKUP(B:B,录入表!B:CW,100,0)*VLOOKUP(科室绩效工资核算1!B:B,奖励标准!A:L,11,0),0)</f>
        <v>0</v>
      </c>
      <c r="AI2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5" s="3">
        <f>ROUND(VLOOKUP(科室绩效工资核算1!B:B,录入表!B:O,14,0)*VLOOKUP(科室绩效工资核算1!B:B,奖励标准!A:M,13,0),0)</f>
        <v>0</v>
      </c>
      <c r="AK25" s="3">
        <f>ROUND(VLOOKUP(科室绩效工资核算1!B:B,录入表!B:P,15,0)*VLOOKUP(科室绩效工资核算1!B:B,奖励标准!A:N,14,0),0)</f>
        <v>0</v>
      </c>
      <c r="AL25" s="3">
        <f>ROUND(VLOOKUP(科室绩效工资核算1!B:B,录入表!B:P,15,0)*VLOOKUP(科室绩效工资核算1!B:B,奖励标准!A:AU,47,0),0)</f>
        <v>0</v>
      </c>
      <c r="AM25" s="3">
        <f t="shared" si="1"/>
        <v>0</v>
      </c>
      <c r="AN25" s="3">
        <f t="shared" si="0"/>
        <v>38975</v>
      </c>
    </row>
    <row r="26" spans="1:86" ht="12.5" customHeight="1" x14ac:dyDescent="0.25">
      <c r="B26" s="73" t="s">
        <v>95</v>
      </c>
      <c r="C26" s="3">
        <f>ROUND(VLOOKUP(B:B,录入表!B:F,5,0)/VLOOKUP(科室绩效工资核算1!B:B,奖励标准!A:B,2,0)*VLOOKUP(B:B,奖励标准!A:C,3,0),0)</f>
        <v>33690</v>
      </c>
      <c r="D26" s="3">
        <f>ROUND(VLOOKUP(B:B,录入表!B:G,6,0)/VLOOKUP(科室绩效工资核算1!B:B,奖励标准!A:D,4,0)*VLOOKUP(B:B,奖励标准!A:E,5,0),0)</f>
        <v>26</v>
      </c>
      <c r="E2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6" s="3">
        <f>ROUND(VLOOKUP(B:B,录入表!B:AT,45,0)*VLOOKUP(科室绩效工资核算1!B:B,奖励标准!A:AR,44,0),0)</f>
        <v>0</v>
      </c>
      <c r="G26" s="3">
        <f>ROUND((VLOOKUP(B:B,录入表!B:W,22,0)+VLOOKUP(B:B,录入表!B:X,23,0))*VLOOKUP(B:B,奖励标准!A:AS,45,0),0)</f>
        <v>0</v>
      </c>
      <c r="H26" s="3">
        <f>ROUND(VLOOKUP(B:B,录入表!B:H,7,0)*VLOOKUP(B:B,奖励标准!A:F,6,0),0)</f>
        <v>0</v>
      </c>
      <c r="I26" s="3">
        <f>ROUND(VLOOKUP(B:B,录入表!B:I,8,0)*VLOOKUP(B:B,奖励标准!A:G,7,0),0)</f>
        <v>0</v>
      </c>
      <c r="J26" s="3">
        <f>ROUND(VLOOKUP(B:B,录入表!B:J,9,0)*VLOOKUP(B:B,奖励标准!A:H,8,0),0)</f>
        <v>2</v>
      </c>
      <c r="K26" s="3">
        <f>ROUND(VLOOKUP(B:B,录入表!B:Q,16,0)*VLOOKUP(科室绩效工资核算1!B:B,奖励标准!A:O,15,0),0)</f>
        <v>0</v>
      </c>
      <c r="L2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6" s="3">
        <f>ROUND(VLOOKUP(科室绩效工资核算1!B:B,录入表!B:AB,27,0)*VLOOKUP(科室绩效工资核算1!B:B,奖励标准!A:Z,26,0),0)</f>
        <v>0</v>
      </c>
      <c r="N26" s="3">
        <f>ROUND(VLOOKUP(B:B,录入表!B:AW,48,0)*VLOOKUP(B:B,奖励标准!A:AT,46,0),0)</f>
        <v>0</v>
      </c>
      <c r="O26" s="3">
        <f>ROUND(VLOOKUP(科室绩效工资核算1!B:B,录入表!B:AA,26,0)*VLOOKUP(B:B,奖励标准!A:Y,25,0),0)</f>
        <v>51</v>
      </c>
      <c r="P2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471</v>
      </c>
      <c r="Q26" s="3">
        <f>ROUND(VLOOKUP(B:B,录入表!B:AL,37,0)*VLOOKUP(B:B,奖励标准!A:AJ,36,0)+ROUND(VLOOKUP(B:B,录入表!B:AM,38,0)*VLOOKUP(B:B,奖励标准!A:AK,37,0),0),0)</f>
        <v>0</v>
      </c>
      <c r="R26" s="3">
        <f>ROUND(VLOOKUP(B:B,录入表!B:AN,39,0)*VLOOKUP(B:B,奖励标准!A:AL,38,0)+VLOOKUP(B:B,录入表!B:AO,40,0)*VLOOKUP(B:B,奖励标准!A:AM,39,0),0)</f>
        <v>0</v>
      </c>
      <c r="S26" s="3">
        <f>ROUND(((VLOOKUP(B:B,录入表!B:C,2,0)+VLOOKUP(B:B,录入表!B:E,4,0))*VLOOKUP(B:B,奖励标准!A:CU,99,0)),0)</f>
        <v>0</v>
      </c>
      <c r="T2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6" s="3">
        <f>ROUND(VLOOKUP(科室绩效工资核算1!B:B,录入表!B:AU,46,0)*VLOOKUP(B:B,奖励标准!A:CV,100,0),0)</f>
        <v>0</v>
      </c>
      <c r="V26" s="3">
        <f>ROUND(VLOOKUP(科室绩效工资核算1!B:B,录入表!B:AV,47,0)*VLOOKUP(B:B,奖励标准!A:CW,101,0),0)</f>
        <v>0</v>
      </c>
      <c r="W2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6" s="28">
        <f>ROUND(VLOOKUP(B:B,录入表!B:BF,56,0)*VLOOKUP(B:B,奖励标准!A:BD,55,0)+VLOOKUP(B:B,录入表!B:BF,57,0)*VLOOKUP(B:B,奖励标准!A:BD,56,0),0)</f>
        <v>0</v>
      </c>
      <c r="Y2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6" s="28">
        <f>ROUND(VLOOKUP(B:B,录入表!B:BL,62,0)*VLOOKUP(B:B,奖励标准!A:BJ,61,0)+VLOOKUP(B:B,奖励标准!A:BJ,62,0)*VLOOKUP(B:B,录入表!B:BL,63,0),0)</f>
        <v>0</v>
      </c>
      <c r="AA2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6" s="82">
        <f>ROUND(VLOOKUP(B:B,录入表!B:CV,98,0)*VLOOKUP(B:B,奖励标准!A:CT,97,0)+VLOOKUP(B:B,奖励标准!A:CU,98,0)*VLOOKUP(B:B,录入表!B:CV,99,0),0)</f>
        <v>0</v>
      </c>
      <c r="AG26" s="82">
        <f>ROUND(VLOOKUP(B:B,录入表!B:CT,96,0)*VLOOKUP(B:B,奖励标准!A:CR,95,0)+VLOOKUP(B:B,录入表!B:CT,97,0)*VLOOKUP(B:B,奖励标准!A:CR,96,0),0)</f>
        <v>0</v>
      </c>
      <c r="AH26" s="28">
        <f>ROUND(VLOOKUP(B:B,录入表!B:CW,100,0)*VLOOKUP(科室绩效工资核算1!B:B,奖励标准!A:L,11,0),0)</f>
        <v>0</v>
      </c>
      <c r="AI2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26" s="3">
        <f>ROUND(VLOOKUP(科室绩效工资核算1!B:B,录入表!B:O,14,0)*VLOOKUP(科室绩效工资核算1!B:B,奖励标准!A:M,13,0),0)</f>
        <v>0</v>
      </c>
      <c r="AK26" s="3">
        <f>ROUND(VLOOKUP(科室绩效工资核算1!B:B,录入表!B:P,15,0)*VLOOKUP(科室绩效工资核算1!B:B,奖励标准!A:N,14,0),0)</f>
        <v>0</v>
      </c>
      <c r="AL26" s="3">
        <f>ROUND(VLOOKUP(科室绩效工资核算1!B:B,录入表!B:P,15,0)*VLOOKUP(科室绩效工资核算1!B:B,奖励标准!A:AU,47,0),0)</f>
        <v>0</v>
      </c>
      <c r="AM26" s="3">
        <f t="shared" si="1"/>
        <v>0</v>
      </c>
      <c r="AN26" s="3">
        <f t="shared" si="0"/>
        <v>34240</v>
      </c>
    </row>
    <row r="27" spans="1:86" s="4" customFormat="1" ht="12.5" customHeight="1" x14ac:dyDescent="0.25">
      <c r="A27" s="1"/>
      <c r="B27" s="73" t="s">
        <v>100</v>
      </c>
      <c r="C27" s="3">
        <f>ROUND(VLOOKUP(B:B,录入表!B:F,5,0)/VLOOKUP(科室绩效工资核算1!B:B,奖励标准!A:B,2,0)*VLOOKUP(B:B,奖励标准!A:C,3,0),0)</f>
        <v>6811</v>
      </c>
      <c r="D27" s="3">
        <f>ROUND(VLOOKUP(B:B,录入表!B:G,6,0)/VLOOKUP(科室绩效工资核算1!B:B,奖励标准!A:D,4,0)*VLOOKUP(B:B,奖励标准!A:E,5,0),0)</f>
        <v>1237</v>
      </c>
      <c r="E2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7" s="3">
        <f>ROUND(VLOOKUP(B:B,录入表!B:AT,45,0)*VLOOKUP(科室绩效工资核算1!B:B,奖励标准!A:AR,44,0),0)</f>
        <v>0</v>
      </c>
      <c r="G27" s="3">
        <f>ROUND((VLOOKUP(B:B,录入表!B:W,22,0)+VLOOKUP(B:B,录入表!B:X,23,0))*VLOOKUP(B:B,奖励标准!A:AS,45,0),0)</f>
        <v>0</v>
      </c>
      <c r="H27" s="3">
        <f>ROUND(VLOOKUP(B:B,录入表!B:H,7,0)*VLOOKUP(B:B,奖励标准!A:F,6,0),0)</f>
        <v>120</v>
      </c>
      <c r="I27" s="3">
        <f>ROUND(VLOOKUP(B:B,录入表!B:I,8,0)*VLOOKUP(B:B,奖励标准!A:G,7,0),0)</f>
        <v>60</v>
      </c>
      <c r="J27" s="3">
        <f>ROUND(VLOOKUP(B:B,录入表!B:J,9,0)*VLOOKUP(B:B,奖励标准!A:H,8,0),0)</f>
        <v>183</v>
      </c>
      <c r="K27" s="3">
        <f>ROUND(VLOOKUP(B:B,录入表!B:Q,16,0)*VLOOKUP(科室绩效工资核算1!B:B,奖励标准!A:O,15,0),0)</f>
        <v>90</v>
      </c>
      <c r="L2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252</v>
      </c>
      <c r="M27" s="3">
        <f>ROUND(VLOOKUP(科室绩效工资核算1!B:B,录入表!B:AB,27,0)*VLOOKUP(科室绩效工资核算1!B:B,奖励标准!A:Z,26,0),0)</f>
        <v>0</v>
      </c>
      <c r="N27" s="3">
        <f>ROUND(VLOOKUP(B:B,录入表!B:AW,48,0)*VLOOKUP(B:B,奖励标准!A:AT,46,0),0)</f>
        <v>0</v>
      </c>
      <c r="O27" s="3">
        <f>ROUND(VLOOKUP(科室绩效工资核算1!B:B,录入表!B:AA,26,0)*VLOOKUP(B:B,奖励标准!A:Y,25,0),0)</f>
        <v>294</v>
      </c>
      <c r="P2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201</v>
      </c>
      <c r="Q27" s="3">
        <f>ROUND(VLOOKUP(B:B,录入表!B:AL,37,0)*VLOOKUP(B:B,奖励标准!A:AJ,36,0)+ROUND(VLOOKUP(B:B,录入表!B:AM,38,0)*VLOOKUP(B:B,奖励标准!A:AK,37,0),0),0)</f>
        <v>0</v>
      </c>
      <c r="R27" s="3">
        <f>ROUND(VLOOKUP(B:B,录入表!B:AN,39,0)*VLOOKUP(B:B,奖励标准!A:AL,38,0)+VLOOKUP(B:B,录入表!B:AO,40,0)*VLOOKUP(B:B,奖励标准!A:AM,39,0),0)</f>
        <v>0</v>
      </c>
      <c r="S27" s="3">
        <f>ROUND(((VLOOKUP(B:B,录入表!B:C,2,0)+VLOOKUP(B:B,录入表!B:E,4,0))*VLOOKUP(B:B,奖励标准!A:CU,99,0)),0)</f>
        <v>0</v>
      </c>
      <c r="T2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22</v>
      </c>
      <c r="U27" s="3">
        <f>ROUND(VLOOKUP(科室绩效工资核算1!B:B,录入表!B:AU,46,0)*VLOOKUP(B:B,奖励标准!A:CV,100,0),0)</f>
        <v>0</v>
      </c>
      <c r="V27" s="3">
        <f>ROUND(VLOOKUP(科室绩效工资核算1!B:B,录入表!B:AV,47,0)*VLOOKUP(B:B,奖励标准!A:CW,101,0),0)</f>
        <v>0</v>
      </c>
      <c r="W2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7" s="28">
        <f>ROUND(VLOOKUP(B:B,录入表!B:BF,56,0)*VLOOKUP(B:B,奖励标准!A:BD,55,0)+VLOOKUP(B:B,录入表!B:BF,57,0)*VLOOKUP(B:B,奖励标准!A:BD,56,0),0)</f>
        <v>0</v>
      </c>
      <c r="Y2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7" s="28">
        <f>ROUND(VLOOKUP(B:B,录入表!B:BL,62,0)*VLOOKUP(B:B,奖励标准!A:BJ,61,0)+VLOOKUP(B:B,奖励标准!A:BJ,62,0)*VLOOKUP(B:B,录入表!B:BL,63,0),0)</f>
        <v>0</v>
      </c>
      <c r="AA2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7" s="82">
        <f>ROUND(VLOOKUP(B:B,录入表!B:CV,98,0)*VLOOKUP(B:B,奖励标准!A:CT,97,0)+VLOOKUP(B:B,奖励标准!A:CU,98,0)*VLOOKUP(B:B,录入表!B:CV,99,0),0)</f>
        <v>0</v>
      </c>
      <c r="AG27" s="82">
        <f>ROUND(VLOOKUP(B:B,录入表!B:CT,96,0)*VLOOKUP(B:B,奖励标准!A:CR,95,0)+VLOOKUP(B:B,录入表!B:CT,97,0)*VLOOKUP(B:B,奖励标准!A:CR,96,0),0)</f>
        <v>0</v>
      </c>
      <c r="AH27" s="28">
        <f>ROUND(VLOOKUP(B:B,录入表!B:CW,100,0)*VLOOKUP(科室绩效工资核算1!B:B,奖励标准!A:L,11,0),0)</f>
        <v>0</v>
      </c>
      <c r="AI2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969</v>
      </c>
      <c r="AJ27" s="3">
        <f>ROUND(VLOOKUP(科室绩效工资核算1!B:B,录入表!B:O,14,0)*VLOOKUP(科室绩效工资核算1!B:B,奖励标准!A:M,13,0),0)</f>
        <v>0</v>
      </c>
      <c r="AK27" s="3">
        <f>ROUND(VLOOKUP(科室绩效工资核算1!B:B,录入表!B:P,15,0)*VLOOKUP(科室绩效工资核算1!B:B,奖励标准!A:N,14,0),0)</f>
        <v>0</v>
      </c>
      <c r="AL27" s="3">
        <f>ROUND(VLOOKUP(科室绩效工资核算1!B:B,录入表!B:P,15,0)*VLOOKUP(科室绩效工资核算1!B:B,奖励标准!A:AU,47,0),0)</f>
        <v>0</v>
      </c>
      <c r="AM27" s="3">
        <f t="shared" si="1"/>
        <v>969</v>
      </c>
      <c r="AN27" s="3">
        <f t="shared" si="0"/>
        <v>9270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s="4" customFormat="1" ht="12.5" customHeight="1" x14ac:dyDescent="0.25">
      <c r="A28" s="1"/>
      <c r="B28" s="73" t="s">
        <v>105</v>
      </c>
      <c r="C28" s="3">
        <f>ROUND(VLOOKUP(B:B,录入表!B:F,5,0)/VLOOKUP(科室绩效工资核算1!B:B,奖励标准!A:B,2,0)*VLOOKUP(B:B,奖励标准!A:C,3,0),0)</f>
        <v>23055</v>
      </c>
      <c r="D28" s="3">
        <f>ROUND(VLOOKUP(B:B,录入表!B:G,6,0)/VLOOKUP(科室绩效工资核算1!B:B,奖励标准!A:D,4,0)*VLOOKUP(B:B,奖励标准!A:E,5,0),0)</f>
        <v>1335</v>
      </c>
      <c r="E2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8" s="3">
        <f>ROUND(VLOOKUP(B:B,录入表!B:AT,45,0)*VLOOKUP(科室绩效工资核算1!B:B,奖励标准!A:AR,44,0),0)</f>
        <v>0</v>
      </c>
      <c r="G28" s="3">
        <f>ROUND((VLOOKUP(B:B,录入表!B:W,22,0)+VLOOKUP(B:B,录入表!B:X,23,0))*VLOOKUP(B:B,奖励标准!A:AS,45,0),0)</f>
        <v>0</v>
      </c>
      <c r="H28" s="3">
        <f>ROUND(VLOOKUP(B:B,录入表!B:H,7,0)*VLOOKUP(B:B,奖励标准!A:F,6,0),0)</f>
        <v>0</v>
      </c>
      <c r="I28" s="3">
        <f>ROUND(VLOOKUP(B:B,录入表!B:I,8,0)*VLOOKUP(B:B,奖励标准!A:G,7,0),0)</f>
        <v>0</v>
      </c>
      <c r="J28" s="3">
        <f>ROUND(VLOOKUP(B:B,录入表!B:J,9,0)*VLOOKUP(B:B,奖励标准!A:H,8,0),0)</f>
        <v>835</v>
      </c>
      <c r="K28" s="3">
        <f>ROUND(VLOOKUP(B:B,录入表!B:Q,16,0)*VLOOKUP(科室绩效工资核算1!B:B,奖励标准!A:O,15,0),0)</f>
        <v>0</v>
      </c>
      <c r="L2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30</v>
      </c>
      <c r="M28" s="3">
        <f>ROUND(VLOOKUP(科室绩效工资核算1!B:B,录入表!B:AB,27,0)*VLOOKUP(科室绩效工资核算1!B:B,奖励标准!A:Z,26,0),0)</f>
        <v>0</v>
      </c>
      <c r="N28" s="3">
        <f>ROUND(VLOOKUP(B:B,录入表!B:AW,48,0)*VLOOKUP(B:B,奖励标准!A:AT,46,0),0)</f>
        <v>0</v>
      </c>
      <c r="O28" s="3">
        <f>ROUND(VLOOKUP(科室绩效工资核算1!B:B,录入表!B:AA,26,0)*VLOOKUP(B:B,奖励标准!A:Y,25,0),0)</f>
        <v>294</v>
      </c>
      <c r="P2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176</v>
      </c>
      <c r="Q28" s="3">
        <f>ROUND(VLOOKUP(B:B,录入表!B:AL,37,0)*VLOOKUP(B:B,奖励标准!A:AJ,36,0)+ROUND(VLOOKUP(B:B,录入表!B:AM,38,0)*VLOOKUP(B:B,奖励标准!A:AK,37,0),0),0)</f>
        <v>0</v>
      </c>
      <c r="R28" s="3">
        <f>ROUND(VLOOKUP(B:B,录入表!B:AN,39,0)*VLOOKUP(B:B,奖励标准!A:AL,38,0)+VLOOKUP(B:B,录入表!B:AO,40,0)*VLOOKUP(B:B,奖励标准!A:AM,39,0),0)</f>
        <v>0</v>
      </c>
      <c r="S28" s="3">
        <f>ROUND(((VLOOKUP(B:B,录入表!B:C,2,0)+VLOOKUP(B:B,录入表!B:E,4,0))*VLOOKUP(B:B,奖励标准!A:CU,99,0)),0)</f>
        <v>0</v>
      </c>
      <c r="T2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8" s="3">
        <f>ROUND(VLOOKUP(科室绩效工资核算1!B:B,录入表!B:AU,46,0)*VLOOKUP(B:B,奖励标准!A:CV,100,0),0)</f>
        <v>0</v>
      </c>
      <c r="V28" s="3">
        <f>ROUND(VLOOKUP(科室绩效工资核算1!B:B,录入表!B:AV,47,0)*VLOOKUP(B:B,奖励标准!A:CW,101,0),0)</f>
        <v>0</v>
      </c>
      <c r="W2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8" s="28">
        <f>ROUND(VLOOKUP(B:B,录入表!B:BF,56,0)*VLOOKUP(B:B,奖励标准!A:BD,55,0)+VLOOKUP(B:B,录入表!B:BF,57,0)*VLOOKUP(B:B,奖励标准!A:BD,56,0),0)</f>
        <v>0</v>
      </c>
      <c r="Y2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8" s="28">
        <f>ROUND(VLOOKUP(B:B,录入表!B:BL,62,0)*VLOOKUP(B:B,奖励标准!A:BJ,61,0)+VLOOKUP(B:B,奖励标准!A:BJ,62,0)*VLOOKUP(B:B,录入表!B:BL,63,0),0)</f>
        <v>0</v>
      </c>
      <c r="AA2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8" s="82">
        <f>ROUND(VLOOKUP(B:B,录入表!B:CV,98,0)*VLOOKUP(B:B,奖励标准!A:CT,97,0)+VLOOKUP(B:B,奖励标准!A:CU,98,0)*VLOOKUP(B:B,录入表!B:CV,99,0),0)</f>
        <v>0</v>
      </c>
      <c r="AG28" s="82">
        <f>ROUND(VLOOKUP(B:B,录入表!B:CT,96,0)*VLOOKUP(B:B,奖励标准!A:CR,95,0)+VLOOKUP(B:B,录入表!B:CT,97,0)*VLOOKUP(B:B,奖励标准!A:CR,96,0),0)</f>
        <v>0</v>
      </c>
      <c r="AH28" s="28">
        <f>ROUND(VLOOKUP(B:B,录入表!B:CW,100,0)*VLOOKUP(科室绩效工资核算1!B:B,奖励标准!A:L,11,0),0)</f>
        <v>0</v>
      </c>
      <c r="AI2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1223</v>
      </c>
      <c r="AJ28" s="3">
        <f>ROUND(VLOOKUP(科室绩效工资核算1!B:B,录入表!B:O,14,0)*VLOOKUP(科室绩效工资核算1!B:B,奖励标准!A:M,13,0),0)</f>
        <v>0</v>
      </c>
      <c r="AK28" s="3">
        <f>ROUND(VLOOKUP(科室绩效工资核算1!B:B,录入表!B:P,15,0)*VLOOKUP(科室绩效工资核算1!B:B,奖励标准!A:N,14,0),0)</f>
        <v>0</v>
      </c>
      <c r="AL28" s="3">
        <f>ROUND(VLOOKUP(科室绩效工资核算1!B:B,录入表!B:P,15,0)*VLOOKUP(科室绩效工资核算1!B:B,奖励标准!A:AU,47,0),0)</f>
        <v>0</v>
      </c>
      <c r="AM28" s="3">
        <f t="shared" si="1"/>
        <v>1223</v>
      </c>
      <c r="AN28" s="3">
        <f t="shared" si="0"/>
        <v>25725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s="4" customFormat="1" ht="12.5" customHeight="1" x14ac:dyDescent="0.25">
      <c r="A29" s="1"/>
      <c r="B29" s="73" t="s">
        <v>103</v>
      </c>
      <c r="C29" s="3">
        <f>ROUND(VLOOKUP(B:B,录入表!B:F,5,0)/VLOOKUP(科室绩效工资核算1!B:B,奖励标准!A:B,2,0)*VLOOKUP(B:B,奖励标准!A:C,3,0),0)</f>
        <v>5176</v>
      </c>
      <c r="D29" s="3">
        <f>ROUND(VLOOKUP(B:B,录入表!B:G,6,0)/VLOOKUP(科室绩效工资核算1!B:B,奖励标准!A:D,4,0)*VLOOKUP(B:B,奖励标准!A:E,5,0),0)</f>
        <v>203</v>
      </c>
      <c r="E2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29" s="3">
        <f>ROUND(VLOOKUP(B:B,录入表!B:AT,45,0)*VLOOKUP(科室绩效工资核算1!B:B,奖励标准!A:AR,44,0),0)</f>
        <v>0</v>
      </c>
      <c r="G29" s="3">
        <f>ROUND((VLOOKUP(B:B,录入表!B:W,22,0)+VLOOKUP(B:B,录入表!B:X,23,0))*VLOOKUP(B:B,奖励标准!A:AS,45,0),0)</f>
        <v>0</v>
      </c>
      <c r="H29" s="3">
        <f>ROUND(VLOOKUP(B:B,录入表!B:H,7,0)*VLOOKUP(B:B,奖励标准!A:F,6,0),0)</f>
        <v>20</v>
      </c>
      <c r="I29" s="3">
        <f>ROUND(VLOOKUP(B:B,录入表!B:I,8,0)*VLOOKUP(B:B,奖励标准!A:G,7,0),0)</f>
        <v>0</v>
      </c>
      <c r="J29" s="3">
        <f>ROUND(VLOOKUP(B:B,录入表!B:J,9,0)*VLOOKUP(B:B,奖励标准!A:H,8,0),0)</f>
        <v>153</v>
      </c>
      <c r="K29" s="3">
        <f>ROUND(VLOOKUP(B:B,录入表!B:Q,16,0)*VLOOKUP(科室绩效工资核算1!B:B,奖励标准!A:O,15,0),0)</f>
        <v>0</v>
      </c>
      <c r="L2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29" s="3">
        <f>ROUND(VLOOKUP(科室绩效工资核算1!B:B,录入表!B:AB,27,0)*VLOOKUP(科室绩效工资核算1!B:B,奖励标准!A:Z,26,0),0)</f>
        <v>0</v>
      </c>
      <c r="N29" s="3">
        <f>ROUND(VLOOKUP(B:B,录入表!B:AW,48,0)*VLOOKUP(B:B,奖励标准!A:AT,46,0),0)</f>
        <v>0</v>
      </c>
      <c r="O29" s="3">
        <f>ROUND(VLOOKUP(科室绩效工资核算1!B:B,录入表!B:AA,26,0)*VLOOKUP(B:B,奖励标准!A:Y,25,0),0)</f>
        <v>128</v>
      </c>
      <c r="P2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1022</v>
      </c>
      <c r="Q29" s="3">
        <f>ROUND(VLOOKUP(B:B,录入表!B:AL,37,0)*VLOOKUP(B:B,奖励标准!A:AJ,36,0)+ROUND(VLOOKUP(B:B,录入表!B:AM,38,0)*VLOOKUP(B:B,奖励标准!A:AK,37,0),0),0)</f>
        <v>0</v>
      </c>
      <c r="R29" s="3">
        <f>ROUND(VLOOKUP(B:B,录入表!B:AN,39,0)*VLOOKUP(B:B,奖励标准!A:AL,38,0)+VLOOKUP(B:B,录入表!B:AO,40,0)*VLOOKUP(B:B,奖励标准!A:AM,39,0),0)</f>
        <v>0</v>
      </c>
      <c r="S29" s="3">
        <f>ROUND(((VLOOKUP(B:B,录入表!B:C,2,0)+VLOOKUP(B:B,录入表!B:E,4,0))*VLOOKUP(B:B,奖励标准!A:CU,99,0)),0)</f>
        <v>0</v>
      </c>
      <c r="T2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29" s="3">
        <f>ROUND(VLOOKUP(科室绩效工资核算1!B:B,录入表!B:AU,46,0)*VLOOKUP(B:B,奖励标准!A:CV,100,0),0)</f>
        <v>0</v>
      </c>
      <c r="V29" s="3">
        <f>ROUND(VLOOKUP(科室绩效工资核算1!B:B,录入表!B:AV,47,0)*VLOOKUP(B:B,奖励标准!A:CW,101,0),0)</f>
        <v>0</v>
      </c>
      <c r="W2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29" s="28">
        <f>ROUND(VLOOKUP(B:B,录入表!B:BF,56,0)*VLOOKUP(B:B,奖励标准!A:BD,55,0)+VLOOKUP(B:B,录入表!B:BF,57,0)*VLOOKUP(B:B,奖励标准!A:BD,56,0),0)</f>
        <v>0</v>
      </c>
      <c r="Y2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29" s="28">
        <f>ROUND(VLOOKUP(B:B,录入表!B:BL,62,0)*VLOOKUP(B:B,奖励标准!A:BJ,61,0)+VLOOKUP(B:B,奖励标准!A:BJ,62,0)*VLOOKUP(B:B,录入表!B:BL,63,0),0)</f>
        <v>0</v>
      </c>
      <c r="AA2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2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2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2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2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29" s="82">
        <f>ROUND(VLOOKUP(B:B,录入表!B:CV,98,0)*VLOOKUP(B:B,奖励标准!A:CT,97,0)+VLOOKUP(B:B,奖励标准!A:CU,98,0)*VLOOKUP(B:B,录入表!B:CV,99,0),0)</f>
        <v>0</v>
      </c>
      <c r="AG29" s="82">
        <f>ROUND(VLOOKUP(B:B,录入表!B:CT,96,0)*VLOOKUP(B:B,奖励标准!A:CR,95,0)+VLOOKUP(B:B,录入表!B:CT,97,0)*VLOOKUP(B:B,奖励标准!A:CR,96,0),0)</f>
        <v>0</v>
      </c>
      <c r="AH29" s="28">
        <f>ROUND(VLOOKUP(B:B,录入表!B:CW,100,0)*VLOOKUP(科室绩效工资核算1!B:B,奖励标准!A:L,11,0),0)</f>
        <v>0</v>
      </c>
      <c r="AI2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69</v>
      </c>
      <c r="AJ29" s="3">
        <f>ROUND(VLOOKUP(科室绩效工资核算1!B:B,录入表!B:O,14,0)*VLOOKUP(科室绩效工资核算1!B:B,奖励标准!A:M,13,0),0)</f>
        <v>0</v>
      </c>
      <c r="AK29" s="3">
        <f>ROUND(VLOOKUP(科室绩效工资核算1!B:B,录入表!B:P,15,0)*VLOOKUP(科室绩效工资核算1!B:B,奖励标准!A:N,14,0),0)</f>
        <v>0</v>
      </c>
      <c r="AL29" s="3">
        <f>ROUND(VLOOKUP(科室绩效工资核算1!B:B,录入表!B:P,15,0)*VLOOKUP(科室绩效工资核算1!B:B,奖励标准!A:AU,47,0),0)</f>
        <v>0</v>
      </c>
      <c r="AM29" s="3">
        <f t="shared" si="1"/>
        <v>69</v>
      </c>
      <c r="AN29" s="3">
        <f t="shared" si="0"/>
        <v>6702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s="4" customFormat="1" ht="12.5" customHeight="1" x14ac:dyDescent="0.25">
      <c r="A30" s="1"/>
      <c r="B30" s="73" t="s">
        <v>102</v>
      </c>
      <c r="C30" s="3">
        <f>ROUND(VLOOKUP(B:B,录入表!B:F,5,0)/VLOOKUP(科室绩效工资核算1!B:B,奖励标准!A:B,2,0)*VLOOKUP(B:B,奖励标准!A:C,3,0),0)</f>
        <v>5868</v>
      </c>
      <c r="D30" s="3">
        <f>ROUND(VLOOKUP(B:B,录入表!B:G,6,0)/VLOOKUP(科室绩效工资核算1!B:B,奖励标准!A:D,4,0)*VLOOKUP(B:B,奖励标准!A:E,5,0),0)</f>
        <v>16693</v>
      </c>
      <c r="E3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0" s="3">
        <f>ROUND(VLOOKUP(B:B,录入表!B:AT,45,0)*VLOOKUP(科室绩效工资核算1!B:B,奖励标准!A:AR,44,0),0)</f>
        <v>0</v>
      </c>
      <c r="G30" s="3">
        <f>ROUND((VLOOKUP(B:B,录入表!B:W,22,0)+VLOOKUP(B:B,录入表!B:X,23,0))*VLOOKUP(B:B,奖励标准!A:AS,45,0),0)</f>
        <v>0</v>
      </c>
      <c r="H30" s="3">
        <f>ROUND(VLOOKUP(B:B,录入表!B:H,7,0)*VLOOKUP(B:B,奖励标准!A:F,6,0),0)</f>
        <v>1240</v>
      </c>
      <c r="I30" s="3">
        <f>ROUND(VLOOKUP(B:B,录入表!B:I,8,0)*VLOOKUP(B:B,奖励标准!A:G,7,0),0)</f>
        <v>600</v>
      </c>
      <c r="J30" s="3">
        <f>ROUND(VLOOKUP(B:B,录入表!B:J,9,0)*VLOOKUP(B:B,奖励标准!A:H,8,0),0)</f>
        <v>369</v>
      </c>
      <c r="K30" s="3">
        <f>ROUND(VLOOKUP(B:B,录入表!B:Q,16,0)*VLOOKUP(科室绩效工资核算1!B:B,奖励标准!A:O,15,0),0)</f>
        <v>120</v>
      </c>
      <c r="L3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0" s="3">
        <f>ROUND(VLOOKUP(科室绩效工资核算1!B:B,录入表!B:AB,27,0)*VLOOKUP(科室绩效工资核算1!B:B,奖励标准!A:Z,26,0),0)</f>
        <v>0</v>
      </c>
      <c r="N30" s="3">
        <f>ROUND(VLOOKUP(B:B,录入表!B:AW,48,0)*VLOOKUP(B:B,奖励标准!A:AT,46,0),0)</f>
        <v>0</v>
      </c>
      <c r="O30" s="3">
        <f>ROUND(VLOOKUP(科室绩效工资核算1!B:B,录入表!B:AA,26,0)*VLOOKUP(B:B,奖励标准!A:Y,25,0),0)</f>
        <v>232</v>
      </c>
      <c r="P3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393</v>
      </c>
      <c r="Q30" s="3">
        <f>ROUND(VLOOKUP(B:B,录入表!B:AL,37,0)*VLOOKUP(B:B,奖励标准!A:AJ,36,0)+ROUND(VLOOKUP(B:B,录入表!B:AM,38,0)*VLOOKUP(B:B,奖励标准!A:AK,37,0),0),0)</f>
        <v>639</v>
      </c>
      <c r="R30" s="3">
        <f>ROUND(VLOOKUP(B:B,录入表!B:AN,39,0)*VLOOKUP(B:B,奖励标准!A:AL,38,0)+VLOOKUP(B:B,录入表!B:AO,40,0)*VLOOKUP(B:B,奖励标准!A:AM,39,0),0)</f>
        <v>129</v>
      </c>
      <c r="S30" s="3">
        <f>ROUND(((VLOOKUP(B:B,录入表!B:C,2,0)+VLOOKUP(B:B,录入表!B:E,4,0))*VLOOKUP(B:B,奖励标准!A:CU,99,0)),0)</f>
        <v>0</v>
      </c>
      <c r="T3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1958</v>
      </c>
      <c r="U30" s="3">
        <f>ROUND(VLOOKUP(科室绩效工资核算1!B:B,录入表!B:AU,46,0)*VLOOKUP(B:B,奖励标准!A:CV,100,0),0)</f>
        <v>0</v>
      </c>
      <c r="V30" s="3">
        <f>ROUND(VLOOKUP(科室绩效工资核算1!B:B,录入表!B:AV,47,0)*VLOOKUP(B:B,奖励标准!A:CW,101,0),0)</f>
        <v>0</v>
      </c>
      <c r="W3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0" s="28">
        <f>ROUND(VLOOKUP(B:B,录入表!B:BF,56,0)*VLOOKUP(B:B,奖励标准!A:BD,55,0)+VLOOKUP(B:B,录入表!B:BF,57,0)*VLOOKUP(B:B,奖励标准!A:BD,56,0),0)</f>
        <v>0</v>
      </c>
      <c r="Y3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0" s="28">
        <f>ROUND(VLOOKUP(B:B,录入表!B:BL,62,0)*VLOOKUP(B:B,奖励标准!A:BJ,61,0)+VLOOKUP(B:B,奖励标准!A:BJ,62,0)*VLOOKUP(B:B,录入表!B:BL,63,0),0)</f>
        <v>0</v>
      </c>
      <c r="AA3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0" s="82">
        <f>ROUND(VLOOKUP(B:B,录入表!B:CV,98,0)*VLOOKUP(B:B,奖励标准!A:CT,97,0)+VLOOKUP(B:B,奖励标准!A:CU,98,0)*VLOOKUP(B:B,录入表!B:CV,99,0),0)</f>
        <v>0</v>
      </c>
      <c r="AG30" s="82">
        <f>ROUND(VLOOKUP(B:B,录入表!B:CT,96,0)*VLOOKUP(B:B,奖励标准!A:CR,95,0)+VLOOKUP(B:B,录入表!B:CT,97,0)*VLOOKUP(B:B,奖励标准!A:CR,96,0),0)</f>
        <v>0</v>
      </c>
      <c r="AH30" s="28">
        <f>ROUND(VLOOKUP(B:B,录入表!B:CW,100,0)*VLOOKUP(科室绩效工资核算1!B:B,奖励标准!A:L,11,0),0)</f>
        <v>0</v>
      </c>
      <c r="AI3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4941</v>
      </c>
      <c r="AJ30" s="3">
        <f>ROUND(VLOOKUP(科室绩效工资核算1!B:B,录入表!B:O,14,0)*VLOOKUP(科室绩效工资核算1!B:B,奖励标准!A:M,13,0),0)</f>
        <v>0</v>
      </c>
      <c r="AK30" s="3">
        <f>ROUND(VLOOKUP(科室绩效工资核算1!B:B,录入表!B:P,15,0)*VLOOKUP(科室绩效工资核算1!B:B,奖励标准!A:N,14,0),0)</f>
        <v>0</v>
      </c>
      <c r="AL30" s="3">
        <f>ROUND(VLOOKUP(科室绩效工资核算1!B:B,录入表!B:P,15,0)*VLOOKUP(科室绩效工资核算1!B:B,奖励标准!A:AU,47,0),0)</f>
        <v>0</v>
      </c>
      <c r="AM30" s="3">
        <f t="shared" si="1"/>
        <v>4941</v>
      </c>
      <c r="AN30" s="3">
        <f t="shared" si="0"/>
        <v>28241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s="4" customFormat="1" ht="12.5" customHeight="1" x14ac:dyDescent="0.25">
      <c r="A31" s="1"/>
      <c r="B31" s="73" t="s">
        <v>112</v>
      </c>
      <c r="C31" s="3">
        <f>ROUND(VLOOKUP(B:B,录入表!B:F,5,0)/VLOOKUP(科室绩效工资核算1!B:B,奖励标准!A:B,2,0)*VLOOKUP(B:B,奖励标准!A:C,3,0),0)</f>
        <v>27004</v>
      </c>
      <c r="D31" s="3">
        <f>ROUND(VLOOKUP(B:B,录入表!B:G,6,0)/VLOOKUP(科室绩效工资核算1!B:B,奖励标准!A:D,4,0)*VLOOKUP(B:B,奖励标准!A:E,5,0),0)</f>
        <v>177</v>
      </c>
      <c r="E3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1" s="3">
        <f>ROUND(VLOOKUP(B:B,录入表!B:AT,45,0)*VLOOKUP(科室绩效工资核算1!B:B,奖励标准!A:AR,44,0),0)</f>
        <v>0</v>
      </c>
      <c r="G31" s="3">
        <f>ROUND((VLOOKUP(B:B,录入表!B:W,22,0)+VLOOKUP(B:B,录入表!B:X,23,0))*VLOOKUP(B:B,奖励标准!A:AS,45,0),0)</f>
        <v>0</v>
      </c>
      <c r="H31" s="3">
        <f>ROUND(VLOOKUP(B:B,录入表!B:H,7,0)*VLOOKUP(B:B,奖励标准!A:F,6,0),0)</f>
        <v>720</v>
      </c>
      <c r="I31" s="3">
        <f>ROUND(VLOOKUP(B:B,录入表!B:I,8,0)*VLOOKUP(B:B,奖励标准!A:G,7,0),0)</f>
        <v>0</v>
      </c>
      <c r="J31" s="3">
        <f>ROUND(VLOOKUP(B:B,录入表!B:J,9,0)*VLOOKUP(B:B,奖励标准!A:H,8,0),0)</f>
        <v>1273</v>
      </c>
      <c r="K31" s="3">
        <f>ROUND(VLOOKUP(B:B,录入表!B:Q,16,0)*VLOOKUP(科室绩效工资核算1!B:B,奖励标准!A:O,15,0),0)</f>
        <v>0</v>
      </c>
      <c r="L3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1650</v>
      </c>
      <c r="M31" s="3">
        <f>ROUND(VLOOKUP(科室绩效工资核算1!B:B,录入表!B:AB,27,0)*VLOOKUP(科室绩效工资核算1!B:B,奖励标准!A:Z,26,0),0)</f>
        <v>0</v>
      </c>
      <c r="N31" s="3">
        <f>ROUND(VLOOKUP(B:B,录入表!B:AW,48,0)*VLOOKUP(B:B,奖励标准!A:AT,46,0),0)</f>
        <v>0</v>
      </c>
      <c r="O31" s="3">
        <f>ROUND(VLOOKUP(科室绩效工资核算1!B:B,录入表!B:AA,26,0)*VLOOKUP(B:B,奖励标准!A:Y,25,0),0)</f>
        <v>66</v>
      </c>
      <c r="P3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775</v>
      </c>
      <c r="Q31" s="3">
        <f>ROUND(VLOOKUP(B:B,录入表!B:AL,37,0)*VLOOKUP(B:B,奖励标准!A:AJ,36,0)+ROUND(VLOOKUP(B:B,录入表!B:AM,38,0)*VLOOKUP(B:B,奖励标准!A:AK,37,0),0),0)</f>
        <v>0</v>
      </c>
      <c r="R31" s="3">
        <f>ROUND(VLOOKUP(B:B,录入表!B:AN,39,0)*VLOOKUP(B:B,奖励标准!A:AL,38,0)+VLOOKUP(B:B,录入表!B:AO,40,0)*VLOOKUP(B:B,奖励标准!A:AM,39,0),0)</f>
        <v>0</v>
      </c>
      <c r="S31" s="3">
        <f>ROUND(((VLOOKUP(B:B,录入表!B:C,2,0)+VLOOKUP(B:B,录入表!B:E,4,0))*VLOOKUP(B:B,奖励标准!A:CU,99,0)),0)</f>
        <v>0</v>
      </c>
      <c r="T3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1" s="3">
        <f>ROUND(VLOOKUP(科室绩效工资核算1!B:B,录入表!B:AU,46,0)*VLOOKUP(B:B,奖励标准!A:CV,100,0),0)</f>
        <v>0</v>
      </c>
      <c r="V31" s="3">
        <f>ROUND(VLOOKUP(科室绩效工资核算1!B:B,录入表!B:AV,47,0)*VLOOKUP(B:B,奖励标准!A:CW,101,0),0)</f>
        <v>0</v>
      </c>
      <c r="W3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1" s="28">
        <f>ROUND(VLOOKUP(B:B,录入表!B:BF,56,0)*VLOOKUP(B:B,奖励标准!A:BD,55,0)+VLOOKUP(B:B,录入表!B:BF,57,0)*VLOOKUP(B:B,奖励标准!A:BD,56,0),0)</f>
        <v>0</v>
      </c>
      <c r="Y3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1" s="28">
        <f>ROUND(VLOOKUP(B:B,录入表!B:BL,62,0)*VLOOKUP(B:B,奖励标准!A:BJ,61,0)+VLOOKUP(B:B,奖励标准!A:BJ,62,0)*VLOOKUP(B:B,录入表!B:BL,63,0),0)</f>
        <v>0</v>
      </c>
      <c r="AA3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1" s="82">
        <f>ROUND(VLOOKUP(B:B,录入表!B:CV,98,0)*VLOOKUP(B:B,奖励标准!A:CT,97,0)+VLOOKUP(B:B,奖励标准!A:CU,98,0)*VLOOKUP(B:B,录入表!B:CV,99,0),0)</f>
        <v>0</v>
      </c>
      <c r="AG31" s="82">
        <f>ROUND(VLOOKUP(B:B,录入表!B:CT,96,0)*VLOOKUP(B:B,奖励标准!A:CR,95,0)+VLOOKUP(B:B,录入表!B:CT,97,0)*VLOOKUP(B:B,奖励标准!A:CR,96,0),0)</f>
        <v>0</v>
      </c>
      <c r="AH31" s="28">
        <f>ROUND(VLOOKUP(B:B,录入表!B:CW,100,0)*VLOOKUP(科室绩效工资核算1!B:B,奖励标准!A:L,11,0),0)</f>
        <v>0</v>
      </c>
      <c r="AI3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1" s="3">
        <f>ROUND(VLOOKUP(科室绩效工资核算1!B:B,录入表!B:O,14,0)*VLOOKUP(科室绩效工资核算1!B:B,奖励标准!A:M,13,0),0)</f>
        <v>0</v>
      </c>
      <c r="AK31" s="3">
        <f>ROUND(VLOOKUP(科室绩效工资核算1!B:B,录入表!B:P,15,0)*VLOOKUP(科室绩效工资核算1!B:B,奖励标准!A:N,14,0),0)</f>
        <v>0</v>
      </c>
      <c r="AL31" s="3">
        <f>ROUND(VLOOKUP(科室绩效工资核算1!B:B,录入表!B:P,15,0)*VLOOKUP(科室绩效工资核算1!B:B,奖励标准!A:AU,47,0),0)</f>
        <v>0</v>
      </c>
      <c r="AM31" s="3">
        <f t="shared" si="1"/>
        <v>0</v>
      </c>
      <c r="AN31" s="3">
        <f t="shared" si="0"/>
        <v>31665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2.5" customHeight="1" x14ac:dyDescent="0.25">
      <c r="B32" s="73" t="s">
        <v>621</v>
      </c>
      <c r="C32" s="3">
        <f>ROUND(VLOOKUP(B:B,录入表!B:F,5,0)/VLOOKUP(科室绩效工资核算1!B:B,奖励标准!A:B,2,0)*VLOOKUP(B:B,奖励标准!A:C,3,0),0)</f>
        <v>3785</v>
      </c>
      <c r="D32" s="3">
        <f>ROUND(VLOOKUP(B:B,录入表!B:G,6,0)/VLOOKUP(科室绩效工资核算1!B:B,奖励标准!A:D,4,0)*VLOOKUP(B:B,奖励标准!A:E,5,0),0)</f>
        <v>0</v>
      </c>
      <c r="E3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2" s="3">
        <f>ROUND(VLOOKUP(B:B,录入表!B:AT,45,0)*VLOOKUP(科室绩效工资核算1!B:B,奖励标准!A:AR,44,0),0)</f>
        <v>0</v>
      </c>
      <c r="G32" s="3">
        <f>ROUND((VLOOKUP(B:B,录入表!B:W,22,0)+VLOOKUP(B:B,录入表!B:X,23,0))*VLOOKUP(B:B,奖励标准!A:AS,45,0),0)</f>
        <v>0</v>
      </c>
      <c r="H32" s="3">
        <f>ROUND(VLOOKUP(B:B,录入表!B:H,7,0)*VLOOKUP(B:B,奖励标准!A:F,6,0),0)</f>
        <v>0</v>
      </c>
      <c r="I32" s="3">
        <f>ROUND(VLOOKUP(B:B,录入表!B:I,8,0)*VLOOKUP(B:B,奖励标准!A:G,7,0),0)</f>
        <v>0</v>
      </c>
      <c r="J32" s="3">
        <f>ROUND(VLOOKUP(B:B,录入表!B:J,9,0)*VLOOKUP(B:B,奖励标准!A:H,8,0),0)</f>
        <v>69</v>
      </c>
      <c r="K32" s="3">
        <f>ROUND(VLOOKUP(B:B,录入表!B:Q,16,0)*VLOOKUP(科室绩效工资核算1!B:B,奖励标准!A:O,15,0),0)</f>
        <v>0</v>
      </c>
      <c r="L3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2" s="3">
        <f>ROUND(VLOOKUP(科室绩效工资核算1!B:B,录入表!B:AB,27,0)*VLOOKUP(科室绩效工资核算1!B:B,奖励标准!A:Z,26,0),0)</f>
        <v>0</v>
      </c>
      <c r="N32" s="3">
        <f>ROUND(VLOOKUP(B:B,录入表!B:AW,48,0)*VLOOKUP(B:B,奖励标准!A:AT,46,0),0)</f>
        <v>0</v>
      </c>
      <c r="O32" s="3">
        <f>ROUND(VLOOKUP(科室绩效工资核算1!B:B,录入表!B:AA,26,0)*VLOOKUP(B:B,奖励标准!A:Y,25,0),0)</f>
        <v>0</v>
      </c>
      <c r="P3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2" s="3">
        <f>ROUND(VLOOKUP(B:B,录入表!B:AL,37,0)*VLOOKUP(B:B,奖励标准!A:AJ,36,0)+ROUND(VLOOKUP(B:B,录入表!B:AM,38,0)*VLOOKUP(B:B,奖励标准!A:AK,37,0),0),0)</f>
        <v>0</v>
      </c>
      <c r="R32" s="3">
        <f>ROUND(VLOOKUP(B:B,录入表!B:AN,39,0)*VLOOKUP(B:B,奖励标准!A:AL,38,0)+VLOOKUP(B:B,录入表!B:AO,40,0)*VLOOKUP(B:B,奖励标准!A:AM,39,0),0)</f>
        <v>404</v>
      </c>
      <c r="S32" s="3">
        <f>ROUND(((VLOOKUP(B:B,录入表!B:C,2,0)+VLOOKUP(B:B,录入表!B:E,4,0))*VLOOKUP(B:B,奖励标准!A:CU,99,0)),0)</f>
        <v>0</v>
      </c>
      <c r="T3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2" s="3">
        <f>ROUND(VLOOKUP(科室绩效工资核算1!B:B,录入表!B:AU,46,0)*VLOOKUP(B:B,奖励标准!A:CV,100,0),0)</f>
        <v>0</v>
      </c>
      <c r="V32" s="3">
        <f>ROUND(VLOOKUP(科室绩效工资核算1!B:B,录入表!B:AV,47,0)*VLOOKUP(B:B,奖励标准!A:CW,101,0),0)</f>
        <v>0</v>
      </c>
      <c r="W3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2" s="28">
        <f>ROUND(VLOOKUP(B:B,录入表!B:BF,56,0)*VLOOKUP(B:B,奖励标准!A:BD,55,0)+VLOOKUP(B:B,录入表!B:BF,57,0)*VLOOKUP(B:B,奖励标准!A:BD,56,0),0)</f>
        <v>0</v>
      </c>
      <c r="Y3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2" s="28">
        <f>ROUND(VLOOKUP(B:B,录入表!B:BL,62,0)*VLOOKUP(B:B,奖励标准!A:BJ,61,0)+VLOOKUP(B:B,奖励标准!A:BJ,62,0)*VLOOKUP(B:B,录入表!B:BL,63,0),0)</f>
        <v>0</v>
      </c>
      <c r="AA3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2" s="82">
        <f>ROUND(VLOOKUP(B:B,录入表!B:CV,98,0)*VLOOKUP(B:B,奖励标准!A:CT,97,0)+VLOOKUP(B:B,奖励标准!A:CU,98,0)*VLOOKUP(B:B,录入表!B:CV,99,0),0)</f>
        <v>0</v>
      </c>
      <c r="AG32" s="82">
        <f>ROUND(VLOOKUP(B:B,录入表!B:CT,96,0)*VLOOKUP(B:B,奖励标准!A:CR,95,0)+VLOOKUP(B:B,录入表!B:CT,97,0)*VLOOKUP(B:B,奖励标准!A:CR,96,0),0)</f>
        <v>0</v>
      </c>
      <c r="AH32" s="28">
        <f>ROUND(VLOOKUP(B:B,录入表!B:CW,100,0)*VLOOKUP(科室绩效工资核算1!B:B,奖励标准!A:L,11,0),0)</f>
        <v>0</v>
      </c>
      <c r="AI3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2" s="3">
        <f>ROUND(VLOOKUP(科室绩效工资核算1!B:B,录入表!B:O,14,0)*VLOOKUP(科室绩效工资核算1!B:B,奖励标准!A:M,13,0),0)</f>
        <v>0</v>
      </c>
      <c r="AK32" s="3">
        <f>ROUND(VLOOKUP(科室绩效工资核算1!B:B,录入表!B:P,15,0)*VLOOKUP(科室绩效工资核算1!B:B,奖励标准!A:N,14,0),0)</f>
        <v>0</v>
      </c>
      <c r="AL32" s="3">
        <f>ROUND(VLOOKUP(科室绩效工资核算1!B:B,录入表!B:P,15,0)*VLOOKUP(科室绩效工资核算1!B:B,奖励标准!A:AU,47,0),0)</f>
        <v>0</v>
      </c>
      <c r="AM32" s="3">
        <f t="shared" si="1"/>
        <v>0</v>
      </c>
      <c r="AN32" s="3">
        <f t="shared" si="0"/>
        <v>4258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.5" customHeight="1" x14ac:dyDescent="0.25">
      <c r="B33" s="73" t="s">
        <v>622</v>
      </c>
      <c r="C33" s="3">
        <f>ROUND(VLOOKUP(B:B,录入表!B:F,5,0)/VLOOKUP(科室绩效工资核算1!B:B,奖励标准!A:B,2,0)*VLOOKUP(B:B,奖励标准!A:C,3,0),0)</f>
        <v>3500</v>
      </c>
      <c r="D33" s="3">
        <f>ROUND(VLOOKUP(B:B,录入表!B:G,6,0)/VLOOKUP(科室绩效工资核算1!B:B,奖励标准!A:D,4,0)*VLOOKUP(B:B,奖励标准!A:E,5,0),0)</f>
        <v>0</v>
      </c>
      <c r="E3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3" s="3">
        <f>ROUND(VLOOKUP(B:B,录入表!B:AT,45,0)*VLOOKUP(科室绩效工资核算1!B:B,奖励标准!A:AR,44,0),0)</f>
        <v>0</v>
      </c>
      <c r="G33" s="3">
        <f>ROUND((VLOOKUP(B:B,录入表!B:W,22,0)+VLOOKUP(B:B,录入表!B:X,23,0))*VLOOKUP(B:B,奖励标准!A:AS,45,0),0)</f>
        <v>0</v>
      </c>
      <c r="H33" s="3">
        <f>ROUND(VLOOKUP(B:B,录入表!B:H,7,0)*VLOOKUP(B:B,奖励标准!A:F,6,0),0)</f>
        <v>440</v>
      </c>
      <c r="I33" s="3">
        <f>ROUND(VLOOKUP(B:B,录入表!B:I,8,0)*VLOOKUP(B:B,奖励标准!A:G,7,0),0)</f>
        <v>0</v>
      </c>
      <c r="J33" s="3">
        <f>ROUND(VLOOKUP(B:B,录入表!B:J,9,0)*VLOOKUP(B:B,奖励标准!A:H,8,0),0)</f>
        <v>425</v>
      </c>
      <c r="K33" s="3">
        <f>ROUND(VLOOKUP(B:B,录入表!B:Q,16,0)*VLOOKUP(科室绩效工资核算1!B:B,奖励标准!A:O,15,0),0)</f>
        <v>0</v>
      </c>
      <c r="L3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193</v>
      </c>
      <c r="M33" s="3">
        <f>ROUND(VLOOKUP(科室绩效工资核算1!B:B,录入表!B:AB,27,0)*VLOOKUP(科室绩效工资核算1!B:B,奖励标准!A:Z,26,0),0)</f>
        <v>0</v>
      </c>
      <c r="N33" s="3">
        <f>ROUND(VLOOKUP(B:B,录入表!B:AW,48,0)*VLOOKUP(B:B,奖励标准!A:AT,46,0),0)</f>
        <v>0</v>
      </c>
      <c r="O33" s="3">
        <f>ROUND(VLOOKUP(科室绩效工资核算1!B:B,录入表!B:AA,26,0)*VLOOKUP(B:B,奖励标准!A:Y,25,0),0)</f>
        <v>0</v>
      </c>
      <c r="P3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3" s="3">
        <f>ROUND(VLOOKUP(B:B,录入表!B:AL,37,0)*VLOOKUP(B:B,奖励标准!A:AJ,36,0)+ROUND(VLOOKUP(B:B,录入表!B:AM,38,0)*VLOOKUP(B:B,奖励标准!A:AK,37,0),0),0)</f>
        <v>0</v>
      </c>
      <c r="R33" s="3">
        <f>ROUND(VLOOKUP(B:B,录入表!B:AN,39,0)*VLOOKUP(B:B,奖励标准!A:AL,38,0)+VLOOKUP(B:B,录入表!B:AO,40,0)*VLOOKUP(B:B,奖励标准!A:AM,39,0),0)</f>
        <v>0</v>
      </c>
      <c r="S33" s="3">
        <f>ROUND(((VLOOKUP(B:B,录入表!B:C,2,0)+VLOOKUP(B:B,录入表!B:E,4,0))*VLOOKUP(B:B,奖励标准!A:CU,99,0)),0)</f>
        <v>0</v>
      </c>
      <c r="T3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3" s="3">
        <f>ROUND(VLOOKUP(科室绩效工资核算1!B:B,录入表!B:AU,46,0)*VLOOKUP(B:B,奖励标准!A:CV,100,0),0)</f>
        <v>0</v>
      </c>
      <c r="V33" s="3">
        <f>ROUND(VLOOKUP(科室绩效工资核算1!B:B,录入表!B:AV,47,0)*VLOOKUP(B:B,奖励标准!A:CW,101,0),0)</f>
        <v>0</v>
      </c>
      <c r="W3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3" s="28">
        <f>ROUND(VLOOKUP(B:B,录入表!B:BF,56,0)*VLOOKUP(B:B,奖励标准!A:BD,55,0)+VLOOKUP(B:B,录入表!B:BF,57,0)*VLOOKUP(B:B,奖励标准!A:BD,56,0),0)</f>
        <v>0</v>
      </c>
      <c r="Y3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3" s="28">
        <f>ROUND(VLOOKUP(B:B,录入表!B:BL,62,0)*VLOOKUP(B:B,奖励标准!A:BJ,61,0)+VLOOKUP(B:B,奖励标准!A:BJ,62,0)*VLOOKUP(B:B,录入表!B:BL,63,0),0)</f>
        <v>0</v>
      </c>
      <c r="AA3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3" s="82">
        <f>ROUND(VLOOKUP(B:B,录入表!B:CV,98,0)*VLOOKUP(B:B,奖励标准!A:CT,97,0)+VLOOKUP(B:B,奖励标准!A:CU,98,0)*VLOOKUP(B:B,录入表!B:CV,99,0),0)</f>
        <v>0</v>
      </c>
      <c r="AG33" s="82">
        <f>ROUND(VLOOKUP(B:B,录入表!B:CT,96,0)*VLOOKUP(B:B,奖励标准!A:CR,95,0)+VLOOKUP(B:B,录入表!B:CT,97,0)*VLOOKUP(B:B,奖励标准!A:CR,96,0),0)</f>
        <v>0</v>
      </c>
      <c r="AH33" s="28">
        <f>ROUND(VLOOKUP(B:B,录入表!B:CW,100,0)*VLOOKUP(科室绩效工资核算1!B:B,奖励标准!A:L,11,0),0)</f>
        <v>0</v>
      </c>
      <c r="AI3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3" s="3">
        <f>ROUND(VLOOKUP(科室绩效工资核算1!B:B,录入表!B:O,14,0)*VLOOKUP(科室绩效工资核算1!B:B,奖励标准!A:M,13,0),0)</f>
        <v>0</v>
      </c>
      <c r="AK33" s="3">
        <f>ROUND(VLOOKUP(科室绩效工资核算1!B:B,录入表!B:P,15,0)*VLOOKUP(科室绩效工资核算1!B:B,奖励标准!A:N,14,0),0)</f>
        <v>0</v>
      </c>
      <c r="AL33" s="3">
        <f>ROUND(VLOOKUP(科室绩效工资核算1!B:B,录入表!B:P,15,0)*VLOOKUP(科室绩效工资核算1!B:B,奖励标准!A:AU,47,0),0)</f>
        <v>0</v>
      </c>
      <c r="AM33" s="3">
        <f t="shared" si="1"/>
        <v>0</v>
      </c>
      <c r="AN33" s="3">
        <f t="shared" si="0"/>
        <v>4558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2.5" customHeight="1" x14ac:dyDescent="0.25">
      <c r="B34" s="73" t="s">
        <v>623</v>
      </c>
      <c r="C34" s="3">
        <f>ROUND(VLOOKUP(B:B,录入表!B:F,5,0)/VLOOKUP(科室绩效工资核算1!B:B,奖励标准!A:B,2,0)*VLOOKUP(B:B,奖励标准!A:C,3,0),0)</f>
        <v>7444</v>
      </c>
      <c r="D34" s="3">
        <f>ROUND(VLOOKUP(B:B,录入表!B:G,6,0)/VLOOKUP(科室绩效工资核算1!B:B,奖励标准!A:D,4,0)*VLOOKUP(B:B,奖励标准!A:E,5,0),0)</f>
        <v>0</v>
      </c>
      <c r="E3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4" s="3">
        <f>ROUND(VLOOKUP(B:B,录入表!B:AT,45,0)*VLOOKUP(科室绩效工资核算1!B:B,奖励标准!A:AR,44,0),0)</f>
        <v>0</v>
      </c>
      <c r="G34" s="3">
        <f>ROUND((VLOOKUP(B:B,录入表!B:W,22,0)+VLOOKUP(B:B,录入表!B:X,23,0))*VLOOKUP(B:B,奖励标准!A:AS,45,0),0)</f>
        <v>0</v>
      </c>
      <c r="H34" s="3">
        <f>ROUND(VLOOKUP(B:B,录入表!B:H,7,0)*VLOOKUP(B:B,奖励标准!A:F,6,0),0)</f>
        <v>140</v>
      </c>
      <c r="I34" s="3">
        <f>ROUND(VLOOKUP(B:B,录入表!B:I,8,0)*VLOOKUP(B:B,奖励标准!A:G,7,0),0)</f>
        <v>0</v>
      </c>
      <c r="J34" s="3">
        <f>ROUND(VLOOKUP(B:B,录入表!B:J,9,0)*VLOOKUP(B:B,奖励标准!A:H,8,0),0)</f>
        <v>3332</v>
      </c>
      <c r="K34" s="3">
        <f>ROUND(VLOOKUP(B:B,录入表!B:Q,16,0)*VLOOKUP(科室绩效工资核算1!B:B,奖励标准!A:O,15,0),0)</f>
        <v>0</v>
      </c>
      <c r="L3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4" s="3">
        <f>ROUND(VLOOKUP(科室绩效工资核算1!B:B,录入表!B:AB,27,0)*VLOOKUP(科室绩效工资核算1!B:B,奖励标准!A:Z,26,0),0)</f>
        <v>0</v>
      </c>
      <c r="N34" s="3">
        <f>ROUND(VLOOKUP(B:B,录入表!B:AW,48,0)*VLOOKUP(B:B,奖励标准!A:AT,46,0),0)</f>
        <v>0</v>
      </c>
      <c r="O34" s="3">
        <f>ROUND(VLOOKUP(科室绩效工资核算1!B:B,录入表!B:AA,26,0)*VLOOKUP(B:B,奖励标准!A:Y,25,0),0)</f>
        <v>0</v>
      </c>
      <c r="P3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4" s="3">
        <f>ROUND(VLOOKUP(B:B,录入表!B:AL,37,0)*VLOOKUP(B:B,奖励标准!A:AJ,36,0)+ROUND(VLOOKUP(B:B,录入表!B:AM,38,0)*VLOOKUP(B:B,奖励标准!A:AK,37,0),0),0)</f>
        <v>0</v>
      </c>
      <c r="R34" s="3">
        <f>ROUND(VLOOKUP(B:B,录入表!B:AN,39,0)*VLOOKUP(B:B,奖励标准!A:AL,38,0)+VLOOKUP(B:B,录入表!B:AO,40,0)*VLOOKUP(B:B,奖励标准!A:AM,39,0),0)</f>
        <v>0</v>
      </c>
      <c r="S34" s="3">
        <f>ROUND(((VLOOKUP(B:B,录入表!B:C,2,0)+VLOOKUP(B:B,录入表!B:E,4,0))*VLOOKUP(B:B,奖励标准!A:CU,99,0)),0)</f>
        <v>299</v>
      </c>
      <c r="T3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4" s="3">
        <f>ROUND(VLOOKUP(科室绩效工资核算1!B:B,录入表!B:AU,46,0)*VLOOKUP(B:B,奖励标准!A:CV,100,0),0)</f>
        <v>0</v>
      </c>
      <c r="V34" s="3">
        <f>ROUND(VLOOKUP(科室绩效工资核算1!B:B,录入表!B:AV,47,0)*VLOOKUP(B:B,奖励标准!A:CW,101,0),0)</f>
        <v>0</v>
      </c>
      <c r="W3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4" s="28">
        <f>ROUND(VLOOKUP(B:B,录入表!B:BF,56,0)*VLOOKUP(B:B,奖励标准!A:BD,55,0)+VLOOKUP(B:B,录入表!B:BF,57,0)*VLOOKUP(B:B,奖励标准!A:BD,56,0),0)</f>
        <v>0</v>
      </c>
      <c r="Y3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4" s="28">
        <f>ROUND(VLOOKUP(B:B,录入表!B:BL,62,0)*VLOOKUP(B:B,奖励标准!A:BJ,61,0)+VLOOKUP(B:B,奖励标准!A:BJ,62,0)*VLOOKUP(B:B,录入表!B:BL,63,0),0)</f>
        <v>0</v>
      </c>
      <c r="AA3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4" s="82">
        <f>ROUND(VLOOKUP(B:B,录入表!B:CV,98,0)*VLOOKUP(B:B,奖励标准!A:CT,97,0)+VLOOKUP(B:B,奖励标准!A:CU,98,0)*VLOOKUP(B:B,录入表!B:CV,99,0),0)</f>
        <v>0</v>
      </c>
      <c r="AG34" s="82">
        <f>ROUND(VLOOKUP(B:B,录入表!B:CT,96,0)*VLOOKUP(B:B,奖励标准!A:CR,95,0)+VLOOKUP(B:B,录入表!B:CT,97,0)*VLOOKUP(B:B,奖励标准!A:CR,96,0),0)</f>
        <v>0</v>
      </c>
      <c r="AH34" s="28">
        <f>ROUND(VLOOKUP(B:B,录入表!B:CW,100,0)*VLOOKUP(科室绩效工资核算1!B:B,奖励标准!A:L,11,0),0)</f>
        <v>0</v>
      </c>
      <c r="AI3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4" s="3">
        <f>ROUND(VLOOKUP(科室绩效工资核算1!B:B,录入表!B:O,14,0)*VLOOKUP(科室绩效工资核算1!B:B,奖励标准!A:M,13,0),0)</f>
        <v>0</v>
      </c>
      <c r="AK34" s="3">
        <f>ROUND(VLOOKUP(科室绩效工资核算1!B:B,录入表!B:P,15,0)*VLOOKUP(科室绩效工资核算1!B:B,奖励标准!A:N,14,0),0)</f>
        <v>0</v>
      </c>
      <c r="AL34" s="3">
        <f>ROUND(VLOOKUP(科室绩效工资核算1!B:B,录入表!B:P,15,0)*VLOOKUP(科室绩效工资核算1!B:B,奖励标准!A:AU,47,0),0)</f>
        <v>0</v>
      </c>
      <c r="AM34" s="3">
        <f t="shared" si="1"/>
        <v>0</v>
      </c>
      <c r="AN34" s="3">
        <f t="shared" si="0"/>
        <v>11215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2.5" customHeight="1" x14ac:dyDescent="0.25">
      <c r="B35" s="73" t="s">
        <v>113</v>
      </c>
      <c r="C35" s="3">
        <f>ROUND(VLOOKUP(B:B,录入表!B:F,5,0)/VLOOKUP(科室绩效工资核算1!B:B,奖励标准!A:B,2,0)*VLOOKUP(B:B,奖励标准!A:C,3,0),0)</f>
        <v>2346</v>
      </c>
      <c r="D35" s="3">
        <f>ROUND(VLOOKUP(B:B,录入表!B:G,6,0)/VLOOKUP(科室绩效工资核算1!B:B,奖励标准!A:D,4,0)*VLOOKUP(B:B,奖励标准!A:E,5,0),0)</f>
        <v>1209</v>
      </c>
      <c r="E3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5" s="3">
        <f>ROUND(VLOOKUP(B:B,录入表!B:AT,45,0)*VLOOKUP(科室绩效工资核算1!B:B,奖励标准!A:AR,44,0),0)</f>
        <v>0</v>
      </c>
      <c r="G35" s="3">
        <f>ROUND((VLOOKUP(B:B,录入表!B:W,22,0)+VLOOKUP(B:B,录入表!B:X,23,0))*VLOOKUP(B:B,奖励标准!A:AS,45,0),0)</f>
        <v>0</v>
      </c>
      <c r="H35" s="3">
        <f>ROUND(VLOOKUP(B:B,录入表!B:H,7,0)*VLOOKUP(B:B,奖励标准!A:F,6,0),0)</f>
        <v>0</v>
      </c>
      <c r="I35" s="3">
        <f>ROUND(VLOOKUP(B:B,录入表!B:I,8,0)*VLOOKUP(B:B,奖励标准!A:G,7,0),0)</f>
        <v>0</v>
      </c>
      <c r="J35" s="3">
        <f>ROUND(VLOOKUP(B:B,录入表!B:J,9,0)*VLOOKUP(B:B,奖励标准!A:H,8,0),0)</f>
        <v>509</v>
      </c>
      <c r="K35" s="3">
        <f>ROUND(VLOOKUP(B:B,录入表!B:Q,16,0)*VLOOKUP(科室绩效工资核算1!B:B,奖励标准!A:O,15,0),0)</f>
        <v>0</v>
      </c>
      <c r="L3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5" s="3">
        <f>ROUND(VLOOKUP(科室绩效工资核算1!B:B,录入表!B:AB,27,0)*VLOOKUP(科室绩效工资核算1!B:B,奖励标准!A:Z,26,0),0)</f>
        <v>0</v>
      </c>
      <c r="N35" s="3">
        <f>ROUND(VLOOKUP(B:B,录入表!B:AW,48,0)*VLOOKUP(B:B,奖励标准!A:AT,46,0),0)</f>
        <v>0</v>
      </c>
      <c r="O35" s="3">
        <f>ROUND(VLOOKUP(科室绩效工资核算1!B:B,录入表!B:AA,26,0)*VLOOKUP(B:B,奖励标准!A:Y,25,0),0)</f>
        <v>64</v>
      </c>
      <c r="P3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5" s="3">
        <f>ROUND(VLOOKUP(B:B,录入表!B:AL,37,0)*VLOOKUP(B:B,奖励标准!A:AJ,36,0)+ROUND(VLOOKUP(B:B,录入表!B:AM,38,0)*VLOOKUP(B:B,奖励标准!A:AK,37,0),0),0)</f>
        <v>0</v>
      </c>
      <c r="R35" s="3">
        <f>ROUND(VLOOKUP(B:B,录入表!B:AN,39,0)*VLOOKUP(B:B,奖励标准!A:AL,38,0)+VLOOKUP(B:B,录入表!B:AO,40,0)*VLOOKUP(B:B,奖励标准!A:AM,39,0),0)</f>
        <v>0</v>
      </c>
      <c r="S35" s="3">
        <f>ROUND(((VLOOKUP(B:B,录入表!B:C,2,0)+VLOOKUP(B:B,录入表!B:E,4,0))*VLOOKUP(B:B,奖励标准!A:CU,99,0)),0)</f>
        <v>7</v>
      </c>
      <c r="T3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5" s="3">
        <f>ROUND(VLOOKUP(科室绩效工资核算1!B:B,录入表!B:AU,46,0)*VLOOKUP(B:B,奖励标准!A:CV,100,0),0)</f>
        <v>0</v>
      </c>
      <c r="V35" s="3">
        <f>ROUND(VLOOKUP(科室绩效工资核算1!B:B,录入表!B:AV,47,0)*VLOOKUP(B:B,奖励标准!A:CW,101,0),0)</f>
        <v>0</v>
      </c>
      <c r="W3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5" s="28">
        <f>ROUND(VLOOKUP(B:B,录入表!B:BF,56,0)*VLOOKUP(B:B,奖励标准!A:BD,55,0)+VLOOKUP(B:B,录入表!B:BF,57,0)*VLOOKUP(B:B,奖励标准!A:BD,56,0),0)</f>
        <v>0</v>
      </c>
      <c r="Y3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5" s="28">
        <f>ROUND(VLOOKUP(B:B,录入表!B:BL,62,0)*VLOOKUP(B:B,奖励标准!A:BJ,61,0)+VLOOKUP(B:B,奖励标准!A:BJ,62,0)*VLOOKUP(B:B,录入表!B:BL,63,0),0)</f>
        <v>0</v>
      </c>
      <c r="AA3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5" s="82">
        <f>ROUND(VLOOKUP(B:B,录入表!B:CV,98,0)*VLOOKUP(B:B,奖励标准!A:CT,97,0)+VLOOKUP(B:B,奖励标准!A:CU,98,0)*VLOOKUP(B:B,录入表!B:CV,99,0),0)</f>
        <v>0</v>
      </c>
      <c r="AG35" s="82">
        <f>ROUND(VLOOKUP(B:B,录入表!B:CT,96,0)*VLOOKUP(B:B,奖励标准!A:CR,95,0)+VLOOKUP(B:B,录入表!B:CT,97,0)*VLOOKUP(B:B,奖励标准!A:CR,96,0),0)</f>
        <v>0</v>
      </c>
      <c r="AH35" s="28">
        <f>ROUND(VLOOKUP(B:B,录入表!B:CW,100,0)*VLOOKUP(科室绩效工资核算1!B:B,奖励标准!A:L,11,0),0)</f>
        <v>0</v>
      </c>
      <c r="AI3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5" s="3">
        <f>ROUND(VLOOKUP(科室绩效工资核算1!B:B,录入表!B:O,14,0)*VLOOKUP(科室绩效工资核算1!B:B,奖励标准!A:M,13,0),0)</f>
        <v>0</v>
      </c>
      <c r="AK35" s="3">
        <f>ROUND(VLOOKUP(科室绩效工资核算1!B:B,录入表!B:P,15,0)*VLOOKUP(科室绩效工资核算1!B:B,奖励标准!A:N,14,0),0)</f>
        <v>0</v>
      </c>
      <c r="AL35" s="3">
        <f>ROUND(VLOOKUP(科室绩效工资核算1!B:B,录入表!B:P,15,0)*VLOOKUP(科室绩效工资核算1!B:B,奖励标准!A:AU,47,0),0)</f>
        <v>0</v>
      </c>
      <c r="AM35" s="3">
        <f t="shared" si="1"/>
        <v>0</v>
      </c>
      <c r="AN35" s="3">
        <f t="shared" si="0"/>
        <v>4135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2.5" customHeight="1" x14ac:dyDescent="0.25">
      <c r="B36" s="73" t="s">
        <v>114</v>
      </c>
      <c r="C36" s="3">
        <f>ROUND(VLOOKUP(B:B,录入表!B:F,5,0)/VLOOKUP(科室绩效工资核算1!B:B,奖励标准!A:B,2,0)*VLOOKUP(B:B,奖励标准!A:C,3,0),0)</f>
        <v>0</v>
      </c>
      <c r="D36" s="3">
        <f>ROUND(VLOOKUP(B:B,录入表!B:G,6,0)/VLOOKUP(科室绩效工资核算1!B:B,奖励标准!A:D,4,0)*VLOOKUP(B:B,奖励标准!A:E,5,0),0)</f>
        <v>-27619</v>
      </c>
      <c r="E3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6" s="3">
        <f>ROUND(VLOOKUP(B:B,录入表!B:AT,45,0)*VLOOKUP(科室绩效工资核算1!B:B,奖励标准!A:AR,44,0),0)</f>
        <v>13662</v>
      </c>
      <c r="G36" s="3">
        <f>ROUND((VLOOKUP(B:B,录入表!B:W,22,0)+VLOOKUP(B:B,录入表!B:X,23,0))*VLOOKUP(B:B,奖励标准!A:AS,45,0),0)</f>
        <v>0</v>
      </c>
      <c r="H36" s="3">
        <f>ROUND(VLOOKUP(B:B,录入表!B:H,7,0)*VLOOKUP(B:B,奖励标准!A:F,6,0),0)</f>
        <v>0</v>
      </c>
      <c r="I36" s="3">
        <f>ROUND(VLOOKUP(B:B,录入表!B:I,8,0)*VLOOKUP(B:B,奖励标准!A:G,7,0),0)</f>
        <v>0</v>
      </c>
      <c r="J36" s="3">
        <f>ROUND(VLOOKUP(B:B,录入表!B:J,9,0)*VLOOKUP(B:B,奖励标准!A:H,8,0),0)</f>
        <v>0</v>
      </c>
      <c r="K36" s="3">
        <f>ROUND(VLOOKUP(B:B,录入表!B:Q,16,0)*VLOOKUP(科室绩效工资核算1!B:B,奖励标准!A:O,15,0),0)</f>
        <v>0</v>
      </c>
      <c r="L3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6" s="3">
        <f>ROUND(VLOOKUP(科室绩效工资核算1!B:B,录入表!B:AB,27,0)*VLOOKUP(科室绩效工资核算1!B:B,奖励标准!A:Z,26,0),0)</f>
        <v>0</v>
      </c>
      <c r="N36" s="3">
        <f>ROUND(VLOOKUP(B:B,录入表!B:AW,48,0)*VLOOKUP(B:B,奖励标准!A:AT,46,0),0)</f>
        <v>0</v>
      </c>
      <c r="O36" s="3">
        <f>ROUND(VLOOKUP(科室绩效工资核算1!B:B,录入表!B:AA,26,0)*VLOOKUP(B:B,奖励标准!A:Y,25,0),0)</f>
        <v>0</v>
      </c>
      <c r="P3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6" s="3">
        <f>ROUND(VLOOKUP(B:B,录入表!B:AL,37,0)*VLOOKUP(B:B,奖励标准!A:AJ,36,0)+ROUND(VLOOKUP(B:B,录入表!B:AM,38,0)*VLOOKUP(B:B,奖励标准!A:AK,37,0),0),0)</f>
        <v>0</v>
      </c>
      <c r="R36" s="3">
        <f>ROUND(VLOOKUP(B:B,录入表!B:AN,39,0)*VLOOKUP(B:B,奖励标准!A:AL,38,0)+VLOOKUP(B:B,录入表!B:AO,40,0)*VLOOKUP(B:B,奖励标准!A:AM,39,0),0)</f>
        <v>0</v>
      </c>
      <c r="S36" s="3">
        <f>ROUND(((VLOOKUP(B:B,录入表!B:C,2,0)+VLOOKUP(B:B,录入表!B:E,4,0))*VLOOKUP(B:B,奖励标准!A:CU,99,0)),0)</f>
        <v>0</v>
      </c>
      <c r="T3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6" s="3">
        <f>ROUND(VLOOKUP(科室绩效工资核算1!B:B,录入表!B:AU,46,0)*VLOOKUP(B:B,奖励标准!A:CV,100,0),0)</f>
        <v>0</v>
      </c>
      <c r="V36" s="3">
        <f>ROUND(VLOOKUP(科室绩效工资核算1!B:B,录入表!B:AV,47,0)*VLOOKUP(B:B,奖励标准!A:CW,101,0),0)</f>
        <v>0</v>
      </c>
      <c r="W3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6" s="28">
        <f>ROUND(VLOOKUP(B:B,录入表!B:BF,56,0)*VLOOKUP(B:B,奖励标准!A:BD,55,0)+VLOOKUP(B:B,录入表!B:BF,57,0)*VLOOKUP(B:B,奖励标准!A:BD,56,0),0)</f>
        <v>0</v>
      </c>
      <c r="Y3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6" s="28">
        <f>ROUND(VLOOKUP(B:B,录入表!B:BL,62,0)*VLOOKUP(B:B,奖励标准!A:BJ,61,0)+VLOOKUP(B:B,奖励标准!A:BJ,62,0)*VLOOKUP(B:B,录入表!B:BL,63,0),0)</f>
        <v>0</v>
      </c>
      <c r="AA3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6" s="82">
        <f>ROUND(VLOOKUP(B:B,录入表!B:CV,98,0)*VLOOKUP(B:B,奖励标准!A:CT,97,0)+VLOOKUP(B:B,奖励标准!A:CU,98,0)*VLOOKUP(B:B,录入表!B:CV,99,0),0)</f>
        <v>0</v>
      </c>
      <c r="AG36" s="82">
        <f>ROUND(VLOOKUP(B:B,录入表!B:CT,96,0)*VLOOKUP(B:B,奖励标准!A:CR,95,0)+VLOOKUP(B:B,录入表!B:CT,97,0)*VLOOKUP(B:B,奖励标准!A:CR,96,0),0)</f>
        <v>0</v>
      </c>
      <c r="AH36" s="28">
        <f>ROUND(VLOOKUP(B:B,录入表!B:CW,100,0)*VLOOKUP(科室绩效工资核算1!B:B,奖励标准!A:L,11,0),0)</f>
        <v>0</v>
      </c>
      <c r="AI3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6" s="3">
        <f>ROUND(VLOOKUP(科室绩效工资核算1!B:B,录入表!B:O,14,0)*VLOOKUP(科室绩效工资核算1!B:B,奖励标准!A:M,13,0),0)</f>
        <v>0</v>
      </c>
      <c r="AK36" s="3">
        <f>ROUND(VLOOKUP(科室绩效工资核算1!B:B,录入表!B:P,15,0)*VLOOKUP(科室绩效工资核算1!B:B,奖励标准!A:N,14,0),0)</f>
        <v>0</v>
      </c>
      <c r="AL36" s="3">
        <f>ROUND(VLOOKUP(科室绩效工资核算1!B:B,录入表!B:P,15,0)*VLOOKUP(科室绩效工资核算1!B:B,奖励标准!A:AU,47,0),0)</f>
        <v>0</v>
      </c>
      <c r="AM36" s="3">
        <f t="shared" si="1"/>
        <v>0</v>
      </c>
      <c r="AN36" s="3">
        <f t="shared" si="0"/>
        <v>-13957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2.5" customHeight="1" x14ac:dyDescent="0.25">
      <c r="B37" s="73" t="s">
        <v>115</v>
      </c>
      <c r="C37" s="3">
        <f>ROUND(VLOOKUP(B:B,录入表!B:F,5,0)/VLOOKUP(科室绩效工资核算1!B:B,奖励标准!A:B,2,0)*VLOOKUP(B:B,奖励标准!A:C,3,0),0)</f>
        <v>3</v>
      </c>
      <c r="D37" s="3">
        <f>ROUND(VLOOKUP(B:B,录入表!B:G,6,0)/VLOOKUP(科室绩效工资核算1!B:B,奖励标准!A:D,4,0)*VLOOKUP(B:B,奖励标准!A:E,5,0),0)</f>
        <v>8325</v>
      </c>
      <c r="E3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7" s="3">
        <f>ROUND(VLOOKUP(B:B,录入表!B:AT,45,0)*VLOOKUP(科室绩效工资核算1!B:B,奖励标准!A:AR,44,0),0)</f>
        <v>0</v>
      </c>
      <c r="G37" s="3">
        <f>ROUND((VLOOKUP(B:B,录入表!B:W,22,0)+VLOOKUP(B:B,录入表!B:X,23,0))*VLOOKUP(B:B,奖励标准!A:AS,45,0),0)</f>
        <v>0</v>
      </c>
      <c r="H37" s="3">
        <f>ROUND(VLOOKUP(B:B,录入表!B:H,7,0)*VLOOKUP(B:B,奖励标准!A:F,6,0),0)</f>
        <v>0</v>
      </c>
      <c r="I37" s="3">
        <f>ROUND(VLOOKUP(B:B,录入表!B:I,8,0)*VLOOKUP(B:B,奖励标准!A:G,7,0),0)</f>
        <v>0</v>
      </c>
      <c r="J37" s="3">
        <f>ROUND(VLOOKUP(B:B,录入表!B:J,9,0)*VLOOKUP(B:B,奖励标准!A:H,8,0),0)</f>
        <v>2</v>
      </c>
      <c r="K37" s="3">
        <f>ROUND(VLOOKUP(B:B,录入表!B:Q,16,0)*VLOOKUP(科室绩效工资核算1!B:B,奖励标准!A:O,15,0),0)</f>
        <v>0</v>
      </c>
      <c r="L3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37" s="3">
        <f>ROUND(VLOOKUP(科室绩效工资核算1!B:B,录入表!B:AB,27,0)*VLOOKUP(科室绩效工资核算1!B:B,奖励标准!A:Z,26,0),0)</f>
        <v>0</v>
      </c>
      <c r="N37" s="3">
        <f>ROUND(VLOOKUP(B:B,录入表!B:AW,48,0)*VLOOKUP(B:B,奖励标准!A:AT,46,0),0)</f>
        <v>0</v>
      </c>
      <c r="O37" s="3">
        <f>ROUND(VLOOKUP(科室绩效工资核算1!B:B,录入表!B:AA,26,0)*VLOOKUP(B:B,奖励标准!A:Y,25,0),0)</f>
        <v>0</v>
      </c>
      <c r="P3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7" s="3">
        <f>ROUND(VLOOKUP(B:B,录入表!B:AL,37,0)*VLOOKUP(B:B,奖励标准!A:AJ,36,0)+ROUND(VLOOKUP(B:B,录入表!B:AM,38,0)*VLOOKUP(B:B,奖励标准!A:AK,37,0),0),0)</f>
        <v>0</v>
      </c>
      <c r="R37" s="3">
        <f>ROUND(VLOOKUP(B:B,录入表!B:AN,39,0)*VLOOKUP(B:B,奖励标准!A:AL,38,0)+VLOOKUP(B:B,录入表!B:AO,40,0)*VLOOKUP(B:B,奖励标准!A:AM,39,0),0)</f>
        <v>0</v>
      </c>
      <c r="S37" s="3">
        <f>ROUND(((VLOOKUP(B:B,录入表!B:C,2,0)+VLOOKUP(B:B,录入表!B:E,4,0))*VLOOKUP(B:B,奖励标准!A:CU,99,0)),0)</f>
        <v>0</v>
      </c>
      <c r="T3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7" s="3">
        <f>ROUND(VLOOKUP(科室绩效工资核算1!B:B,录入表!B:AU,46,0)*VLOOKUP(B:B,奖励标准!A:CV,100,0),0)</f>
        <v>0</v>
      </c>
      <c r="V37" s="3">
        <f>ROUND(VLOOKUP(科室绩效工资核算1!B:B,录入表!B:AV,47,0)*VLOOKUP(B:B,奖励标准!A:CW,101,0),0)</f>
        <v>0</v>
      </c>
      <c r="W3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7" s="28">
        <f>ROUND(VLOOKUP(B:B,录入表!B:BF,56,0)*VLOOKUP(B:B,奖励标准!A:BD,55,0)+VLOOKUP(B:B,录入表!B:BF,57,0)*VLOOKUP(B:B,奖励标准!A:BD,56,0),0)</f>
        <v>0</v>
      </c>
      <c r="Y3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7" s="28">
        <f>ROUND(VLOOKUP(B:B,录入表!B:BL,62,0)*VLOOKUP(B:B,奖励标准!A:BJ,61,0)+VLOOKUP(B:B,奖励标准!A:BJ,62,0)*VLOOKUP(B:B,录入表!B:BL,63,0),0)</f>
        <v>0</v>
      </c>
      <c r="AA3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7" s="82">
        <f>ROUND(VLOOKUP(B:B,录入表!B:CV,98,0)*VLOOKUP(B:B,奖励标准!A:CT,97,0)+VLOOKUP(B:B,奖励标准!A:CU,98,0)*VLOOKUP(B:B,录入表!B:CV,99,0),0)</f>
        <v>0</v>
      </c>
      <c r="AG37" s="82">
        <f>ROUND(VLOOKUP(B:B,录入表!B:CT,96,0)*VLOOKUP(B:B,奖励标准!A:CR,95,0)+VLOOKUP(B:B,录入表!B:CT,97,0)*VLOOKUP(B:B,奖励标准!A:CR,96,0),0)</f>
        <v>0</v>
      </c>
      <c r="AH37" s="28">
        <f>ROUND(VLOOKUP(B:B,录入表!B:CW,100,0)*VLOOKUP(科室绩效工资核算1!B:B,奖励标准!A:L,11,0),0)</f>
        <v>0</v>
      </c>
      <c r="AI3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7" s="3">
        <f>ROUND(VLOOKUP(科室绩效工资核算1!B:B,录入表!B:O,14,0)*VLOOKUP(科室绩效工资核算1!B:B,奖励标准!A:M,13,0),0)</f>
        <v>0</v>
      </c>
      <c r="AK37" s="3">
        <f>ROUND(VLOOKUP(科室绩效工资核算1!B:B,录入表!B:P,15,0)*VLOOKUP(科室绩效工资核算1!B:B,奖励标准!A:N,14,0),0)</f>
        <v>0</v>
      </c>
      <c r="AL37" s="3">
        <f>ROUND(VLOOKUP(科室绩效工资核算1!B:B,录入表!B:P,15,0)*VLOOKUP(科室绩效工资核算1!B:B,奖励标准!A:AU,47,0),0)</f>
        <v>0</v>
      </c>
      <c r="AM37" s="3">
        <f t="shared" si="1"/>
        <v>0</v>
      </c>
      <c r="AN37" s="3">
        <f t="shared" si="0"/>
        <v>8330</v>
      </c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2.5" customHeight="1" x14ac:dyDescent="0.25">
      <c r="B38" s="73" t="s">
        <v>116</v>
      </c>
      <c r="C38" s="3">
        <f>ROUND(VLOOKUP(B:B,录入表!B:F,5,0)/VLOOKUP(科室绩效工资核算1!B:B,奖励标准!A:B,2,0)*VLOOKUP(B:B,奖励标准!A:C,3,0),0)</f>
        <v>7461</v>
      </c>
      <c r="D38" s="3">
        <f>ROUND(VLOOKUP(B:B,录入表!B:G,6,0)/VLOOKUP(科室绩效工资核算1!B:B,奖励标准!A:D,4,0)*VLOOKUP(B:B,奖励标准!A:E,5,0),0)</f>
        <v>0</v>
      </c>
      <c r="E3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8" s="3">
        <f>ROUND(VLOOKUP(B:B,录入表!B:AT,45,0)*VLOOKUP(科室绩效工资核算1!B:B,奖励标准!A:AR,44,0),0)</f>
        <v>0</v>
      </c>
      <c r="G38" s="3">
        <f>ROUND((VLOOKUP(B:B,录入表!B:W,22,0)+VLOOKUP(B:B,录入表!B:X,23,0))*VLOOKUP(B:B,奖励标准!A:AS,45,0),0)</f>
        <v>3040</v>
      </c>
      <c r="H38" s="3">
        <f>ROUND(VLOOKUP(B:B,录入表!B:H,7,0)*VLOOKUP(B:B,奖励标准!A:F,6,0),0)</f>
        <v>0</v>
      </c>
      <c r="I38" s="3">
        <f>ROUND(VLOOKUP(B:B,录入表!B:I,8,0)*VLOOKUP(B:B,奖励标准!A:G,7,0),0)</f>
        <v>0</v>
      </c>
      <c r="J38" s="3">
        <f>ROUND(VLOOKUP(B:B,录入表!B:J,9,0)*VLOOKUP(B:B,奖励标准!A:H,8,0),0)</f>
        <v>0</v>
      </c>
      <c r="K38" s="3">
        <f>ROUND(VLOOKUP(B:B,录入表!B:Q,16,0)*VLOOKUP(科室绩效工资核算1!B:B,奖励标准!A:O,15,0),0)</f>
        <v>0</v>
      </c>
      <c r="L3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3610</v>
      </c>
      <c r="M38" s="3">
        <f>ROUND(VLOOKUP(科室绩效工资核算1!B:B,录入表!B:AB,27,0)*VLOOKUP(科室绩效工资核算1!B:B,奖励标准!A:Z,26,0),0)</f>
        <v>0</v>
      </c>
      <c r="N38" s="3">
        <f>ROUND(VLOOKUP(B:B,录入表!B:AW,48,0)*VLOOKUP(B:B,奖励标准!A:AT,46,0),0)</f>
        <v>0</v>
      </c>
      <c r="O38" s="3">
        <f>ROUND(VLOOKUP(科室绩效工资核算1!B:B,录入表!B:AA,26,0)*VLOOKUP(B:B,奖励标准!A:Y,25,0),0)</f>
        <v>0</v>
      </c>
      <c r="P3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1407</v>
      </c>
      <c r="Q38" s="3">
        <f>ROUND(VLOOKUP(B:B,录入表!B:AL,37,0)*VLOOKUP(B:B,奖励标准!A:AJ,36,0)+ROUND(VLOOKUP(B:B,录入表!B:AM,38,0)*VLOOKUP(B:B,奖励标准!A:AK,37,0),0),0)</f>
        <v>0</v>
      </c>
      <c r="R38" s="3">
        <f>ROUND(VLOOKUP(B:B,录入表!B:AN,39,0)*VLOOKUP(B:B,奖励标准!A:AL,38,0)+VLOOKUP(B:B,录入表!B:AO,40,0)*VLOOKUP(B:B,奖励标准!A:AM,39,0),0)</f>
        <v>0</v>
      </c>
      <c r="S38" s="3">
        <f>ROUND(((VLOOKUP(B:B,录入表!B:C,2,0)+VLOOKUP(B:B,录入表!B:E,4,0))*VLOOKUP(B:B,奖励标准!A:CU,99,0)),0)</f>
        <v>0</v>
      </c>
      <c r="T3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38" s="3">
        <f>ROUND(VLOOKUP(科室绩效工资核算1!B:B,录入表!B:AU,46,0)*VLOOKUP(B:B,奖励标准!A:CV,100,0),0)</f>
        <v>0</v>
      </c>
      <c r="V38" s="3">
        <f>ROUND(VLOOKUP(科室绩效工资核算1!B:B,录入表!B:AV,47,0)*VLOOKUP(B:B,奖励标准!A:CW,101,0),0)</f>
        <v>0</v>
      </c>
      <c r="W3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8" s="28">
        <f>ROUND(VLOOKUP(B:B,录入表!B:BF,56,0)*VLOOKUP(B:B,奖励标准!A:BD,55,0)+VLOOKUP(B:B,录入表!B:BF,57,0)*VLOOKUP(B:B,奖励标准!A:BD,56,0),0)</f>
        <v>0</v>
      </c>
      <c r="Y3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8" s="28">
        <f>ROUND(VLOOKUP(B:B,录入表!B:BL,62,0)*VLOOKUP(B:B,奖励标准!A:BJ,61,0)+VLOOKUP(B:B,奖励标准!A:BJ,62,0)*VLOOKUP(B:B,录入表!B:BL,63,0),0)</f>
        <v>0</v>
      </c>
      <c r="AA3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8" s="82">
        <f>ROUND(VLOOKUP(B:B,录入表!B:CV,98,0)*VLOOKUP(B:B,奖励标准!A:CT,97,0)+VLOOKUP(B:B,奖励标准!A:CU,98,0)*VLOOKUP(B:B,录入表!B:CV,99,0),0)</f>
        <v>0</v>
      </c>
      <c r="AG38" s="82">
        <f>ROUND(VLOOKUP(B:B,录入表!B:CT,96,0)*VLOOKUP(B:B,奖励标准!A:CR,95,0)+VLOOKUP(B:B,录入表!B:CT,97,0)*VLOOKUP(B:B,奖励标准!A:CR,96,0),0)</f>
        <v>0</v>
      </c>
      <c r="AH38" s="28">
        <f>ROUND(VLOOKUP(B:B,录入表!B:CW,100,0)*VLOOKUP(科室绩效工资核算1!B:B,奖励标准!A:L,11,0),0)</f>
        <v>0</v>
      </c>
      <c r="AI3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38" s="3">
        <f>ROUND(VLOOKUP(科室绩效工资核算1!B:B,录入表!B:O,14,0)*VLOOKUP(科室绩效工资核算1!B:B,奖励标准!A:M,13,0),0)</f>
        <v>0</v>
      </c>
      <c r="AK38" s="3">
        <f>ROUND(VLOOKUP(科室绩效工资核算1!B:B,录入表!B:P,15,0)*VLOOKUP(科室绩效工资核算1!B:B,奖励标准!A:N,14,0),0)</f>
        <v>0</v>
      </c>
      <c r="AL38" s="3">
        <f>ROUND(VLOOKUP(科室绩效工资核算1!B:B,录入表!B:P,15,0)*VLOOKUP(科室绩效工资核算1!B:B,奖励标准!A:AU,47,0),0)</f>
        <v>0</v>
      </c>
      <c r="AM38" s="3">
        <f t="shared" si="1"/>
        <v>0</v>
      </c>
      <c r="AN38" s="3">
        <f>SUM(C38:AG38)+AM38</f>
        <v>15518</v>
      </c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2.5" customHeight="1" x14ac:dyDescent="0.25">
      <c r="B39" s="73" t="s">
        <v>117</v>
      </c>
      <c r="C39" s="3">
        <f>ROUND(VLOOKUP(B:B,录入表!B:F,5,0)/VLOOKUP(科室绩效工资核算1!B:B,奖励标准!A:B,2,0)*VLOOKUP(B:B,奖励标准!A:C,3,0),0)</f>
        <v>0</v>
      </c>
      <c r="D39" s="3">
        <f>ROUND(VLOOKUP(B:B,录入表!B:G,6,0)/VLOOKUP(科室绩效工资核算1!B:B,奖励标准!A:D,4,0)*VLOOKUP(B:B,奖励标准!A:E,5,0),0)</f>
        <v>6272</v>
      </c>
      <c r="E3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39" s="3">
        <f>ROUND(VLOOKUP(B:B,录入表!B:AT,45,0)*VLOOKUP(科室绩效工资核算1!B:B,奖励标准!A:AR,44,0),0)</f>
        <v>0</v>
      </c>
      <c r="G39" s="3">
        <f>ROUND((VLOOKUP(B:B,录入表!B:W,22,0)+VLOOKUP(B:B,录入表!B:X,23,0))*VLOOKUP(B:B,奖励标准!A:AS,45,0),0)</f>
        <v>0</v>
      </c>
      <c r="H39" s="3">
        <f>ROUND(VLOOKUP(B:B,录入表!B:H,7,0)*VLOOKUP(B:B,奖励标准!A:F,6,0),0)</f>
        <v>0</v>
      </c>
      <c r="I39" s="3">
        <f>ROUND(VLOOKUP(B:B,录入表!B:I,8,0)*VLOOKUP(B:B,奖励标准!A:G,7,0),0)</f>
        <v>0</v>
      </c>
      <c r="J39" s="3">
        <f>ROUND(VLOOKUP(B:B,录入表!B:J,9,0)*VLOOKUP(B:B,奖励标准!A:H,8,0),0)</f>
        <v>3</v>
      </c>
      <c r="K39" s="3">
        <f>ROUND(VLOOKUP(B:B,录入表!B:Q,16,0)*VLOOKUP(科室绩效工资核算1!B:B,奖励标准!A:O,15,0),0)</f>
        <v>0</v>
      </c>
      <c r="L3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10606</v>
      </c>
      <c r="M39" s="3">
        <f>ROUND(VLOOKUP(科室绩效工资核算1!B:B,录入表!B:AB,27,0)*VLOOKUP(科室绩效工资核算1!B:B,奖励标准!A:Z,26,0),0)</f>
        <v>0</v>
      </c>
      <c r="N39" s="3">
        <f>ROUND(VLOOKUP(B:B,录入表!B:AW,48,0)*VLOOKUP(B:B,奖励标准!A:AT,46,0),0)</f>
        <v>0</v>
      </c>
      <c r="O39" s="3">
        <f>ROUND(VLOOKUP(科室绩效工资核算1!B:B,录入表!B:AA,26,0)*VLOOKUP(B:B,奖励标准!A:Y,25,0),0)</f>
        <v>0</v>
      </c>
      <c r="P3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39" s="3">
        <f>ROUND(VLOOKUP(B:B,录入表!B:AL,37,0)*VLOOKUP(B:B,奖励标准!A:AJ,36,0)+ROUND(VLOOKUP(B:B,录入表!B:AM,38,0)*VLOOKUP(B:B,奖励标准!A:AK,37,0),0),0)</f>
        <v>0</v>
      </c>
      <c r="R39" s="3"/>
      <c r="S39" s="3">
        <f>ROUND(((VLOOKUP(B:B,录入表!B:C,2,0)+VLOOKUP(B:B,录入表!B:E,4,0))*VLOOKUP(B:B,奖励标准!A:CU,99,0)),0)</f>
        <v>0</v>
      </c>
      <c r="T39" s="71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18408</v>
      </c>
      <c r="U39" s="3">
        <f>ROUND(VLOOKUP(科室绩效工资核算1!B:B,录入表!B:AU,46,0)*VLOOKUP(B:B,奖励标准!A:CV,100,0),0)</f>
        <v>0</v>
      </c>
      <c r="V39" s="3">
        <f>ROUND(VLOOKUP(科室绩效工资核算1!B:B,录入表!B:AV,47,0)*VLOOKUP(B:B,奖励标准!A:CW,101,0),0)</f>
        <v>0</v>
      </c>
      <c r="W3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39" s="28">
        <f>ROUND(VLOOKUP(B:B,录入表!B:BF,56,0)*VLOOKUP(B:B,奖励标准!A:BD,55,0)+VLOOKUP(B:B,录入表!B:BF,57,0)*VLOOKUP(B:B,奖励标准!A:BD,56,0),0)</f>
        <v>0</v>
      </c>
      <c r="Y3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39" s="28">
        <f>ROUND(VLOOKUP(B:B,录入表!B:BL,62,0)*VLOOKUP(B:B,奖励标准!A:BJ,61,0)+VLOOKUP(B:B,奖励标准!A:BJ,62,0)*VLOOKUP(B:B,录入表!B:BL,63,0),0)</f>
        <v>0</v>
      </c>
      <c r="AA3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3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3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3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3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39" s="82">
        <f>ROUND(VLOOKUP(B:B,录入表!B:CV,98,0)*VLOOKUP(B:B,奖励标准!A:CT,97,0)+VLOOKUP(B:B,奖励标准!A:CU,98,0)*VLOOKUP(B:B,录入表!B:CV,99,0),0)</f>
        <v>0</v>
      </c>
      <c r="AG39" s="82">
        <f>ROUND(VLOOKUP(B:B,录入表!B:CT,96,0)*VLOOKUP(B:B,奖励标准!A:CR,95,0)+VLOOKUP(B:B,录入表!B:CT,97,0)*VLOOKUP(B:B,奖励标准!A:CR,96,0),0)</f>
        <v>0</v>
      </c>
      <c r="AH39" s="28">
        <f>ROUND(VLOOKUP(B:B,录入表!B:CW,100,0)*VLOOKUP(科室绩效工资核算1!B:B,奖励标准!A:L,11,0),0)</f>
        <v>0</v>
      </c>
      <c r="AJ39" s="3">
        <f>ROUND(VLOOKUP(科室绩效工资核算1!B:B,录入表!B:O,14,0)*VLOOKUP(科室绩效工资核算1!B:B,奖励标准!A:M,13,0),0)</f>
        <v>0</v>
      </c>
      <c r="AK39" s="3">
        <f>ROUND(VLOOKUP(科室绩效工资核算1!B:B,录入表!B:P,15,0)*VLOOKUP(科室绩效工资核算1!B:B,奖励标准!A:N,14,0),0)</f>
        <v>0</v>
      </c>
      <c r="AL39" s="3">
        <f>ROUND(VLOOKUP(科室绩效工资核算1!B:B,录入表!B:P,15,0)*VLOOKUP(科室绩效工资核算1!B:B,奖励标准!A:AU,47,0),0)</f>
        <v>0</v>
      </c>
      <c r="AM39" s="3">
        <f t="shared" si="1"/>
        <v>0</v>
      </c>
      <c r="AN39" s="3">
        <f t="shared" si="0"/>
        <v>35289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ht="12.5" customHeight="1" x14ac:dyDescent="0.25">
      <c r="B40" s="73" t="s">
        <v>118</v>
      </c>
      <c r="C40" s="3"/>
      <c r="D40" s="3"/>
      <c r="E4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0" s="3">
        <f>ROUND(VLOOKUP(B:B,录入表!B:AT,45,0)*VLOOKUP(科室绩效工资核算1!B:B,奖励标准!A:AR,44,0),0)</f>
        <v>0</v>
      </c>
      <c r="G40" s="3">
        <f>ROUND((VLOOKUP(B:B,录入表!B:W,22,0)+VLOOKUP(B:B,录入表!B:X,23,0))*VLOOKUP(B:B,奖励标准!A:AS,45,0),0)</f>
        <v>0</v>
      </c>
      <c r="H40" s="3">
        <f>ROUND(VLOOKUP(B:B,录入表!B:H,7,0)*VLOOKUP(B:B,奖励标准!A:F,6,0),0)</f>
        <v>0</v>
      </c>
      <c r="I40" s="3">
        <f>ROUND(VLOOKUP(B:B,录入表!B:I,8,0)*VLOOKUP(B:B,奖励标准!A:G,7,0),0)</f>
        <v>0</v>
      </c>
      <c r="J40" s="3">
        <f>ROUND(VLOOKUP(B:B,录入表!B:J,9,0)*VLOOKUP(B:B,奖励标准!A:H,8,0),0)</f>
        <v>0</v>
      </c>
      <c r="K40" s="3">
        <f>ROUND(VLOOKUP(B:B,录入表!B:Q,16,0)*VLOOKUP(科室绩效工资核算1!B:B,奖励标准!A:O,15,0),0)</f>
        <v>0</v>
      </c>
      <c r="L4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0" s="3">
        <f>ROUND(VLOOKUP(科室绩效工资核算1!B:B,录入表!B:AB,27,0)*VLOOKUP(科室绩效工资核算1!B:B,奖励标准!A:Z,26,0),0)</f>
        <v>0</v>
      </c>
      <c r="N40" s="3">
        <f>ROUND(VLOOKUP(B:B,录入表!B:AW,48,0)*VLOOKUP(B:B,奖励标准!A:AT,46,0),0)</f>
        <v>0</v>
      </c>
      <c r="O40" s="3">
        <f>ROUND(VLOOKUP(科室绩效工资核算1!B:B,录入表!B:AA,26,0)*VLOOKUP(B:B,奖励标准!A:Y,25,0),0)</f>
        <v>0</v>
      </c>
      <c r="P4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0" s="3">
        <f>ROUND(VLOOKUP(B:B,录入表!B:AL,37,0)*VLOOKUP(B:B,奖励标准!A:AJ,36,0)+ROUND(VLOOKUP(B:B,录入表!B:AM,38,0)*VLOOKUP(B:B,奖励标准!A:AK,37,0),0),0)</f>
        <v>0</v>
      </c>
      <c r="R40" s="3">
        <f>ROUND(VLOOKUP(B:B,录入表!B:AN,39,0)*VLOOKUP(B:B,奖励标准!A:AL,38,0)+VLOOKUP(B:B,录入表!B:AO,40,0)*VLOOKUP(B:B,奖励标准!A:AM,39,0),0)</f>
        <v>0</v>
      </c>
      <c r="S40" s="3">
        <f>ROUND(((VLOOKUP(B:B,录入表!B:C,2,0)+VLOOKUP(B:B,录入表!B:E,4,0))*VLOOKUP(B:B,奖励标准!A:CU,99,0)),0)</f>
        <v>0</v>
      </c>
      <c r="T4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0" s="3">
        <f>ROUND(VLOOKUP(科室绩效工资核算1!B:B,录入表!B:AU,46,0)*VLOOKUP(B:B,奖励标准!A:CV,100,0),0)</f>
        <v>0</v>
      </c>
      <c r="V40" s="3">
        <f>ROUND(VLOOKUP(科室绩效工资核算1!B:B,录入表!B:AV,47,0)*VLOOKUP(B:B,奖励标准!A:CW,101,0),0)</f>
        <v>0</v>
      </c>
      <c r="W4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76301</v>
      </c>
      <c r="X40" s="28">
        <f>ROUND(VLOOKUP(B:B,录入表!B:BF,56,0)*VLOOKUP(B:B,奖励标准!A:BD,55,0)+VLOOKUP(B:B,录入表!B:BF,57,0)*VLOOKUP(B:B,奖励标准!A:BD,56,0),0)</f>
        <v>0</v>
      </c>
      <c r="Y4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0" s="28">
        <f>ROUND(VLOOKUP(B:B,录入表!B:BL,62,0)*VLOOKUP(B:B,奖励标准!A:BJ,61,0)+VLOOKUP(B:B,奖励标准!A:BJ,62,0)*VLOOKUP(B:B,录入表!B:BL,63,0),0)</f>
        <v>0</v>
      </c>
      <c r="AA4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0" s="82">
        <f>ROUND(VLOOKUP(B:B,录入表!B:CV,98,0)*VLOOKUP(B:B,奖励标准!A:CT,97,0)+VLOOKUP(B:B,奖励标准!A:CU,98,0)*VLOOKUP(B:B,录入表!B:CV,99,0),0)</f>
        <v>0</v>
      </c>
      <c r="AG40" s="82">
        <f>ROUND(VLOOKUP(B:B,录入表!B:CT,96,0)*VLOOKUP(B:B,奖励标准!A:CR,95,0)+VLOOKUP(B:B,录入表!B:CT,97,0)*VLOOKUP(B:B,奖励标准!A:CR,96,0),0)</f>
        <v>0</v>
      </c>
      <c r="AH40" s="28">
        <f>ROUND(VLOOKUP(B:B,录入表!B:CW,100,0)*VLOOKUP(科室绩效工资核算1!B:B,奖励标准!A:L,11,0),0)</f>
        <v>0</v>
      </c>
      <c r="AI4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0" s="3">
        <f>ROUND(VLOOKUP(科室绩效工资核算1!B:B,录入表!B:O,14,0)*VLOOKUP(科室绩效工资核算1!B:B,奖励标准!A:M,13,0),0)</f>
        <v>0</v>
      </c>
      <c r="AK40" s="3">
        <f>ROUND(VLOOKUP(科室绩效工资核算1!B:B,录入表!B:P,15,0)*VLOOKUP(科室绩效工资核算1!B:B,奖励标准!A:N,14,0),0)</f>
        <v>0</v>
      </c>
      <c r="AL40" s="3">
        <f>ROUND(VLOOKUP(科室绩效工资核算1!B:B,录入表!B:P,15,0)*VLOOKUP(科室绩效工资核算1!B:B,奖励标准!A:AU,47,0),0)</f>
        <v>0</v>
      </c>
      <c r="AM40" s="3">
        <f t="shared" si="1"/>
        <v>0</v>
      </c>
      <c r="AN40" s="3">
        <f t="shared" si="0"/>
        <v>76301</v>
      </c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s="29" customFormat="1" ht="12.5" customHeight="1" x14ac:dyDescent="0.25">
      <c r="A41" s="1"/>
      <c r="B41" s="73" t="s">
        <v>119</v>
      </c>
      <c r="C41" s="3"/>
      <c r="D41" s="3"/>
      <c r="E4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1" s="3">
        <f>ROUND(VLOOKUP(B:B,录入表!B:AT,45,0)*VLOOKUP(科室绩效工资核算1!B:B,奖励标准!A:AR,44,0),0)</f>
        <v>0</v>
      </c>
      <c r="G41" s="3">
        <f>ROUND((VLOOKUP(B:B,录入表!B:W,22,0)+VLOOKUP(B:B,录入表!B:X,23,0))*VLOOKUP(B:B,奖励标准!A:AS,45,0),0)</f>
        <v>0</v>
      </c>
      <c r="H41" s="3">
        <f>ROUND(VLOOKUP(B:B,录入表!B:H,7,0)*VLOOKUP(B:B,奖励标准!A:F,6,0),0)</f>
        <v>0</v>
      </c>
      <c r="I41" s="3">
        <f>ROUND(VLOOKUP(B:B,录入表!B:I,8,0)*VLOOKUP(B:B,奖励标准!A:G,7,0),0)</f>
        <v>0</v>
      </c>
      <c r="J41" s="3">
        <f>ROUND(VLOOKUP(B:B,录入表!B:J,9,0)*VLOOKUP(B:B,奖励标准!A:H,8,0),0)</f>
        <v>0</v>
      </c>
      <c r="K41" s="3">
        <f>ROUND(VLOOKUP(B:B,录入表!B:Q,16,0)*VLOOKUP(科室绩效工资核算1!B:B,奖励标准!A:O,15,0),0)</f>
        <v>0</v>
      </c>
      <c r="L4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1" s="3">
        <f>ROUND(VLOOKUP(科室绩效工资核算1!B:B,录入表!B:AB,27,0)*VLOOKUP(科室绩效工资核算1!B:B,奖励标准!A:Z,26,0),0)</f>
        <v>0</v>
      </c>
      <c r="N41" s="3">
        <f>ROUND(VLOOKUP(B:B,录入表!B:AW,48,0)*VLOOKUP(B:B,奖励标准!A:AT,46,0),0)</f>
        <v>0</v>
      </c>
      <c r="O41" s="3">
        <f>ROUND(VLOOKUP(科室绩效工资核算1!B:B,录入表!B:AA,26,0)*VLOOKUP(B:B,奖励标准!A:Y,25,0),0)</f>
        <v>0</v>
      </c>
      <c r="P4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1" s="3">
        <f>ROUND(VLOOKUP(B:B,录入表!B:AL,37,0)*VLOOKUP(B:B,奖励标准!A:AJ,36,0)+ROUND(VLOOKUP(B:B,录入表!B:AM,38,0)*VLOOKUP(B:B,奖励标准!A:AK,37,0),0),0)</f>
        <v>0</v>
      </c>
      <c r="R41" s="3">
        <f>ROUND(VLOOKUP(B:B,录入表!B:AN,39,0)*VLOOKUP(B:B,奖励标准!A:AL,38,0)+VLOOKUP(B:B,录入表!B:AO,40,0)*VLOOKUP(B:B,奖励标准!A:AM,39,0),0)</f>
        <v>0</v>
      </c>
      <c r="S41" s="3">
        <f>ROUND(((VLOOKUP(B:B,录入表!B:C,2,0)+VLOOKUP(B:B,录入表!B:E,4,0))*VLOOKUP(B:B,奖励标准!A:CU,99,0)),0)</f>
        <v>0</v>
      </c>
      <c r="T4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1" s="3">
        <f>ROUND(VLOOKUP(科室绩效工资核算1!B:B,录入表!B:AU,46,0)*VLOOKUP(B:B,奖励标准!A:CV,100,0),0)</f>
        <v>0</v>
      </c>
      <c r="V41" s="3">
        <f>ROUND(VLOOKUP(科室绩效工资核算1!B:B,录入表!B:AV,47,0)*VLOOKUP(B:B,奖励标准!A:CW,101,0),0)</f>
        <v>0</v>
      </c>
      <c r="W4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1" s="28">
        <f>ROUND(VLOOKUP(B:B,录入表!B:BF,56,0)*VLOOKUP(B:B,奖励标准!A:BD,55,0)+VLOOKUP(B:B,录入表!B:BF,57,0)*VLOOKUP(B:B,奖励标准!A:BD,56,0),0)</f>
        <v>13724</v>
      </c>
      <c r="Y4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1" s="28">
        <f>ROUND(VLOOKUP(B:B,录入表!B:BL,62,0)*VLOOKUP(B:B,奖励标准!A:BJ,61,0)+VLOOKUP(B:B,奖励标准!A:BJ,62,0)*VLOOKUP(B:B,录入表!B:BL,63,0),0)</f>
        <v>0</v>
      </c>
      <c r="AA4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1" s="82">
        <f>ROUND(VLOOKUP(B:B,录入表!B:CV,98,0)*VLOOKUP(B:B,奖励标准!A:CT,97,0)+VLOOKUP(B:B,奖励标准!A:CU,98,0)*VLOOKUP(B:B,录入表!B:CV,99,0),0)</f>
        <v>0</v>
      </c>
      <c r="AG41" s="82">
        <f>ROUND(VLOOKUP(B:B,录入表!B:CT,96,0)*VLOOKUP(B:B,奖励标准!A:CR,95,0)+VLOOKUP(B:B,录入表!B:CT,97,0)*VLOOKUP(B:B,奖励标准!A:CR,96,0),0)</f>
        <v>0</v>
      </c>
      <c r="AH41" s="28">
        <f>ROUND(VLOOKUP(B:B,录入表!B:CW,100,0)*VLOOKUP(科室绩效工资核算1!B:B,奖励标准!A:L,11,0),0)</f>
        <v>0</v>
      </c>
      <c r="AI4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1" s="3">
        <f>ROUND(VLOOKUP(科室绩效工资核算1!B:B,录入表!B:O,14,0)*VLOOKUP(科室绩效工资核算1!B:B,奖励标准!A:M,13,0),0)</f>
        <v>0</v>
      </c>
      <c r="AK41" s="3">
        <f>ROUND(VLOOKUP(科室绩效工资核算1!B:B,录入表!B:P,15,0)*VLOOKUP(科室绩效工资核算1!B:B,奖励标准!A:N,14,0),0)</f>
        <v>0</v>
      </c>
      <c r="AL41" s="3">
        <f>ROUND(VLOOKUP(科室绩效工资核算1!B:B,录入表!B:P,15,0)*VLOOKUP(科室绩效工资核算1!B:B,奖励标准!A:AU,47,0),0)</f>
        <v>0</v>
      </c>
      <c r="AM41" s="3">
        <f t="shared" si="1"/>
        <v>0</v>
      </c>
      <c r="AN41" s="3">
        <f t="shared" si="0"/>
        <v>13724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s="29" customFormat="1" ht="12.5" customHeight="1" x14ac:dyDescent="0.25">
      <c r="A42" s="1"/>
      <c r="B42" s="73" t="s">
        <v>120</v>
      </c>
      <c r="C42" s="3"/>
      <c r="D42" s="3"/>
      <c r="E4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2" s="3">
        <f>ROUND(VLOOKUP(B:B,录入表!B:AT,45,0)*VLOOKUP(科室绩效工资核算1!B:B,奖励标准!A:AR,44,0),0)</f>
        <v>0</v>
      </c>
      <c r="G42" s="3">
        <f>ROUND((VLOOKUP(B:B,录入表!B:W,22,0)+VLOOKUP(B:B,录入表!B:X,23,0))*VLOOKUP(B:B,奖励标准!A:AS,45,0),0)</f>
        <v>0</v>
      </c>
      <c r="H42" s="3">
        <f>ROUND(VLOOKUP(B:B,录入表!B:H,7,0)*VLOOKUP(B:B,奖励标准!A:F,6,0),0)</f>
        <v>0</v>
      </c>
      <c r="I42" s="3">
        <f>ROUND(VLOOKUP(B:B,录入表!B:I,8,0)*VLOOKUP(B:B,奖励标准!A:G,7,0),0)</f>
        <v>0</v>
      </c>
      <c r="J42" s="3">
        <f>ROUND(VLOOKUP(B:B,录入表!B:J,9,0)*VLOOKUP(B:B,奖励标准!A:H,8,0),0)</f>
        <v>0</v>
      </c>
      <c r="K42" s="3">
        <f>ROUND(VLOOKUP(B:B,录入表!B:Q,16,0)*VLOOKUP(科室绩效工资核算1!B:B,奖励标准!A:O,15,0),0)</f>
        <v>0</v>
      </c>
      <c r="L4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2" s="3">
        <f>ROUND(VLOOKUP(科室绩效工资核算1!B:B,录入表!B:AB,27,0)*VLOOKUP(科室绩效工资核算1!B:B,奖励标准!A:Z,26,0),0)</f>
        <v>0</v>
      </c>
      <c r="N42" s="3">
        <f>ROUND(VLOOKUP(B:B,录入表!B:AW,48,0)*VLOOKUP(B:B,奖励标准!A:AT,46,0),0)</f>
        <v>0</v>
      </c>
      <c r="O42" s="3">
        <f>ROUND(VLOOKUP(科室绩效工资核算1!B:B,录入表!B:AA,26,0)*VLOOKUP(B:B,奖励标准!A:Y,25,0),0)</f>
        <v>0</v>
      </c>
      <c r="P4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2" s="3">
        <f>ROUND(VLOOKUP(B:B,录入表!B:AL,37,0)*VLOOKUP(B:B,奖励标准!A:AJ,36,0)+ROUND(VLOOKUP(B:B,录入表!B:AM,38,0)*VLOOKUP(B:B,奖励标准!A:AK,37,0),0),0)</f>
        <v>0</v>
      </c>
      <c r="R42" s="3">
        <f>ROUND(VLOOKUP(B:B,录入表!B:AN,39,0)*VLOOKUP(B:B,奖励标准!A:AL,38,0)+VLOOKUP(B:B,录入表!B:AO,40,0)*VLOOKUP(B:B,奖励标准!A:AM,39,0),0)</f>
        <v>0</v>
      </c>
      <c r="S42" s="3">
        <f>ROUND(((VLOOKUP(B:B,录入表!B:C,2,0)+VLOOKUP(B:B,录入表!B:E,4,0))*VLOOKUP(B:B,奖励标准!A:CU,99,0)),0)</f>
        <v>0</v>
      </c>
      <c r="T4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2" s="3">
        <f>ROUND(VLOOKUP(科室绩效工资核算1!B:B,录入表!B:AU,46,0)*VLOOKUP(B:B,奖励标准!A:CV,100,0),0)</f>
        <v>0</v>
      </c>
      <c r="V42" s="3">
        <f>ROUND(VLOOKUP(科室绩效工资核算1!B:B,录入表!B:AV,47,0)*VLOOKUP(B:B,奖励标准!A:CW,101,0),0)</f>
        <v>0</v>
      </c>
      <c r="W4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2" s="28">
        <f>ROUND(VLOOKUP(B:B,录入表!B:BF,56,0)*VLOOKUP(B:B,奖励标准!A:BD,55,0)+VLOOKUP(B:B,录入表!B:BF,57,0)*VLOOKUP(B:B,奖励标准!A:BD,56,0),0)</f>
        <v>0</v>
      </c>
      <c r="Y4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38196</v>
      </c>
      <c r="Z42" s="28">
        <f>ROUND(VLOOKUP(B:B,录入表!B:BL,62,0)*VLOOKUP(B:B,奖励标准!A:BJ,61,0)+VLOOKUP(B:B,奖励标准!A:BJ,62,0)*VLOOKUP(B:B,录入表!B:BL,63,0),0)</f>
        <v>0</v>
      </c>
      <c r="AA4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2" s="82">
        <f>ROUND(VLOOKUP(B:B,录入表!B:CV,98,0)*VLOOKUP(B:B,奖励标准!A:CT,97,0)+VLOOKUP(B:B,奖励标准!A:CU,98,0)*VLOOKUP(B:B,录入表!B:CV,99,0),0)</f>
        <v>0</v>
      </c>
      <c r="AG42" s="82">
        <f>ROUND(VLOOKUP(B:B,录入表!B:CT,96,0)*VLOOKUP(B:B,奖励标准!A:CR,95,0)+VLOOKUP(B:B,录入表!B:CT,97,0)*VLOOKUP(B:B,奖励标准!A:CR,96,0),0)</f>
        <v>0</v>
      </c>
      <c r="AH42" s="28">
        <f>ROUND(VLOOKUP(B:B,录入表!B:CW,100,0)*VLOOKUP(科室绩效工资核算1!B:B,奖励标准!A:L,11,0),0)</f>
        <v>106</v>
      </c>
      <c r="AI4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2" s="3">
        <f>ROUND(VLOOKUP(科室绩效工资核算1!B:B,录入表!B:O,14,0)*VLOOKUP(科室绩效工资核算1!B:B,奖励标准!A:M,13,0),0)</f>
        <v>0</v>
      </c>
      <c r="AK42" s="3">
        <f>ROUND(VLOOKUP(科室绩效工资核算1!B:B,录入表!B:P,15,0)*VLOOKUP(科室绩效工资核算1!B:B,奖励标准!A:N,14,0),0)</f>
        <v>0</v>
      </c>
      <c r="AL42" s="3">
        <f>ROUND(VLOOKUP(科室绩效工资核算1!B:B,录入表!B:P,15,0)*VLOOKUP(科室绩效工资核算1!B:B,奖励标准!A:AU,47,0),0)</f>
        <v>0</v>
      </c>
      <c r="AM42" s="3">
        <f t="shared" si="1"/>
        <v>106</v>
      </c>
      <c r="AN42" s="3">
        <f t="shared" si="0"/>
        <v>38196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s="29" customFormat="1" ht="12.5" customHeight="1" x14ac:dyDescent="0.25">
      <c r="A43" s="1"/>
      <c r="B43" s="73" t="s">
        <v>121</v>
      </c>
      <c r="C43" s="3"/>
      <c r="D43" s="3"/>
      <c r="E4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3" s="3">
        <f>ROUND(VLOOKUP(B:B,录入表!B:AT,45,0)*VLOOKUP(科室绩效工资核算1!B:B,奖励标准!A:AR,44,0),0)</f>
        <v>0</v>
      </c>
      <c r="G43" s="3">
        <f>ROUND((VLOOKUP(B:B,录入表!B:W,22,0)+VLOOKUP(B:B,录入表!B:X,23,0))*VLOOKUP(B:B,奖励标准!A:AS,45,0),0)</f>
        <v>0</v>
      </c>
      <c r="H43" s="3">
        <f>ROUND(VLOOKUP(B:B,录入表!B:H,7,0)*VLOOKUP(B:B,奖励标准!A:F,6,0),0)</f>
        <v>0</v>
      </c>
      <c r="I43" s="3">
        <f>ROUND(VLOOKUP(B:B,录入表!B:I,8,0)*VLOOKUP(B:B,奖励标准!A:G,7,0),0)</f>
        <v>0</v>
      </c>
      <c r="J43" s="3">
        <f>ROUND(VLOOKUP(B:B,录入表!B:J,9,0)*VLOOKUP(B:B,奖励标准!A:H,8,0),0)</f>
        <v>0</v>
      </c>
      <c r="K43" s="3">
        <f>ROUND(VLOOKUP(B:B,录入表!B:Q,16,0)*VLOOKUP(科室绩效工资核算1!B:B,奖励标准!A:O,15,0),0)</f>
        <v>0</v>
      </c>
      <c r="L4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3" s="3">
        <f>ROUND(VLOOKUP(科室绩效工资核算1!B:B,录入表!B:AB,27,0)*VLOOKUP(科室绩效工资核算1!B:B,奖励标准!A:Z,26,0),0)</f>
        <v>0</v>
      </c>
      <c r="N43" s="3">
        <f>ROUND(VLOOKUP(B:B,录入表!B:AW,48,0)*VLOOKUP(B:B,奖励标准!A:AT,46,0),0)</f>
        <v>0</v>
      </c>
      <c r="O43" s="3">
        <f>ROUND(VLOOKUP(科室绩效工资核算1!B:B,录入表!B:AA,26,0)*VLOOKUP(B:B,奖励标准!A:Y,25,0),0)</f>
        <v>0</v>
      </c>
      <c r="P4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3" s="3">
        <f>ROUND(VLOOKUP(B:B,录入表!B:AL,37,0)*VLOOKUP(B:B,奖励标准!A:AJ,36,0)+ROUND(VLOOKUP(B:B,录入表!B:AM,38,0)*VLOOKUP(B:B,奖励标准!A:AK,37,0),0),0)</f>
        <v>0</v>
      </c>
      <c r="R43" s="3">
        <f>ROUND(VLOOKUP(B:B,录入表!B:AN,39,0)*VLOOKUP(B:B,奖励标准!A:AL,38,0)+VLOOKUP(B:B,录入表!B:AO,40,0)*VLOOKUP(B:B,奖励标准!A:AM,39,0),0)</f>
        <v>0</v>
      </c>
      <c r="S43" s="3">
        <f>ROUND(((VLOOKUP(B:B,录入表!B:C,2,0)+VLOOKUP(B:B,录入表!B:E,4,0))*VLOOKUP(B:B,奖励标准!A:CU,99,0)),0)</f>
        <v>0</v>
      </c>
      <c r="T4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3" s="3">
        <f>ROUND(VLOOKUP(科室绩效工资核算1!B:B,录入表!B:AU,46,0)*VLOOKUP(B:B,奖励标准!A:CV,100,0),0)</f>
        <v>0</v>
      </c>
      <c r="V43" s="3">
        <f>ROUND(VLOOKUP(科室绩效工资核算1!B:B,录入表!B:AV,47,0)*VLOOKUP(B:B,奖励标准!A:CW,101,0),0)</f>
        <v>0</v>
      </c>
      <c r="W4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3" s="28">
        <f>ROUND(VLOOKUP(B:B,录入表!B:BF,56,0)*VLOOKUP(B:B,奖励标准!A:BD,55,0)+VLOOKUP(B:B,录入表!B:BF,57,0)*VLOOKUP(B:B,奖励标准!A:BD,56,0),0)</f>
        <v>0</v>
      </c>
      <c r="Y4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3" s="28">
        <f>ROUND(VLOOKUP(B:B,录入表!B:BL,62,0)*VLOOKUP(B:B,奖励标准!A:BJ,61,0)+VLOOKUP(B:B,奖励标准!A:BJ,62,0)*VLOOKUP(B:B,录入表!B:BL,63,0),0)</f>
        <v>21917</v>
      </c>
      <c r="AA4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3" s="82">
        <f>ROUND(VLOOKUP(B:B,录入表!B:CV,98,0)*VLOOKUP(B:B,奖励标准!A:CT,97,0)+VLOOKUP(B:B,奖励标准!A:CU,98,0)*VLOOKUP(B:B,录入表!B:CV,99,0),0)</f>
        <v>0</v>
      </c>
      <c r="AG43" s="82">
        <f>ROUND(VLOOKUP(B:B,录入表!B:CT,96,0)*VLOOKUP(B:B,奖励标准!A:CR,95,0)+VLOOKUP(B:B,录入表!B:CT,97,0)*VLOOKUP(B:B,奖励标准!A:CR,96,0),0)</f>
        <v>0</v>
      </c>
      <c r="AH43" s="28">
        <f>ROUND(VLOOKUP(B:B,录入表!B:CW,100,0)*VLOOKUP(科室绩效工资核算1!B:B,奖励标准!A:L,11,0),0)</f>
        <v>0</v>
      </c>
      <c r="AI4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3" s="3">
        <f>ROUND(VLOOKUP(科室绩效工资核算1!B:B,录入表!B:O,14,0)*VLOOKUP(科室绩效工资核算1!B:B,奖励标准!A:M,13,0),0)</f>
        <v>0</v>
      </c>
      <c r="AK43" s="3">
        <f>ROUND(VLOOKUP(科室绩效工资核算1!B:B,录入表!B:P,15,0)*VLOOKUP(科室绩效工资核算1!B:B,奖励标准!A:N,14,0),0)</f>
        <v>0</v>
      </c>
      <c r="AL43" s="3">
        <f>ROUND(VLOOKUP(科室绩效工资核算1!B:B,录入表!B:P,15,0)*VLOOKUP(科室绩效工资核算1!B:B,奖励标准!A:AU,47,0),0)</f>
        <v>0</v>
      </c>
      <c r="AM43" s="3">
        <f t="shared" si="1"/>
        <v>0</v>
      </c>
      <c r="AN43" s="3">
        <f t="shared" si="0"/>
        <v>21917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s="29" customFormat="1" ht="12.5" customHeight="1" x14ac:dyDescent="0.25">
      <c r="A44" s="1"/>
      <c r="B44" s="73" t="s">
        <v>122</v>
      </c>
      <c r="C44" s="3"/>
      <c r="D44" s="3"/>
      <c r="E4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4" s="3">
        <f>ROUND(VLOOKUP(B:B,录入表!B:AT,45,0)*VLOOKUP(科室绩效工资核算1!B:B,奖励标准!A:AR,44,0),0)</f>
        <v>0</v>
      </c>
      <c r="G44" s="3">
        <f>ROUND((VLOOKUP(B:B,录入表!B:W,22,0)+VLOOKUP(B:B,录入表!B:X,23,0))*VLOOKUP(B:B,奖励标准!A:AS,45,0),0)</f>
        <v>0</v>
      </c>
      <c r="H44" s="3">
        <f>ROUND(VLOOKUP(B:B,录入表!B:H,7,0)*VLOOKUP(B:B,奖励标准!A:F,6,0),0)</f>
        <v>0</v>
      </c>
      <c r="I44" s="3">
        <f>ROUND(VLOOKUP(B:B,录入表!B:I,8,0)*VLOOKUP(B:B,奖励标准!A:G,7,0),0)</f>
        <v>0</v>
      </c>
      <c r="J44" s="3">
        <f>ROUND(VLOOKUP(B:B,录入表!B:J,9,0)*VLOOKUP(B:B,奖励标准!A:H,8,0),0)</f>
        <v>0</v>
      </c>
      <c r="K44" s="3">
        <f>ROUND(VLOOKUP(B:B,录入表!B:Q,16,0)*VLOOKUP(科室绩效工资核算1!B:B,奖励标准!A:O,15,0),0)</f>
        <v>0</v>
      </c>
      <c r="L4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4" s="3">
        <f>ROUND(VLOOKUP(科室绩效工资核算1!B:B,录入表!B:AB,27,0)*VLOOKUP(科室绩效工资核算1!B:B,奖励标准!A:Z,26,0),0)</f>
        <v>0</v>
      </c>
      <c r="N44" s="3">
        <f>ROUND(VLOOKUP(B:B,录入表!B:AW,48,0)*VLOOKUP(B:B,奖励标准!A:AT,46,0),0)</f>
        <v>0</v>
      </c>
      <c r="O44" s="3">
        <f>ROUND(VLOOKUP(科室绩效工资核算1!B:B,录入表!B:AA,26,0)*VLOOKUP(B:B,奖励标准!A:Y,25,0),0)</f>
        <v>0</v>
      </c>
      <c r="P4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4" s="3">
        <f>ROUND(VLOOKUP(B:B,录入表!B:AL,37,0)*VLOOKUP(B:B,奖励标准!A:AJ,36,0)+ROUND(VLOOKUP(B:B,录入表!B:AM,38,0)*VLOOKUP(B:B,奖励标准!A:AK,37,0),0),0)</f>
        <v>0</v>
      </c>
      <c r="R44" s="3">
        <f>ROUND(VLOOKUP(B:B,录入表!B:AN,39,0)*VLOOKUP(B:B,奖励标准!A:AL,38,0)+VLOOKUP(B:B,录入表!B:AO,40,0)*VLOOKUP(B:B,奖励标准!A:AM,39,0),0)</f>
        <v>0</v>
      </c>
      <c r="S44" s="3">
        <f>ROUND(((VLOOKUP(B:B,录入表!B:C,2,0)+VLOOKUP(B:B,录入表!B:E,4,0))*VLOOKUP(B:B,奖励标准!A:CU,99,0)),0)</f>
        <v>0</v>
      </c>
      <c r="T4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4" s="3">
        <f>ROUND(VLOOKUP(科室绩效工资核算1!B:B,录入表!B:AU,46,0)*VLOOKUP(B:B,奖励标准!A:CV,100,0),0)</f>
        <v>0</v>
      </c>
      <c r="V44" s="3">
        <f>ROUND(VLOOKUP(科室绩效工资核算1!B:B,录入表!B:AV,47,0)*VLOOKUP(B:B,奖励标准!A:CW,101,0),0)</f>
        <v>0</v>
      </c>
      <c r="W4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4" s="28">
        <f>ROUND(VLOOKUP(B:B,录入表!B:BF,56,0)*VLOOKUP(B:B,奖励标准!A:BD,55,0)+VLOOKUP(B:B,录入表!B:BF,57,0)*VLOOKUP(B:B,奖励标准!A:BD,56,0),0)</f>
        <v>0</v>
      </c>
      <c r="Y4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4" s="28">
        <f>ROUND(VLOOKUP(B:B,录入表!B:BL,62,0)*VLOOKUP(B:B,奖励标准!A:BJ,61,0)+VLOOKUP(B:B,奖励标准!A:BJ,62,0)*VLOOKUP(B:B,录入表!B:BL,63,0),0)</f>
        <v>0</v>
      </c>
      <c r="AA4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11725</v>
      </c>
      <c r="AB4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4" s="82">
        <f>ROUND(VLOOKUP(B:B,录入表!B:CV,98,0)*VLOOKUP(B:B,奖励标准!A:CT,97,0)+VLOOKUP(B:B,奖励标准!A:CU,98,0)*VLOOKUP(B:B,录入表!B:CV,99,0),0)</f>
        <v>0</v>
      </c>
      <c r="AG44" s="82">
        <f>ROUND(VLOOKUP(B:B,录入表!B:CT,96,0)*VLOOKUP(B:B,奖励标准!A:CR,95,0)+VLOOKUP(B:B,录入表!B:CT,97,0)*VLOOKUP(B:B,奖励标准!A:CR,96,0),0)</f>
        <v>0</v>
      </c>
      <c r="AH44" s="28">
        <f>ROUND(VLOOKUP(B:B,录入表!B:CW,100,0)*VLOOKUP(科室绩效工资核算1!B:B,奖励标准!A:L,11,0),0)</f>
        <v>0</v>
      </c>
      <c r="AI4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4" s="3">
        <f>ROUND(VLOOKUP(科室绩效工资核算1!B:B,录入表!B:O,14,0)*VLOOKUP(科室绩效工资核算1!B:B,奖励标准!A:M,13,0),0)</f>
        <v>0</v>
      </c>
      <c r="AK44" s="3">
        <f>ROUND(VLOOKUP(科室绩效工资核算1!B:B,录入表!B:P,15,0)*VLOOKUP(科室绩效工资核算1!B:B,奖励标准!A:N,14,0),0)</f>
        <v>0</v>
      </c>
      <c r="AL44" s="3">
        <f>ROUND(VLOOKUP(科室绩效工资核算1!B:B,录入表!B:P,15,0)*VLOOKUP(科室绩效工资核算1!B:B,奖励标准!A:AU,47,0),0)</f>
        <v>0</v>
      </c>
      <c r="AM44" s="3">
        <f t="shared" si="1"/>
        <v>0</v>
      </c>
      <c r="AN44" s="3">
        <f t="shared" si="0"/>
        <v>11725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s="29" customFormat="1" ht="12.5" customHeight="1" x14ac:dyDescent="0.25">
      <c r="A45" s="1"/>
      <c r="B45" s="73" t="s">
        <v>123</v>
      </c>
      <c r="C45" s="3"/>
      <c r="D45" s="3"/>
      <c r="E4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5" s="3">
        <f>ROUND(VLOOKUP(B:B,录入表!B:AT,45,0)*VLOOKUP(科室绩效工资核算1!B:B,奖励标准!A:AR,44,0),0)</f>
        <v>0</v>
      </c>
      <c r="G45" s="3">
        <f>ROUND((VLOOKUP(B:B,录入表!B:W,22,0)+VLOOKUP(B:B,录入表!B:X,23,0))*VLOOKUP(B:B,奖励标准!A:AS,45,0),0)</f>
        <v>0</v>
      </c>
      <c r="H45" s="3">
        <f>ROUND(VLOOKUP(B:B,录入表!B:H,7,0)*VLOOKUP(B:B,奖励标准!A:F,6,0),0)</f>
        <v>0</v>
      </c>
      <c r="I45" s="3">
        <f>ROUND(VLOOKUP(B:B,录入表!B:I,8,0)*VLOOKUP(B:B,奖励标准!A:G,7,0),0)</f>
        <v>0</v>
      </c>
      <c r="J45" s="3">
        <f>ROUND(VLOOKUP(B:B,录入表!B:J,9,0)*VLOOKUP(B:B,奖励标准!A:H,8,0),0)</f>
        <v>0</v>
      </c>
      <c r="K45" s="3">
        <f>ROUND(VLOOKUP(B:B,录入表!B:Q,16,0)*VLOOKUP(科室绩效工资核算1!B:B,奖励标准!A:O,15,0),0)</f>
        <v>0</v>
      </c>
      <c r="L4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5" s="3">
        <f>ROUND(VLOOKUP(科室绩效工资核算1!B:B,录入表!B:AB,27,0)*VLOOKUP(科室绩效工资核算1!B:B,奖励标准!A:Z,26,0),0)</f>
        <v>0</v>
      </c>
      <c r="N45" s="3">
        <f>ROUND(VLOOKUP(B:B,录入表!B:AW,48,0)*VLOOKUP(B:B,奖励标准!A:AT,46,0),0)</f>
        <v>0</v>
      </c>
      <c r="O45" s="3">
        <f>ROUND(VLOOKUP(科室绩效工资核算1!B:B,录入表!B:AA,26,0)*VLOOKUP(B:B,奖励标准!A:Y,25,0),0)</f>
        <v>0</v>
      </c>
      <c r="P4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5" s="3">
        <f>ROUND(VLOOKUP(B:B,录入表!B:AL,37,0)*VLOOKUP(B:B,奖励标准!A:AJ,36,0)+ROUND(VLOOKUP(B:B,录入表!B:AM,38,0)*VLOOKUP(B:B,奖励标准!A:AK,37,0),0),0)</f>
        <v>0</v>
      </c>
      <c r="R45" s="3">
        <f>ROUND(VLOOKUP(B:B,录入表!B:AN,39,0)*VLOOKUP(B:B,奖励标准!A:AL,38,0)+VLOOKUP(B:B,录入表!B:AO,40,0)*VLOOKUP(B:B,奖励标准!A:AM,39,0),0)</f>
        <v>0</v>
      </c>
      <c r="S45" s="3">
        <f>ROUND(((VLOOKUP(B:B,录入表!B:C,2,0)+VLOOKUP(B:B,录入表!B:E,4,0))*VLOOKUP(B:B,奖励标准!A:CU,99,0)),0)</f>
        <v>0</v>
      </c>
      <c r="T4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5" s="3">
        <f>ROUND(VLOOKUP(科室绩效工资核算1!B:B,录入表!B:AU,46,0)*VLOOKUP(B:B,奖励标准!A:CV,100,0),0)</f>
        <v>0</v>
      </c>
      <c r="V45" s="3">
        <f>ROUND(VLOOKUP(科室绩效工资核算1!B:B,录入表!B:AV,47,0)*VLOOKUP(B:B,奖励标准!A:CW,101,0),0)</f>
        <v>0</v>
      </c>
      <c r="W4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5" s="28">
        <f>ROUND(VLOOKUP(B:B,录入表!B:BF,56,0)*VLOOKUP(B:B,奖励标准!A:BD,55,0)+VLOOKUP(B:B,录入表!B:BF,57,0)*VLOOKUP(B:B,奖励标准!A:BD,56,0),0)</f>
        <v>0</v>
      </c>
      <c r="Y4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5" s="28">
        <f>ROUND(VLOOKUP(B:B,录入表!B:BL,62,0)*VLOOKUP(B:B,奖励标准!A:BJ,61,0)+VLOOKUP(B:B,奖励标准!A:BJ,62,0)*VLOOKUP(B:B,录入表!B:BL,63,0),0)</f>
        <v>0</v>
      </c>
      <c r="AA4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58424</v>
      </c>
      <c r="AC4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5" s="82">
        <f>ROUND(VLOOKUP(B:B,录入表!B:CV,98,0)*VLOOKUP(B:B,奖励标准!A:CT,97,0)+VLOOKUP(B:B,奖励标准!A:CU,98,0)*VLOOKUP(B:B,录入表!B:CV,99,0),0)</f>
        <v>0</v>
      </c>
      <c r="AG45" s="82">
        <f>ROUND(VLOOKUP(B:B,录入表!B:CT,96,0)*VLOOKUP(B:B,奖励标准!A:CR,95,0)+VLOOKUP(B:B,录入表!B:CT,97,0)*VLOOKUP(B:B,奖励标准!A:CR,96,0),0)</f>
        <v>0</v>
      </c>
      <c r="AH45" s="28">
        <f>ROUND(VLOOKUP(B:B,录入表!B:CW,100,0)*VLOOKUP(科室绩效工资核算1!B:B,奖励标准!A:L,11,0),0)</f>
        <v>153</v>
      </c>
      <c r="AI4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5" s="3">
        <f>ROUND(VLOOKUP(科室绩效工资核算1!B:B,录入表!B:O,14,0)*VLOOKUP(科室绩效工资核算1!B:B,奖励标准!A:M,13,0),0)</f>
        <v>0</v>
      </c>
      <c r="AK45" s="3">
        <f>ROUND(VLOOKUP(科室绩效工资核算1!B:B,录入表!B:P,15,0)*VLOOKUP(科室绩效工资核算1!B:B,奖励标准!A:N,14,0),0)</f>
        <v>0</v>
      </c>
      <c r="AL45" s="3">
        <f>ROUND(VLOOKUP(科室绩效工资核算1!B:B,录入表!B:P,15,0)*VLOOKUP(科室绩效工资核算1!B:B,奖励标准!A:AU,47,0),0)</f>
        <v>0</v>
      </c>
      <c r="AM45" s="3">
        <f t="shared" si="1"/>
        <v>153</v>
      </c>
      <c r="AN45" s="3">
        <f t="shared" si="0"/>
        <v>58424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s="29" customFormat="1" ht="12.5" customHeight="1" x14ac:dyDescent="0.25">
      <c r="A46" s="1"/>
      <c r="B46" s="73" t="s">
        <v>124</v>
      </c>
      <c r="C46" s="3"/>
      <c r="D46" s="3"/>
      <c r="E4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6" s="3">
        <f>ROUND(VLOOKUP(B:B,录入表!B:AT,45,0)*VLOOKUP(科室绩效工资核算1!B:B,奖励标准!A:AR,44,0),0)</f>
        <v>0</v>
      </c>
      <c r="G46" s="3">
        <f>ROUND((VLOOKUP(B:B,录入表!B:W,22,0)+VLOOKUP(B:B,录入表!B:X,23,0))*VLOOKUP(B:B,奖励标准!A:AS,45,0),0)</f>
        <v>0</v>
      </c>
      <c r="H46" s="3">
        <f>ROUND(VLOOKUP(B:B,录入表!B:H,7,0)*VLOOKUP(B:B,奖励标准!A:F,6,0),0)</f>
        <v>0</v>
      </c>
      <c r="I46" s="3">
        <f>ROUND(VLOOKUP(B:B,录入表!B:I,8,0)*VLOOKUP(B:B,奖励标准!A:G,7,0),0)</f>
        <v>0</v>
      </c>
      <c r="J46" s="3">
        <f>ROUND(VLOOKUP(B:B,录入表!B:J,9,0)*VLOOKUP(B:B,奖励标准!A:H,8,0),0)</f>
        <v>0</v>
      </c>
      <c r="K46" s="3">
        <f>ROUND(VLOOKUP(B:B,录入表!B:Q,16,0)*VLOOKUP(科室绩效工资核算1!B:B,奖励标准!A:O,15,0),0)</f>
        <v>0</v>
      </c>
      <c r="L4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6" s="3">
        <f>ROUND(VLOOKUP(科室绩效工资核算1!B:B,录入表!B:AB,27,0)*VLOOKUP(科室绩效工资核算1!B:B,奖励标准!A:Z,26,0),0)</f>
        <v>0</v>
      </c>
      <c r="N46" s="3">
        <f>ROUND(VLOOKUP(B:B,录入表!B:AW,48,0)*VLOOKUP(B:B,奖励标准!A:AT,46,0),0)</f>
        <v>0</v>
      </c>
      <c r="O46" s="3">
        <f>ROUND(VLOOKUP(科室绩效工资核算1!B:B,录入表!B:AA,26,0)*VLOOKUP(B:B,奖励标准!A:Y,25,0),0)</f>
        <v>0</v>
      </c>
      <c r="P4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6" s="3">
        <f>ROUND(VLOOKUP(B:B,录入表!B:AL,37,0)*VLOOKUP(B:B,奖励标准!A:AJ,36,0)+ROUND(VLOOKUP(B:B,录入表!B:AM,38,0)*VLOOKUP(B:B,奖励标准!A:AK,37,0),0),0)</f>
        <v>0</v>
      </c>
      <c r="R46" s="3">
        <f>ROUND(VLOOKUP(B:B,录入表!B:AN,39,0)*VLOOKUP(B:B,奖励标准!A:AL,38,0)+VLOOKUP(B:B,录入表!B:AO,40,0)*VLOOKUP(B:B,奖励标准!A:AM,39,0),0)</f>
        <v>0</v>
      </c>
      <c r="S46" s="3">
        <f>ROUND(((VLOOKUP(B:B,录入表!B:C,2,0)+VLOOKUP(B:B,录入表!B:E,4,0))*VLOOKUP(B:B,奖励标准!A:CU,99,0)),0)</f>
        <v>0</v>
      </c>
      <c r="T4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6" s="3">
        <f>ROUND(VLOOKUP(科室绩效工资核算1!B:B,录入表!B:AU,46,0)*VLOOKUP(B:B,奖励标准!A:CV,100,0),0)</f>
        <v>0</v>
      </c>
      <c r="V46" s="3">
        <f>ROUND(VLOOKUP(科室绩效工资核算1!B:B,录入表!B:AV,47,0)*VLOOKUP(B:B,奖励标准!A:CW,101,0),0)</f>
        <v>0</v>
      </c>
      <c r="W4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6" s="28">
        <f>ROUND(VLOOKUP(B:B,录入表!B:BF,56,0)*VLOOKUP(B:B,奖励标准!A:BD,55,0)+VLOOKUP(B:B,录入表!B:BF,57,0)*VLOOKUP(B:B,奖励标准!A:BD,56,0),0)</f>
        <v>0</v>
      </c>
      <c r="Y4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6" s="28">
        <f>ROUND(VLOOKUP(B:B,录入表!B:BL,62,0)*VLOOKUP(B:B,奖励标准!A:BJ,61,0)+VLOOKUP(B:B,奖励标准!A:BJ,62,0)*VLOOKUP(B:B,录入表!B:BL,63,0),0)</f>
        <v>0</v>
      </c>
      <c r="AA4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1061</v>
      </c>
      <c r="AD4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6" s="82">
        <f>ROUND(VLOOKUP(B:B,录入表!B:CV,98,0)*VLOOKUP(B:B,奖励标准!A:CT,97,0)+VLOOKUP(B:B,奖励标准!A:CU,98,0)*VLOOKUP(B:B,录入表!B:CV,99,0),0)</f>
        <v>0</v>
      </c>
      <c r="AG46" s="82">
        <f>ROUND(VLOOKUP(B:B,录入表!B:CT,96,0)*VLOOKUP(B:B,奖励标准!A:CR,95,0)+VLOOKUP(B:B,录入表!B:CT,97,0)*VLOOKUP(B:B,奖励标准!A:CR,96,0),0)</f>
        <v>0</v>
      </c>
      <c r="AH46" s="28">
        <f>ROUND(VLOOKUP(B:B,录入表!B:CW,100,0)*VLOOKUP(科室绩效工资核算1!B:B,奖励标准!A:L,11,0),0)</f>
        <v>0</v>
      </c>
      <c r="AI4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6" s="3">
        <f>ROUND(VLOOKUP(科室绩效工资核算1!B:B,录入表!B:O,14,0)*VLOOKUP(科室绩效工资核算1!B:B,奖励标准!A:M,13,0),0)</f>
        <v>0</v>
      </c>
      <c r="AK46" s="3">
        <f>ROUND(VLOOKUP(科室绩效工资核算1!B:B,录入表!B:P,15,0)*VLOOKUP(科室绩效工资核算1!B:B,奖励标准!A:N,14,0),0)</f>
        <v>0</v>
      </c>
      <c r="AL46" s="3">
        <f>ROUND(VLOOKUP(科室绩效工资核算1!B:B,录入表!B:P,15,0)*VLOOKUP(科室绩效工资核算1!B:B,奖励标准!A:AU,47,0),0)</f>
        <v>0</v>
      </c>
      <c r="AM46" s="3">
        <f t="shared" si="1"/>
        <v>0</v>
      </c>
      <c r="AN46" s="3">
        <f t="shared" si="0"/>
        <v>1061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s="29" customFormat="1" ht="12.5" customHeight="1" x14ac:dyDescent="0.25">
      <c r="A47" s="1"/>
      <c r="B47" s="73" t="s">
        <v>125</v>
      </c>
      <c r="C47" s="3"/>
      <c r="D47" s="3"/>
      <c r="E4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7" s="3">
        <f>ROUND(VLOOKUP(B:B,录入表!B:AT,45,0)*VLOOKUP(科室绩效工资核算1!B:B,奖励标准!A:AR,44,0),0)</f>
        <v>0</v>
      </c>
      <c r="G47" s="3">
        <f>ROUND((VLOOKUP(B:B,录入表!B:W,22,0)+VLOOKUP(B:B,录入表!B:X,23,0))*VLOOKUP(B:B,奖励标准!A:AS,45,0),0)</f>
        <v>0</v>
      </c>
      <c r="H47" s="3">
        <f>ROUND(VLOOKUP(B:B,录入表!B:H,7,0)*VLOOKUP(B:B,奖励标准!A:F,6,0),0)</f>
        <v>0</v>
      </c>
      <c r="I47" s="3">
        <f>ROUND(VLOOKUP(B:B,录入表!B:I,8,0)*VLOOKUP(B:B,奖励标准!A:G,7,0),0)</f>
        <v>0</v>
      </c>
      <c r="J47" s="3">
        <f>ROUND(VLOOKUP(B:B,录入表!B:J,9,0)*VLOOKUP(B:B,奖励标准!A:H,8,0),0)</f>
        <v>0</v>
      </c>
      <c r="K47" s="3">
        <f>ROUND(VLOOKUP(B:B,录入表!B:Q,16,0)*VLOOKUP(科室绩效工资核算1!B:B,奖励标准!A:O,15,0),0)</f>
        <v>0</v>
      </c>
      <c r="L4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7" s="3">
        <f>ROUND(VLOOKUP(科室绩效工资核算1!B:B,录入表!B:AB,27,0)*VLOOKUP(科室绩效工资核算1!B:B,奖励标准!A:Z,26,0),0)</f>
        <v>0</v>
      </c>
      <c r="N47" s="3">
        <f>ROUND(VLOOKUP(B:B,录入表!B:AW,48,0)*VLOOKUP(B:B,奖励标准!A:AT,46,0),0)</f>
        <v>0</v>
      </c>
      <c r="O47" s="3">
        <f>ROUND(VLOOKUP(科室绩效工资核算1!B:B,录入表!B:AA,26,0)*VLOOKUP(B:B,奖励标准!A:Y,25,0),0)</f>
        <v>0</v>
      </c>
      <c r="P4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7" s="3">
        <f>ROUND(VLOOKUP(B:B,录入表!B:AL,37,0)*VLOOKUP(B:B,奖励标准!A:AJ,36,0)+ROUND(VLOOKUP(B:B,录入表!B:AM,38,0)*VLOOKUP(B:B,奖励标准!A:AK,37,0),0),0)</f>
        <v>0</v>
      </c>
      <c r="R47" s="3">
        <f>ROUND(VLOOKUP(B:B,录入表!B:AN,39,0)*VLOOKUP(B:B,奖励标准!A:AL,38,0)+VLOOKUP(B:B,录入表!B:AO,40,0)*VLOOKUP(B:B,奖励标准!A:AM,39,0),0)</f>
        <v>0</v>
      </c>
      <c r="S47" s="3">
        <f>ROUND(((VLOOKUP(B:B,录入表!B:C,2,0)+VLOOKUP(B:B,录入表!B:E,4,0))*VLOOKUP(B:B,奖励标准!A:CU,99,0)),0)</f>
        <v>0</v>
      </c>
      <c r="T4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7" s="3">
        <f>ROUND(VLOOKUP(科室绩效工资核算1!B:B,录入表!B:AU,46,0)*VLOOKUP(B:B,奖励标准!A:CV,100,0),0)</f>
        <v>0</v>
      </c>
      <c r="V47" s="3">
        <f>ROUND(VLOOKUP(科室绩效工资核算1!B:B,录入表!B:AV,47,0)*VLOOKUP(B:B,奖励标准!A:CW,101,0),0)</f>
        <v>0</v>
      </c>
      <c r="W4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7" s="28">
        <f>ROUND(VLOOKUP(B:B,录入表!B:BF,56,0)*VLOOKUP(B:B,奖励标准!A:BD,55,0)+VLOOKUP(B:B,录入表!B:BF,57,0)*VLOOKUP(B:B,奖励标准!A:BD,56,0),0)</f>
        <v>0</v>
      </c>
      <c r="Y4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7" s="28">
        <f>ROUND(VLOOKUP(B:B,录入表!B:BL,62,0)*VLOOKUP(B:B,奖励标准!A:BJ,61,0)+VLOOKUP(B:B,奖励标准!A:BJ,62,0)*VLOOKUP(B:B,录入表!B:BL,63,0),0)</f>
        <v>0</v>
      </c>
      <c r="AA4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11472</v>
      </c>
      <c r="AE4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7" s="82">
        <f>ROUND(VLOOKUP(B:B,录入表!B:CV,98,0)*VLOOKUP(B:B,奖励标准!A:CT,97,0)+VLOOKUP(B:B,奖励标准!A:CU,98,0)*VLOOKUP(B:B,录入表!B:CV,99,0),0)</f>
        <v>0</v>
      </c>
      <c r="AG47" s="82">
        <f>ROUND(VLOOKUP(B:B,录入表!B:CT,96,0)*VLOOKUP(B:B,奖励标准!A:CR,95,0)+VLOOKUP(B:B,录入表!B:CT,97,0)*VLOOKUP(B:B,奖励标准!A:CR,96,0),0)</f>
        <v>0</v>
      </c>
      <c r="AH47" s="28">
        <f>ROUND(VLOOKUP(B:B,录入表!B:CW,100,0)*VLOOKUP(科室绩效工资核算1!B:B,奖励标准!A:L,11,0),0)</f>
        <v>1947</v>
      </c>
      <c r="AI4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7" s="3">
        <f>ROUND(VLOOKUP(科室绩效工资核算1!B:B,录入表!B:O,14,0)*VLOOKUP(科室绩效工资核算1!B:B,奖励标准!A:M,13,0),0)</f>
        <v>0</v>
      </c>
      <c r="AK47" s="3">
        <f>ROUND(VLOOKUP(科室绩效工资核算1!B:B,录入表!B:P,15,0)*VLOOKUP(科室绩效工资核算1!B:B,奖励标准!A:N,14,0),0)</f>
        <v>0</v>
      </c>
      <c r="AL47" s="3">
        <f>ROUND(VLOOKUP(科室绩效工资核算1!B:B,录入表!B:P,15,0)*VLOOKUP(科室绩效工资核算1!B:B,奖励标准!A:AU,47,0),0)</f>
        <v>0</v>
      </c>
      <c r="AM47" s="3">
        <f t="shared" si="1"/>
        <v>1947</v>
      </c>
      <c r="AN47" s="3">
        <f t="shared" si="0"/>
        <v>11472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s="29" customFormat="1" ht="12.5" customHeight="1" x14ac:dyDescent="0.25">
      <c r="A48" s="1"/>
      <c r="B48" s="73" t="s">
        <v>126</v>
      </c>
      <c r="C48" s="3"/>
      <c r="D48" s="3">
        <f>ROUND(VLOOKUP(B:B,录入表!B:G,6,0)/VLOOKUP(科室绩效工资核算1!B:B,奖励标准!A:D,4,0)*VLOOKUP(B:B,奖励标准!A:E,5,0),0)</f>
        <v>11389</v>
      </c>
      <c r="E4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8" s="3">
        <f>ROUND(VLOOKUP(B:B,录入表!B:AT,45,0)*VLOOKUP(科室绩效工资核算1!B:B,奖励标准!A:AR,44,0),0)</f>
        <v>0</v>
      </c>
      <c r="G48" s="3">
        <f>ROUND((VLOOKUP(B:B,录入表!B:W,22,0)+VLOOKUP(B:B,录入表!B:X,23,0))*VLOOKUP(B:B,奖励标准!A:AS,45,0),0)</f>
        <v>0</v>
      </c>
      <c r="H48" s="3">
        <f>ROUND(VLOOKUP(B:B,录入表!B:H,7,0)*VLOOKUP(B:B,奖励标准!A:F,6,0),0)</f>
        <v>0</v>
      </c>
      <c r="I48" s="3">
        <f>ROUND(VLOOKUP(B:B,录入表!B:I,8,0)*VLOOKUP(B:B,奖励标准!A:G,7,0),0)</f>
        <v>0</v>
      </c>
      <c r="J48" s="3">
        <f>ROUND(VLOOKUP(B:B,录入表!B:J,9,0)*VLOOKUP(B:B,奖励标准!A:H,8,0),0)</f>
        <v>0</v>
      </c>
      <c r="K48" s="3">
        <f>ROUND(VLOOKUP(B:B,录入表!B:Q,16,0)*VLOOKUP(科室绩效工资核算1!B:B,奖励标准!A:O,15,0),0)</f>
        <v>0</v>
      </c>
      <c r="L4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8" s="3">
        <f>ROUND(VLOOKUP(科室绩效工资核算1!B:B,录入表!B:AB,27,0)*VLOOKUP(科室绩效工资核算1!B:B,奖励标准!A:Z,26,0),0)</f>
        <v>0</v>
      </c>
      <c r="N48" s="3">
        <f>ROUND(VLOOKUP(B:B,录入表!B:AW,48,0)*VLOOKUP(B:B,奖励标准!A:AT,46,0),0)</f>
        <v>0</v>
      </c>
      <c r="O48" s="3">
        <f>ROUND(VLOOKUP(科室绩效工资核算1!B:B,录入表!B:AA,26,0)*VLOOKUP(B:B,奖励标准!A:Y,25,0),0)</f>
        <v>0</v>
      </c>
      <c r="P4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8" s="3">
        <f>ROUND(VLOOKUP(B:B,录入表!B:AL,37,0)*VLOOKUP(B:B,奖励标准!A:AJ,36,0)+ROUND(VLOOKUP(B:B,录入表!B:AM,38,0)*VLOOKUP(B:B,奖励标准!A:AK,37,0),0),0)</f>
        <v>0</v>
      </c>
      <c r="R48" s="3">
        <f>ROUND(VLOOKUP(B:B,录入表!B:AN,39,0)*VLOOKUP(B:B,奖励标准!A:AL,38,0)+VLOOKUP(B:B,录入表!B:AO,40,0)*VLOOKUP(B:B,奖励标准!A:AM,39,0),0)</f>
        <v>0</v>
      </c>
      <c r="S48" s="3">
        <f>ROUND(((VLOOKUP(B:B,录入表!B:C,2,0)+VLOOKUP(B:B,录入表!B:E,4,0))*VLOOKUP(B:B,奖励标准!A:CU,99,0)),0)</f>
        <v>0</v>
      </c>
      <c r="T4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8" s="3">
        <f>ROUND(VLOOKUP(科室绩效工资核算1!B:B,录入表!B:AU,46,0)*VLOOKUP(B:B,奖励标准!A:CV,100,0),0)</f>
        <v>0</v>
      </c>
      <c r="V48" s="3">
        <f>ROUND(VLOOKUP(科室绩效工资核算1!B:B,录入表!B:AV,47,0)*VLOOKUP(B:B,奖励标准!A:CW,101,0),0)</f>
        <v>0</v>
      </c>
      <c r="W4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8" s="28">
        <f>ROUND(VLOOKUP(B:B,录入表!B:BF,56,0)*VLOOKUP(B:B,奖励标准!A:BD,55,0)+VLOOKUP(B:B,录入表!B:BF,57,0)*VLOOKUP(B:B,奖励标准!A:BD,56,0),0)</f>
        <v>0</v>
      </c>
      <c r="Y4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8" s="28">
        <f>ROUND(VLOOKUP(B:B,录入表!B:BL,62,0)*VLOOKUP(B:B,奖励标准!A:BJ,61,0)+VLOOKUP(B:B,奖励标准!A:BJ,62,0)*VLOOKUP(B:B,录入表!B:BL,63,0),0)</f>
        <v>0</v>
      </c>
      <c r="AA4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8" s="82">
        <f>ROUND(VLOOKUP(B:B,录入表!B:CV,98,0)*VLOOKUP(B:B,奖励标准!A:CT,97,0)+VLOOKUP(B:B,奖励标准!A:CU,98,0)*VLOOKUP(B:B,录入表!B:CV,99,0),0)</f>
        <v>0</v>
      </c>
      <c r="AG48" s="82">
        <f>ROUND(VLOOKUP(B:B,录入表!B:CT,96,0)*VLOOKUP(B:B,奖励标准!A:CR,95,0)+VLOOKUP(B:B,录入表!B:CT,97,0)*VLOOKUP(B:B,奖励标准!A:CR,96,0),0)</f>
        <v>0</v>
      </c>
      <c r="AH48" s="28">
        <f>ROUND(VLOOKUP(B:B,录入表!B:CW,100,0)*VLOOKUP(科室绩效工资核算1!B:B,奖励标准!A:L,11,0),0)</f>
        <v>0</v>
      </c>
      <c r="AI4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8" s="3">
        <f>ROUND(VLOOKUP(科室绩效工资核算1!B:B,录入表!B:O,14,0)*VLOOKUP(科室绩效工资核算1!B:B,奖励标准!A:M,13,0),0)</f>
        <v>4415</v>
      </c>
      <c r="AK48" s="3">
        <f>ROUND(VLOOKUP(科室绩效工资核算1!B:B,录入表!B:P,15,0)*VLOOKUP(科室绩效工资核算1!B:B,奖励标准!A:N,14,0),0)</f>
        <v>2520</v>
      </c>
      <c r="AL48" s="3"/>
      <c r="AM48" s="3">
        <f t="shared" si="1"/>
        <v>6935</v>
      </c>
      <c r="AN48" s="3">
        <f t="shared" si="0"/>
        <v>11389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s="29" customFormat="1" ht="12.5" customHeight="1" x14ac:dyDescent="0.25">
      <c r="A49" s="1"/>
      <c r="B49" s="73" t="s">
        <v>127</v>
      </c>
      <c r="C49" s="3"/>
      <c r="D49" s="3"/>
      <c r="E4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49" s="3">
        <f>ROUND(VLOOKUP(B:B,录入表!B:AT,45,0)*VLOOKUP(科室绩效工资核算1!B:B,奖励标准!A:AR,44,0),0)</f>
        <v>0</v>
      </c>
      <c r="G49" s="3">
        <f>ROUND((VLOOKUP(B:B,录入表!B:W,22,0)+VLOOKUP(B:B,录入表!B:X,23,0))*VLOOKUP(B:B,奖励标准!A:AS,45,0),0)</f>
        <v>0</v>
      </c>
      <c r="H49" s="3">
        <f>ROUND(VLOOKUP(B:B,录入表!B:H,7,0)*VLOOKUP(B:B,奖励标准!A:F,6,0),0)</f>
        <v>0</v>
      </c>
      <c r="I49" s="3">
        <f>ROUND(VLOOKUP(B:B,录入表!B:I,8,0)*VLOOKUP(B:B,奖励标准!A:G,7,0),0)</f>
        <v>0</v>
      </c>
      <c r="J49" s="3">
        <f>ROUND(VLOOKUP(B:B,录入表!B:J,9,0)*VLOOKUP(B:B,奖励标准!A:H,8,0),0)</f>
        <v>0</v>
      </c>
      <c r="K49" s="3">
        <f>ROUND(VLOOKUP(B:B,录入表!B:Q,16,0)*VLOOKUP(科室绩效工资核算1!B:B,奖励标准!A:O,15,0),0)</f>
        <v>0</v>
      </c>
      <c r="L4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49" s="3">
        <f>ROUND(VLOOKUP(科室绩效工资核算1!B:B,录入表!B:AB,27,0)*VLOOKUP(科室绩效工资核算1!B:B,奖励标准!A:Z,26,0),0)</f>
        <v>0</v>
      </c>
      <c r="N49" s="3">
        <f>ROUND(VLOOKUP(B:B,录入表!B:AW,48,0)*VLOOKUP(B:B,奖励标准!A:AT,46,0),0)</f>
        <v>0</v>
      </c>
      <c r="O49" s="3">
        <f>ROUND(VLOOKUP(科室绩效工资核算1!B:B,录入表!B:AA,26,0)*VLOOKUP(B:B,奖励标准!A:Y,25,0),0)</f>
        <v>0</v>
      </c>
      <c r="P4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49" s="3">
        <f>ROUND(VLOOKUP(B:B,录入表!B:AL,37,0)*VLOOKUP(B:B,奖励标准!A:AJ,36,0)+ROUND(VLOOKUP(B:B,录入表!B:AM,38,0)*VLOOKUP(B:B,奖励标准!A:AK,37,0),0),0)</f>
        <v>0</v>
      </c>
      <c r="R49" s="3">
        <f>ROUND(VLOOKUP(B:B,录入表!B:AN,39,0)*VLOOKUP(B:B,奖励标准!A:AL,38,0)+VLOOKUP(B:B,录入表!B:AO,40,0)*VLOOKUP(B:B,奖励标准!A:AM,39,0),0)</f>
        <v>0</v>
      </c>
      <c r="S49" s="3">
        <f>ROUND(((VLOOKUP(B:B,录入表!B:C,2,0)+VLOOKUP(B:B,录入表!B:E,4,0))*VLOOKUP(B:B,奖励标准!A:CU,99,0)),0)</f>
        <v>0</v>
      </c>
      <c r="T4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49" s="3">
        <f>ROUND(VLOOKUP(科室绩效工资核算1!B:B,录入表!B:AU,46,0)*VLOOKUP(B:B,奖励标准!A:CV,100,0),0)</f>
        <v>0</v>
      </c>
      <c r="V49" s="3">
        <f>ROUND(VLOOKUP(科室绩效工资核算1!B:B,录入表!B:AV,47,0)*VLOOKUP(B:B,奖励标准!A:CW,101,0),0)</f>
        <v>0</v>
      </c>
      <c r="W4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49" s="28">
        <f>ROUND(VLOOKUP(B:B,录入表!B:BF,56,0)*VLOOKUP(B:B,奖励标准!A:BD,55,0)+VLOOKUP(B:B,录入表!B:BF,57,0)*VLOOKUP(B:B,奖励标准!A:BD,56,0),0)</f>
        <v>0</v>
      </c>
      <c r="Y4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49" s="28">
        <f>ROUND(VLOOKUP(B:B,录入表!B:BL,62,0)*VLOOKUP(B:B,奖励标准!A:BJ,61,0)+VLOOKUP(B:B,奖励标准!A:BJ,62,0)*VLOOKUP(B:B,录入表!B:BL,63,0),0)</f>
        <v>0</v>
      </c>
      <c r="AA4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4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4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4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4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49" s="82">
        <f>ROUND(VLOOKUP(B:B,录入表!B:CV,98,0)*VLOOKUP(B:B,奖励标准!A:CT,97,0)+VLOOKUP(B:B,奖励标准!A:CU,98,0)*VLOOKUP(B:B,录入表!B:CV,99,0),0)</f>
        <v>0</v>
      </c>
      <c r="AG49" s="82">
        <f>ROUND(VLOOKUP(B:B,录入表!B:CT,96,0)*VLOOKUP(B:B,奖励标准!A:CR,95,0)+VLOOKUP(B:B,录入表!B:CT,97,0)*VLOOKUP(B:B,奖励标准!A:CR,96,0),0)</f>
        <v>0</v>
      </c>
      <c r="AH49" s="28">
        <f>ROUND(VLOOKUP(B:B,录入表!B:CW,100,0)*VLOOKUP(科室绩效工资核算1!B:B,奖励标准!A:L,11,0),0)</f>
        <v>0</v>
      </c>
      <c r="AI4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49" s="3">
        <f>ROUND(VLOOKUP(科室绩效工资核算1!B:B,录入表!B:O,14,0)*VLOOKUP(科室绩效工资核算1!B:B,奖励标准!A:M,13,0),0)</f>
        <v>0</v>
      </c>
      <c r="AK49" s="3">
        <f>ROUND(VLOOKUP(科室绩效工资核算1!B:B,录入表!B:P,15,0)*VLOOKUP(科室绩效工资核算1!B:B,奖励标准!A:N,14,0),0)</f>
        <v>0</v>
      </c>
      <c r="AL49" s="3">
        <f>ROUND(VLOOKUP(科室绩效工资核算1!B:B,录入表!B:P,15,0)*VLOOKUP(科室绩效工资核算1!B:B,奖励标准!A:AU,47,0),0)</f>
        <v>0</v>
      </c>
      <c r="AM49" s="3">
        <f t="shared" si="1"/>
        <v>0</v>
      </c>
      <c r="AN49" s="3">
        <f t="shared" si="0"/>
        <v>0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s="29" customFormat="1" ht="12.5" customHeight="1" x14ac:dyDescent="0.25">
      <c r="A50" s="1"/>
      <c r="B50" s="73" t="s">
        <v>128</v>
      </c>
      <c r="C50" s="3"/>
      <c r="D50" s="3"/>
      <c r="E5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0" s="3">
        <f>ROUND(VLOOKUP(B:B,录入表!B:AT,45,0)*VLOOKUP(科室绩效工资核算1!B:B,奖励标准!A:AR,44,0),0)</f>
        <v>0</v>
      </c>
      <c r="G50" s="3">
        <f>ROUND((VLOOKUP(B:B,录入表!B:W,22,0)+VLOOKUP(B:B,录入表!B:X,23,0))*VLOOKUP(B:B,奖励标准!A:AS,45,0),0)</f>
        <v>0</v>
      </c>
      <c r="H50" s="3">
        <f>ROUND(VLOOKUP(B:B,录入表!B:H,7,0)*VLOOKUP(B:B,奖励标准!A:F,6,0),0)</f>
        <v>0</v>
      </c>
      <c r="I50" s="3">
        <f>ROUND(VLOOKUP(B:B,录入表!B:I,8,0)*VLOOKUP(B:B,奖励标准!A:G,7,0),0)</f>
        <v>0</v>
      </c>
      <c r="J50" s="3">
        <f>ROUND(VLOOKUP(B:B,录入表!B:J,9,0)*VLOOKUP(B:B,奖励标准!A:H,8,0),0)</f>
        <v>0</v>
      </c>
      <c r="K50" s="3">
        <f>ROUND(VLOOKUP(B:B,录入表!B:Q,16,0)*VLOOKUP(科室绩效工资核算1!B:B,奖励标准!A:O,15,0),0)</f>
        <v>0</v>
      </c>
      <c r="L5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0" s="3">
        <f>ROUND(VLOOKUP(科室绩效工资核算1!B:B,录入表!B:AB,27,0)*VLOOKUP(科室绩效工资核算1!B:B,奖励标准!A:Z,26,0),0)</f>
        <v>0</v>
      </c>
      <c r="N50" s="3">
        <f>ROUND(VLOOKUP(B:B,录入表!B:AW,48,0)*VLOOKUP(B:B,奖励标准!A:AT,46,0),0)</f>
        <v>0</v>
      </c>
      <c r="O50" s="3">
        <f>ROUND(VLOOKUP(科室绩效工资核算1!B:B,录入表!B:AA,26,0)*VLOOKUP(B:B,奖励标准!A:Y,25,0),0)</f>
        <v>0</v>
      </c>
      <c r="P5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0" s="3">
        <f>ROUND(VLOOKUP(B:B,录入表!B:AL,37,0)*VLOOKUP(B:B,奖励标准!A:AJ,36,0)+ROUND(VLOOKUP(B:B,录入表!B:AM,38,0)*VLOOKUP(B:B,奖励标准!A:AK,37,0),0),0)</f>
        <v>0</v>
      </c>
      <c r="R50" s="3">
        <f>ROUND(VLOOKUP(B:B,录入表!B:AN,39,0)*VLOOKUP(B:B,奖励标准!A:AL,38,0)+VLOOKUP(B:B,录入表!B:AO,40,0)*VLOOKUP(B:B,奖励标准!A:AM,39,0),0)</f>
        <v>0</v>
      </c>
      <c r="S50" s="3">
        <f>ROUND(((VLOOKUP(B:B,录入表!B:C,2,0)+VLOOKUP(B:B,录入表!B:E,4,0))*VLOOKUP(B:B,奖励标准!A:CU,99,0)),0)</f>
        <v>0</v>
      </c>
      <c r="T5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0" s="3">
        <f>ROUND(VLOOKUP(科室绩效工资核算1!B:B,录入表!B:AU,46,0)*VLOOKUP(B:B,奖励标准!A:CV,100,0),0)</f>
        <v>0</v>
      </c>
      <c r="V50" s="3">
        <f>ROUND(VLOOKUP(科室绩效工资核算1!B:B,录入表!B:AV,47,0)*VLOOKUP(B:B,奖励标准!A:CW,101,0),0)</f>
        <v>0</v>
      </c>
      <c r="W5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0" s="28">
        <f>ROUND(VLOOKUP(B:B,录入表!B:BF,56,0)*VLOOKUP(B:B,奖励标准!A:BD,55,0)+VLOOKUP(B:B,录入表!B:BF,57,0)*VLOOKUP(B:B,奖励标准!A:BD,56,0),0)</f>
        <v>0</v>
      </c>
      <c r="Y5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0" s="28">
        <f>ROUND(VLOOKUP(B:B,录入表!B:BL,62,0)*VLOOKUP(B:B,奖励标准!A:BJ,61,0)+VLOOKUP(B:B,奖励标准!A:BJ,62,0)*VLOOKUP(B:B,录入表!B:BL,63,0),0)</f>
        <v>0</v>
      </c>
      <c r="AA5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5765</v>
      </c>
      <c r="AF50" s="82">
        <f>ROUND(VLOOKUP(B:B,录入表!B:CV,98,0)*VLOOKUP(B:B,奖励标准!A:CT,97,0)+VLOOKUP(B:B,奖励标准!A:CU,98,0)*VLOOKUP(B:B,录入表!B:CV,99,0),0)</f>
        <v>0</v>
      </c>
      <c r="AG50" s="82">
        <f>ROUND(VLOOKUP(B:B,录入表!B:CT,96,0)*VLOOKUP(B:B,奖励标准!A:CR,95,0)+VLOOKUP(B:B,录入表!B:CT,97,0)*VLOOKUP(B:B,奖励标准!A:CR,96,0),0)</f>
        <v>0</v>
      </c>
      <c r="AH50" s="28">
        <f>ROUND(VLOOKUP(B:B,录入表!B:CW,100,0)*VLOOKUP(科室绩效工资核算1!B:B,奖励标准!A:L,11,0),0)</f>
        <v>0</v>
      </c>
      <c r="AI5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0" s="3">
        <f>ROUND(VLOOKUP(科室绩效工资核算1!B:B,录入表!B:O,14,0)*VLOOKUP(科室绩效工资核算1!B:B,奖励标准!A:M,13,0),0)</f>
        <v>0</v>
      </c>
      <c r="AK50" s="3">
        <f>ROUND(VLOOKUP(科室绩效工资核算1!B:B,录入表!B:P,15,0)*VLOOKUP(科室绩效工资核算1!B:B,奖励标准!A:N,14,0),0)</f>
        <v>0</v>
      </c>
      <c r="AL50" s="3">
        <f>ROUND(VLOOKUP(科室绩效工资核算1!B:B,录入表!B:P,15,0)*VLOOKUP(科室绩效工资核算1!B:B,奖励标准!A:AU,47,0),0)</f>
        <v>0</v>
      </c>
      <c r="AM50" s="3">
        <f t="shared" si="1"/>
        <v>0</v>
      </c>
      <c r="AN50" s="3">
        <f t="shared" si="0"/>
        <v>5765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s="29" customFormat="1" ht="12.5" customHeight="1" x14ac:dyDescent="0.25">
      <c r="A51" s="1"/>
      <c r="B51" s="73" t="s">
        <v>129</v>
      </c>
      <c r="C51" s="3"/>
      <c r="D51" s="3">
        <f>(W40/人员表!E40)*人员表!E51</f>
        <v>45780.6</v>
      </c>
      <c r="E5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1" s="3">
        <f>ROUND(VLOOKUP(B:B,录入表!B:AT,45,0)*VLOOKUP(科室绩效工资核算1!B:B,奖励标准!A:AR,44,0),0)</f>
        <v>0</v>
      </c>
      <c r="G51" s="3">
        <f>ROUND((VLOOKUP(B:B,录入表!B:W,22,0)+VLOOKUP(B:B,录入表!B:X,23,0))*VLOOKUP(B:B,奖励标准!A:AS,45,0),0)</f>
        <v>0</v>
      </c>
      <c r="H51" s="3">
        <f>ROUND(VLOOKUP(B:B,录入表!B:H,7,0)*VLOOKUP(B:B,奖励标准!A:F,6,0),0)</f>
        <v>0</v>
      </c>
      <c r="I51" s="3">
        <f>ROUND(VLOOKUP(B:B,录入表!B:I,8,0)*VLOOKUP(B:B,奖励标准!A:G,7,0),0)</f>
        <v>0</v>
      </c>
      <c r="J51" s="3">
        <f>ROUND(VLOOKUP(B:B,录入表!B:J,9,0)*VLOOKUP(B:B,奖励标准!A:H,8,0),0)</f>
        <v>0</v>
      </c>
      <c r="K51" s="3">
        <f>ROUND(VLOOKUP(B:B,录入表!B:Q,16,0)*VLOOKUP(科室绩效工资核算1!B:B,奖励标准!A:O,15,0),0)</f>
        <v>0</v>
      </c>
      <c r="L5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1" s="3">
        <f>ROUND(VLOOKUP(科室绩效工资核算1!B:B,录入表!B:AB,27,0)*VLOOKUP(科室绩效工资核算1!B:B,奖励标准!A:Z,26,0),0)</f>
        <v>0</v>
      </c>
      <c r="N51" s="3">
        <f>ROUND(VLOOKUP(B:B,录入表!B:AW,48,0)*VLOOKUP(B:B,奖励标准!A:AT,46,0),0)</f>
        <v>0</v>
      </c>
      <c r="O51" s="3">
        <f>ROUND(VLOOKUP(科室绩效工资核算1!B:B,录入表!B:AA,26,0)*VLOOKUP(B:B,奖励标准!A:Y,25,0),0)</f>
        <v>0</v>
      </c>
      <c r="P5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1" s="3">
        <f>ROUND(VLOOKUP(B:B,录入表!B:AL,37,0)*VLOOKUP(B:B,奖励标准!A:AJ,36,0)+ROUND(VLOOKUP(B:B,录入表!B:AM,38,0)*VLOOKUP(B:B,奖励标准!A:AK,37,0),0),0)</f>
        <v>0</v>
      </c>
      <c r="R51" s="3">
        <f>ROUND(VLOOKUP(B:B,录入表!B:AN,39,0)*VLOOKUP(B:B,奖励标准!A:AL,38,0)+VLOOKUP(B:B,录入表!B:AO,40,0)*VLOOKUP(B:B,奖励标准!A:AM,39,0),0)</f>
        <v>0</v>
      </c>
      <c r="S51" s="3">
        <f>ROUND(((VLOOKUP(B:B,录入表!B:C,2,0)+VLOOKUP(B:B,录入表!B:E,4,0))*VLOOKUP(B:B,奖励标准!A:CU,99,0)),0)</f>
        <v>0</v>
      </c>
      <c r="T5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1" s="3">
        <f>ROUND(VLOOKUP(科室绩效工资核算1!B:B,录入表!B:AU,46,0)*VLOOKUP(B:B,奖励标准!A:CV,100,0),0)</f>
        <v>0</v>
      </c>
      <c r="V51" s="3">
        <f>ROUND(VLOOKUP(科室绩效工资核算1!B:B,录入表!B:AV,47,0)*VLOOKUP(B:B,奖励标准!A:CW,101,0),0)</f>
        <v>0</v>
      </c>
      <c r="W5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1" s="28">
        <f>ROUND(VLOOKUP(B:B,录入表!B:BF,56,0)*VLOOKUP(B:B,奖励标准!A:BD,55,0)+VLOOKUP(B:B,录入表!B:BF,57,0)*VLOOKUP(B:B,奖励标准!A:BD,56,0),0)</f>
        <v>0</v>
      </c>
      <c r="Y5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1" s="28">
        <f>ROUND(VLOOKUP(B:B,录入表!B:BL,62,0)*VLOOKUP(B:B,奖励标准!A:BJ,61,0)+VLOOKUP(B:B,奖励标准!A:BJ,62,0)*VLOOKUP(B:B,录入表!B:BL,63,0),0)</f>
        <v>0</v>
      </c>
      <c r="AA5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1" s="82">
        <f>ROUND(VLOOKUP(B:B,录入表!B:CV,98,0)*VLOOKUP(B:B,奖励标准!A:CT,97,0)+VLOOKUP(B:B,奖励标准!A:CU,98,0)*VLOOKUP(B:B,录入表!B:CV,99,0),0)</f>
        <v>0</v>
      </c>
      <c r="AG51" s="82">
        <f>ROUND(VLOOKUP(B:B,录入表!B:CT,96,0)*VLOOKUP(B:B,奖励标准!A:CR,95,0)+VLOOKUP(B:B,录入表!B:CT,97,0)*VLOOKUP(B:B,奖励标准!A:CR,96,0),0)</f>
        <v>0</v>
      </c>
      <c r="AH51" s="28">
        <f>ROUND(VLOOKUP(B:B,录入表!B:CW,100,0)*VLOOKUP(科室绩效工资核算1!B:B,奖励标准!A:L,11,0),0)</f>
        <v>0</v>
      </c>
      <c r="AI5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1" s="3">
        <f>ROUND(VLOOKUP(科室绩效工资核算1!B:B,录入表!B:O,14,0)*VLOOKUP(科室绩效工资核算1!B:B,奖励标准!A:M,13,0),0)</f>
        <v>0</v>
      </c>
      <c r="AK51" s="3">
        <f>ROUND(VLOOKUP(科室绩效工资核算1!B:B,录入表!B:P,15,0)*VLOOKUP(科室绩效工资核算1!B:B,奖励标准!A:N,14,0),0)</f>
        <v>0</v>
      </c>
      <c r="AL51" s="3">
        <f>ROUND(VLOOKUP(科室绩效工资核算1!B:B,录入表!B:P,15,0)*VLOOKUP(科室绩效工资核算1!B:B,奖励标准!A:AU,47,0),0)</f>
        <v>0</v>
      </c>
      <c r="AM51" s="3">
        <f t="shared" si="1"/>
        <v>0</v>
      </c>
      <c r="AN51" s="3">
        <f t="shared" si="0"/>
        <v>45780.6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s="24" customFormat="1" ht="12.5" customHeight="1" x14ac:dyDescent="0.25">
      <c r="A52" s="1"/>
      <c r="B52" s="73" t="s">
        <v>130</v>
      </c>
      <c r="D52" s="3"/>
      <c r="E5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2" s="3">
        <f>ROUND(VLOOKUP(B:B,录入表!B:AT,45,0)*VLOOKUP(科室绩效工资核算1!B:B,奖励标准!A:AR,44,0),0)</f>
        <v>0</v>
      </c>
      <c r="G52" s="3">
        <f>ROUND((VLOOKUP(B:B,录入表!B:W,22,0)+VLOOKUP(B:B,录入表!B:X,23,0))*VLOOKUP(B:B,奖励标准!A:AS,45,0),0)</f>
        <v>0</v>
      </c>
      <c r="H52" s="3">
        <f>ROUND(VLOOKUP(B:B,录入表!B:H,7,0)*VLOOKUP(B:B,奖励标准!A:F,6,0),0)</f>
        <v>0</v>
      </c>
      <c r="I52" s="3">
        <f>ROUND(VLOOKUP(B:B,录入表!B:I,8,0)*VLOOKUP(B:B,奖励标准!A:G,7,0),0)</f>
        <v>0</v>
      </c>
      <c r="J52" s="3">
        <f>ROUND(VLOOKUP(B:B,录入表!B:J,9,0)*VLOOKUP(B:B,奖励标准!A:H,8,0),0)</f>
        <v>0</v>
      </c>
      <c r="K52" s="3">
        <f>ROUND(VLOOKUP(B:B,录入表!B:Q,16,0)*VLOOKUP(科室绩效工资核算1!B:B,奖励标准!A:O,15,0),0)</f>
        <v>0</v>
      </c>
      <c r="L5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2" s="3">
        <f>ROUND(VLOOKUP(科室绩效工资核算1!B:B,录入表!B:AB,27,0)*VLOOKUP(科室绩效工资核算1!B:B,奖励标准!A:Z,26,0),0)</f>
        <v>0</v>
      </c>
      <c r="N52" s="3">
        <f>ROUND(VLOOKUP(B:B,录入表!B:AW,48,0)*VLOOKUP(B:B,奖励标准!A:AT,46,0),0)</f>
        <v>0</v>
      </c>
      <c r="O52" s="3">
        <f>ROUND(VLOOKUP(科室绩效工资核算1!B:B,录入表!B:AA,26,0)*VLOOKUP(B:B,奖励标准!A:Y,25,0),0)</f>
        <v>0</v>
      </c>
      <c r="P5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2" s="3">
        <f>ROUND(VLOOKUP(B:B,录入表!B:AL,37,0)*VLOOKUP(B:B,奖励标准!A:AJ,36,0)+ROUND(VLOOKUP(B:B,录入表!B:AM,38,0)*VLOOKUP(B:B,奖励标准!A:AK,37,0),0),0)</f>
        <v>0</v>
      </c>
      <c r="R52" s="3">
        <f>ROUND(VLOOKUP(B:B,录入表!B:AN,39,0)*VLOOKUP(B:B,奖励标准!A:AL,38,0)+VLOOKUP(B:B,录入表!B:AO,40,0)*VLOOKUP(B:B,奖励标准!A:AM,39,0),0)</f>
        <v>0</v>
      </c>
      <c r="S52" s="3">
        <f>ROUND(((VLOOKUP(B:B,录入表!B:C,2,0)+VLOOKUP(B:B,录入表!B:E,4,0))*VLOOKUP(B:B,奖励标准!A:CU,99,0)),0)</f>
        <v>0</v>
      </c>
      <c r="T5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2" s="3">
        <f>ROUND(VLOOKUP(科室绩效工资核算1!B:B,录入表!B:AU,46,0)*VLOOKUP(B:B,奖励标准!A:CV,100,0),0)</f>
        <v>0</v>
      </c>
      <c r="V52" s="3">
        <f>ROUND(VLOOKUP(科室绩效工资核算1!B:B,录入表!B:AV,47,0)*VLOOKUP(B:B,奖励标准!A:CW,101,0),0)</f>
        <v>0</v>
      </c>
      <c r="W5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2" s="28">
        <f>ROUND(VLOOKUP(B:B,录入表!B:BF,56,0)*VLOOKUP(B:B,奖励标准!A:BD,55,0)+VLOOKUP(B:B,录入表!B:BF,57,0)*VLOOKUP(B:B,奖励标准!A:BD,56,0),0)</f>
        <v>0</v>
      </c>
      <c r="Y5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2" s="28">
        <f>ROUND(VLOOKUP(B:B,录入表!B:BL,62,0)*VLOOKUP(B:B,奖励标准!A:BJ,61,0)+VLOOKUP(B:B,奖励标准!A:BJ,62,0)*VLOOKUP(B:B,录入表!B:BL,63,0),0)</f>
        <v>0</v>
      </c>
      <c r="AA5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2" s="82">
        <f>ROUND(VLOOKUP(B:B,录入表!B:CV,98,0)*VLOOKUP(B:B,奖励标准!A:CT,97,0)+VLOOKUP(B:B,奖励标准!A:CU,98,0)*VLOOKUP(B:B,录入表!B:CV,99,0),0)</f>
        <v>0</v>
      </c>
      <c r="AG52" s="82">
        <f>ROUND(VLOOKUP(B:B,录入表!B:CT,96,0)*VLOOKUP(B:B,奖励标准!A:CR,95,0)+VLOOKUP(B:B,录入表!B:CT,97,0)*VLOOKUP(B:B,奖励标准!A:CR,96,0),0)</f>
        <v>59707</v>
      </c>
      <c r="AH52" s="28">
        <f>ROUND(VLOOKUP(B:B,录入表!B:CW,100,0)*VLOOKUP(科室绩效工资核算1!B:B,奖励标准!A:L,11,0),0)</f>
        <v>0</v>
      </c>
      <c r="AI5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2" s="3">
        <f>ROUND(VLOOKUP(科室绩效工资核算1!B:B,录入表!B:O,14,0)*VLOOKUP(科室绩效工资核算1!B:B,奖励标准!A:M,13,0),0)</f>
        <v>0</v>
      </c>
      <c r="AK52" s="3">
        <f>ROUND(VLOOKUP(科室绩效工资核算1!B:B,录入表!B:P,15,0)*VLOOKUP(科室绩效工资核算1!B:B,奖励标准!A:N,14,0),0)</f>
        <v>0</v>
      </c>
      <c r="AL52" s="3">
        <f>ROUND(VLOOKUP(科室绩效工资核算1!B:B,录入表!B:P,15,0)*VLOOKUP(科室绩效工资核算1!B:B,奖励标准!A:AU,47,0),0)</f>
        <v>0</v>
      </c>
      <c r="AM52" s="3">
        <f t="shared" si="1"/>
        <v>0</v>
      </c>
      <c r="AN52" s="3">
        <f t="shared" si="0"/>
        <v>59707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s="24" customFormat="1" ht="12.5" customHeight="1" x14ac:dyDescent="0.25">
      <c r="A53" s="1"/>
      <c r="B53" s="73" t="s">
        <v>131</v>
      </c>
      <c r="C53" s="3"/>
      <c r="D53" s="3"/>
      <c r="E5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3" s="3">
        <f>ROUND(VLOOKUP(B:B,录入表!B:AT,45,0)*VLOOKUP(科室绩效工资核算1!B:B,奖励标准!A:AR,44,0),0)</f>
        <v>0</v>
      </c>
      <c r="G53" s="3">
        <f>ROUND((VLOOKUP(B:B,录入表!B:W,22,0)+VLOOKUP(B:B,录入表!B:X,23,0))*VLOOKUP(B:B,奖励标准!A:AS,45,0),0)</f>
        <v>0</v>
      </c>
      <c r="H53" s="3">
        <f>ROUND(VLOOKUP(B:B,录入表!B:H,7,0)*VLOOKUP(B:B,奖励标准!A:F,6,0),0)</f>
        <v>0</v>
      </c>
      <c r="I53" s="3">
        <f>ROUND(VLOOKUP(B:B,录入表!B:I,8,0)*VLOOKUP(B:B,奖励标准!A:G,7,0),0)</f>
        <v>0</v>
      </c>
      <c r="J53" s="3">
        <f>ROUND(VLOOKUP(B:B,录入表!B:J,9,0)*VLOOKUP(B:B,奖励标准!A:H,8,0),0)</f>
        <v>0</v>
      </c>
      <c r="K53" s="3">
        <f>ROUND(VLOOKUP(B:B,录入表!B:Q,16,0)*VLOOKUP(科室绩效工资核算1!B:B,奖励标准!A:O,15,0),0)</f>
        <v>0</v>
      </c>
      <c r="L5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3" s="3">
        <f>ROUND(VLOOKUP(科室绩效工资核算1!B:B,录入表!B:AB,27,0)*VLOOKUP(科室绩效工资核算1!B:B,奖励标准!A:Z,26,0),0)</f>
        <v>0</v>
      </c>
      <c r="N53" s="3">
        <f>ROUND(VLOOKUP(B:B,录入表!B:AW,48,0)*VLOOKUP(B:B,奖励标准!A:AT,46,0),0)</f>
        <v>0</v>
      </c>
      <c r="O53" s="3">
        <f>ROUND(VLOOKUP(科室绩效工资核算1!B:B,录入表!B:AA,26,0)*VLOOKUP(B:B,奖励标准!A:Y,25,0),0)</f>
        <v>0</v>
      </c>
      <c r="P5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3" s="3">
        <f>ROUND(VLOOKUP(B:B,录入表!B:AL,37,0)*VLOOKUP(B:B,奖励标准!A:AJ,36,0)+ROUND(VLOOKUP(B:B,录入表!B:AM,38,0)*VLOOKUP(B:B,奖励标准!A:AK,37,0),0),0)</f>
        <v>0</v>
      </c>
      <c r="R53" s="3">
        <f>ROUND(VLOOKUP(B:B,录入表!B:AN,39,0)*VLOOKUP(B:B,奖励标准!A:AL,38,0)+VLOOKUP(B:B,录入表!B:AO,40,0)*VLOOKUP(B:B,奖励标准!A:AM,39,0),0)</f>
        <v>0</v>
      </c>
      <c r="S53" s="3">
        <f>ROUND(((VLOOKUP(B:B,录入表!B:C,2,0)+VLOOKUP(B:B,录入表!B:E,4,0))*VLOOKUP(B:B,奖励标准!A:CU,99,0)),0)</f>
        <v>0</v>
      </c>
      <c r="T5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3" s="3">
        <f>ROUND(VLOOKUP(科室绩效工资核算1!B:B,录入表!B:AU,46,0)*VLOOKUP(B:B,奖励标准!A:CV,100,0),0)</f>
        <v>0</v>
      </c>
      <c r="V53" s="3">
        <f>ROUND(VLOOKUP(科室绩效工资核算1!B:B,录入表!B:AV,47,0)*VLOOKUP(B:B,奖励标准!A:CW,101,0),0)</f>
        <v>0</v>
      </c>
      <c r="W5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3" s="28">
        <f>ROUND(VLOOKUP(B:B,录入表!B:BF,56,0)*VLOOKUP(B:B,奖励标准!A:BD,55,0)+VLOOKUP(B:B,录入表!B:BF,57,0)*VLOOKUP(B:B,奖励标准!A:BD,56,0),0)</f>
        <v>0</v>
      </c>
      <c r="Y5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3" s="28">
        <f>ROUND(VLOOKUP(B:B,录入表!B:BL,62,0)*VLOOKUP(B:B,奖励标准!A:BJ,61,0)+VLOOKUP(B:B,奖励标准!A:BJ,62,0)*VLOOKUP(B:B,录入表!B:BL,63,0),0)</f>
        <v>0</v>
      </c>
      <c r="AA5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3" s="82">
        <f>ROUND(VLOOKUP(B:B,录入表!B:CV,98,0)*VLOOKUP(B:B,奖励标准!A:CT,97,0)+VLOOKUP(B:B,奖励标准!A:CU,98,0)*VLOOKUP(B:B,录入表!B:CV,99,0),0)</f>
        <v>0</v>
      </c>
      <c r="AG53" s="82">
        <f>ROUND(VLOOKUP(B:B,录入表!B:CT,96,0)*VLOOKUP(B:B,奖励标准!A:CR,95,0)+VLOOKUP(B:B,录入表!B:CT,97,0)*VLOOKUP(B:B,奖励标准!A:CR,96,0),0)</f>
        <v>0</v>
      </c>
      <c r="AH53" s="28">
        <f>ROUND(VLOOKUP(B:B,录入表!B:CW,100,0)*VLOOKUP(科室绩效工资核算1!B:B,奖励标准!A:L,11,0),0)</f>
        <v>0</v>
      </c>
      <c r="AI5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3" s="3">
        <f>ROUND(VLOOKUP(科室绩效工资核算1!B:B,录入表!B:O,14,0)*VLOOKUP(科室绩效工资核算1!B:B,奖励标准!A:M,13,0),0)</f>
        <v>0</v>
      </c>
      <c r="AK53" s="3">
        <f>ROUND(VLOOKUP(科室绩效工资核算1!B:B,录入表!B:P,15,0)*VLOOKUP(科室绩效工资核算1!B:B,奖励标准!A:N,14,0),0)</f>
        <v>0</v>
      </c>
      <c r="AL53" s="3">
        <f>ROUND(VLOOKUP(科室绩效工资核算1!B:B,录入表!B:P,15,0)*VLOOKUP(科室绩效工资核算1!B:B,奖励标准!A:AU,47,0),0)</f>
        <v>0</v>
      </c>
      <c r="AM53" s="3">
        <f t="shared" si="1"/>
        <v>0</v>
      </c>
      <c r="AN53" s="3">
        <f t="shared" si="0"/>
        <v>0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s="24" customFormat="1" ht="12.5" customHeight="1" x14ac:dyDescent="0.25">
      <c r="A54" s="1"/>
      <c r="B54" s="73" t="s">
        <v>132</v>
      </c>
      <c r="C54" s="3"/>
      <c r="D54" s="3"/>
      <c r="E5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4" s="3">
        <f>ROUND(VLOOKUP(B:B,录入表!B:AT,45,0)*VLOOKUP(科室绩效工资核算1!B:B,奖励标准!A:AR,44,0),0)</f>
        <v>0</v>
      </c>
      <c r="G54" s="3">
        <f>ROUND((VLOOKUP(B:B,录入表!B:W,22,0)+VLOOKUP(B:B,录入表!B:X,23,0))*VLOOKUP(B:B,奖励标准!A:AS,45,0),0)</f>
        <v>0</v>
      </c>
      <c r="H54" s="3">
        <f>ROUND(VLOOKUP(B:B,录入表!B:H,7,0)*VLOOKUP(B:B,奖励标准!A:F,6,0),0)</f>
        <v>0</v>
      </c>
      <c r="I54" s="3">
        <f>ROUND(VLOOKUP(B:B,录入表!B:I,8,0)*VLOOKUP(B:B,奖励标准!A:G,7,0),0)</f>
        <v>0</v>
      </c>
      <c r="J54" s="3">
        <f>ROUND(VLOOKUP(B:B,录入表!B:J,9,0)*VLOOKUP(B:B,奖励标准!A:H,8,0),0)</f>
        <v>0</v>
      </c>
      <c r="K54" s="3">
        <f>ROUND(VLOOKUP(B:B,录入表!B:Q,16,0)*VLOOKUP(科室绩效工资核算1!B:B,奖励标准!A:O,15,0),0)</f>
        <v>0</v>
      </c>
      <c r="L5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4" s="3">
        <f>ROUND(VLOOKUP(科室绩效工资核算1!B:B,录入表!B:AB,27,0)*VLOOKUP(科室绩效工资核算1!B:B,奖励标准!A:Z,26,0),0)</f>
        <v>0</v>
      </c>
      <c r="N54" s="3">
        <f>ROUND(VLOOKUP(B:B,录入表!B:AW,48,0)*VLOOKUP(B:B,奖励标准!A:AT,46,0),0)</f>
        <v>0</v>
      </c>
      <c r="O54" s="3">
        <f>ROUND(VLOOKUP(科室绩效工资核算1!B:B,录入表!B:AA,26,0)*VLOOKUP(B:B,奖励标准!A:Y,25,0),0)</f>
        <v>0</v>
      </c>
      <c r="P5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4" s="3">
        <f>ROUND(VLOOKUP(B:B,录入表!B:AL,37,0)*VLOOKUP(B:B,奖励标准!A:AJ,36,0)+ROUND(VLOOKUP(B:B,录入表!B:AM,38,0)*VLOOKUP(B:B,奖励标准!A:AK,37,0),0),0)</f>
        <v>0</v>
      </c>
      <c r="R54" s="3">
        <f>ROUND(VLOOKUP(B:B,录入表!B:AN,39,0)*VLOOKUP(B:B,奖励标准!A:AL,38,0)+VLOOKUP(B:B,录入表!B:AO,40,0)*VLOOKUP(B:B,奖励标准!A:AM,39,0),0)</f>
        <v>0</v>
      </c>
      <c r="S54" s="3">
        <f>ROUND(((VLOOKUP(B:B,录入表!B:C,2,0)+VLOOKUP(B:B,录入表!B:E,4,0))*VLOOKUP(B:B,奖励标准!A:CU,99,0)),0)</f>
        <v>0</v>
      </c>
      <c r="T5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4" s="3">
        <f>ROUND(VLOOKUP(科室绩效工资核算1!B:B,录入表!B:AU,46,0)*VLOOKUP(B:B,奖励标准!A:CV,100,0),0)</f>
        <v>0</v>
      </c>
      <c r="V54" s="3">
        <f>ROUND(VLOOKUP(科室绩效工资核算1!B:B,录入表!B:AV,47,0)*VLOOKUP(B:B,奖励标准!A:CW,101,0),0)</f>
        <v>0</v>
      </c>
      <c r="W5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4" s="28">
        <f>ROUND(VLOOKUP(B:B,录入表!B:BF,56,0)*VLOOKUP(B:B,奖励标准!A:BD,55,0)+VLOOKUP(B:B,录入表!B:BF,57,0)*VLOOKUP(B:B,奖励标准!A:BD,56,0),0)</f>
        <v>0</v>
      </c>
      <c r="Y5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4" s="28">
        <f>ROUND(VLOOKUP(B:B,录入表!B:BL,62,0)*VLOOKUP(B:B,奖励标准!A:BJ,61,0)+VLOOKUP(B:B,奖励标准!A:BJ,62,0)*VLOOKUP(B:B,录入表!B:BL,63,0),0)</f>
        <v>0</v>
      </c>
      <c r="AA5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4" s="82">
        <f>ROUND(VLOOKUP(B:B,录入表!B:CV,98,0)*VLOOKUP(B:B,奖励标准!A:CT,97,0)+VLOOKUP(B:B,奖励标准!A:CU,98,0)*VLOOKUP(B:B,录入表!B:CV,99,0),0)</f>
        <v>0</v>
      </c>
      <c r="AG54" s="82">
        <f>ROUND(VLOOKUP(B:B,录入表!B:CT,96,0)*VLOOKUP(B:B,奖励标准!A:CR,95,0)+VLOOKUP(B:B,录入表!B:CT,97,0)*VLOOKUP(B:B,奖励标准!A:CR,96,0),0)</f>
        <v>0</v>
      </c>
      <c r="AH54" s="28">
        <f>ROUND(VLOOKUP(B:B,录入表!B:CW,100,0)*VLOOKUP(科室绩效工资核算1!B:B,奖励标准!A:L,11,0),0)</f>
        <v>0</v>
      </c>
      <c r="AI5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4" s="3">
        <f>ROUND(VLOOKUP(科室绩效工资核算1!B:B,录入表!B:O,14,0)*VLOOKUP(科室绩效工资核算1!B:B,奖励标准!A:M,13,0),0)</f>
        <v>0</v>
      </c>
      <c r="AK54" s="3">
        <f>ROUND(VLOOKUP(科室绩效工资核算1!B:B,录入表!B:P,15,0)*VLOOKUP(科室绩效工资核算1!B:B,奖励标准!A:N,14,0),0)</f>
        <v>0</v>
      </c>
      <c r="AL54" s="3">
        <f>ROUND(VLOOKUP(科室绩效工资核算1!B:B,录入表!B:P,15,0)*VLOOKUP(科室绩效工资核算1!B:B,奖励标准!A:AU,47,0),0)</f>
        <v>0</v>
      </c>
      <c r="AM54" s="3">
        <f t="shared" si="1"/>
        <v>0</v>
      </c>
      <c r="AN54" s="3">
        <f t="shared" si="0"/>
        <v>0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s="24" customFormat="1" ht="12.5" customHeight="1" x14ac:dyDescent="0.25">
      <c r="A55" s="1"/>
      <c r="B55" s="73" t="s">
        <v>133</v>
      </c>
      <c r="C55" s="3"/>
      <c r="D55" s="3"/>
      <c r="E5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5" s="3">
        <f>ROUND(VLOOKUP(B:B,录入表!B:AT,45,0)*VLOOKUP(科室绩效工资核算1!B:B,奖励标准!A:AR,44,0),0)</f>
        <v>0</v>
      </c>
      <c r="G55" s="3">
        <f>ROUND((VLOOKUP(B:B,录入表!B:W,22,0)+VLOOKUP(B:B,录入表!B:X,23,0))*VLOOKUP(B:B,奖励标准!A:AS,45,0),0)</f>
        <v>0</v>
      </c>
      <c r="H55" s="3">
        <f>ROUND(VLOOKUP(B:B,录入表!B:H,7,0)*VLOOKUP(B:B,奖励标准!A:F,6,0),0)</f>
        <v>0</v>
      </c>
      <c r="I55" s="3">
        <f>ROUND(VLOOKUP(B:B,录入表!B:I,8,0)*VLOOKUP(B:B,奖励标准!A:G,7,0),0)</f>
        <v>0</v>
      </c>
      <c r="J55" s="3">
        <f>ROUND(VLOOKUP(B:B,录入表!B:J,9,0)*VLOOKUP(B:B,奖励标准!A:H,8,0),0)</f>
        <v>0</v>
      </c>
      <c r="K55" s="3">
        <f>ROUND(VLOOKUP(B:B,录入表!B:Q,16,0)*VLOOKUP(科室绩效工资核算1!B:B,奖励标准!A:O,15,0),0)</f>
        <v>0</v>
      </c>
      <c r="L5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5" s="3">
        <f>ROUND(VLOOKUP(科室绩效工资核算1!B:B,录入表!B:AB,27,0)*VLOOKUP(科室绩效工资核算1!B:B,奖励标准!A:Z,26,0),0)</f>
        <v>0</v>
      </c>
      <c r="N55" s="3">
        <f>ROUND(VLOOKUP(B:B,录入表!B:AW,48,0)*VLOOKUP(B:B,奖励标准!A:AT,46,0),0)</f>
        <v>0</v>
      </c>
      <c r="O55" s="3">
        <f>ROUND(VLOOKUP(科室绩效工资核算1!B:B,录入表!B:AA,26,0)*VLOOKUP(B:B,奖励标准!A:Y,25,0),0)</f>
        <v>0</v>
      </c>
      <c r="P5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5" s="3">
        <f>ROUND(VLOOKUP(B:B,录入表!B:AL,37,0)*VLOOKUP(B:B,奖励标准!A:AJ,36,0)+ROUND(VLOOKUP(B:B,录入表!B:AM,38,0)*VLOOKUP(B:B,奖励标准!A:AK,37,0),0),0)</f>
        <v>0</v>
      </c>
      <c r="R55" s="3">
        <f>ROUND(VLOOKUP(B:B,录入表!B:AN,39,0)*VLOOKUP(B:B,奖励标准!A:AL,38,0)+VLOOKUP(B:B,录入表!B:AO,40,0)*VLOOKUP(B:B,奖励标准!A:AM,39,0),0)</f>
        <v>0</v>
      </c>
      <c r="S55" s="3">
        <f>ROUND(((VLOOKUP(B:B,录入表!B:C,2,0)+VLOOKUP(B:B,录入表!B:E,4,0))*VLOOKUP(B:B,奖励标准!A:CU,99,0)),0)</f>
        <v>0</v>
      </c>
      <c r="T5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5" s="3">
        <f>ROUND(VLOOKUP(科室绩效工资核算1!B:B,录入表!B:AU,46,0)*VLOOKUP(B:B,奖励标准!A:CV,100,0),0)</f>
        <v>0</v>
      </c>
      <c r="V55" s="3">
        <f>ROUND(VLOOKUP(科室绩效工资核算1!B:B,录入表!B:AV,47,0)*VLOOKUP(B:B,奖励标准!A:CW,101,0),0)</f>
        <v>0</v>
      </c>
      <c r="W5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5" s="28">
        <f>ROUND(VLOOKUP(B:B,录入表!B:BF,56,0)*VLOOKUP(B:B,奖励标准!A:BD,55,0)+VLOOKUP(B:B,录入表!B:BF,57,0)*VLOOKUP(B:B,奖励标准!A:BD,56,0),0)</f>
        <v>0</v>
      </c>
      <c r="Y5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5" s="28">
        <f>ROUND(VLOOKUP(B:B,录入表!B:BL,62,0)*VLOOKUP(B:B,奖励标准!A:BJ,61,0)+VLOOKUP(B:B,奖励标准!A:BJ,62,0)*VLOOKUP(B:B,录入表!B:BL,63,0),0)</f>
        <v>0</v>
      </c>
      <c r="AA5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5" s="82">
        <f>ROUND(VLOOKUP(B:B,录入表!B:CV,98,0)*VLOOKUP(B:B,奖励标准!A:CT,97,0)+VLOOKUP(B:B,奖励标准!A:CU,98,0)*VLOOKUP(B:B,录入表!B:CV,99,0),0)</f>
        <v>0</v>
      </c>
      <c r="AG55" s="82">
        <f>ROUND(VLOOKUP(B:B,录入表!B:CT,96,0)*VLOOKUP(B:B,奖励标准!A:CR,95,0)+VLOOKUP(B:B,录入表!B:CT,97,0)*VLOOKUP(B:B,奖励标准!A:CR,96,0),0)</f>
        <v>0</v>
      </c>
      <c r="AH55" s="28">
        <f>ROUND(VLOOKUP(B:B,录入表!B:CW,100,0)*VLOOKUP(科室绩效工资核算1!B:B,奖励标准!A:L,11,0),0)</f>
        <v>0</v>
      </c>
      <c r="AI5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5" s="3">
        <f>ROUND(VLOOKUP(科室绩效工资核算1!B:B,录入表!B:O,14,0)*VLOOKUP(科室绩效工资核算1!B:B,奖励标准!A:M,13,0),0)</f>
        <v>0</v>
      </c>
      <c r="AK55" s="3">
        <f>ROUND(VLOOKUP(科室绩效工资核算1!B:B,录入表!B:P,15,0)*VLOOKUP(科室绩效工资核算1!B:B,奖励标准!A:N,14,0),0)</f>
        <v>0</v>
      </c>
      <c r="AL55" s="3">
        <f>ROUND(VLOOKUP(科室绩效工资核算1!B:B,录入表!B:P,15,0)*VLOOKUP(科室绩效工资核算1!B:B,奖励标准!A:AU,47,0),0)</f>
        <v>0</v>
      </c>
      <c r="AM55" s="3">
        <f t="shared" si="1"/>
        <v>0</v>
      </c>
      <c r="AN55" s="3">
        <f t="shared" si="0"/>
        <v>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s="24" customFormat="1" ht="12.5" customHeight="1" x14ac:dyDescent="0.25">
      <c r="A56" s="1"/>
      <c r="B56" s="73" t="s">
        <v>134</v>
      </c>
      <c r="C56" s="3"/>
      <c r="D56" s="3"/>
      <c r="E5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6" s="3">
        <f>ROUND(VLOOKUP(B:B,录入表!B:AT,45,0)*VLOOKUP(科室绩效工资核算1!B:B,奖励标准!A:AR,44,0),0)</f>
        <v>0</v>
      </c>
      <c r="G56" s="3">
        <f>ROUND((VLOOKUP(B:B,录入表!B:W,22,0)+VLOOKUP(B:B,录入表!B:X,23,0))*VLOOKUP(B:B,奖励标准!A:AS,45,0),0)</f>
        <v>0</v>
      </c>
      <c r="H56" s="3">
        <f>ROUND(VLOOKUP(B:B,录入表!B:H,7,0)*VLOOKUP(B:B,奖励标准!A:F,6,0),0)</f>
        <v>0</v>
      </c>
      <c r="I56" s="3">
        <f>ROUND(VLOOKUP(B:B,录入表!B:I,8,0)*VLOOKUP(B:B,奖励标准!A:G,7,0),0)</f>
        <v>0</v>
      </c>
      <c r="J56" s="3">
        <f>ROUND(VLOOKUP(B:B,录入表!B:J,9,0)*VLOOKUP(B:B,奖励标准!A:H,8,0),0)</f>
        <v>0</v>
      </c>
      <c r="K56" s="3">
        <f>ROUND(VLOOKUP(B:B,录入表!B:Q,16,0)*VLOOKUP(科室绩效工资核算1!B:B,奖励标准!A:O,15,0),0)</f>
        <v>0</v>
      </c>
      <c r="L5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6" s="3">
        <f>ROUND(VLOOKUP(科室绩效工资核算1!B:B,录入表!B:AB,27,0)*VLOOKUP(科室绩效工资核算1!B:B,奖励标准!A:Z,26,0),0)</f>
        <v>0</v>
      </c>
      <c r="N56" s="3">
        <f>ROUND(VLOOKUP(B:B,录入表!B:AW,48,0)*VLOOKUP(B:B,奖励标准!A:AT,46,0),0)</f>
        <v>0</v>
      </c>
      <c r="O56" s="3">
        <f>ROUND(VLOOKUP(科室绩效工资核算1!B:B,录入表!B:AA,26,0)*VLOOKUP(B:B,奖励标准!A:Y,25,0),0)</f>
        <v>0</v>
      </c>
      <c r="P5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6" s="3">
        <f>ROUND(VLOOKUP(B:B,录入表!B:AL,37,0)*VLOOKUP(B:B,奖励标准!A:AJ,36,0)+ROUND(VLOOKUP(B:B,录入表!B:AM,38,0)*VLOOKUP(B:B,奖励标准!A:AK,37,0),0),0)</f>
        <v>0</v>
      </c>
      <c r="R56" s="3">
        <f>ROUND(VLOOKUP(B:B,录入表!B:AN,39,0)*VLOOKUP(B:B,奖励标准!A:AL,38,0)+VLOOKUP(B:B,录入表!B:AO,40,0)*VLOOKUP(B:B,奖励标准!A:AM,39,0),0)</f>
        <v>0</v>
      </c>
      <c r="S56" s="3">
        <f>ROUND(((VLOOKUP(B:B,录入表!B:C,2,0)+VLOOKUP(B:B,录入表!B:E,4,0))*VLOOKUP(B:B,奖励标准!A:CU,99,0)),0)</f>
        <v>0</v>
      </c>
      <c r="T5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6" s="3">
        <f>ROUND(VLOOKUP(科室绩效工资核算1!B:B,录入表!B:AU,46,0)*VLOOKUP(B:B,奖励标准!A:CV,100,0),0)</f>
        <v>0</v>
      </c>
      <c r="V56" s="3">
        <f>ROUND(VLOOKUP(科室绩效工资核算1!B:B,录入表!B:AV,47,0)*VLOOKUP(B:B,奖励标准!A:CW,101,0),0)</f>
        <v>0</v>
      </c>
      <c r="W5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6" s="28">
        <f>ROUND(VLOOKUP(B:B,录入表!B:BF,56,0)*VLOOKUP(B:B,奖励标准!A:BD,55,0)+VLOOKUP(B:B,录入表!B:BF,57,0)*VLOOKUP(B:B,奖励标准!A:BD,56,0),0)</f>
        <v>0</v>
      </c>
      <c r="Y5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6" s="28">
        <f>ROUND(VLOOKUP(B:B,录入表!B:BL,62,0)*VLOOKUP(B:B,奖励标准!A:BJ,61,0)+VLOOKUP(B:B,奖励标准!A:BJ,62,0)*VLOOKUP(B:B,录入表!B:BL,63,0),0)</f>
        <v>0</v>
      </c>
      <c r="AA5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6" s="82">
        <f>ROUND(VLOOKUP(B:B,录入表!B:CV,98,0)*VLOOKUP(B:B,奖励标准!A:CT,97,0)+VLOOKUP(B:B,奖励标准!A:CU,98,0)*VLOOKUP(B:B,录入表!B:CV,99,0),0)</f>
        <v>0</v>
      </c>
      <c r="AG56" s="82">
        <f>ROUND(VLOOKUP(B:B,录入表!B:CT,96,0)*VLOOKUP(B:B,奖励标准!A:CR,95,0)+VLOOKUP(B:B,录入表!B:CT,97,0)*VLOOKUP(B:B,奖励标准!A:CR,96,0),0)</f>
        <v>0</v>
      </c>
      <c r="AH56" s="28">
        <f>ROUND(VLOOKUP(B:B,录入表!B:CW,100,0)*VLOOKUP(科室绩效工资核算1!B:B,奖励标准!A:L,11,0),0)</f>
        <v>0</v>
      </c>
      <c r="AI5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6" s="3">
        <f>ROUND(VLOOKUP(科室绩效工资核算1!B:B,录入表!B:O,14,0)*VLOOKUP(科室绩效工资核算1!B:B,奖励标准!A:M,13,0),0)</f>
        <v>0</v>
      </c>
      <c r="AK56" s="3">
        <f>ROUND(VLOOKUP(科室绩效工资核算1!B:B,录入表!B:P,15,0)*VLOOKUP(科室绩效工资核算1!B:B,奖励标准!A:N,14,0),0)</f>
        <v>0</v>
      </c>
      <c r="AL56" s="3">
        <f>ROUND(VLOOKUP(科室绩效工资核算1!B:B,录入表!B:P,15,0)*VLOOKUP(科室绩效工资核算1!B:B,奖励标准!A:AU,47,0),0)</f>
        <v>0</v>
      </c>
      <c r="AM56" s="3">
        <f t="shared" si="1"/>
        <v>0</v>
      </c>
      <c r="AN56" s="3">
        <f t="shared" si="0"/>
        <v>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ht="12.5" customHeight="1" x14ac:dyDescent="0.25">
      <c r="B57" s="73" t="s">
        <v>135</v>
      </c>
      <c r="C57" s="3"/>
      <c r="D57" s="3"/>
      <c r="E5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7" s="3">
        <f>ROUND(VLOOKUP(B:B,录入表!B:AT,45,0)*VLOOKUP(科室绩效工资核算1!B:B,奖励标准!A:AR,44,0),0)</f>
        <v>0</v>
      </c>
      <c r="G57" s="3">
        <f>ROUND((VLOOKUP(B:B,录入表!B:W,22,0)+VLOOKUP(B:B,录入表!B:X,23,0))*VLOOKUP(B:B,奖励标准!A:AS,45,0),0)</f>
        <v>0</v>
      </c>
      <c r="H57" s="3">
        <f>ROUND(VLOOKUP(B:B,录入表!B:H,7,0)*VLOOKUP(B:B,奖励标准!A:F,6,0),0)</f>
        <v>0</v>
      </c>
      <c r="I57" s="3">
        <f>ROUND(VLOOKUP(B:B,录入表!B:I,8,0)*VLOOKUP(B:B,奖励标准!A:G,7,0),0)</f>
        <v>0</v>
      </c>
      <c r="J57" s="3">
        <f>ROUND(VLOOKUP(B:B,录入表!B:J,9,0)*VLOOKUP(B:B,奖励标准!A:H,8,0),0)</f>
        <v>0</v>
      </c>
      <c r="K57" s="3">
        <f>ROUND(VLOOKUP(B:B,录入表!B:Q,16,0)*VLOOKUP(科室绩效工资核算1!B:B,奖励标准!A:O,15,0),0)</f>
        <v>0</v>
      </c>
      <c r="L5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7" s="3">
        <f>ROUND(VLOOKUP(科室绩效工资核算1!B:B,录入表!B:AB,27,0)*VLOOKUP(科室绩效工资核算1!B:B,奖励标准!A:Z,26,0),0)</f>
        <v>0</v>
      </c>
      <c r="N57" s="3">
        <f>ROUND(VLOOKUP(B:B,录入表!B:AW,48,0)*VLOOKUP(B:B,奖励标准!A:AT,46,0),0)</f>
        <v>0</v>
      </c>
      <c r="O57" s="3">
        <f>ROUND(VLOOKUP(科室绩效工资核算1!B:B,录入表!B:AA,26,0)*VLOOKUP(B:B,奖励标准!A:Y,25,0),0)</f>
        <v>0</v>
      </c>
      <c r="P5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7" s="3">
        <f>ROUND(VLOOKUP(B:B,录入表!B:AL,37,0)*VLOOKUP(B:B,奖励标准!A:AJ,36,0)+ROUND(VLOOKUP(B:B,录入表!B:AM,38,0)*VLOOKUP(B:B,奖励标准!A:AK,37,0),0),0)</f>
        <v>0</v>
      </c>
      <c r="R57" s="3">
        <f>ROUND(VLOOKUP(B:B,录入表!B:AN,39,0)*VLOOKUP(B:B,奖励标准!A:AL,38,0)+VLOOKUP(B:B,录入表!B:AO,40,0)*VLOOKUP(B:B,奖励标准!A:AM,39,0),0)</f>
        <v>0</v>
      </c>
      <c r="S57" s="3">
        <f>ROUND(((VLOOKUP(B:B,录入表!B:C,2,0)+VLOOKUP(B:B,录入表!B:E,4,0))*VLOOKUP(B:B,奖励标准!A:CU,99,0)),0)</f>
        <v>0</v>
      </c>
      <c r="T5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7" s="3">
        <f>ROUND(VLOOKUP(科室绩效工资核算1!B:B,录入表!B:AU,46,0)*VLOOKUP(B:B,奖励标准!A:CV,100,0),0)</f>
        <v>0</v>
      </c>
      <c r="V57" s="3">
        <f>ROUND(VLOOKUP(科室绩效工资核算1!B:B,录入表!B:AV,47,0)*VLOOKUP(B:B,奖励标准!A:CW,101,0),0)</f>
        <v>0</v>
      </c>
      <c r="W5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7" s="28">
        <f>ROUND(VLOOKUP(B:B,录入表!B:BF,56,0)*VLOOKUP(B:B,奖励标准!A:BD,55,0)+VLOOKUP(B:B,录入表!B:BF,57,0)*VLOOKUP(B:B,奖励标准!A:BD,56,0),0)</f>
        <v>0</v>
      </c>
      <c r="Y5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7" s="28">
        <f>ROUND(VLOOKUP(B:B,录入表!B:BL,62,0)*VLOOKUP(B:B,奖励标准!A:BJ,61,0)+VLOOKUP(B:B,奖励标准!A:BJ,62,0)*VLOOKUP(B:B,录入表!B:BL,63,0),0)</f>
        <v>0</v>
      </c>
      <c r="AA5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7" s="82">
        <f>ROUND(VLOOKUP(B:B,录入表!B:CV,98,0)*VLOOKUP(B:B,奖励标准!A:CT,97,0)+VLOOKUP(B:B,奖励标准!A:CU,98,0)*VLOOKUP(B:B,录入表!B:CV,99,0),0)</f>
        <v>0</v>
      </c>
      <c r="AG57" s="82">
        <f>ROUND(VLOOKUP(B:B,录入表!B:CT,96,0)*VLOOKUP(B:B,奖励标准!A:CR,95,0)+VLOOKUP(B:B,录入表!B:CT,97,0)*VLOOKUP(B:B,奖励标准!A:CR,96,0),0)</f>
        <v>0</v>
      </c>
      <c r="AH57" s="28">
        <f>ROUND(VLOOKUP(B:B,录入表!B:CW,100,0)*VLOOKUP(科室绩效工资核算1!B:B,奖励标准!A:L,11,0),0)</f>
        <v>0</v>
      </c>
      <c r="AI5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7" s="3">
        <f>ROUND(VLOOKUP(科室绩效工资核算1!B:B,录入表!B:O,14,0)*VLOOKUP(科室绩效工资核算1!B:B,奖励标准!A:M,13,0),0)</f>
        <v>0</v>
      </c>
      <c r="AK57" s="3">
        <f>ROUND(VLOOKUP(科室绩效工资核算1!B:B,录入表!B:P,15,0)*VLOOKUP(科室绩效工资核算1!B:B,奖励标准!A:N,14,0),0)</f>
        <v>0</v>
      </c>
      <c r="AL57" s="3">
        <f>ROUND(VLOOKUP(科室绩效工资核算1!B:B,录入表!B:P,15,0)*VLOOKUP(科室绩效工资核算1!B:B,奖励标准!A:AU,47,0),0)</f>
        <v>0</v>
      </c>
      <c r="AM57" s="3">
        <f t="shared" si="1"/>
        <v>0</v>
      </c>
      <c r="AN57" s="3">
        <f t="shared" si="0"/>
        <v>0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ht="12.5" customHeight="1" x14ac:dyDescent="0.25">
      <c r="B58" s="73" t="s">
        <v>136</v>
      </c>
      <c r="C58" s="3"/>
      <c r="D58" s="3"/>
      <c r="E5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8" s="3">
        <f>ROUND(VLOOKUP(B:B,录入表!B:AT,45,0)*VLOOKUP(科室绩效工资核算1!B:B,奖励标准!A:AR,44,0),0)</f>
        <v>0</v>
      </c>
      <c r="G58" s="3">
        <f>ROUND((VLOOKUP(B:B,录入表!B:W,22,0)+VLOOKUP(B:B,录入表!B:X,23,0))*VLOOKUP(B:B,奖励标准!A:AS,45,0),0)</f>
        <v>0</v>
      </c>
      <c r="H58" s="3">
        <f>ROUND(VLOOKUP(B:B,录入表!B:H,7,0)*VLOOKUP(B:B,奖励标准!A:F,6,0),0)</f>
        <v>0</v>
      </c>
      <c r="I58" s="3">
        <f>ROUND(VLOOKUP(B:B,录入表!B:I,8,0)*VLOOKUP(B:B,奖励标准!A:G,7,0),0)</f>
        <v>0</v>
      </c>
      <c r="J58" s="3">
        <f>ROUND(VLOOKUP(B:B,录入表!B:J,9,0)*VLOOKUP(B:B,奖励标准!A:H,8,0),0)</f>
        <v>0</v>
      </c>
      <c r="K58" s="3">
        <f>ROUND(VLOOKUP(B:B,录入表!B:Q,16,0)*VLOOKUP(科室绩效工资核算1!B:B,奖励标准!A:O,15,0),0)</f>
        <v>0</v>
      </c>
      <c r="L5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8" s="3">
        <f>ROUND(VLOOKUP(科室绩效工资核算1!B:B,录入表!B:AB,27,0)*VLOOKUP(科室绩效工资核算1!B:B,奖励标准!A:Z,26,0),0)</f>
        <v>0</v>
      </c>
      <c r="N58" s="3">
        <f>ROUND(VLOOKUP(B:B,录入表!B:AW,48,0)*VLOOKUP(B:B,奖励标准!A:AT,46,0),0)</f>
        <v>0</v>
      </c>
      <c r="O58" s="3">
        <f>ROUND(VLOOKUP(科室绩效工资核算1!B:B,录入表!B:AA,26,0)*VLOOKUP(B:B,奖励标准!A:Y,25,0),0)</f>
        <v>0</v>
      </c>
      <c r="P5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8" s="3">
        <f>ROUND(VLOOKUP(B:B,录入表!B:AL,37,0)*VLOOKUP(B:B,奖励标准!A:AJ,36,0)+ROUND(VLOOKUP(B:B,录入表!B:AM,38,0)*VLOOKUP(B:B,奖励标准!A:AK,37,0),0),0)</f>
        <v>0</v>
      </c>
      <c r="R58" s="3">
        <f>ROUND(VLOOKUP(B:B,录入表!B:AN,39,0)*VLOOKUP(B:B,奖励标准!A:AL,38,0)+VLOOKUP(B:B,录入表!B:AO,40,0)*VLOOKUP(B:B,奖励标准!A:AM,39,0),0)</f>
        <v>0</v>
      </c>
      <c r="S58" s="3">
        <f>ROUND(((VLOOKUP(B:B,录入表!B:C,2,0)+VLOOKUP(B:B,录入表!B:E,4,0))*VLOOKUP(B:B,奖励标准!A:CU,99,0)),0)</f>
        <v>0</v>
      </c>
      <c r="T5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8" s="3">
        <f>ROUND(VLOOKUP(科室绩效工资核算1!B:B,录入表!B:AU,46,0)*VLOOKUP(B:B,奖励标准!A:CV,100,0),0)</f>
        <v>0</v>
      </c>
      <c r="V58" s="3">
        <f>ROUND(VLOOKUP(科室绩效工资核算1!B:B,录入表!B:AV,47,0)*VLOOKUP(B:B,奖励标准!A:CW,101,0),0)</f>
        <v>0</v>
      </c>
      <c r="W5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8" s="28">
        <f>ROUND(VLOOKUP(B:B,录入表!B:BF,56,0)*VLOOKUP(B:B,奖励标准!A:BD,55,0)+VLOOKUP(B:B,录入表!B:BF,57,0)*VLOOKUP(B:B,奖励标准!A:BD,56,0),0)</f>
        <v>0</v>
      </c>
      <c r="Y5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8" s="28">
        <f>ROUND(VLOOKUP(B:B,录入表!B:BL,62,0)*VLOOKUP(B:B,奖励标准!A:BJ,61,0)+VLOOKUP(B:B,奖励标准!A:BJ,62,0)*VLOOKUP(B:B,录入表!B:BL,63,0),0)</f>
        <v>0</v>
      </c>
      <c r="AA5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8" s="82">
        <f>ROUND(VLOOKUP(B:B,录入表!B:CV,98,0)*VLOOKUP(B:B,奖励标准!A:CT,97,0)+VLOOKUP(B:B,奖励标准!A:CU,98,0)*VLOOKUP(B:B,录入表!B:CV,99,0),0)</f>
        <v>0</v>
      </c>
      <c r="AG58" s="82">
        <f>ROUND(VLOOKUP(B:B,录入表!B:CT,96,0)*VLOOKUP(B:B,奖励标准!A:CR,95,0)+VLOOKUP(B:B,录入表!B:CT,97,0)*VLOOKUP(B:B,奖励标准!A:CR,96,0),0)</f>
        <v>0</v>
      </c>
      <c r="AH58" s="28">
        <f>ROUND(VLOOKUP(B:B,录入表!B:CW,100,0)*VLOOKUP(科室绩效工资核算1!B:B,奖励标准!A:L,11,0),0)</f>
        <v>0</v>
      </c>
      <c r="AI5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8" s="3">
        <f>ROUND(VLOOKUP(科室绩效工资核算1!B:B,录入表!B:O,14,0)*VLOOKUP(科室绩效工资核算1!B:B,奖励标准!A:M,13,0),0)</f>
        <v>0</v>
      </c>
      <c r="AK58" s="3">
        <f>ROUND(VLOOKUP(科室绩效工资核算1!B:B,录入表!B:P,15,0)*VLOOKUP(科室绩效工资核算1!B:B,奖励标准!A:N,14,0),0)</f>
        <v>0</v>
      </c>
      <c r="AL58" s="3">
        <f>ROUND(VLOOKUP(科室绩效工资核算1!B:B,录入表!B:P,15,0)*VLOOKUP(科室绩效工资核算1!B:B,奖励标准!A:AU,47,0),0)</f>
        <v>0</v>
      </c>
      <c r="AM58" s="3">
        <f t="shared" si="1"/>
        <v>0</v>
      </c>
      <c r="AN58" s="3">
        <f t="shared" si="0"/>
        <v>0</v>
      </c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ht="12.5" customHeight="1" x14ac:dyDescent="0.25">
      <c r="B59" s="73" t="s">
        <v>30</v>
      </c>
      <c r="C59" s="3">
        <f>AQ$7*VLOOKUP(B:B,人员表!B:G,MATCH("员工",人员表!$B$3:$G$3,0),0)</f>
        <v>5234.9120000000003</v>
      </c>
      <c r="D59" s="3"/>
      <c r="E5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59" s="3">
        <f>ROUND(VLOOKUP(B:B,录入表!B:AT,45,0)*VLOOKUP(科室绩效工资核算1!B:B,奖励标准!A:AR,44,0),0)</f>
        <v>0</v>
      </c>
      <c r="G59" s="3">
        <f>ROUND((VLOOKUP(B:B,录入表!B:W,22,0)+VLOOKUP(B:B,录入表!B:X,23,0))*VLOOKUP(B:B,奖励标准!A:AS,45,0),0)</f>
        <v>0</v>
      </c>
      <c r="H59" s="3">
        <f>ROUND(VLOOKUP(B:B,录入表!B:H,7,0)*VLOOKUP(B:B,奖励标准!A:F,6,0),0)</f>
        <v>0</v>
      </c>
      <c r="I59" s="3">
        <f>ROUND(VLOOKUP(B:B,录入表!B:I,8,0)*VLOOKUP(B:B,奖励标准!A:G,7,0),0)</f>
        <v>0</v>
      </c>
      <c r="J59" s="3">
        <f>ROUND(VLOOKUP(B:B,录入表!B:J,9,0)*VLOOKUP(B:B,奖励标准!A:H,8,0),0)</f>
        <v>0</v>
      </c>
      <c r="K59" s="3">
        <f>ROUND(VLOOKUP(B:B,录入表!B:Q,16,0)*VLOOKUP(科室绩效工资核算1!B:B,奖励标准!A:O,15,0),0)</f>
        <v>0</v>
      </c>
      <c r="L5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59" s="3">
        <f>ROUND(VLOOKUP(科室绩效工资核算1!B:B,录入表!B:AB,27,0)*VLOOKUP(科室绩效工资核算1!B:B,奖励标准!A:Z,26,0),0)</f>
        <v>0</v>
      </c>
      <c r="N59" s="3">
        <f>ROUND(VLOOKUP(B:B,录入表!B:AW,48,0)*VLOOKUP(B:B,奖励标准!A:AT,46,0),0)</f>
        <v>0</v>
      </c>
      <c r="O59" s="3">
        <f>ROUND(VLOOKUP(科室绩效工资核算1!B:B,录入表!B:AA,26,0)*VLOOKUP(B:B,奖励标准!A:Y,25,0),0)</f>
        <v>0</v>
      </c>
      <c r="P5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59" s="3">
        <f>ROUND(VLOOKUP(B:B,录入表!B:AL,37,0)*VLOOKUP(B:B,奖励标准!A:AJ,36,0)+ROUND(VLOOKUP(B:B,录入表!B:AM,38,0)*VLOOKUP(B:B,奖励标准!A:AK,37,0),0),0)</f>
        <v>0</v>
      </c>
      <c r="R59" s="3">
        <f>ROUND(VLOOKUP(B:B,录入表!B:AN,39,0)*VLOOKUP(B:B,奖励标准!A:AL,38,0)+VLOOKUP(B:B,录入表!B:AO,40,0)*VLOOKUP(B:B,奖励标准!A:AM,39,0),0)</f>
        <v>0</v>
      </c>
      <c r="S59" s="3">
        <f>ROUND(((VLOOKUP(B:B,录入表!B:C,2,0)+VLOOKUP(B:B,录入表!B:E,4,0))*VLOOKUP(B:B,奖励标准!A:CU,99,0)),0)</f>
        <v>0</v>
      </c>
      <c r="T5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59" s="3">
        <f>ROUND(VLOOKUP(科室绩效工资核算1!B:B,录入表!B:AU,46,0)*VLOOKUP(B:B,奖励标准!A:CV,100,0),0)</f>
        <v>0</v>
      </c>
      <c r="V59" s="3">
        <f>ROUND(VLOOKUP(科室绩效工资核算1!B:B,录入表!B:AV,47,0)*VLOOKUP(B:B,奖励标准!A:CW,101,0),0)</f>
        <v>0</v>
      </c>
      <c r="W5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59" s="28">
        <f>ROUND(VLOOKUP(B:B,录入表!B:BF,56,0)*VLOOKUP(B:B,奖励标准!A:BD,55,0)+VLOOKUP(B:B,录入表!B:BF,57,0)*VLOOKUP(B:B,奖励标准!A:BD,56,0),0)</f>
        <v>0</v>
      </c>
      <c r="Y5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59" s="28">
        <f>ROUND(VLOOKUP(B:B,录入表!B:BL,62,0)*VLOOKUP(B:B,奖励标准!A:BJ,61,0)+VLOOKUP(B:B,奖励标准!A:BJ,62,0)*VLOOKUP(B:B,录入表!B:BL,63,0),0)</f>
        <v>0</v>
      </c>
      <c r="AA5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5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5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5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5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59" s="82">
        <f>ROUND(VLOOKUP(B:B,录入表!B:CV,98,0)*VLOOKUP(B:B,奖励标准!A:CT,97,0)+VLOOKUP(B:B,奖励标准!A:CU,98,0)*VLOOKUP(B:B,录入表!B:CV,99,0),0)</f>
        <v>0</v>
      </c>
      <c r="AG59" s="82">
        <f>ROUND(VLOOKUP(B:B,录入表!B:CT,96,0)*VLOOKUP(B:B,奖励标准!A:CR,95,0)+VLOOKUP(B:B,录入表!B:CT,97,0)*VLOOKUP(B:B,奖励标准!A:CR,96,0),0)</f>
        <v>0</v>
      </c>
      <c r="AH59" s="28">
        <f>ROUND(VLOOKUP(B:B,录入表!B:CW,100,0)*VLOOKUP(科室绩效工资核算1!B:B,奖励标准!A:L,11,0),0)</f>
        <v>0</v>
      </c>
      <c r="AI5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59" s="3">
        <f>ROUND(VLOOKUP(科室绩效工资核算1!B:B,录入表!B:O,14,0)*VLOOKUP(科室绩效工资核算1!B:B,奖励标准!A:M,13,0),0)</f>
        <v>0</v>
      </c>
      <c r="AK59" s="3">
        <f>ROUND(VLOOKUP(科室绩效工资核算1!B:B,录入表!B:P,15,0)*VLOOKUP(科室绩效工资核算1!B:B,奖励标准!A:N,14,0),0)</f>
        <v>0</v>
      </c>
      <c r="AL59" s="3">
        <f>ROUND(VLOOKUP(科室绩效工资核算1!B:B,录入表!B:P,15,0)*VLOOKUP(科室绩效工资核算1!B:B,奖励标准!A:AU,47,0),0)</f>
        <v>0</v>
      </c>
      <c r="AM59" s="3">
        <f t="shared" si="1"/>
        <v>0</v>
      </c>
      <c r="AN59" s="3">
        <f t="shared" si="0"/>
        <v>5234.9120000000003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ht="12.5" customHeight="1" x14ac:dyDescent="0.25">
      <c r="B60" s="73" t="s">
        <v>36</v>
      </c>
      <c r="C60" s="3">
        <f>AQ$7*VLOOKUP(B:B,人员表!B:G,MATCH("员工",人员表!$B$3:$G$3,0),0)</f>
        <v>2617.4560000000001</v>
      </c>
      <c r="D60" s="3"/>
      <c r="E6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0" s="3">
        <f>ROUND(VLOOKUP(B:B,录入表!B:AT,45,0)*VLOOKUP(科室绩效工资核算1!B:B,奖励标准!A:AR,44,0),0)</f>
        <v>0</v>
      </c>
      <c r="G60" s="3">
        <f>ROUND((VLOOKUP(B:B,录入表!B:W,22,0)+VLOOKUP(B:B,录入表!B:X,23,0))*VLOOKUP(B:B,奖励标准!A:AS,45,0),0)</f>
        <v>0</v>
      </c>
      <c r="H60" s="3">
        <f>ROUND(VLOOKUP(B:B,录入表!B:H,7,0)*VLOOKUP(B:B,奖励标准!A:F,6,0),0)</f>
        <v>0</v>
      </c>
      <c r="I60" s="3">
        <f>ROUND(VLOOKUP(B:B,录入表!B:I,8,0)*VLOOKUP(B:B,奖励标准!A:G,7,0),0)</f>
        <v>0</v>
      </c>
      <c r="J60" s="3">
        <f>ROUND(VLOOKUP(B:B,录入表!B:J,9,0)*VLOOKUP(B:B,奖励标准!A:H,8,0),0)</f>
        <v>0</v>
      </c>
      <c r="K60" s="3">
        <f>ROUND(VLOOKUP(B:B,录入表!B:Q,16,0)*VLOOKUP(科室绩效工资核算1!B:B,奖励标准!A:O,15,0),0)</f>
        <v>0</v>
      </c>
      <c r="L6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0" s="3">
        <f>ROUND(VLOOKUP(科室绩效工资核算1!B:B,录入表!B:AB,27,0)*VLOOKUP(科室绩效工资核算1!B:B,奖励标准!A:Z,26,0),0)</f>
        <v>0</v>
      </c>
      <c r="N60" s="3">
        <f>ROUND(VLOOKUP(B:B,录入表!B:AW,48,0)*VLOOKUP(B:B,奖励标准!A:AT,46,0),0)</f>
        <v>0</v>
      </c>
      <c r="O60" s="3">
        <f>ROUND(VLOOKUP(科室绩效工资核算1!B:B,录入表!B:AA,26,0)*VLOOKUP(B:B,奖励标准!A:Y,25,0),0)</f>
        <v>0</v>
      </c>
      <c r="P6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0" s="3">
        <f>ROUND(VLOOKUP(B:B,录入表!B:AL,37,0)*VLOOKUP(B:B,奖励标准!A:AJ,36,0)+ROUND(VLOOKUP(B:B,录入表!B:AM,38,0)*VLOOKUP(B:B,奖励标准!A:AK,37,0),0),0)</f>
        <v>0</v>
      </c>
      <c r="R60" s="3">
        <f>ROUND(VLOOKUP(B:B,录入表!B:AN,39,0)*VLOOKUP(B:B,奖励标准!A:AL,38,0)+VLOOKUP(B:B,录入表!B:AO,40,0)*VLOOKUP(B:B,奖励标准!A:AM,39,0),0)</f>
        <v>0</v>
      </c>
      <c r="S60" s="3">
        <f>ROUND(((VLOOKUP(B:B,录入表!B:C,2,0)+VLOOKUP(B:B,录入表!B:E,4,0))*VLOOKUP(B:B,奖励标准!A:CU,99,0)),0)</f>
        <v>0</v>
      </c>
      <c r="T6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0" s="3">
        <f>ROUND(VLOOKUP(科室绩效工资核算1!B:B,录入表!B:AU,46,0)*VLOOKUP(B:B,奖励标准!A:CV,100,0),0)</f>
        <v>0</v>
      </c>
      <c r="V60" s="3">
        <f>ROUND(VLOOKUP(科室绩效工资核算1!B:B,录入表!B:AV,47,0)*VLOOKUP(B:B,奖励标准!A:CW,101,0),0)</f>
        <v>0</v>
      </c>
      <c r="W6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0" s="28">
        <f>ROUND(VLOOKUP(B:B,录入表!B:BF,56,0)*VLOOKUP(B:B,奖励标准!A:BD,55,0)+VLOOKUP(B:B,录入表!B:BF,57,0)*VLOOKUP(B:B,奖励标准!A:BD,56,0),0)</f>
        <v>0</v>
      </c>
      <c r="Y6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0" s="28">
        <f>ROUND(VLOOKUP(B:B,录入表!B:BL,62,0)*VLOOKUP(B:B,奖励标准!A:BJ,61,0)+VLOOKUP(B:B,奖励标准!A:BJ,62,0)*VLOOKUP(B:B,录入表!B:BL,63,0),0)</f>
        <v>0</v>
      </c>
      <c r="AA6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0" s="82">
        <f>ROUND(VLOOKUP(B:B,录入表!B:CV,98,0)*VLOOKUP(B:B,奖励标准!A:CT,97,0)+VLOOKUP(B:B,奖励标准!A:CU,98,0)*VLOOKUP(B:B,录入表!B:CV,99,0),0)</f>
        <v>0</v>
      </c>
      <c r="AG60" s="82">
        <f>ROUND(VLOOKUP(B:B,录入表!B:CT,96,0)*VLOOKUP(B:B,奖励标准!A:CR,95,0)+VLOOKUP(B:B,录入表!B:CT,97,0)*VLOOKUP(B:B,奖励标准!A:CR,96,0),0)</f>
        <v>0</v>
      </c>
      <c r="AH60" s="28">
        <f>ROUND(VLOOKUP(B:B,录入表!B:CW,100,0)*VLOOKUP(科室绩效工资核算1!B:B,奖励标准!A:L,11,0),0)</f>
        <v>0</v>
      </c>
      <c r="AI6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0" s="3">
        <f>ROUND(VLOOKUP(科室绩效工资核算1!B:B,录入表!B:O,14,0)*VLOOKUP(科室绩效工资核算1!B:B,奖励标准!A:M,13,0),0)</f>
        <v>0</v>
      </c>
      <c r="AK60" s="3">
        <f>ROUND(VLOOKUP(科室绩效工资核算1!B:B,录入表!B:P,15,0)*VLOOKUP(科室绩效工资核算1!B:B,奖励标准!A:N,14,0),0)</f>
        <v>0</v>
      </c>
      <c r="AL60" s="3">
        <f>ROUND(VLOOKUP(科室绩效工资核算1!B:B,录入表!B:P,15,0)*VLOOKUP(科室绩效工资核算1!B:B,奖励标准!A:AU,47,0),0)</f>
        <v>0</v>
      </c>
      <c r="AM60" s="3">
        <f t="shared" si="1"/>
        <v>0</v>
      </c>
      <c r="AN60" s="3">
        <f t="shared" si="0"/>
        <v>2617.4560000000001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ht="12.5" customHeight="1" x14ac:dyDescent="0.25">
      <c r="B61" s="73" t="s">
        <v>31</v>
      </c>
      <c r="C61" s="3">
        <f>AQ$7*VLOOKUP(B:B,人员表!B:G,MATCH("员工",人员表!$B$3:$G$3,0),0)</f>
        <v>2617.4560000000001</v>
      </c>
      <c r="D61" s="3"/>
      <c r="E6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1" s="3">
        <f>ROUND(VLOOKUP(B:B,录入表!B:AT,45,0)*VLOOKUP(科室绩效工资核算1!B:B,奖励标准!A:AR,44,0),0)</f>
        <v>0</v>
      </c>
      <c r="G61" s="3">
        <f>ROUND((VLOOKUP(B:B,录入表!B:W,22,0)+VLOOKUP(B:B,录入表!B:X,23,0))*VLOOKUP(B:B,奖励标准!A:AS,45,0),0)</f>
        <v>0</v>
      </c>
      <c r="H61" s="3">
        <f>ROUND(VLOOKUP(B:B,录入表!B:H,7,0)*VLOOKUP(B:B,奖励标准!A:F,6,0),0)</f>
        <v>0</v>
      </c>
      <c r="I61" s="3">
        <f>ROUND(VLOOKUP(B:B,录入表!B:I,8,0)*VLOOKUP(B:B,奖励标准!A:G,7,0),0)</f>
        <v>0</v>
      </c>
      <c r="J61" s="3">
        <f>ROUND(VLOOKUP(B:B,录入表!B:J,9,0)*VLOOKUP(B:B,奖励标准!A:H,8,0),0)</f>
        <v>0</v>
      </c>
      <c r="K61" s="3">
        <f>ROUND(VLOOKUP(B:B,录入表!B:Q,16,0)*VLOOKUP(科室绩效工资核算1!B:B,奖励标准!A:O,15,0),0)</f>
        <v>0</v>
      </c>
      <c r="L6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1" s="3">
        <f>ROUND(VLOOKUP(科室绩效工资核算1!B:B,录入表!B:AB,27,0)*VLOOKUP(科室绩效工资核算1!B:B,奖励标准!A:Z,26,0),0)</f>
        <v>0</v>
      </c>
      <c r="N61" s="3">
        <f>ROUND(VLOOKUP(B:B,录入表!B:AW,48,0)*VLOOKUP(B:B,奖励标准!A:AT,46,0),0)</f>
        <v>0</v>
      </c>
      <c r="O61" s="3">
        <f>ROUND(VLOOKUP(科室绩效工资核算1!B:B,录入表!B:AA,26,0)*VLOOKUP(B:B,奖励标准!A:Y,25,0),0)</f>
        <v>0</v>
      </c>
      <c r="P6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1" s="3">
        <f>ROUND(VLOOKUP(B:B,录入表!B:AL,37,0)*VLOOKUP(B:B,奖励标准!A:AJ,36,0)+ROUND(VLOOKUP(B:B,录入表!B:AM,38,0)*VLOOKUP(B:B,奖励标准!A:AK,37,0),0),0)</f>
        <v>0</v>
      </c>
      <c r="R61" s="3">
        <f>ROUND(VLOOKUP(B:B,录入表!B:AN,39,0)*VLOOKUP(B:B,奖励标准!A:AL,38,0)+VLOOKUP(B:B,录入表!B:AO,40,0)*VLOOKUP(B:B,奖励标准!A:AM,39,0),0)</f>
        <v>0</v>
      </c>
      <c r="S61" s="3">
        <f>ROUND(((VLOOKUP(B:B,录入表!B:C,2,0)+VLOOKUP(B:B,录入表!B:E,4,0))*VLOOKUP(B:B,奖励标准!A:CU,99,0)),0)</f>
        <v>0</v>
      </c>
      <c r="T6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1" s="3">
        <f>ROUND(VLOOKUP(科室绩效工资核算1!B:B,录入表!B:AU,46,0)*VLOOKUP(B:B,奖励标准!A:CV,100,0),0)</f>
        <v>0</v>
      </c>
      <c r="V61" s="3">
        <f>ROUND(VLOOKUP(科室绩效工资核算1!B:B,录入表!B:AV,47,0)*VLOOKUP(B:B,奖励标准!A:CW,101,0),0)</f>
        <v>0</v>
      </c>
      <c r="W6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1" s="28">
        <f>ROUND(VLOOKUP(B:B,录入表!B:BF,56,0)*VLOOKUP(B:B,奖励标准!A:BD,55,0)+VLOOKUP(B:B,录入表!B:BF,57,0)*VLOOKUP(B:B,奖励标准!A:BD,56,0),0)</f>
        <v>0</v>
      </c>
      <c r="Y6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1" s="28">
        <f>ROUND(VLOOKUP(B:B,录入表!B:BL,62,0)*VLOOKUP(B:B,奖励标准!A:BJ,61,0)+VLOOKUP(B:B,奖励标准!A:BJ,62,0)*VLOOKUP(B:B,录入表!B:BL,63,0),0)</f>
        <v>0</v>
      </c>
      <c r="AA6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1" s="82">
        <f>ROUND(VLOOKUP(B:B,录入表!B:CV,98,0)*VLOOKUP(B:B,奖励标准!A:CT,97,0)+VLOOKUP(B:B,奖励标准!A:CU,98,0)*VLOOKUP(B:B,录入表!B:CV,99,0),0)</f>
        <v>0</v>
      </c>
      <c r="AG61" s="82">
        <f>ROUND(VLOOKUP(B:B,录入表!B:CT,96,0)*VLOOKUP(B:B,奖励标准!A:CR,95,0)+VLOOKUP(B:B,录入表!B:CT,97,0)*VLOOKUP(B:B,奖励标准!A:CR,96,0),0)</f>
        <v>0</v>
      </c>
      <c r="AH61" s="28">
        <f>ROUND(VLOOKUP(B:B,录入表!B:CW,100,0)*VLOOKUP(科室绩效工资核算1!B:B,奖励标准!A:L,11,0),0)</f>
        <v>0</v>
      </c>
      <c r="AI6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1" s="3">
        <f>ROUND(VLOOKUP(科室绩效工资核算1!B:B,录入表!B:O,14,0)*VLOOKUP(科室绩效工资核算1!B:B,奖励标准!A:M,13,0),0)</f>
        <v>0</v>
      </c>
      <c r="AK61" s="3">
        <f>ROUND(VLOOKUP(科室绩效工资核算1!B:B,录入表!B:P,15,0)*VLOOKUP(科室绩效工资核算1!B:B,奖励标准!A:N,14,0),0)</f>
        <v>0</v>
      </c>
      <c r="AL61" s="3">
        <f>ROUND(VLOOKUP(科室绩效工资核算1!B:B,录入表!B:P,15,0)*VLOOKUP(科室绩效工资核算1!B:B,奖励标准!A:AU,47,0),0)</f>
        <v>0</v>
      </c>
      <c r="AM61" s="3">
        <f t="shared" si="1"/>
        <v>0</v>
      </c>
      <c r="AN61" s="3">
        <f t="shared" si="0"/>
        <v>2617.4560000000001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ht="12.5" customHeight="1" x14ac:dyDescent="0.25">
      <c r="B62" s="73" t="s">
        <v>137</v>
      </c>
      <c r="C62" s="3">
        <f>AQ$7*VLOOKUP(B:B,人员表!B:G,MATCH("员工",人员表!$B$3:$G$3,0),0)</f>
        <v>0</v>
      </c>
      <c r="D62" s="3"/>
      <c r="E6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2" s="3">
        <f>ROUND(VLOOKUP(B:B,录入表!B:AT,45,0)*VLOOKUP(科室绩效工资核算1!B:B,奖励标准!A:AR,44,0),0)</f>
        <v>0</v>
      </c>
      <c r="G62" s="3">
        <f>ROUND((VLOOKUP(B:B,录入表!B:W,22,0)+VLOOKUP(B:B,录入表!B:X,23,0))*VLOOKUP(B:B,奖励标准!A:AS,45,0),0)</f>
        <v>0</v>
      </c>
      <c r="H62" s="3">
        <f>ROUND(VLOOKUP(B:B,录入表!B:H,7,0)*VLOOKUP(B:B,奖励标准!A:F,6,0),0)</f>
        <v>0</v>
      </c>
      <c r="I62" s="3">
        <f>ROUND(VLOOKUP(B:B,录入表!B:I,8,0)*VLOOKUP(B:B,奖励标准!A:G,7,0),0)</f>
        <v>0</v>
      </c>
      <c r="J62" s="3">
        <f>ROUND(VLOOKUP(B:B,录入表!B:J,9,0)*VLOOKUP(B:B,奖励标准!A:H,8,0),0)</f>
        <v>0</v>
      </c>
      <c r="K62" s="3">
        <f>ROUND(VLOOKUP(B:B,录入表!B:Q,16,0)*VLOOKUP(科室绩效工资核算1!B:B,奖励标准!A:O,15,0),0)</f>
        <v>0</v>
      </c>
      <c r="L6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2" s="3">
        <f>ROUND(VLOOKUP(科室绩效工资核算1!B:B,录入表!B:AB,27,0)*VLOOKUP(科室绩效工资核算1!B:B,奖励标准!A:Z,26,0),0)</f>
        <v>0</v>
      </c>
      <c r="N62" s="3">
        <f>ROUND(VLOOKUP(B:B,录入表!B:AW,48,0)*VLOOKUP(B:B,奖励标准!A:AT,46,0),0)</f>
        <v>0</v>
      </c>
      <c r="O62" s="3">
        <f>ROUND(VLOOKUP(科室绩效工资核算1!B:B,录入表!B:AA,26,0)*VLOOKUP(B:B,奖励标准!A:Y,25,0),0)</f>
        <v>0</v>
      </c>
      <c r="P6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2" s="3">
        <f>ROUND(VLOOKUP(B:B,录入表!B:AL,37,0)*VLOOKUP(B:B,奖励标准!A:AJ,36,0)+ROUND(VLOOKUP(B:B,录入表!B:AM,38,0)*VLOOKUP(B:B,奖励标准!A:AK,37,0),0),0)</f>
        <v>0</v>
      </c>
      <c r="R62" s="3">
        <f>ROUND(VLOOKUP(B:B,录入表!B:AN,39,0)*VLOOKUP(B:B,奖励标准!A:AL,38,0)+VLOOKUP(B:B,录入表!B:AO,40,0)*VLOOKUP(B:B,奖励标准!A:AM,39,0),0)</f>
        <v>0</v>
      </c>
      <c r="S62" s="3">
        <f>ROUND(((VLOOKUP(B:B,录入表!B:C,2,0)+VLOOKUP(B:B,录入表!B:E,4,0))*VLOOKUP(B:B,奖励标准!A:CU,99,0)),0)</f>
        <v>0</v>
      </c>
      <c r="T6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2" s="3">
        <f>ROUND(VLOOKUP(科室绩效工资核算1!B:B,录入表!B:AU,46,0)*VLOOKUP(B:B,奖励标准!A:CV,100,0),0)</f>
        <v>0</v>
      </c>
      <c r="V62" s="3">
        <f>ROUND(VLOOKUP(科室绩效工资核算1!B:B,录入表!B:AV,47,0)*VLOOKUP(B:B,奖励标准!A:CW,101,0),0)</f>
        <v>0</v>
      </c>
      <c r="W6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2" s="28">
        <f>ROUND(VLOOKUP(B:B,录入表!B:BF,56,0)*VLOOKUP(B:B,奖励标准!A:BD,55,0)+VLOOKUP(B:B,录入表!B:BF,57,0)*VLOOKUP(B:B,奖励标准!A:BD,56,0),0)</f>
        <v>0</v>
      </c>
      <c r="Y6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2" s="28">
        <f>ROUND(VLOOKUP(B:B,录入表!B:BL,62,0)*VLOOKUP(B:B,奖励标准!A:BJ,61,0)+VLOOKUP(B:B,奖励标准!A:BJ,62,0)*VLOOKUP(B:B,录入表!B:BL,63,0),0)</f>
        <v>0</v>
      </c>
      <c r="AA6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2" s="82">
        <f>ROUND(VLOOKUP(B:B,录入表!B:CV,98,0)*VLOOKUP(B:B,奖励标准!A:CT,97,0)+VLOOKUP(B:B,奖励标准!A:CU,98,0)*VLOOKUP(B:B,录入表!B:CV,99,0),0)</f>
        <v>0</v>
      </c>
      <c r="AG62" s="82">
        <f>ROUND(VLOOKUP(B:B,录入表!B:CT,96,0)*VLOOKUP(B:B,奖励标准!A:CR,95,0)+VLOOKUP(B:B,录入表!B:CT,97,0)*VLOOKUP(B:B,奖励标准!A:CR,96,0),0)</f>
        <v>0</v>
      </c>
      <c r="AH62" s="28">
        <f>ROUND(VLOOKUP(B:B,录入表!B:CW,100,0)*VLOOKUP(科室绩效工资核算1!B:B,奖励标准!A:L,11,0),0)</f>
        <v>0</v>
      </c>
      <c r="AI6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2" s="3">
        <f>ROUND(VLOOKUP(科室绩效工资核算1!B:B,录入表!B:O,14,0)*VLOOKUP(科室绩效工资核算1!B:B,奖励标准!A:M,13,0),0)</f>
        <v>0</v>
      </c>
      <c r="AK62" s="3">
        <f>ROUND(VLOOKUP(科室绩效工资核算1!B:B,录入表!B:P,15,0)*VLOOKUP(科室绩效工资核算1!B:B,奖励标准!A:N,14,0),0)</f>
        <v>0</v>
      </c>
      <c r="AL62" s="3">
        <f>ROUND(VLOOKUP(科室绩效工资核算1!B:B,录入表!B:P,15,0)*VLOOKUP(科室绩效工资核算1!B:B,奖励标准!A:AU,47,0),0)</f>
        <v>0</v>
      </c>
      <c r="AM62" s="3">
        <f t="shared" si="1"/>
        <v>0</v>
      </c>
      <c r="AN62" s="3">
        <f t="shared" si="0"/>
        <v>0</v>
      </c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ht="12.5" customHeight="1" x14ac:dyDescent="0.25">
      <c r="B63" s="73" t="s">
        <v>34</v>
      </c>
      <c r="C63" s="3"/>
      <c r="D63" s="3"/>
      <c r="E6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3" s="3">
        <f>ROUND(VLOOKUP(B:B,录入表!B:AT,45,0)*VLOOKUP(科室绩效工资核算1!B:B,奖励标准!A:AR,44,0),0)</f>
        <v>0</v>
      </c>
      <c r="G63" s="3">
        <f>ROUND((VLOOKUP(B:B,录入表!B:W,22,0)+VLOOKUP(B:B,录入表!B:X,23,0))*VLOOKUP(B:B,奖励标准!A:AS,45,0),0)</f>
        <v>0</v>
      </c>
      <c r="H63" s="3">
        <f>ROUND(VLOOKUP(B:B,录入表!B:H,7,0)*VLOOKUP(B:B,奖励标准!A:F,6,0),0)</f>
        <v>0</v>
      </c>
      <c r="I63" s="3">
        <f>ROUND(VLOOKUP(B:B,录入表!B:I,8,0)*VLOOKUP(B:B,奖励标准!A:G,7,0),0)</f>
        <v>0</v>
      </c>
      <c r="J63" s="3">
        <f>ROUND(VLOOKUP(B:B,录入表!B:J,9,0)*VLOOKUP(B:B,奖励标准!A:H,8,0),0)</f>
        <v>0</v>
      </c>
      <c r="K63" s="3">
        <f>ROUND(VLOOKUP(B:B,录入表!B:Q,16,0)*VLOOKUP(科室绩效工资核算1!B:B,奖励标准!A:O,15,0),0)</f>
        <v>0</v>
      </c>
      <c r="L6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3" s="3">
        <f>ROUND(VLOOKUP(科室绩效工资核算1!B:B,录入表!B:AB,27,0)*VLOOKUP(科室绩效工资核算1!B:B,奖励标准!A:Z,26,0),0)</f>
        <v>0</v>
      </c>
      <c r="N63" s="3">
        <f>ROUND(VLOOKUP(B:B,录入表!B:AW,48,0)*VLOOKUP(B:B,奖励标准!A:AT,46,0),0)</f>
        <v>0</v>
      </c>
      <c r="O63" s="3">
        <f>ROUND(VLOOKUP(科室绩效工资核算1!B:B,录入表!B:AA,26,0)*VLOOKUP(B:B,奖励标准!A:Y,25,0),0)</f>
        <v>0</v>
      </c>
      <c r="P6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3" s="3">
        <f>ROUND(VLOOKUP(B:B,录入表!B:AL,37,0)*VLOOKUP(B:B,奖励标准!A:AJ,36,0)+ROUND(VLOOKUP(B:B,录入表!B:AM,38,0)*VLOOKUP(B:B,奖励标准!A:AK,37,0),0),0)</f>
        <v>0</v>
      </c>
      <c r="R63" s="3">
        <f>ROUND(VLOOKUP(B:B,录入表!B:AN,39,0)*VLOOKUP(B:B,奖励标准!A:AL,38,0)+VLOOKUP(B:B,录入表!B:AO,40,0)*VLOOKUP(B:B,奖励标准!A:AM,39,0),0)</f>
        <v>0</v>
      </c>
      <c r="S63" s="3">
        <f>ROUND(((VLOOKUP(B:B,录入表!B:C,2,0)+VLOOKUP(B:B,录入表!B:E,4,0))*VLOOKUP(B:B,奖励标准!A:CU,99,0)),0)</f>
        <v>0</v>
      </c>
      <c r="T6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3" s="3">
        <f>ROUND(VLOOKUP(科室绩效工资核算1!B:B,录入表!B:AU,46,0)*VLOOKUP(B:B,奖励标准!A:CV,100,0),0)</f>
        <v>0</v>
      </c>
      <c r="V63" s="3">
        <f>ROUND(VLOOKUP(科室绩效工资核算1!B:B,录入表!B:AV,47,0)*VLOOKUP(B:B,奖励标准!A:CW,101,0),0)</f>
        <v>0</v>
      </c>
      <c r="W6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3" s="28">
        <f>ROUND(VLOOKUP(B:B,录入表!B:BF,56,0)*VLOOKUP(B:B,奖励标准!A:BD,55,0)+VLOOKUP(B:B,录入表!B:BF,57,0)*VLOOKUP(B:B,奖励标准!A:BD,56,0),0)</f>
        <v>0</v>
      </c>
      <c r="Y6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3" s="28">
        <f>ROUND(VLOOKUP(B:B,录入表!B:BL,62,0)*VLOOKUP(B:B,奖励标准!A:BJ,61,0)+VLOOKUP(B:B,奖励标准!A:BJ,62,0)*VLOOKUP(B:B,录入表!B:BL,63,0),0)</f>
        <v>0</v>
      </c>
      <c r="AA6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3" s="82">
        <f>ROUND(VLOOKUP(B:B,录入表!B:CV,98,0)*VLOOKUP(B:B,奖励标准!A:CT,97,0)+VLOOKUP(B:B,奖励标准!A:CU,98,0)*VLOOKUP(B:B,录入表!B:CV,99,0),0)</f>
        <v>69553</v>
      </c>
      <c r="AG63" s="82">
        <f>ROUND(VLOOKUP(B:B,录入表!B:CT,96,0)*VLOOKUP(B:B,奖励标准!A:CR,95,0)+VLOOKUP(B:B,录入表!B:CT,97,0)*VLOOKUP(B:B,奖励标准!A:CR,96,0),0)</f>
        <v>0</v>
      </c>
      <c r="AH63" s="28">
        <f>ROUND(VLOOKUP(B:B,录入表!B:CW,100,0)*VLOOKUP(科室绩效工资核算1!B:B,奖励标准!A:L,11,0),0)</f>
        <v>0</v>
      </c>
      <c r="AI6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3" s="3">
        <f>ROUND(VLOOKUP(科室绩效工资核算1!B:B,录入表!B:O,14,0)*VLOOKUP(科室绩效工资核算1!B:B,奖励标准!A:M,13,0),0)</f>
        <v>0</v>
      </c>
      <c r="AK63" s="3">
        <f>ROUND(VLOOKUP(科室绩效工资核算1!B:B,录入表!B:P,15,0)*VLOOKUP(科室绩效工资核算1!B:B,奖励标准!A:N,14,0),0)</f>
        <v>0</v>
      </c>
      <c r="AL63" s="3">
        <f>ROUND(VLOOKUP(科室绩效工资核算1!B:B,录入表!B:P,15,0)*VLOOKUP(科室绩效工资核算1!B:B,奖励标准!A:AU,47,0),0)</f>
        <v>0</v>
      </c>
      <c r="AM63" s="3">
        <f t="shared" si="1"/>
        <v>0</v>
      </c>
      <c r="AN63" s="3">
        <f t="shared" si="0"/>
        <v>69553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ht="12.5" customHeight="1" x14ac:dyDescent="0.25">
      <c r="B64" s="73" t="s">
        <v>32</v>
      </c>
      <c r="C64" s="3">
        <f>AQ$7*VLOOKUP(B:B,人员表!B:G,MATCH("员工",人员表!$B$3:$G$3,0),0)</f>
        <v>1308.7280000000001</v>
      </c>
      <c r="D64" s="3"/>
      <c r="E6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4" s="3">
        <f>ROUND(VLOOKUP(B:B,录入表!B:AT,45,0)*VLOOKUP(科室绩效工资核算1!B:B,奖励标准!A:AR,44,0),0)</f>
        <v>0</v>
      </c>
      <c r="G64" s="3">
        <f>ROUND((VLOOKUP(B:B,录入表!B:W,22,0)+VLOOKUP(B:B,录入表!B:X,23,0))*VLOOKUP(B:B,奖励标准!A:AS,45,0),0)</f>
        <v>0</v>
      </c>
      <c r="H64" s="3">
        <f>ROUND(VLOOKUP(B:B,录入表!B:H,7,0)*VLOOKUP(B:B,奖励标准!A:F,6,0),0)</f>
        <v>0</v>
      </c>
      <c r="I64" s="3">
        <f>ROUND(VLOOKUP(B:B,录入表!B:I,8,0)*VLOOKUP(B:B,奖励标准!A:G,7,0),0)</f>
        <v>0</v>
      </c>
      <c r="J64" s="3">
        <f>ROUND(VLOOKUP(B:B,录入表!B:J,9,0)*VLOOKUP(B:B,奖励标准!A:H,8,0),0)</f>
        <v>0</v>
      </c>
      <c r="K64" s="3">
        <f>ROUND(VLOOKUP(B:B,录入表!B:Q,16,0)*VLOOKUP(科室绩效工资核算1!B:B,奖励标准!A:O,15,0),0)</f>
        <v>0</v>
      </c>
      <c r="L6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4" s="3">
        <f>ROUND(VLOOKUP(科室绩效工资核算1!B:B,录入表!B:AB,27,0)*VLOOKUP(科室绩效工资核算1!B:B,奖励标准!A:Z,26,0),0)</f>
        <v>0</v>
      </c>
      <c r="N64" s="3">
        <f>ROUND(VLOOKUP(B:B,录入表!B:AW,48,0)*VLOOKUP(B:B,奖励标准!A:AT,46,0),0)</f>
        <v>0</v>
      </c>
      <c r="O64" s="3">
        <f>ROUND(VLOOKUP(科室绩效工资核算1!B:B,录入表!B:AA,26,0)*VLOOKUP(B:B,奖励标准!A:Y,25,0),0)</f>
        <v>0</v>
      </c>
      <c r="P6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4" s="3">
        <f>ROUND(VLOOKUP(B:B,录入表!B:AL,37,0)*VLOOKUP(B:B,奖励标准!A:AJ,36,0)+ROUND(VLOOKUP(B:B,录入表!B:AM,38,0)*VLOOKUP(B:B,奖励标准!A:AK,37,0),0),0)</f>
        <v>0</v>
      </c>
      <c r="R64" s="3">
        <f>ROUND(VLOOKUP(B:B,录入表!B:AN,39,0)*VLOOKUP(B:B,奖励标准!A:AL,38,0)+VLOOKUP(B:B,录入表!B:AO,40,0)*VLOOKUP(B:B,奖励标准!A:AM,39,0),0)</f>
        <v>0</v>
      </c>
      <c r="S64" s="3">
        <f>ROUND(((VLOOKUP(B:B,录入表!B:C,2,0)+VLOOKUP(B:B,录入表!B:E,4,0))*VLOOKUP(B:B,奖励标准!A:CU,99,0)),0)</f>
        <v>0</v>
      </c>
      <c r="T6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4" s="3">
        <f>ROUND(VLOOKUP(科室绩效工资核算1!B:B,录入表!B:AU,46,0)*VLOOKUP(B:B,奖励标准!A:CV,100,0),0)</f>
        <v>0</v>
      </c>
      <c r="V64" s="3">
        <f>ROUND(VLOOKUP(科室绩效工资核算1!B:B,录入表!B:AV,47,0)*VLOOKUP(B:B,奖励标准!A:CW,101,0),0)</f>
        <v>0</v>
      </c>
      <c r="W6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4" s="28">
        <f>ROUND(VLOOKUP(B:B,录入表!B:BF,56,0)*VLOOKUP(B:B,奖励标准!A:BD,55,0)+VLOOKUP(B:B,录入表!B:BF,57,0)*VLOOKUP(B:B,奖励标准!A:BD,56,0),0)</f>
        <v>0</v>
      </c>
      <c r="Y6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4" s="28">
        <f>ROUND(VLOOKUP(B:B,录入表!B:BL,62,0)*VLOOKUP(B:B,奖励标准!A:BJ,61,0)+VLOOKUP(B:B,奖励标准!A:BJ,62,0)*VLOOKUP(B:B,录入表!B:BL,63,0),0)</f>
        <v>0</v>
      </c>
      <c r="AA6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4" s="82">
        <f>ROUND(VLOOKUP(B:B,录入表!B:CV,98,0)*VLOOKUP(B:B,奖励标准!A:CT,97,0)+VLOOKUP(B:B,奖励标准!A:CU,98,0)*VLOOKUP(B:B,录入表!B:CV,99,0),0)</f>
        <v>0</v>
      </c>
      <c r="AG64" s="82">
        <f>ROUND(VLOOKUP(B:B,录入表!B:CT,96,0)*VLOOKUP(B:B,奖励标准!A:CR,95,0)+VLOOKUP(B:B,录入表!B:CT,97,0)*VLOOKUP(B:B,奖励标准!A:CR,96,0),0)</f>
        <v>0</v>
      </c>
      <c r="AH64" s="28">
        <f>ROUND(VLOOKUP(B:B,录入表!B:CW,100,0)*VLOOKUP(科室绩效工资核算1!B:B,奖励标准!A:L,11,0),0)</f>
        <v>0</v>
      </c>
      <c r="AI6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4" s="3">
        <f>ROUND(VLOOKUP(科室绩效工资核算1!B:B,录入表!B:O,14,0)*VLOOKUP(科室绩效工资核算1!B:B,奖励标准!A:M,13,0),0)</f>
        <v>0</v>
      </c>
      <c r="AK64" s="3">
        <f>ROUND(VLOOKUP(科室绩效工资核算1!B:B,录入表!B:P,15,0)*VLOOKUP(科室绩效工资核算1!B:B,奖励标准!A:N,14,0),0)</f>
        <v>0</v>
      </c>
      <c r="AL64" s="3">
        <f>ROUND(VLOOKUP(科室绩效工资核算1!B:B,录入表!B:P,15,0)*VLOOKUP(科室绩效工资核算1!B:B,奖励标准!A:AU,47,0),0)</f>
        <v>0</v>
      </c>
      <c r="AM64" s="3">
        <f t="shared" si="1"/>
        <v>0</v>
      </c>
      <c r="AN64" s="3">
        <f t="shared" si="0"/>
        <v>1308.7280000000001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2:86" ht="12.5" customHeight="1" x14ac:dyDescent="0.25">
      <c r="B65" s="73" t="s">
        <v>38</v>
      </c>
      <c r="C65" s="3">
        <f>AQ$7*VLOOKUP(B:B,人员表!B:G,MATCH("员工",人员表!$B$3:$G$3,0),0)</f>
        <v>2463.4880000000003</v>
      </c>
      <c r="D65" s="3"/>
      <c r="E6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5" s="3">
        <f>ROUND(VLOOKUP(B:B,录入表!B:AT,45,0)*VLOOKUP(科室绩效工资核算1!B:B,奖励标准!A:AR,44,0),0)</f>
        <v>0</v>
      </c>
      <c r="G65" s="3">
        <f>ROUND((VLOOKUP(B:B,录入表!B:W,22,0)+VLOOKUP(B:B,录入表!B:X,23,0))*VLOOKUP(B:B,奖励标准!A:AS,45,0),0)</f>
        <v>0</v>
      </c>
      <c r="H65" s="3">
        <f>ROUND(VLOOKUP(B:B,录入表!B:H,7,0)*VLOOKUP(B:B,奖励标准!A:F,6,0),0)</f>
        <v>0</v>
      </c>
      <c r="I65" s="3">
        <f>ROUND(VLOOKUP(B:B,录入表!B:I,8,0)*VLOOKUP(B:B,奖励标准!A:G,7,0),0)</f>
        <v>0</v>
      </c>
      <c r="J65" s="3">
        <f>ROUND(VLOOKUP(B:B,录入表!B:J,9,0)*VLOOKUP(B:B,奖励标准!A:H,8,0),0)</f>
        <v>0</v>
      </c>
      <c r="K65" s="3">
        <f>ROUND(VLOOKUP(B:B,录入表!B:Q,16,0)*VLOOKUP(科室绩效工资核算1!B:B,奖励标准!A:O,15,0),0)</f>
        <v>0</v>
      </c>
      <c r="L6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5" s="3">
        <f>ROUND(VLOOKUP(科室绩效工资核算1!B:B,录入表!B:AB,27,0)*VLOOKUP(科室绩效工资核算1!B:B,奖励标准!A:Z,26,0),0)</f>
        <v>0</v>
      </c>
      <c r="N65" s="3">
        <f>ROUND(VLOOKUP(B:B,录入表!B:AW,48,0)*VLOOKUP(B:B,奖励标准!A:AT,46,0),0)</f>
        <v>0</v>
      </c>
      <c r="O65" s="3">
        <f>ROUND(VLOOKUP(科室绩效工资核算1!B:B,录入表!B:AA,26,0)*VLOOKUP(B:B,奖励标准!A:Y,25,0),0)</f>
        <v>0</v>
      </c>
      <c r="P6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5" s="3">
        <f>ROUND(VLOOKUP(B:B,录入表!B:AL,37,0)*VLOOKUP(B:B,奖励标准!A:AJ,36,0)+ROUND(VLOOKUP(B:B,录入表!B:AM,38,0)*VLOOKUP(B:B,奖励标准!A:AK,37,0),0),0)</f>
        <v>0</v>
      </c>
      <c r="R65" s="3">
        <f>ROUND(VLOOKUP(B:B,录入表!B:AN,39,0)*VLOOKUP(B:B,奖励标准!A:AL,38,0)+VLOOKUP(B:B,录入表!B:AO,40,0)*VLOOKUP(B:B,奖励标准!A:AM,39,0),0)</f>
        <v>0</v>
      </c>
      <c r="S65" s="3">
        <f>ROUND(((VLOOKUP(B:B,录入表!B:C,2,0)+VLOOKUP(B:B,录入表!B:E,4,0))*VLOOKUP(B:B,奖励标准!A:CU,99,0)),0)</f>
        <v>0</v>
      </c>
      <c r="T6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5" s="3">
        <f>ROUND(VLOOKUP(科室绩效工资核算1!B:B,录入表!B:AU,46,0)*VLOOKUP(B:B,奖励标准!A:CV,100,0),0)</f>
        <v>0</v>
      </c>
      <c r="V65" s="3">
        <f>ROUND(VLOOKUP(科室绩效工资核算1!B:B,录入表!B:AV,47,0)*VLOOKUP(B:B,奖励标准!A:CW,101,0),0)</f>
        <v>0</v>
      </c>
      <c r="W6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5" s="28">
        <f>ROUND(VLOOKUP(B:B,录入表!B:BF,56,0)*VLOOKUP(B:B,奖励标准!A:BD,55,0)+VLOOKUP(B:B,录入表!B:BF,57,0)*VLOOKUP(B:B,奖励标准!A:BD,56,0),0)</f>
        <v>0</v>
      </c>
      <c r="Y6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5" s="28">
        <f>ROUND(VLOOKUP(B:B,录入表!B:BL,62,0)*VLOOKUP(B:B,奖励标准!A:BJ,61,0)+VLOOKUP(B:B,奖励标准!A:BJ,62,0)*VLOOKUP(B:B,录入表!B:BL,63,0),0)</f>
        <v>0</v>
      </c>
      <c r="AA6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5" s="82">
        <f>ROUND(VLOOKUP(B:B,录入表!B:CV,98,0)*VLOOKUP(B:B,奖励标准!A:CT,97,0)+VLOOKUP(B:B,奖励标准!A:CU,98,0)*VLOOKUP(B:B,录入表!B:CV,99,0),0)</f>
        <v>0</v>
      </c>
      <c r="AG65" s="82">
        <f>ROUND(VLOOKUP(B:B,录入表!B:CT,96,0)*VLOOKUP(B:B,奖励标准!A:CR,95,0)+VLOOKUP(B:B,录入表!B:CT,97,0)*VLOOKUP(B:B,奖励标准!A:CR,96,0),0)</f>
        <v>0</v>
      </c>
      <c r="AH65" s="28">
        <f>ROUND(VLOOKUP(B:B,录入表!B:CW,100,0)*VLOOKUP(科室绩效工资核算1!B:B,奖励标准!A:L,11,0),0)</f>
        <v>0</v>
      </c>
      <c r="AI6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5" s="3">
        <f>ROUND(VLOOKUP(科室绩效工资核算1!B:B,录入表!B:O,14,0)*VLOOKUP(科室绩效工资核算1!B:B,奖励标准!A:M,13,0),0)</f>
        <v>0</v>
      </c>
      <c r="AK65" s="3">
        <f>ROUND(VLOOKUP(科室绩效工资核算1!B:B,录入表!B:P,15,0)*VLOOKUP(科室绩效工资核算1!B:B,奖励标准!A:N,14,0),0)</f>
        <v>0</v>
      </c>
      <c r="AL65" s="3">
        <f>ROUND(VLOOKUP(科室绩效工资核算1!B:B,录入表!B:P,15,0)*VLOOKUP(科室绩效工资核算1!B:B,奖励标准!A:AU,47,0),0)</f>
        <v>0</v>
      </c>
      <c r="AM65" s="3">
        <f t="shared" si="1"/>
        <v>0</v>
      </c>
      <c r="AN65" s="3">
        <f t="shared" si="0"/>
        <v>2463.4880000000003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2:86" ht="12.5" customHeight="1" x14ac:dyDescent="0.25">
      <c r="B66" s="73" t="s">
        <v>35</v>
      </c>
      <c r="C66" s="3">
        <f>AQ$7*VLOOKUP(B:B,人员表!B:G,MATCH("员工",人员表!$B$3:$G$3,0),0)</f>
        <v>1231.7440000000001</v>
      </c>
      <c r="D66" s="3"/>
      <c r="E6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6" s="3">
        <f>ROUND(VLOOKUP(B:B,录入表!B:AT,45,0)*VLOOKUP(科室绩效工资核算1!B:B,奖励标准!A:AR,44,0),0)</f>
        <v>0</v>
      </c>
      <c r="G66" s="3">
        <f>ROUND((VLOOKUP(B:B,录入表!B:W,22,0)+VLOOKUP(B:B,录入表!B:X,23,0))*VLOOKUP(B:B,奖励标准!A:AS,45,0),0)</f>
        <v>0</v>
      </c>
      <c r="H66" s="3">
        <f>ROUND(VLOOKUP(B:B,录入表!B:H,7,0)*VLOOKUP(B:B,奖励标准!A:F,6,0),0)</f>
        <v>0</v>
      </c>
      <c r="I66" s="3">
        <f>ROUND(VLOOKUP(B:B,录入表!B:I,8,0)*VLOOKUP(B:B,奖励标准!A:G,7,0),0)</f>
        <v>0</v>
      </c>
      <c r="J66" s="3">
        <f>ROUND(VLOOKUP(B:B,录入表!B:J,9,0)*VLOOKUP(B:B,奖励标准!A:H,8,0),0)</f>
        <v>0</v>
      </c>
      <c r="K66" s="3">
        <f>ROUND(VLOOKUP(B:B,录入表!B:Q,16,0)*VLOOKUP(科室绩效工资核算1!B:B,奖励标准!A:O,15,0),0)</f>
        <v>0</v>
      </c>
      <c r="L6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6" s="3">
        <f>ROUND(VLOOKUP(科室绩效工资核算1!B:B,录入表!B:AB,27,0)*VLOOKUP(科室绩效工资核算1!B:B,奖励标准!A:Z,26,0),0)</f>
        <v>0</v>
      </c>
      <c r="N66" s="3">
        <f>ROUND(VLOOKUP(B:B,录入表!B:AW,48,0)*VLOOKUP(B:B,奖励标准!A:AT,46,0),0)</f>
        <v>0</v>
      </c>
      <c r="O66" s="3">
        <f>ROUND(VLOOKUP(科室绩效工资核算1!B:B,录入表!B:AA,26,0)*VLOOKUP(B:B,奖励标准!A:Y,25,0),0)</f>
        <v>0</v>
      </c>
      <c r="P6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6" s="3">
        <f>ROUND(VLOOKUP(B:B,录入表!B:AL,37,0)*VLOOKUP(B:B,奖励标准!A:AJ,36,0)+ROUND(VLOOKUP(B:B,录入表!B:AM,38,0)*VLOOKUP(B:B,奖励标准!A:AK,37,0),0),0)</f>
        <v>0</v>
      </c>
      <c r="R66" s="3">
        <f>ROUND(VLOOKUP(B:B,录入表!B:AN,39,0)*VLOOKUP(B:B,奖励标准!A:AL,38,0)+VLOOKUP(B:B,录入表!B:AO,40,0)*VLOOKUP(B:B,奖励标准!A:AM,39,0),0)</f>
        <v>0</v>
      </c>
      <c r="S66" s="3">
        <f>ROUND(((VLOOKUP(B:B,录入表!B:C,2,0)+VLOOKUP(B:B,录入表!B:E,4,0))*VLOOKUP(B:B,奖励标准!A:CU,99,0)),0)</f>
        <v>0</v>
      </c>
      <c r="T6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6" s="3">
        <f>ROUND(VLOOKUP(科室绩效工资核算1!B:B,录入表!B:AU,46,0)*VLOOKUP(B:B,奖励标准!A:CV,100,0),0)</f>
        <v>0</v>
      </c>
      <c r="V66" s="3">
        <f>ROUND(VLOOKUP(科室绩效工资核算1!B:B,录入表!B:AV,47,0)*VLOOKUP(B:B,奖励标准!A:CW,101,0),0)</f>
        <v>0</v>
      </c>
      <c r="W6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6" s="28">
        <f>ROUND(VLOOKUP(B:B,录入表!B:BF,56,0)*VLOOKUP(B:B,奖励标准!A:BD,55,0)+VLOOKUP(B:B,录入表!B:BF,57,0)*VLOOKUP(B:B,奖励标准!A:BD,56,0),0)</f>
        <v>0</v>
      </c>
      <c r="Y6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6" s="28">
        <f>ROUND(VLOOKUP(B:B,录入表!B:BL,62,0)*VLOOKUP(B:B,奖励标准!A:BJ,61,0)+VLOOKUP(B:B,奖励标准!A:BJ,62,0)*VLOOKUP(B:B,录入表!B:BL,63,0),0)</f>
        <v>0</v>
      </c>
      <c r="AA6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6" s="82">
        <f>ROUND(VLOOKUP(B:B,录入表!B:CV,98,0)*VLOOKUP(B:B,奖励标准!A:CT,97,0)+VLOOKUP(B:B,奖励标准!A:CU,98,0)*VLOOKUP(B:B,录入表!B:CV,99,0),0)</f>
        <v>0</v>
      </c>
      <c r="AG66" s="82">
        <f>ROUND(VLOOKUP(B:B,录入表!B:CT,96,0)*VLOOKUP(B:B,奖励标准!A:CR,95,0)+VLOOKUP(B:B,录入表!B:CT,97,0)*VLOOKUP(B:B,奖励标准!A:CR,96,0),0)</f>
        <v>0</v>
      </c>
      <c r="AH66" s="28">
        <f>ROUND(VLOOKUP(B:B,录入表!B:CW,100,0)*VLOOKUP(科室绩效工资核算1!B:B,奖励标准!A:L,11,0),0)</f>
        <v>0</v>
      </c>
      <c r="AI6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6" s="3">
        <f>ROUND(VLOOKUP(科室绩效工资核算1!B:B,录入表!B:O,14,0)*VLOOKUP(科室绩效工资核算1!B:B,奖励标准!A:M,13,0),0)</f>
        <v>0</v>
      </c>
      <c r="AK66" s="3">
        <f>ROUND(VLOOKUP(科室绩效工资核算1!B:B,录入表!B:P,15,0)*VLOOKUP(科室绩效工资核算1!B:B,奖励标准!A:N,14,0),0)</f>
        <v>0</v>
      </c>
      <c r="AL66" s="3">
        <f>ROUND(VLOOKUP(科室绩效工资核算1!B:B,录入表!B:P,15,0)*VLOOKUP(科室绩效工资核算1!B:B,奖励标准!A:AU,47,0),0)</f>
        <v>0</v>
      </c>
      <c r="AM66" s="3">
        <f t="shared" si="1"/>
        <v>0</v>
      </c>
      <c r="AN66" s="3">
        <f t="shared" si="0"/>
        <v>1231.7440000000001</v>
      </c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2:86" ht="12.5" customHeight="1" x14ac:dyDescent="0.25">
      <c r="B67" s="73" t="s">
        <v>138</v>
      </c>
      <c r="C67" s="3">
        <f>AQ$7*VLOOKUP(B:B,人员表!B:G,MATCH("员工",人员表!$B$3:$G$3,0),0)</f>
        <v>1231.7440000000001</v>
      </c>
      <c r="D67" s="3"/>
      <c r="E6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7" s="3">
        <f>ROUND(VLOOKUP(B:B,录入表!B:AT,45,0)*VLOOKUP(科室绩效工资核算1!B:B,奖励标准!A:AR,44,0),0)</f>
        <v>0</v>
      </c>
      <c r="G67" s="3">
        <f>ROUND((VLOOKUP(B:B,录入表!B:W,22,0)+VLOOKUP(B:B,录入表!B:X,23,0))*VLOOKUP(B:B,奖励标准!A:AS,45,0),0)</f>
        <v>0</v>
      </c>
      <c r="H67" s="3">
        <f>ROUND(VLOOKUP(B:B,录入表!B:H,7,0)*VLOOKUP(B:B,奖励标准!A:F,6,0),0)</f>
        <v>0</v>
      </c>
      <c r="I67" s="3">
        <f>ROUND(VLOOKUP(B:B,录入表!B:I,8,0)*VLOOKUP(B:B,奖励标准!A:G,7,0),0)</f>
        <v>0</v>
      </c>
      <c r="J67" s="3">
        <f>ROUND(VLOOKUP(B:B,录入表!B:J,9,0)*VLOOKUP(B:B,奖励标准!A:H,8,0),0)</f>
        <v>0</v>
      </c>
      <c r="K67" s="3">
        <f>ROUND(VLOOKUP(B:B,录入表!B:Q,16,0)*VLOOKUP(科室绩效工资核算1!B:B,奖励标准!A:O,15,0),0)</f>
        <v>0</v>
      </c>
      <c r="L6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7" s="3">
        <f>ROUND(VLOOKUP(科室绩效工资核算1!B:B,录入表!B:AB,27,0)*VLOOKUP(科室绩效工资核算1!B:B,奖励标准!A:Z,26,0),0)</f>
        <v>0</v>
      </c>
      <c r="N67" s="3">
        <f>ROUND(VLOOKUP(B:B,录入表!B:AW,48,0)*VLOOKUP(B:B,奖励标准!A:AT,46,0),0)</f>
        <v>0</v>
      </c>
      <c r="O67" s="3">
        <f>ROUND(VLOOKUP(科室绩效工资核算1!B:B,录入表!B:AA,26,0)*VLOOKUP(B:B,奖励标准!A:Y,25,0),0)</f>
        <v>0</v>
      </c>
      <c r="P6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7" s="3">
        <f>ROUND(VLOOKUP(B:B,录入表!B:AL,37,0)*VLOOKUP(B:B,奖励标准!A:AJ,36,0)+ROUND(VLOOKUP(B:B,录入表!B:AM,38,0)*VLOOKUP(B:B,奖励标准!A:AK,37,0),0),0)</f>
        <v>0</v>
      </c>
      <c r="R67" s="3">
        <f>ROUND(VLOOKUP(B:B,录入表!B:AN,39,0)*VLOOKUP(B:B,奖励标准!A:AL,38,0)+VLOOKUP(B:B,录入表!B:AO,40,0)*VLOOKUP(B:B,奖励标准!A:AM,39,0),0)</f>
        <v>0</v>
      </c>
      <c r="S67" s="3">
        <f>ROUND(((VLOOKUP(B:B,录入表!B:C,2,0)+VLOOKUP(B:B,录入表!B:E,4,0))*VLOOKUP(B:B,奖励标准!A:CU,99,0)),0)</f>
        <v>0</v>
      </c>
      <c r="T6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7" s="3">
        <f>ROUND(VLOOKUP(科室绩效工资核算1!B:B,录入表!B:AU,46,0)*VLOOKUP(B:B,奖励标准!A:CV,100,0),0)</f>
        <v>0</v>
      </c>
      <c r="V67" s="3">
        <f>ROUND(VLOOKUP(科室绩效工资核算1!B:B,录入表!B:AV,47,0)*VLOOKUP(B:B,奖励标准!A:CW,101,0),0)</f>
        <v>0</v>
      </c>
      <c r="W6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7" s="28">
        <f>ROUND(VLOOKUP(B:B,录入表!B:BF,56,0)*VLOOKUP(B:B,奖励标准!A:BD,55,0)+VLOOKUP(B:B,录入表!B:BF,57,0)*VLOOKUP(B:B,奖励标准!A:BD,56,0),0)</f>
        <v>0</v>
      </c>
      <c r="Y6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7" s="28">
        <f>ROUND(VLOOKUP(B:B,录入表!B:BL,62,0)*VLOOKUP(B:B,奖励标准!A:BJ,61,0)+VLOOKUP(B:B,奖励标准!A:BJ,62,0)*VLOOKUP(B:B,录入表!B:BL,63,0),0)</f>
        <v>0</v>
      </c>
      <c r="AA6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7" s="82">
        <f>ROUND(VLOOKUP(B:B,录入表!B:CV,98,0)*VLOOKUP(B:B,奖励标准!A:CT,97,0)+VLOOKUP(B:B,奖励标准!A:CU,98,0)*VLOOKUP(B:B,录入表!B:CV,99,0),0)</f>
        <v>0</v>
      </c>
      <c r="AG67" s="82">
        <f>ROUND(VLOOKUP(B:B,录入表!B:CT,96,0)*VLOOKUP(B:B,奖励标准!A:CR,95,0)+VLOOKUP(B:B,录入表!B:CT,97,0)*VLOOKUP(B:B,奖励标准!A:CR,96,0),0)</f>
        <v>0</v>
      </c>
      <c r="AH67" s="28">
        <f>ROUND(VLOOKUP(B:B,录入表!B:CW,100,0)*VLOOKUP(科室绩效工资核算1!B:B,奖励标准!A:L,11,0),0)</f>
        <v>0</v>
      </c>
      <c r="AI6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7" s="3">
        <f>ROUND(VLOOKUP(科室绩效工资核算1!B:B,录入表!B:O,14,0)*VLOOKUP(科室绩效工资核算1!B:B,奖励标准!A:M,13,0),0)</f>
        <v>0</v>
      </c>
      <c r="AK67" s="3">
        <f>ROUND(VLOOKUP(科室绩效工资核算1!B:B,录入表!B:P,15,0)*VLOOKUP(科室绩效工资核算1!B:B,奖励标准!A:N,14,0),0)</f>
        <v>0</v>
      </c>
      <c r="AL67" s="3">
        <f>ROUND(VLOOKUP(科室绩效工资核算1!B:B,录入表!B:P,15,0)*VLOOKUP(科室绩效工资核算1!B:B,奖励标准!A:AU,47,0),0)</f>
        <v>0</v>
      </c>
      <c r="AM67" s="3">
        <f t="shared" si="1"/>
        <v>0</v>
      </c>
      <c r="AN67" s="3">
        <f t="shared" si="0"/>
        <v>1231.7440000000001</v>
      </c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2:86" ht="12.5" customHeight="1" x14ac:dyDescent="0.25">
      <c r="B68" s="73" t="s">
        <v>139</v>
      </c>
      <c r="C68" s="3">
        <f>AQ$7*VLOOKUP(B:B,人员表!B:G,MATCH("员工",人员表!$B$3:$G$3,0),0)</f>
        <v>6543.64</v>
      </c>
      <c r="D68" s="3"/>
      <c r="E6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8" s="3">
        <f>ROUND(VLOOKUP(B:B,录入表!B:AT,45,0)*VLOOKUP(科室绩效工资核算1!B:B,奖励标准!A:AR,44,0),0)</f>
        <v>0</v>
      </c>
      <c r="G68" s="3">
        <f>ROUND((VLOOKUP(B:B,录入表!B:W,22,0)+VLOOKUP(B:B,录入表!B:X,23,0))*VLOOKUP(B:B,奖励标准!A:AS,45,0),0)</f>
        <v>0</v>
      </c>
      <c r="H68" s="3">
        <f>ROUND(VLOOKUP(B:B,录入表!B:H,7,0)*VLOOKUP(B:B,奖励标准!A:F,6,0),0)</f>
        <v>0</v>
      </c>
      <c r="I68" s="3">
        <f>ROUND(VLOOKUP(B:B,录入表!B:I,8,0)*VLOOKUP(B:B,奖励标准!A:G,7,0),0)</f>
        <v>0</v>
      </c>
      <c r="J68" s="3">
        <f>ROUND(VLOOKUP(B:B,录入表!B:J,9,0)*VLOOKUP(B:B,奖励标准!A:H,8,0),0)</f>
        <v>0</v>
      </c>
      <c r="K68" s="3">
        <f>ROUND(VLOOKUP(B:B,录入表!B:Q,16,0)*VLOOKUP(科室绩效工资核算1!B:B,奖励标准!A:O,15,0),0)</f>
        <v>0</v>
      </c>
      <c r="L6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8" s="3">
        <f>ROUND(VLOOKUP(科室绩效工资核算1!B:B,录入表!B:AB,27,0)*VLOOKUP(科室绩效工资核算1!B:B,奖励标准!A:Z,26,0),0)</f>
        <v>0</v>
      </c>
      <c r="N68" s="3">
        <f>ROUND(VLOOKUP(B:B,录入表!B:AW,48,0)*VLOOKUP(B:B,奖励标准!A:AT,46,0),0)</f>
        <v>0</v>
      </c>
      <c r="O68" s="3">
        <f>ROUND(VLOOKUP(科室绩效工资核算1!B:B,录入表!B:AA,26,0)*VLOOKUP(B:B,奖励标准!A:Y,25,0),0)</f>
        <v>0</v>
      </c>
      <c r="P6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8" s="3">
        <f>ROUND(VLOOKUP(B:B,录入表!B:AL,37,0)*VLOOKUP(B:B,奖励标准!A:AJ,36,0)+ROUND(VLOOKUP(B:B,录入表!B:AM,38,0)*VLOOKUP(B:B,奖励标准!A:AK,37,0),0),0)</f>
        <v>0</v>
      </c>
      <c r="R68" s="3">
        <f>ROUND(VLOOKUP(B:B,录入表!B:AN,39,0)*VLOOKUP(B:B,奖励标准!A:AL,38,0)+VLOOKUP(B:B,录入表!B:AO,40,0)*VLOOKUP(B:B,奖励标准!A:AM,39,0),0)</f>
        <v>0</v>
      </c>
      <c r="S68" s="3">
        <f>ROUND(((VLOOKUP(B:B,录入表!B:C,2,0)+VLOOKUP(B:B,录入表!B:E,4,0))*VLOOKUP(B:B,奖励标准!A:CU,99,0)),0)</f>
        <v>0</v>
      </c>
      <c r="T6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8" s="3">
        <f>ROUND(VLOOKUP(科室绩效工资核算1!B:B,录入表!B:AU,46,0)*VLOOKUP(B:B,奖励标准!A:CV,100,0),0)</f>
        <v>0</v>
      </c>
      <c r="V68" s="3">
        <f>ROUND(VLOOKUP(科室绩效工资核算1!B:B,录入表!B:AV,47,0)*VLOOKUP(B:B,奖励标准!A:CW,101,0),0)</f>
        <v>0</v>
      </c>
      <c r="W6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8" s="28">
        <f>ROUND(VLOOKUP(B:B,录入表!B:BF,56,0)*VLOOKUP(B:B,奖励标准!A:BD,55,0)+VLOOKUP(B:B,录入表!B:BF,57,0)*VLOOKUP(B:B,奖励标准!A:BD,56,0),0)</f>
        <v>0</v>
      </c>
      <c r="Y6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8" s="28">
        <f>ROUND(VLOOKUP(B:B,录入表!B:BL,62,0)*VLOOKUP(B:B,奖励标准!A:BJ,61,0)+VLOOKUP(B:B,奖励标准!A:BJ,62,0)*VLOOKUP(B:B,录入表!B:BL,63,0),0)</f>
        <v>0</v>
      </c>
      <c r="AA6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8" s="82">
        <f>ROUND(VLOOKUP(B:B,录入表!B:CV,98,0)*VLOOKUP(B:B,奖励标准!A:CT,97,0)+VLOOKUP(B:B,奖励标准!A:CU,98,0)*VLOOKUP(B:B,录入表!B:CV,99,0),0)</f>
        <v>0</v>
      </c>
      <c r="AG68" s="82">
        <f>ROUND(VLOOKUP(B:B,录入表!B:CT,96,0)*VLOOKUP(B:B,奖励标准!A:CR,95,0)+VLOOKUP(B:B,录入表!B:CT,97,0)*VLOOKUP(B:B,奖励标准!A:CR,96,0),0)</f>
        <v>0</v>
      </c>
      <c r="AH68" s="28">
        <f>ROUND(VLOOKUP(B:B,录入表!B:CW,100,0)*VLOOKUP(科室绩效工资核算1!B:B,奖励标准!A:L,11,0),0)</f>
        <v>0</v>
      </c>
      <c r="AI6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8" s="3">
        <f>ROUND(VLOOKUP(科室绩效工资核算1!B:B,录入表!B:O,14,0)*VLOOKUP(科室绩效工资核算1!B:B,奖励标准!A:M,13,0),0)</f>
        <v>0</v>
      </c>
      <c r="AK68" s="3">
        <f>ROUND(VLOOKUP(科室绩效工资核算1!B:B,录入表!B:P,15,0)*VLOOKUP(科室绩效工资核算1!B:B,奖励标准!A:N,14,0),0)</f>
        <v>0</v>
      </c>
      <c r="AL68" s="3">
        <f>ROUND(VLOOKUP(科室绩效工资核算1!B:B,录入表!B:P,15,0)*VLOOKUP(科室绩效工资核算1!B:B,奖励标准!A:AU,47,0),0)</f>
        <v>0</v>
      </c>
      <c r="AM68" s="3">
        <f t="shared" si="1"/>
        <v>0</v>
      </c>
      <c r="AN68" s="3">
        <f t="shared" si="0"/>
        <v>6543.64</v>
      </c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2:86" ht="12.5" customHeight="1" x14ac:dyDescent="0.25">
      <c r="B69" s="73" t="s">
        <v>40</v>
      </c>
      <c r="C69" s="3">
        <f>AQ$7*VLOOKUP(B:B,人员表!B:G,MATCH("员工",人员表!$B$3:$G$3,0),0)</f>
        <v>6158.72</v>
      </c>
      <c r="D69" s="3"/>
      <c r="E6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69" s="3">
        <f>ROUND(VLOOKUP(B:B,录入表!B:AT,45,0)*VLOOKUP(科室绩效工资核算1!B:B,奖励标准!A:AR,44,0),0)</f>
        <v>0</v>
      </c>
      <c r="G69" s="3">
        <f>ROUND((VLOOKUP(B:B,录入表!B:W,22,0)+VLOOKUP(B:B,录入表!B:X,23,0))*VLOOKUP(B:B,奖励标准!A:AS,45,0),0)</f>
        <v>0</v>
      </c>
      <c r="H69" s="3">
        <f>ROUND(VLOOKUP(B:B,录入表!B:H,7,0)*VLOOKUP(B:B,奖励标准!A:F,6,0),0)</f>
        <v>0</v>
      </c>
      <c r="I69" s="3">
        <f>ROUND(VLOOKUP(B:B,录入表!B:I,8,0)*VLOOKUP(B:B,奖励标准!A:G,7,0),0)</f>
        <v>0</v>
      </c>
      <c r="J69" s="3">
        <f>ROUND(VLOOKUP(B:B,录入表!B:J,9,0)*VLOOKUP(B:B,奖励标准!A:H,8,0),0)</f>
        <v>0</v>
      </c>
      <c r="K69" s="3">
        <f>ROUND(VLOOKUP(B:B,录入表!B:Q,16,0)*VLOOKUP(科室绩效工资核算1!B:B,奖励标准!A:O,15,0),0)</f>
        <v>0</v>
      </c>
      <c r="L6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69" s="3">
        <f>ROUND(VLOOKUP(科室绩效工资核算1!B:B,录入表!B:AB,27,0)*VLOOKUP(科室绩效工资核算1!B:B,奖励标准!A:Z,26,0),0)</f>
        <v>0</v>
      </c>
      <c r="N69" s="3">
        <f>ROUND(VLOOKUP(B:B,录入表!B:AW,48,0)*VLOOKUP(B:B,奖励标准!A:AT,46,0),0)</f>
        <v>0</v>
      </c>
      <c r="O69" s="3">
        <f>ROUND(VLOOKUP(科室绩效工资核算1!B:B,录入表!B:AA,26,0)*VLOOKUP(B:B,奖励标准!A:Y,25,0),0)</f>
        <v>0</v>
      </c>
      <c r="P6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69" s="3">
        <f>ROUND(VLOOKUP(B:B,录入表!B:AL,37,0)*VLOOKUP(B:B,奖励标准!A:AJ,36,0)+ROUND(VLOOKUP(B:B,录入表!B:AM,38,0)*VLOOKUP(B:B,奖励标准!A:AK,37,0),0),0)</f>
        <v>0</v>
      </c>
      <c r="R69" s="3">
        <f>ROUND(VLOOKUP(B:B,录入表!B:AN,39,0)*VLOOKUP(B:B,奖励标准!A:AL,38,0)+VLOOKUP(B:B,录入表!B:AO,40,0)*VLOOKUP(B:B,奖励标准!A:AM,39,0),0)</f>
        <v>0</v>
      </c>
      <c r="S69" s="3">
        <f>ROUND(((VLOOKUP(B:B,录入表!B:C,2,0)+VLOOKUP(B:B,录入表!B:E,4,0))*VLOOKUP(B:B,奖励标准!A:CU,99,0)),0)</f>
        <v>0</v>
      </c>
      <c r="T6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69" s="3">
        <f>ROUND(VLOOKUP(科室绩效工资核算1!B:B,录入表!B:AU,46,0)*VLOOKUP(B:B,奖励标准!A:CV,100,0),0)</f>
        <v>0</v>
      </c>
      <c r="V69" s="3">
        <f>ROUND(VLOOKUP(科室绩效工资核算1!B:B,录入表!B:AV,47,0)*VLOOKUP(B:B,奖励标准!A:CW,101,0),0)</f>
        <v>0</v>
      </c>
      <c r="W6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69" s="28">
        <f>ROUND(VLOOKUP(B:B,录入表!B:BF,56,0)*VLOOKUP(B:B,奖励标准!A:BD,55,0)+VLOOKUP(B:B,录入表!B:BF,57,0)*VLOOKUP(B:B,奖励标准!A:BD,56,0),0)</f>
        <v>0</v>
      </c>
      <c r="Y6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69" s="28">
        <f>ROUND(VLOOKUP(B:B,录入表!B:BL,62,0)*VLOOKUP(B:B,奖励标准!A:BJ,61,0)+VLOOKUP(B:B,奖励标准!A:BJ,62,0)*VLOOKUP(B:B,录入表!B:BL,63,0),0)</f>
        <v>0</v>
      </c>
      <c r="AA6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6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6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6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6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69" s="82">
        <f>ROUND(VLOOKUP(B:B,录入表!B:CV,98,0)*VLOOKUP(B:B,奖励标准!A:CT,97,0)+VLOOKUP(B:B,奖励标准!A:CU,98,0)*VLOOKUP(B:B,录入表!B:CV,99,0),0)</f>
        <v>0</v>
      </c>
      <c r="AG69" s="82">
        <f>ROUND(VLOOKUP(B:B,录入表!B:CT,96,0)*VLOOKUP(B:B,奖励标准!A:CR,95,0)+VLOOKUP(B:B,录入表!B:CT,97,0)*VLOOKUP(B:B,奖励标准!A:CR,96,0),0)</f>
        <v>0</v>
      </c>
      <c r="AH69" s="28">
        <f>ROUND(VLOOKUP(B:B,录入表!B:CW,100,0)*VLOOKUP(科室绩效工资核算1!B:B,奖励标准!A:L,11,0),0)</f>
        <v>0</v>
      </c>
      <c r="AI6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69" s="3">
        <f>ROUND(VLOOKUP(科室绩效工资核算1!B:B,录入表!B:O,14,0)*VLOOKUP(科室绩效工资核算1!B:B,奖励标准!A:M,13,0),0)</f>
        <v>0</v>
      </c>
      <c r="AK69" s="3">
        <f>ROUND(VLOOKUP(科室绩效工资核算1!B:B,录入表!B:P,15,0)*VLOOKUP(科室绩效工资核算1!B:B,奖励标准!A:N,14,0),0)</f>
        <v>0</v>
      </c>
      <c r="AL69" s="3">
        <f>ROUND(VLOOKUP(科室绩效工资核算1!B:B,录入表!B:P,15,0)*VLOOKUP(科室绩效工资核算1!B:B,奖励标准!A:AU,47,0),0)</f>
        <v>0</v>
      </c>
      <c r="AM69" s="3">
        <f t="shared" si="1"/>
        <v>0</v>
      </c>
      <c r="AN69" s="3">
        <f t="shared" ref="AN69:AN88" si="2">SUM(C69:AG69)</f>
        <v>6158.72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2:86" ht="12.5" customHeight="1" x14ac:dyDescent="0.25">
      <c r="B70" s="73" t="s">
        <v>41</v>
      </c>
      <c r="C70" s="3">
        <f>AQ$7*VLOOKUP(B:B,人员表!B:G,MATCH("员工",人员表!$B$3:$G$3,0),0)</f>
        <v>2463.4880000000003</v>
      </c>
      <c r="D70" s="3"/>
      <c r="E7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0" s="3">
        <f>ROUND(VLOOKUP(B:B,录入表!B:AT,45,0)*VLOOKUP(科室绩效工资核算1!B:B,奖励标准!A:AR,44,0),0)</f>
        <v>0</v>
      </c>
      <c r="G70" s="3">
        <f>ROUND((VLOOKUP(B:B,录入表!B:W,22,0)+VLOOKUP(B:B,录入表!B:X,23,0))*VLOOKUP(B:B,奖励标准!A:AS,45,0),0)</f>
        <v>0</v>
      </c>
      <c r="H70" s="3">
        <f>ROUND(VLOOKUP(B:B,录入表!B:H,7,0)*VLOOKUP(B:B,奖励标准!A:F,6,0),0)</f>
        <v>0</v>
      </c>
      <c r="I70" s="3">
        <f>ROUND(VLOOKUP(B:B,录入表!B:I,8,0)*VLOOKUP(B:B,奖励标准!A:G,7,0),0)</f>
        <v>0</v>
      </c>
      <c r="J70" s="3">
        <f>ROUND(VLOOKUP(B:B,录入表!B:J,9,0)*VLOOKUP(B:B,奖励标准!A:H,8,0),0)</f>
        <v>0</v>
      </c>
      <c r="K70" s="3">
        <f>ROUND(VLOOKUP(B:B,录入表!B:Q,16,0)*VLOOKUP(科室绩效工资核算1!B:B,奖励标准!A:O,15,0),0)</f>
        <v>0</v>
      </c>
      <c r="L7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0" s="3">
        <f>ROUND(VLOOKUP(科室绩效工资核算1!B:B,录入表!B:AB,27,0)*VLOOKUP(科室绩效工资核算1!B:B,奖励标准!A:Z,26,0),0)</f>
        <v>0</v>
      </c>
      <c r="N70" s="3">
        <f>ROUND(VLOOKUP(B:B,录入表!B:AW,48,0)*VLOOKUP(B:B,奖励标准!A:AT,46,0),0)</f>
        <v>0</v>
      </c>
      <c r="O70" s="3">
        <f>ROUND(VLOOKUP(科室绩效工资核算1!B:B,录入表!B:AA,26,0)*VLOOKUP(B:B,奖励标准!A:Y,25,0),0)</f>
        <v>0</v>
      </c>
      <c r="P7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0" s="3">
        <f>ROUND(VLOOKUP(B:B,录入表!B:AL,37,0)*VLOOKUP(B:B,奖励标准!A:AJ,36,0)+ROUND(VLOOKUP(B:B,录入表!B:AM,38,0)*VLOOKUP(B:B,奖励标准!A:AK,37,0),0),0)</f>
        <v>0</v>
      </c>
      <c r="R70" s="3">
        <f>ROUND(VLOOKUP(B:B,录入表!B:AN,39,0)*VLOOKUP(B:B,奖励标准!A:AL,38,0)+VLOOKUP(B:B,录入表!B:AO,40,0)*VLOOKUP(B:B,奖励标准!A:AM,39,0),0)</f>
        <v>0</v>
      </c>
      <c r="S70" s="3">
        <f>ROUND(((VLOOKUP(B:B,录入表!B:C,2,0)+VLOOKUP(B:B,录入表!B:E,4,0))*VLOOKUP(B:B,奖励标准!A:CU,99,0)),0)</f>
        <v>0</v>
      </c>
      <c r="T7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0" s="3">
        <f>ROUND(VLOOKUP(科室绩效工资核算1!B:B,录入表!B:AU,46,0)*VLOOKUP(B:B,奖励标准!A:CV,100,0),0)</f>
        <v>0</v>
      </c>
      <c r="V70" s="3">
        <f>ROUND(VLOOKUP(科室绩效工资核算1!B:B,录入表!B:AV,47,0)*VLOOKUP(B:B,奖励标准!A:CW,101,0),0)</f>
        <v>0</v>
      </c>
      <c r="W7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0" s="28">
        <f>ROUND(VLOOKUP(B:B,录入表!B:BF,56,0)*VLOOKUP(B:B,奖励标准!A:BD,55,0)+VLOOKUP(B:B,录入表!B:BF,57,0)*VLOOKUP(B:B,奖励标准!A:BD,56,0),0)</f>
        <v>0</v>
      </c>
      <c r="Y7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0" s="28">
        <f>ROUND(VLOOKUP(B:B,录入表!B:BL,62,0)*VLOOKUP(B:B,奖励标准!A:BJ,61,0)+VLOOKUP(B:B,奖励标准!A:BJ,62,0)*VLOOKUP(B:B,录入表!B:BL,63,0),0)</f>
        <v>0</v>
      </c>
      <c r="AA7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0" s="82">
        <f>ROUND(VLOOKUP(B:B,录入表!B:CV,98,0)*VLOOKUP(B:B,奖励标准!A:CT,97,0)+VLOOKUP(B:B,奖励标准!A:CU,98,0)*VLOOKUP(B:B,录入表!B:CV,99,0),0)</f>
        <v>0</v>
      </c>
      <c r="AG70" s="82">
        <f>ROUND(VLOOKUP(B:B,录入表!B:CT,96,0)*VLOOKUP(B:B,奖励标准!A:CR,95,0)+VLOOKUP(B:B,录入表!B:CT,97,0)*VLOOKUP(B:B,奖励标准!A:CR,96,0),0)</f>
        <v>0</v>
      </c>
      <c r="AH70" s="28">
        <f>ROUND(VLOOKUP(B:B,录入表!B:CW,100,0)*VLOOKUP(科室绩效工资核算1!B:B,奖励标准!A:L,11,0),0)</f>
        <v>0</v>
      </c>
      <c r="AI7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0" s="3">
        <f>ROUND(VLOOKUP(科室绩效工资核算1!B:B,录入表!B:O,14,0)*VLOOKUP(科室绩效工资核算1!B:B,奖励标准!A:M,13,0),0)</f>
        <v>0</v>
      </c>
      <c r="AK70" s="3">
        <f>ROUND(VLOOKUP(科室绩效工资核算1!B:B,录入表!B:P,15,0)*VLOOKUP(科室绩效工资核算1!B:B,奖励标准!A:N,14,0),0)</f>
        <v>0</v>
      </c>
      <c r="AL70" s="3">
        <f>ROUND(VLOOKUP(科室绩效工资核算1!B:B,录入表!B:P,15,0)*VLOOKUP(科室绩效工资核算1!B:B,奖励标准!A:AU,47,0),0)</f>
        <v>0</v>
      </c>
      <c r="AM70" s="3">
        <f t="shared" ref="AM70:AM87" si="3">SUM(AH70:AL70)</f>
        <v>0</v>
      </c>
      <c r="AN70" s="3">
        <f t="shared" si="2"/>
        <v>2463.4880000000003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2:86" ht="12.5" customHeight="1" x14ac:dyDescent="0.25">
      <c r="B71" s="73" t="s">
        <v>42</v>
      </c>
      <c r="C71" s="3">
        <f>AQ$7*VLOOKUP(B:B,人员表!B:G,MATCH("员工",人员表!$B$3:$G$3,0),0)</f>
        <v>0</v>
      </c>
      <c r="D71" s="3"/>
      <c r="E7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1" s="3">
        <f>ROUND(VLOOKUP(B:B,录入表!B:AT,45,0)*VLOOKUP(科室绩效工资核算1!B:B,奖励标准!A:AR,44,0),0)</f>
        <v>0</v>
      </c>
      <c r="G71" s="3">
        <f>ROUND((VLOOKUP(B:B,录入表!B:W,22,0)+VLOOKUP(B:B,录入表!B:X,23,0))*VLOOKUP(B:B,奖励标准!A:AS,45,0),0)</f>
        <v>0</v>
      </c>
      <c r="H71" s="3">
        <f>ROUND(VLOOKUP(B:B,录入表!B:H,7,0)*VLOOKUP(B:B,奖励标准!A:F,6,0),0)</f>
        <v>0</v>
      </c>
      <c r="I71" s="3">
        <f>ROUND(VLOOKUP(B:B,录入表!B:I,8,0)*VLOOKUP(B:B,奖励标准!A:G,7,0),0)</f>
        <v>0</v>
      </c>
      <c r="J71" s="3">
        <f>ROUND(VLOOKUP(B:B,录入表!B:J,9,0)*VLOOKUP(B:B,奖励标准!A:H,8,0),0)</f>
        <v>0</v>
      </c>
      <c r="K71" s="3">
        <f>ROUND(VLOOKUP(B:B,录入表!B:Q,16,0)*VLOOKUP(科室绩效工资核算1!B:B,奖励标准!A:O,15,0),0)</f>
        <v>0</v>
      </c>
      <c r="L7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1" s="3">
        <f>ROUND(VLOOKUP(科室绩效工资核算1!B:B,录入表!B:AB,27,0)*VLOOKUP(科室绩效工资核算1!B:B,奖励标准!A:Z,26,0),0)</f>
        <v>0</v>
      </c>
      <c r="N71" s="3">
        <f>ROUND(VLOOKUP(B:B,录入表!B:AW,48,0)*VLOOKUP(B:B,奖励标准!A:AT,46,0),0)</f>
        <v>0</v>
      </c>
      <c r="O71" s="3">
        <f>ROUND(VLOOKUP(科室绩效工资核算1!B:B,录入表!B:AA,26,0)*VLOOKUP(B:B,奖励标准!A:Y,25,0),0)</f>
        <v>0</v>
      </c>
      <c r="P7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1" s="3">
        <f>ROUND(VLOOKUP(B:B,录入表!B:AL,37,0)*VLOOKUP(B:B,奖励标准!A:AJ,36,0)+ROUND(VLOOKUP(B:B,录入表!B:AM,38,0)*VLOOKUP(B:B,奖励标准!A:AK,37,0),0),0)</f>
        <v>0</v>
      </c>
      <c r="R71" s="3">
        <f>ROUND(VLOOKUP(B:B,录入表!B:AN,39,0)*VLOOKUP(B:B,奖励标准!A:AL,38,0)+VLOOKUP(B:B,录入表!B:AO,40,0)*VLOOKUP(B:B,奖励标准!A:AM,39,0),0)</f>
        <v>0</v>
      </c>
      <c r="S71" s="3">
        <f>ROUND(((VLOOKUP(B:B,录入表!B:C,2,0)+VLOOKUP(B:B,录入表!B:E,4,0))*VLOOKUP(B:B,奖励标准!A:CU,99,0)),0)</f>
        <v>0</v>
      </c>
      <c r="T7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1" s="3">
        <f>ROUND(VLOOKUP(科室绩效工资核算1!B:B,录入表!B:AU,46,0)*VLOOKUP(B:B,奖励标准!A:CV,100,0),0)</f>
        <v>0</v>
      </c>
      <c r="V71" s="3">
        <f>ROUND(VLOOKUP(科室绩效工资核算1!B:B,录入表!B:AV,47,0)*VLOOKUP(B:B,奖励标准!A:CW,101,0),0)</f>
        <v>0</v>
      </c>
      <c r="W7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1" s="28">
        <f>ROUND(VLOOKUP(B:B,录入表!B:BF,56,0)*VLOOKUP(B:B,奖励标准!A:BD,55,0)+VLOOKUP(B:B,录入表!B:BF,57,0)*VLOOKUP(B:B,奖励标准!A:BD,56,0),0)</f>
        <v>0</v>
      </c>
      <c r="Y7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1" s="28">
        <f>ROUND(VLOOKUP(B:B,录入表!B:BL,62,0)*VLOOKUP(B:B,奖励标准!A:BJ,61,0)+VLOOKUP(B:B,奖励标准!A:BJ,62,0)*VLOOKUP(B:B,录入表!B:BL,63,0),0)</f>
        <v>0</v>
      </c>
      <c r="AA7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1" s="82">
        <f>ROUND(VLOOKUP(B:B,录入表!B:CV,98,0)*VLOOKUP(B:B,奖励标准!A:CT,97,0)+VLOOKUP(B:B,奖励标准!A:CU,98,0)*VLOOKUP(B:B,录入表!B:CV,99,0),0)</f>
        <v>0</v>
      </c>
      <c r="AG71" s="82">
        <f>ROUND(VLOOKUP(B:B,录入表!B:CT,96,0)*VLOOKUP(B:B,奖励标准!A:CR,95,0)+VLOOKUP(B:B,录入表!B:CT,97,0)*VLOOKUP(B:B,奖励标准!A:CR,96,0),0)</f>
        <v>0</v>
      </c>
      <c r="AH71" s="28">
        <f>ROUND(VLOOKUP(B:B,录入表!B:CW,100,0)*VLOOKUP(科室绩效工资核算1!B:B,奖励标准!A:L,11,0),0)</f>
        <v>0</v>
      </c>
      <c r="AI7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1" s="3">
        <f>ROUND(VLOOKUP(科室绩效工资核算1!B:B,录入表!B:O,14,0)*VLOOKUP(科室绩效工资核算1!B:B,奖励标准!A:M,13,0),0)</f>
        <v>0</v>
      </c>
      <c r="AK71" s="3">
        <f>ROUND(VLOOKUP(科室绩效工资核算1!B:B,录入表!B:P,15,0)*VLOOKUP(科室绩效工资核算1!B:B,奖励标准!A:N,14,0),0)</f>
        <v>0</v>
      </c>
      <c r="AL71" s="3">
        <f>ROUND(VLOOKUP(科室绩效工资核算1!B:B,录入表!B:P,15,0)*VLOOKUP(科室绩效工资核算1!B:B,奖励标准!A:AU,47,0),0)</f>
        <v>0</v>
      </c>
      <c r="AM71" s="3">
        <f t="shared" si="3"/>
        <v>0</v>
      </c>
      <c r="AN71" s="3">
        <f t="shared" si="2"/>
        <v>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2:86" ht="12.5" customHeight="1" x14ac:dyDescent="0.25">
      <c r="B72" s="73" t="s">
        <v>37</v>
      </c>
      <c r="C72" s="3">
        <f>AQ$7*VLOOKUP(B:B,人员表!B:G,MATCH("员工",人员表!$B$3:$G$3,0),0)</f>
        <v>9730.7775999999994</v>
      </c>
      <c r="D72" s="3"/>
      <c r="E7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2" s="3">
        <f>ROUND(VLOOKUP(B:B,录入表!B:AT,45,0)*VLOOKUP(科室绩效工资核算1!B:B,奖励标准!A:AR,44,0),0)</f>
        <v>0</v>
      </c>
      <c r="G72" s="3">
        <f>ROUND((VLOOKUP(B:B,录入表!B:W,22,0)+VLOOKUP(B:B,录入表!B:X,23,0))*VLOOKUP(B:B,奖励标准!A:AS,45,0),0)</f>
        <v>0</v>
      </c>
      <c r="H72" s="3">
        <f>ROUND(VLOOKUP(B:B,录入表!B:H,7,0)*VLOOKUP(B:B,奖励标准!A:F,6,0),0)</f>
        <v>0</v>
      </c>
      <c r="I72" s="3">
        <f>ROUND(VLOOKUP(B:B,录入表!B:I,8,0)*VLOOKUP(B:B,奖励标准!A:G,7,0),0)</f>
        <v>0</v>
      </c>
      <c r="J72" s="3">
        <f>ROUND(VLOOKUP(B:B,录入表!B:J,9,0)*VLOOKUP(B:B,奖励标准!A:H,8,0),0)</f>
        <v>0</v>
      </c>
      <c r="K72" s="3">
        <f>ROUND(VLOOKUP(B:B,录入表!B:Q,16,0)*VLOOKUP(科室绩效工资核算1!B:B,奖励标准!A:O,15,0),0)</f>
        <v>0</v>
      </c>
      <c r="L7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2" s="3">
        <f>ROUND(VLOOKUP(科室绩效工资核算1!B:B,录入表!B:AB,27,0)*VLOOKUP(科室绩效工资核算1!B:B,奖励标准!A:Z,26,0),0)</f>
        <v>0</v>
      </c>
      <c r="N72" s="3">
        <f>ROUND(VLOOKUP(B:B,录入表!B:AW,48,0)*VLOOKUP(B:B,奖励标准!A:AT,46,0),0)</f>
        <v>0</v>
      </c>
      <c r="O72" s="3">
        <f>ROUND(VLOOKUP(科室绩效工资核算1!B:B,录入表!B:AA,26,0)*VLOOKUP(B:B,奖励标准!A:Y,25,0),0)</f>
        <v>0</v>
      </c>
      <c r="P7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2" s="3">
        <f>ROUND(VLOOKUP(B:B,录入表!B:AL,37,0)*VLOOKUP(B:B,奖励标准!A:AJ,36,0)+ROUND(VLOOKUP(B:B,录入表!B:AM,38,0)*VLOOKUP(B:B,奖励标准!A:AK,37,0),0),0)</f>
        <v>0</v>
      </c>
      <c r="R72" s="3">
        <f>ROUND(VLOOKUP(B:B,录入表!B:AN,39,0)*VLOOKUP(B:B,奖励标准!A:AL,38,0)+VLOOKUP(B:B,录入表!B:AO,40,0)*VLOOKUP(B:B,奖励标准!A:AM,39,0),0)</f>
        <v>0</v>
      </c>
      <c r="S72" s="3">
        <f>ROUND(((VLOOKUP(B:B,录入表!B:C,2,0)+VLOOKUP(B:B,录入表!B:E,4,0))*VLOOKUP(B:B,奖励标准!A:CU,99,0)),0)</f>
        <v>0</v>
      </c>
      <c r="T7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2" s="3">
        <f>ROUND(VLOOKUP(科室绩效工资核算1!B:B,录入表!B:AU,46,0)*VLOOKUP(B:B,奖励标准!A:CV,100,0),0)</f>
        <v>0</v>
      </c>
      <c r="V72" s="3">
        <f>ROUND(VLOOKUP(科室绩效工资核算1!B:B,录入表!B:AV,47,0)*VLOOKUP(B:B,奖励标准!A:CW,101,0),0)</f>
        <v>0</v>
      </c>
      <c r="W7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2" s="28">
        <f>ROUND(VLOOKUP(B:B,录入表!B:BF,56,0)*VLOOKUP(B:B,奖励标准!A:BD,55,0)+VLOOKUP(B:B,录入表!B:BF,57,0)*VLOOKUP(B:B,奖励标准!A:BD,56,0),0)</f>
        <v>0</v>
      </c>
      <c r="Y7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2" s="28">
        <f>ROUND(VLOOKUP(B:B,录入表!B:BL,62,0)*VLOOKUP(B:B,奖励标准!A:BJ,61,0)+VLOOKUP(B:B,奖励标准!A:BJ,62,0)*VLOOKUP(B:B,录入表!B:BL,63,0),0)</f>
        <v>0</v>
      </c>
      <c r="AA7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2" s="82">
        <f>ROUND(VLOOKUP(B:B,录入表!B:CV,98,0)*VLOOKUP(B:B,奖励标准!A:CT,97,0)+VLOOKUP(B:B,奖励标准!A:CU,98,0)*VLOOKUP(B:B,录入表!B:CV,99,0),0)</f>
        <v>0</v>
      </c>
      <c r="AG72" s="82">
        <f>ROUND(VLOOKUP(B:B,录入表!B:CT,96,0)*VLOOKUP(B:B,奖励标准!A:CR,95,0)+VLOOKUP(B:B,录入表!B:CT,97,0)*VLOOKUP(B:B,奖励标准!A:CR,96,0),0)</f>
        <v>0</v>
      </c>
      <c r="AH72" s="28">
        <f>ROUND(VLOOKUP(B:B,录入表!B:CW,100,0)*VLOOKUP(科室绩效工资核算1!B:B,奖励标准!A:L,11,0),0)</f>
        <v>0</v>
      </c>
      <c r="AI7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2" s="3">
        <f>ROUND(VLOOKUP(科室绩效工资核算1!B:B,录入表!B:O,14,0)*VLOOKUP(科室绩效工资核算1!B:B,奖励标准!A:M,13,0),0)</f>
        <v>0</v>
      </c>
      <c r="AK72" s="3">
        <f>ROUND(VLOOKUP(科室绩效工资核算1!B:B,录入表!B:P,15,0)*VLOOKUP(科室绩效工资核算1!B:B,奖励标准!A:N,14,0),0)</f>
        <v>0</v>
      </c>
      <c r="AL72" s="3">
        <f>ROUND(VLOOKUP(科室绩效工资核算1!B:B,录入表!B:P,15,0)*VLOOKUP(科室绩效工资核算1!B:B,奖励标准!A:AU,47,0),0)</f>
        <v>0</v>
      </c>
      <c r="AM72" s="3">
        <f t="shared" si="3"/>
        <v>0</v>
      </c>
      <c r="AN72" s="3">
        <f t="shared" si="2"/>
        <v>9730.7775999999994</v>
      </c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2:86" ht="12.5" customHeight="1" x14ac:dyDescent="0.25">
      <c r="B73" s="73" t="s">
        <v>45</v>
      </c>
      <c r="C73" s="3">
        <f>AQ$7*VLOOKUP(B:B,人员表!B:G,MATCH("员工",人员表!$B$3:$G$3,0),0)</f>
        <v>18476.160000000003</v>
      </c>
      <c r="D73" s="3"/>
      <c r="E7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3" s="3">
        <f>ROUND(VLOOKUP(B:B,录入表!B:AT,45,0)*VLOOKUP(科室绩效工资核算1!B:B,奖励标准!A:AR,44,0),0)</f>
        <v>0</v>
      </c>
      <c r="G73" s="3">
        <f>ROUND((VLOOKUP(B:B,录入表!B:W,22,0)+VLOOKUP(B:B,录入表!B:X,23,0))*VLOOKUP(B:B,奖励标准!A:AS,45,0),0)</f>
        <v>0</v>
      </c>
      <c r="H73" s="3">
        <f>ROUND(VLOOKUP(B:B,录入表!B:H,7,0)*VLOOKUP(B:B,奖励标准!A:F,6,0),0)</f>
        <v>0</v>
      </c>
      <c r="I73" s="3">
        <f>ROUND(VLOOKUP(B:B,录入表!B:I,8,0)*VLOOKUP(B:B,奖励标准!A:G,7,0),0)</f>
        <v>0</v>
      </c>
      <c r="J73" s="3">
        <f>ROUND(VLOOKUP(B:B,录入表!B:J,9,0)*VLOOKUP(B:B,奖励标准!A:H,8,0),0)</f>
        <v>0</v>
      </c>
      <c r="K73" s="3">
        <f>ROUND(VLOOKUP(B:B,录入表!B:Q,16,0)*VLOOKUP(科室绩效工资核算1!B:B,奖励标准!A:O,15,0),0)</f>
        <v>0</v>
      </c>
      <c r="L7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3" s="3">
        <f>ROUND(VLOOKUP(科室绩效工资核算1!B:B,录入表!B:AB,27,0)*VLOOKUP(科室绩效工资核算1!B:B,奖励标准!A:Z,26,0),0)</f>
        <v>0</v>
      </c>
      <c r="N73" s="3">
        <f>ROUND(VLOOKUP(B:B,录入表!B:AW,48,0)*VLOOKUP(B:B,奖励标准!A:AT,46,0),0)</f>
        <v>0</v>
      </c>
      <c r="O73" s="3">
        <f>ROUND(VLOOKUP(科室绩效工资核算1!B:B,录入表!B:AA,26,0)*VLOOKUP(B:B,奖励标准!A:Y,25,0),0)</f>
        <v>0</v>
      </c>
      <c r="P7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3" s="3">
        <f>ROUND(VLOOKUP(B:B,录入表!B:AL,37,0)*VLOOKUP(B:B,奖励标准!A:AJ,36,0)+ROUND(VLOOKUP(B:B,录入表!B:AM,38,0)*VLOOKUP(B:B,奖励标准!A:AK,37,0),0),0)</f>
        <v>0</v>
      </c>
      <c r="R73" s="3">
        <f>ROUND(VLOOKUP(B:B,录入表!B:AN,39,0)*VLOOKUP(B:B,奖励标准!A:AL,38,0)+VLOOKUP(B:B,录入表!B:AO,40,0)*VLOOKUP(B:B,奖励标准!A:AM,39,0),0)</f>
        <v>0</v>
      </c>
      <c r="S73" s="3">
        <f>ROUND(((VLOOKUP(B:B,录入表!B:C,2,0)+VLOOKUP(B:B,录入表!B:E,4,0))*VLOOKUP(B:B,奖励标准!A:CU,99,0)),0)</f>
        <v>0</v>
      </c>
      <c r="T7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3" s="3">
        <f>ROUND(VLOOKUP(科室绩效工资核算1!B:B,录入表!B:AU,46,0)*VLOOKUP(B:B,奖励标准!A:CV,100,0),0)</f>
        <v>0</v>
      </c>
      <c r="V73" s="3">
        <f>ROUND(VLOOKUP(科室绩效工资核算1!B:B,录入表!B:AV,47,0)*VLOOKUP(B:B,奖励标准!A:CW,101,0),0)</f>
        <v>0</v>
      </c>
      <c r="W7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3" s="28">
        <f>ROUND(VLOOKUP(B:B,录入表!B:BF,56,0)*VLOOKUP(B:B,奖励标准!A:BD,55,0)+VLOOKUP(B:B,录入表!B:BF,57,0)*VLOOKUP(B:B,奖励标准!A:BD,56,0),0)</f>
        <v>0</v>
      </c>
      <c r="Y7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3" s="28">
        <f>ROUND(VLOOKUP(B:B,录入表!B:BL,62,0)*VLOOKUP(B:B,奖励标准!A:BJ,61,0)+VLOOKUP(B:B,奖励标准!A:BJ,62,0)*VLOOKUP(B:B,录入表!B:BL,63,0),0)</f>
        <v>0</v>
      </c>
      <c r="AA7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3" s="82">
        <f>ROUND(VLOOKUP(B:B,录入表!B:CV,98,0)*VLOOKUP(B:B,奖励标准!A:CT,97,0)+VLOOKUP(B:B,奖励标准!A:CU,98,0)*VLOOKUP(B:B,录入表!B:CV,99,0),0)</f>
        <v>0</v>
      </c>
      <c r="AG73" s="82">
        <f>ROUND(VLOOKUP(B:B,录入表!B:CT,96,0)*VLOOKUP(B:B,奖励标准!A:CR,95,0)+VLOOKUP(B:B,录入表!B:CT,97,0)*VLOOKUP(B:B,奖励标准!A:CR,96,0),0)</f>
        <v>0</v>
      </c>
      <c r="AH73" s="28">
        <f>ROUND(VLOOKUP(B:B,录入表!B:CW,100,0)*VLOOKUP(科室绩效工资核算1!B:B,奖励标准!A:L,11,0),0)</f>
        <v>0</v>
      </c>
      <c r="AI7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3" s="3">
        <f>ROUND(VLOOKUP(科室绩效工资核算1!B:B,录入表!B:O,14,0)*VLOOKUP(科室绩效工资核算1!B:B,奖励标准!A:M,13,0),0)</f>
        <v>0</v>
      </c>
      <c r="AK73" s="3">
        <f>ROUND(VLOOKUP(科室绩效工资核算1!B:B,录入表!B:P,15,0)*VLOOKUP(科室绩效工资核算1!B:B,奖励标准!A:N,14,0),0)</f>
        <v>0</v>
      </c>
      <c r="AL73" s="3">
        <f>ROUND(VLOOKUP(科室绩效工资核算1!B:B,录入表!B:P,15,0)*VLOOKUP(科室绩效工资核算1!B:B,奖励标准!A:AU,47,0),0)</f>
        <v>0</v>
      </c>
      <c r="AM73" s="3">
        <f t="shared" si="3"/>
        <v>0</v>
      </c>
      <c r="AN73" s="3">
        <f t="shared" si="2"/>
        <v>18476.160000000003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2:86" ht="12.5" customHeight="1" x14ac:dyDescent="0.25">
      <c r="B74" s="73" t="s">
        <v>43</v>
      </c>
      <c r="C74" s="3">
        <f>AQ$7*VLOOKUP(B:B,人员表!B:G,MATCH("员工",人员表!$B$3:$G$3,0),0)</f>
        <v>23403.135999999999</v>
      </c>
      <c r="D74" s="3"/>
      <c r="E7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4" s="3">
        <f>ROUND(VLOOKUP(B:B,录入表!B:AT,45,0)*VLOOKUP(科室绩效工资核算1!B:B,奖励标准!A:AR,44,0),0)</f>
        <v>0</v>
      </c>
      <c r="G74" s="3">
        <f>ROUND((VLOOKUP(B:B,录入表!B:W,22,0)+VLOOKUP(B:B,录入表!B:X,23,0))*VLOOKUP(B:B,奖励标准!A:AS,45,0),0)</f>
        <v>0</v>
      </c>
      <c r="H74" s="3">
        <f>ROUND(VLOOKUP(B:B,录入表!B:H,7,0)*VLOOKUP(B:B,奖励标准!A:F,6,0),0)</f>
        <v>0</v>
      </c>
      <c r="I74" s="3">
        <f>ROUND(VLOOKUP(B:B,录入表!B:I,8,0)*VLOOKUP(B:B,奖励标准!A:G,7,0),0)</f>
        <v>0</v>
      </c>
      <c r="J74" s="3">
        <f>ROUND(VLOOKUP(B:B,录入表!B:J,9,0)*VLOOKUP(B:B,奖励标准!A:H,8,0),0)</f>
        <v>0</v>
      </c>
      <c r="K74" s="3">
        <f>ROUND(VLOOKUP(B:B,录入表!B:Q,16,0)*VLOOKUP(科室绩效工资核算1!B:B,奖励标准!A:O,15,0),0)</f>
        <v>0</v>
      </c>
      <c r="L7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4" s="3">
        <f>ROUND(VLOOKUP(科室绩效工资核算1!B:B,录入表!B:AB,27,0)*VLOOKUP(科室绩效工资核算1!B:B,奖励标准!A:Z,26,0),0)</f>
        <v>0</v>
      </c>
      <c r="N74" s="3">
        <f>ROUND(VLOOKUP(B:B,录入表!B:AW,48,0)*VLOOKUP(B:B,奖励标准!A:AT,46,0),0)</f>
        <v>0</v>
      </c>
      <c r="O74" s="3">
        <f>ROUND(VLOOKUP(科室绩效工资核算1!B:B,录入表!B:AA,26,0)*VLOOKUP(B:B,奖励标准!A:Y,25,0),0)</f>
        <v>0</v>
      </c>
      <c r="P7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4" s="3">
        <f>ROUND(VLOOKUP(B:B,录入表!B:AL,37,0)*VLOOKUP(B:B,奖励标准!A:AJ,36,0)+ROUND(VLOOKUP(B:B,录入表!B:AM,38,0)*VLOOKUP(B:B,奖励标准!A:AK,37,0),0),0)</f>
        <v>0</v>
      </c>
      <c r="R74" s="3">
        <f>ROUND(VLOOKUP(B:B,录入表!B:AN,39,0)*VLOOKUP(B:B,奖励标准!A:AL,38,0)+VLOOKUP(B:B,录入表!B:AO,40,0)*VLOOKUP(B:B,奖励标准!A:AM,39,0),0)</f>
        <v>0</v>
      </c>
      <c r="S74" s="3">
        <f>ROUND(((VLOOKUP(B:B,录入表!B:C,2,0)+VLOOKUP(B:B,录入表!B:E,4,0))*VLOOKUP(B:B,奖励标准!A:CU,99,0)),0)</f>
        <v>0</v>
      </c>
      <c r="T7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4" s="3">
        <f>ROUND(VLOOKUP(科室绩效工资核算1!B:B,录入表!B:AU,46,0)*VLOOKUP(B:B,奖励标准!A:CV,100,0),0)</f>
        <v>0</v>
      </c>
      <c r="V74" s="3">
        <f>ROUND(VLOOKUP(科室绩效工资核算1!B:B,录入表!B:AV,47,0)*VLOOKUP(B:B,奖励标准!A:CW,101,0),0)</f>
        <v>0</v>
      </c>
      <c r="W7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4" s="28">
        <f>ROUND(VLOOKUP(B:B,录入表!B:BF,56,0)*VLOOKUP(B:B,奖励标准!A:BD,55,0)+VLOOKUP(B:B,录入表!B:BF,57,0)*VLOOKUP(B:B,奖励标准!A:BD,56,0),0)</f>
        <v>0</v>
      </c>
      <c r="Y7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4" s="28">
        <f>ROUND(VLOOKUP(B:B,录入表!B:BL,62,0)*VLOOKUP(B:B,奖励标准!A:BJ,61,0)+VLOOKUP(B:B,奖励标准!A:BJ,62,0)*VLOOKUP(B:B,录入表!B:BL,63,0),0)</f>
        <v>0</v>
      </c>
      <c r="AA7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4" s="82">
        <f>ROUND(VLOOKUP(B:B,录入表!B:CV,98,0)*VLOOKUP(B:B,奖励标准!A:CT,97,0)+VLOOKUP(B:B,奖励标准!A:CU,98,0)*VLOOKUP(B:B,录入表!B:CV,99,0),0)</f>
        <v>0</v>
      </c>
      <c r="AG74" s="82">
        <f>ROUND(VLOOKUP(B:B,录入表!B:CT,96,0)*VLOOKUP(B:B,奖励标准!A:CR,95,0)+VLOOKUP(B:B,录入表!B:CT,97,0)*VLOOKUP(B:B,奖励标准!A:CR,96,0),0)</f>
        <v>0</v>
      </c>
      <c r="AH74" s="28">
        <f>ROUND(VLOOKUP(B:B,录入表!B:CW,100,0)*VLOOKUP(科室绩效工资核算1!B:B,奖励标准!A:L,11,0),0)</f>
        <v>0</v>
      </c>
      <c r="AI7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4" s="3">
        <f>ROUND(VLOOKUP(科室绩效工资核算1!B:B,录入表!B:O,14,0)*VLOOKUP(科室绩效工资核算1!B:B,奖励标准!A:M,13,0),0)</f>
        <v>0</v>
      </c>
      <c r="AK74" s="3">
        <f>ROUND(VLOOKUP(科室绩效工资核算1!B:B,录入表!B:P,15,0)*VLOOKUP(科室绩效工资核算1!B:B,奖励标准!A:N,14,0),0)</f>
        <v>0</v>
      </c>
      <c r="AL74" s="3">
        <f>ROUND(VLOOKUP(科室绩效工资核算1!B:B,录入表!B:P,15,0)*VLOOKUP(科室绩效工资核算1!B:B,奖励标准!A:AU,47,0),0)</f>
        <v>0</v>
      </c>
      <c r="AM74" s="3">
        <f t="shared" si="3"/>
        <v>0</v>
      </c>
      <c r="AN74" s="3">
        <f t="shared" si="2"/>
        <v>23403.135999999999</v>
      </c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2:86" ht="12.5" customHeight="1" x14ac:dyDescent="0.25">
      <c r="B75" s="73" t="s">
        <v>33</v>
      </c>
      <c r="C75" s="3">
        <f>AQ$7*VLOOKUP(B:B,人员表!B:G,MATCH("员工",人员表!$B$3:$G$3,0),0)</f>
        <v>2886.9</v>
      </c>
      <c r="D75" s="3"/>
      <c r="E7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5" s="3">
        <f>ROUND(VLOOKUP(B:B,录入表!B:AT,45,0)*VLOOKUP(科室绩效工资核算1!B:B,奖励标准!A:AR,44,0),0)</f>
        <v>0</v>
      </c>
      <c r="G75" s="3">
        <f>ROUND((VLOOKUP(B:B,录入表!B:W,22,0)+VLOOKUP(B:B,录入表!B:X,23,0))*VLOOKUP(B:B,奖励标准!A:AS,45,0),0)</f>
        <v>0</v>
      </c>
      <c r="H75" s="3">
        <f>ROUND(VLOOKUP(B:B,录入表!B:H,7,0)*VLOOKUP(B:B,奖励标准!A:F,6,0),0)</f>
        <v>0</v>
      </c>
      <c r="I75" s="3">
        <f>ROUND(VLOOKUP(B:B,录入表!B:I,8,0)*VLOOKUP(B:B,奖励标准!A:G,7,0),0)</f>
        <v>0</v>
      </c>
      <c r="J75" s="3">
        <f>ROUND(VLOOKUP(B:B,录入表!B:J,9,0)*VLOOKUP(B:B,奖励标准!A:H,8,0),0)</f>
        <v>0</v>
      </c>
      <c r="K75" s="3">
        <f>ROUND(VLOOKUP(B:B,录入表!B:Q,16,0)*VLOOKUP(科室绩效工资核算1!B:B,奖励标准!A:O,15,0),0)</f>
        <v>0</v>
      </c>
      <c r="L7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5" s="3">
        <f>ROUND(VLOOKUP(科室绩效工资核算1!B:B,录入表!B:AB,27,0)*VLOOKUP(科室绩效工资核算1!B:B,奖励标准!A:Z,26,0),0)</f>
        <v>0</v>
      </c>
      <c r="N75" s="3">
        <f>ROUND(VLOOKUP(B:B,录入表!B:AW,48,0)*VLOOKUP(B:B,奖励标准!A:AT,46,0),0)</f>
        <v>0</v>
      </c>
      <c r="O75" s="3">
        <f>ROUND(VLOOKUP(科室绩效工资核算1!B:B,录入表!B:AA,26,0)*VLOOKUP(B:B,奖励标准!A:Y,25,0),0)</f>
        <v>0</v>
      </c>
      <c r="P7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5" s="3">
        <f>ROUND(VLOOKUP(B:B,录入表!B:AL,37,0)*VLOOKUP(B:B,奖励标准!A:AJ,36,0)+ROUND(VLOOKUP(B:B,录入表!B:AM,38,0)*VLOOKUP(B:B,奖励标准!A:AK,37,0),0),0)</f>
        <v>0</v>
      </c>
      <c r="R75" s="3">
        <f>ROUND(VLOOKUP(B:B,录入表!B:AN,39,0)*VLOOKUP(B:B,奖励标准!A:AL,38,0)+VLOOKUP(B:B,录入表!B:AO,40,0)*VLOOKUP(B:B,奖励标准!A:AM,39,0),0)</f>
        <v>0</v>
      </c>
      <c r="S75" s="3">
        <f>ROUND(((VLOOKUP(B:B,录入表!B:C,2,0)+VLOOKUP(B:B,录入表!B:E,4,0))*VLOOKUP(B:B,奖励标准!A:CU,99,0)),0)</f>
        <v>0</v>
      </c>
      <c r="T7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5" s="3">
        <f>ROUND(VLOOKUP(科室绩效工资核算1!B:B,录入表!B:AU,46,0)*VLOOKUP(B:B,奖励标准!A:CV,100,0),0)</f>
        <v>0</v>
      </c>
      <c r="V75" s="3">
        <f>ROUND(VLOOKUP(科室绩效工资核算1!B:B,录入表!B:AV,47,0)*VLOOKUP(B:B,奖励标准!A:CW,101,0),0)</f>
        <v>0</v>
      </c>
      <c r="W7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5" s="28">
        <f>ROUND(VLOOKUP(B:B,录入表!B:BF,56,0)*VLOOKUP(B:B,奖励标准!A:BD,55,0)+VLOOKUP(B:B,录入表!B:BF,57,0)*VLOOKUP(B:B,奖励标准!A:BD,56,0),0)</f>
        <v>0</v>
      </c>
      <c r="Y7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5" s="28">
        <f>ROUND(VLOOKUP(B:B,录入表!B:BL,62,0)*VLOOKUP(B:B,奖励标准!A:BJ,61,0)+VLOOKUP(B:B,奖励标准!A:BJ,62,0)*VLOOKUP(B:B,录入表!B:BL,63,0),0)</f>
        <v>0</v>
      </c>
      <c r="AA7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5" s="82">
        <f>ROUND(VLOOKUP(B:B,录入表!B:CV,98,0)*VLOOKUP(B:B,奖励标准!A:CT,97,0)+VLOOKUP(B:B,奖励标准!A:CU,98,0)*VLOOKUP(B:B,录入表!B:CV,99,0),0)</f>
        <v>0</v>
      </c>
      <c r="AG75" s="82">
        <f>ROUND(VLOOKUP(B:B,录入表!B:CT,96,0)*VLOOKUP(B:B,奖励标准!A:CR,95,0)+VLOOKUP(B:B,录入表!B:CT,97,0)*VLOOKUP(B:B,奖励标准!A:CR,96,0),0)</f>
        <v>0</v>
      </c>
      <c r="AH75" s="28">
        <f>ROUND(VLOOKUP(B:B,录入表!B:CW,100,0)*VLOOKUP(科室绩效工资核算1!B:B,奖励标准!A:L,11,0),0)</f>
        <v>0</v>
      </c>
      <c r="AI7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5" s="3">
        <f>ROUND(VLOOKUP(科室绩效工资核算1!B:B,录入表!B:O,14,0)*VLOOKUP(科室绩效工资核算1!B:B,奖励标准!A:M,13,0),0)</f>
        <v>0</v>
      </c>
      <c r="AK75" s="3">
        <f>ROUND(VLOOKUP(科室绩效工资核算1!B:B,录入表!B:P,15,0)*VLOOKUP(科室绩效工资核算1!B:B,奖励标准!A:N,14,0),0)</f>
        <v>0</v>
      </c>
      <c r="AL75" s="3">
        <f>ROUND(VLOOKUP(科室绩效工资核算1!B:B,录入表!B:P,15,0)*VLOOKUP(科室绩效工资核算1!B:B,奖励标准!A:AU,47,0),0)</f>
        <v>0</v>
      </c>
      <c r="AM75" s="3">
        <f t="shared" si="3"/>
        <v>0</v>
      </c>
      <c r="AN75" s="3">
        <f t="shared" si="2"/>
        <v>2886.9</v>
      </c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2:86" ht="12.5" customHeight="1" x14ac:dyDescent="0.25">
      <c r="B76" s="73" t="s">
        <v>140</v>
      </c>
      <c r="C76" s="3">
        <f>AQ$7*VLOOKUP(B:B,人员表!B:G,MATCH("员工",人员表!$B$3:$G$3,0),0)</f>
        <v>2463.4880000000003</v>
      </c>
      <c r="D76" s="3"/>
      <c r="E7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6" s="3">
        <f>ROUND(VLOOKUP(B:B,录入表!B:AT,45,0)*VLOOKUP(科室绩效工资核算1!B:B,奖励标准!A:AR,44,0),0)</f>
        <v>0</v>
      </c>
      <c r="G76" s="3">
        <f>ROUND((VLOOKUP(B:B,录入表!B:W,22,0)+VLOOKUP(B:B,录入表!B:X,23,0))*VLOOKUP(B:B,奖励标准!A:AS,45,0),0)</f>
        <v>0</v>
      </c>
      <c r="H76" s="3">
        <f>ROUND(VLOOKUP(B:B,录入表!B:H,7,0)*VLOOKUP(B:B,奖励标准!A:F,6,0),0)</f>
        <v>0</v>
      </c>
      <c r="I76" s="3">
        <f>ROUND(VLOOKUP(B:B,录入表!B:I,8,0)*VLOOKUP(B:B,奖励标准!A:G,7,0),0)</f>
        <v>0</v>
      </c>
      <c r="J76" s="3">
        <f>ROUND(VLOOKUP(B:B,录入表!B:J,9,0)*VLOOKUP(B:B,奖励标准!A:H,8,0),0)</f>
        <v>0</v>
      </c>
      <c r="K76" s="3">
        <f>ROUND(VLOOKUP(B:B,录入表!B:Q,16,0)*VLOOKUP(科室绩效工资核算1!B:B,奖励标准!A:O,15,0),0)</f>
        <v>0</v>
      </c>
      <c r="L7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6" s="3">
        <f>ROUND(VLOOKUP(科室绩效工资核算1!B:B,录入表!B:AB,27,0)*VLOOKUP(科室绩效工资核算1!B:B,奖励标准!A:Z,26,0),0)</f>
        <v>0</v>
      </c>
      <c r="N76" s="3">
        <f>ROUND(VLOOKUP(B:B,录入表!B:AW,48,0)*VLOOKUP(B:B,奖励标准!A:AT,46,0),0)</f>
        <v>0</v>
      </c>
      <c r="O76" s="3">
        <f>ROUND(VLOOKUP(科室绩效工资核算1!B:B,录入表!B:AA,26,0)*VLOOKUP(B:B,奖励标准!A:Y,25,0),0)</f>
        <v>0</v>
      </c>
      <c r="P7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6" s="3">
        <f>ROUND(VLOOKUP(B:B,录入表!B:AL,37,0)*VLOOKUP(B:B,奖励标准!A:AJ,36,0)+ROUND(VLOOKUP(B:B,录入表!B:AM,38,0)*VLOOKUP(B:B,奖励标准!A:AK,37,0),0),0)</f>
        <v>0</v>
      </c>
      <c r="R76" s="3">
        <f>ROUND(VLOOKUP(B:B,录入表!B:AN,39,0)*VLOOKUP(B:B,奖励标准!A:AL,38,0)+VLOOKUP(B:B,录入表!B:AO,40,0)*VLOOKUP(B:B,奖励标准!A:AM,39,0),0)</f>
        <v>0</v>
      </c>
      <c r="S76" s="3">
        <f>ROUND(((VLOOKUP(B:B,录入表!B:C,2,0)+VLOOKUP(B:B,录入表!B:E,4,0))*VLOOKUP(B:B,奖励标准!A:CU,99,0)),0)</f>
        <v>0</v>
      </c>
      <c r="T7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6" s="3">
        <f>ROUND(VLOOKUP(科室绩效工资核算1!B:B,录入表!B:AU,46,0)*VLOOKUP(B:B,奖励标准!A:CV,100,0),0)</f>
        <v>0</v>
      </c>
      <c r="V76" s="3">
        <f>ROUND(VLOOKUP(科室绩效工资核算1!B:B,录入表!B:AV,47,0)*VLOOKUP(B:B,奖励标准!A:CW,101,0),0)</f>
        <v>0</v>
      </c>
      <c r="W7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6" s="28">
        <f>ROUND(VLOOKUP(B:B,录入表!B:BF,56,0)*VLOOKUP(B:B,奖励标准!A:BD,55,0)+VLOOKUP(B:B,录入表!B:BF,57,0)*VLOOKUP(B:B,奖励标准!A:BD,56,0),0)</f>
        <v>0</v>
      </c>
      <c r="Y7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6" s="28">
        <f>ROUND(VLOOKUP(B:B,录入表!B:BL,62,0)*VLOOKUP(B:B,奖励标准!A:BJ,61,0)+VLOOKUP(B:B,奖励标准!A:BJ,62,0)*VLOOKUP(B:B,录入表!B:BL,63,0),0)</f>
        <v>0</v>
      </c>
      <c r="AA7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6" s="82">
        <f>ROUND(VLOOKUP(B:B,录入表!B:CV,98,0)*VLOOKUP(B:B,奖励标准!A:CT,97,0)+VLOOKUP(B:B,奖励标准!A:CU,98,0)*VLOOKUP(B:B,录入表!B:CV,99,0),0)</f>
        <v>0</v>
      </c>
      <c r="AG76" s="82">
        <f>ROUND(VLOOKUP(B:B,录入表!B:CT,96,0)*VLOOKUP(B:B,奖励标准!A:CR,95,0)+VLOOKUP(B:B,录入表!B:CT,97,0)*VLOOKUP(B:B,奖励标准!A:CR,96,0),0)</f>
        <v>0</v>
      </c>
      <c r="AH76" s="28">
        <f>ROUND(VLOOKUP(B:B,录入表!B:CW,100,0)*VLOOKUP(科室绩效工资核算1!B:B,奖励标准!A:L,11,0),0)</f>
        <v>0</v>
      </c>
      <c r="AI7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6" s="3">
        <f>ROUND(VLOOKUP(科室绩效工资核算1!B:B,录入表!B:O,14,0)*VLOOKUP(科室绩效工资核算1!B:B,奖励标准!A:M,13,0),0)</f>
        <v>0</v>
      </c>
      <c r="AK76" s="3">
        <f>ROUND(VLOOKUP(科室绩效工资核算1!B:B,录入表!B:P,15,0)*VLOOKUP(科室绩效工资核算1!B:B,奖励标准!A:N,14,0),0)</f>
        <v>0</v>
      </c>
      <c r="AL76" s="3">
        <f>ROUND(VLOOKUP(科室绩效工资核算1!B:B,录入表!B:P,15,0)*VLOOKUP(科室绩效工资核算1!B:B,奖励标准!A:AU,47,0),0)</f>
        <v>0</v>
      </c>
      <c r="AM76" s="3">
        <f t="shared" si="3"/>
        <v>0</v>
      </c>
      <c r="AN76" s="3">
        <f t="shared" si="2"/>
        <v>2463.4880000000003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2:86" ht="12.5" customHeight="1" x14ac:dyDescent="0.25">
      <c r="B77" s="73" t="s">
        <v>39</v>
      </c>
      <c r="C77" s="3">
        <f>AQ$7*VLOOKUP(B:B,人员表!B:G,MATCH("员工",人员表!$B$3:$G$3,0),0)</f>
        <v>8083.3200000000006</v>
      </c>
      <c r="D77" s="3"/>
      <c r="E7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7" s="3">
        <f>ROUND(VLOOKUP(B:B,录入表!B:AT,45,0)*VLOOKUP(科室绩效工资核算1!B:B,奖励标准!A:AR,44,0),0)</f>
        <v>0</v>
      </c>
      <c r="G77" s="3">
        <f>ROUND((VLOOKUP(B:B,录入表!B:W,22,0)+VLOOKUP(B:B,录入表!B:X,23,0))*VLOOKUP(B:B,奖励标准!A:AS,45,0),0)</f>
        <v>0</v>
      </c>
      <c r="H77" s="3">
        <f>ROUND(VLOOKUP(B:B,录入表!B:H,7,0)*VLOOKUP(B:B,奖励标准!A:F,6,0),0)</f>
        <v>0</v>
      </c>
      <c r="I77" s="3">
        <f>ROUND(VLOOKUP(B:B,录入表!B:I,8,0)*VLOOKUP(B:B,奖励标准!A:G,7,0),0)</f>
        <v>0</v>
      </c>
      <c r="J77" s="3">
        <f>ROUND(VLOOKUP(B:B,录入表!B:J,9,0)*VLOOKUP(B:B,奖励标准!A:H,8,0),0)</f>
        <v>0</v>
      </c>
      <c r="K77" s="3">
        <f>ROUND(VLOOKUP(B:B,录入表!B:Q,16,0)*VLOOKUP(科室绩效工资核算1!B:B,奖励标准!A:O,15,0),0)</f>
        <v>0</v>
      </c>
      <c r="L7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7" s="3">
        <f>ROUND(VLOOKUP(科室绩效工资核算1!B:B,录入表!B:AB,27,0)*VLOOKUP(科室绩效工资核算1!B:B,奖励标准!A:Z,26,0),0)</f>
        <v>0</v>
      </c>
      <c r="N77" s="3">
        <f>ROUND(VLOOKUP(B:B,录入表!B:AW,48,0)*VLOOKUP(B:B,奖励标准!A:AT,46,0),0)</f>
        <v>0</v>
      </c>
      <c r="O77" s="3">
        <f>ROUND(VLOOKUP(科室绩效工资核算1!B:B,录入表!B:AA,26,0)*VLOOKUP(B:B,奖励标准!A:Y,25,0),0)</f>
        <v>0</v>
      </c>
      <c r="P7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7" s="3">
        <f>ROUND(VLOOKUP(B:B,录入表!B:AL,37,0)*VLOOKUP(B:B,奖励标准!A:AJ,36,0)+ROUND(VLOOKUP(B:B,录入表!B:AM,38,0)*VLOOKUP(B:B,奖励标准!A:AK,37,0),0),0)</f>
        <v>0</v>
      </c>
      <c r="R77" s="3">
        <f>ROUND(VLOOKUP(B:B,录入表!B:AN,39,0)*VLOOKUP(B:B,奖励标准!A:AL,38,0)+VLOOKUP(B:B,录入表!B:AO,40,0)*VLOOKUP(B:B,奖励标准!A:AM,39,0),0)</f>
        <v>0</v>
      </c>
      <c r="S77" s="3">
        <f>ROUND(((VLOOKUP(B:B,录入表!B:C,2,0)+VLOOKUP(B:B,录入表!B:E,4,0))*VLOOKUP(B:B,奖励标准!A:CU,99,0)),0)</f>
        <v>0</v>
      </c>
      <c r="T7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7" s="3">
        <f>ROUND(VLOOKUP(科室绩效工资核算1!B:B,录入表!B:AU,46,0)*VLOOKUP(B:B,奖励标准!A:CV,100,0),0)</f>
        <v>0</v>
      </c>
      <c r="V77" s="3">
        <f>ROUND(VLOOKUP(科室绩效工资核算1!B:B,录入表!B:AV,47,0)*VLOOKUP(B:B,奖励标准!A:CW,101,0),0)</f>
        <v>0</v>
      </c>
      <c r="W7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7" s="28">
        <f>ROUND(VLOOKUP(B:B,录入表!B:BF,56,0)*VLOOKUP(B:B,奖励标准!A:BD,55,0)+VLOOKUP(B:B,录入表!B:BF,57,0)*VLOOKUP(B:B,奖励标准!A:BD,56,0),0)</f>
        <v>0</v>
      </c>
      <c r="Y7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7" s="28">
        <f>ROUND(VLOOKUP(B:B,录入表!B:BL,62,0)*VLOOKUP(B:B,奖励标准!A:BJ,61,0)+VLOOKUP(B:B,奖励标准!A:BJ,62,0)*VLOOKUP(B:B,录入表!B:BL,63,0),0)</f>
        <v>0</v>
      </c>
      <c r="AA7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7" s="82">
        <f>ROUND(VLOOKUP(B:B,录入表!B:CV,98,0)*VLOOKUP(B:B,奖励标准!A:CT,97,0)+VLOOKUP(B:B,奖励标准!A:CU,98,0)*VLOOKUP(B:B,录入表!B:CV,99,0),0)</f>
        <v>0</v>
      </c>
      <c r="AG77" s="82">
        <f>ROUND(VLOOKUP(B:B,录入表!B:CT,96,0)*VLOOKUP(B:B,奖励标准!A:CR,95,0)+VLOOKUP(B:B,录入表!B:CT,97,0)*VLOOKUP(B:B,奖励标准!A:CR,96,0),0)</f>
        <v>0</v>
      </c>
      <c r="AH77" s="28">
        <f>ROUND(VLOOKUP(B:B,录入表!B:CW,100,0)*VLOOKUP(科室绩效工资核算1!B:B,奖励标准!A:L,11,0),0)</f>
        <v>0</v>
      </c>
      <c r="AI7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7" s="3">
        <f>ROUND(VLOOKUP(科室绩效工资核算1!B:B,录入表!B:O,14,0)*VLOOKUP(科室绩效工资核算1!B:B,奖励标准!A:M,13,0),0)</f>
        <v>0</v>
      </c>
      <c r="AK77" s="3">
        <f>ROUND(VLOOKUP(科室绩效工资核算1!B:B,录入表!B:P,15,0)*VLOOKUP(科室绩效工资核算1!B:B,奖励标准!A:N,14,0),0)</f>
        <v>0</v>
      </c>
      <c r="AL77" s="3">
        <f>ROUND(VLOOKUP(科室绩效工资核算1!B:B,录入表!B:P,15,0)*VLOOKUP(科室绩效工资核算1!B:B,奖励标准!A:AU,47,0),0)</f>
        <v>0</v>
      </c>
      <c r="AM77" s="3">
        <f t="shared" si="3"/>
        <v>0</v>
      </c>
      <c r="AN77" s="3">
        <f t="shared" si="2"/>
        <v>8083.3200000000006</v>
      </c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2:86" ht="12.5" customHeight="1" x14ac:dyDescent="0.25">
      <c r="B78" s="73" t="s">
        <v>141</v>
      </c>
      <c r="C78" s="3">
        <f>AQ$7*VLOOKUP(B:B,人员表!B:G,MATCH("员工",人员表!$B$3:$G$3,0),0)</f>
        <v>0</v>
      </c>
      <c r="D78" s="3"/>
      <c r="E78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8" s="3">
        <f>ROUND(VLOOKUP(B:B,录入表!B:AT,45,0)*VLOOKUP(科室绩效工资核算1!B:B,奖励标准!A:AR,44,0),0)</f>
        <v>0</v>
      </c>
      <c r="G78" s="3">
        <f>ROUND((VLOOKUP(B:B,录入表!B:W,22,0)+VLOOKUP(B:B,录入表!B:X,23,0))*VLOOKUP(B:B,奖励标准!A:AS,45,0),0)</f>
        <v>0</v>
      </c>
      <c r="H78" s="3">
        <f>ROUND(VLOOKUP(B:B,录入表!B:H,7,0)*VLOOKUP(B:B,奖励标准!A:F,6,0),0)</f>
        <v>0</v>
      </c>
      <c r="I78" s="3">
        <f>ROUND(VLOOKUP(B:B,录入表!B:I,8,0)*VLOOKUP(B:B,奖励标准!A:G,7,0),0)</f>
        <v>0</v>
      </c>
      <c r="J78" s="3">
        <f>ROUND(VLOOKUP(B:B,录入表!B:J,9,0)*VLOOKUP(B:B,奖励标准!A:H,8,0),0)</f>
        <v>0</v>
      </c>
      <c r="K78" s="3">
        <f>ROUND(VLOOKUP(B:B,录入表!B:Q,16,0)*VLOOKUP(科室绩效工资核算1!B:B,奖励标准!A:O,15,0),0)</f>
        <v>0</v>
      </c>
      <c r="L78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8" s="3">
        <f>ROUND(VLOOKUP(科室绩效工资核算1!B:B,录入表!B:AB,27,0)*VLOOKUP(科室绩效工资核算1!B:B,奖励标准!A:Z,26,0),0)</f>
        <v>0</v>
      </c>
      <c r="N78" s="3">
        <f>ROUND(VLOOKUP(B:B,录入表!B:AW,48,0)*VLOOKUP(B:B,奖励标准!A:AT,46,0),0)</f>
        <v>0</v>
      </c>
      <c r="O78" s="3">
        <f>ROUND(VLOOKUP(科室绩效工资核算1!B:B,录入表!B:AA,26,0)*VLOOKUP(B:B,奖励标准!A:Y,25,0),0)</f>
        <v>0</v>
      </c>
      <c r="P78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8" s="3">
        <f>ROUND(VLOOKUP(B:B,录入表!B:AL,37,0)*VLOOKUP(B:B,奖励标准!A:AJ,36,0)+ROUND(VLOOKUP(B:B,录入表!B:AM,38,0)*VLOOKUP(B:B,奖励标准!A:AK,37,0),0),0)</f>
        <v>0</v>
      </c>
      <c r="R78" s="3">
        <f>ROUND(VLOOKUP(B:B,录入表!B:AN,39,0)*VLOOKUP(B:B,奖励标准!A:AL,38,0)+VLOOKUP(B:B,录入表!B:AO,40,0)*VLOOKUP(B:B,奖励标准!A:AM,39,0),0)</f>
        <v>0</v>
      </c>
      <c r="S78" s="3">
        <f>ROUND(((VLOOKUP(B:B,录入表!B:C,2,0)+VLOOKUP(B:B,录入表!B:E,4,0))*VLOOKUP(B:B,奖励标准!A:CU,99,0)),0)</f>
        <v>0</v>
      </c>
      <c r="T78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8" s="3">
        <f>ROUND(VLOOKUP(科室绩效工资核算1!B:B,录入表!B:AU,46,0)*VLOOKUP(B:B,奖励标准!A:CV,100,0),0)</f>
        <v>0</v>
      </c>
      <c r="V78" s="3">
        <f>ROUND(VLOOKUP(科室绩效工资核算1!B:B,录入表!B:AV,47,0)*VLOOKUP(B:B,奖励标准!A:CW,101,0),0)</f>
        <v>0</v>
      </c>
      <c r="W78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8" s="28">
        <f>ROUND(VLOOKUP(B:B,录入表!B:BF,56,0)*VLOOKUP(B:B,奖励标准!A:BD,55,0)+VLOOKUP(B:B,录入表!B:BF,57,0)*VLOOKUP(B:B,奖励标准!A:BD,56,0),0)</f>
        <v>0</v>
      </c>
      <c r="Y78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8" s="28">
        <f>ROUND(VLOOKUP(B:B,录入表!B:BL,62,0)*VLOOKUP(B:B,奖励标准!A:BJ,61,0)+VLOOKUP(B:B,奖励标准!A:BJ,62,0)*VLOOKUP(B:B,录入表!B:BL,63,0),0)</f>
        <v>0</v>
      </c>
      <c r="AA78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8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8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8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8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8" s="82">
        <f>ROUND(VLOOKUP(B:B,录入表!B:CV,98,0)*VLOOKUP(B:B,奖励标准!A:CT,97,0)+VLOOKUP(B:B,奖励标准!A:CU,98,0)*VLOOKUP(B:B,录入表!B:CV,99,0),0)</f>
        <v>0</v>
      </c>
      <c r="AG78" s="82">
        <f>ROUND(VLOOKUP(B:B,录入表!B:CT,96,0)*VLOOKUP(B:B,奖励标准!A:CR,95,0)+VLOOKUP(B:B,录入表!B:CT,97,0)*VLOOKUP(B:B,奖励标准!A:CR,96,0),0)</f>
        <v>0</v>
      </c>
      <c r="AH78" s="28">
        <f>ROUND(VLOOKUP(B:B,录入表!B:CW,100,0)*VLOOKUP(科室绩效工资核算1!B:B,奖励标准!A:L,11,0),0)</f>
        <v>0</v>
      </c>
      <c r="AI78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8" s="3">
        <f>ROUND(VLOOKUP(科室绩效工资核算1!B:B,录入表!B:O,14,0)*VLOOKUP(科室绩效工资核算1!B:B,奖励标准!A:M,13,0),0)</f>
        <v>0</v>
      </c>
      <c r="AK78" s="3">
        <f>ROUND(VLOOKUP(科室绩效工资核算1!B:B,录入表!B:P,15,0)*VLOOKUP(科室绩效工资核算1!B:B,奖励标准!A:N,14,0),0)</f>
        <v>0</v>
      </c>
      <c r="AL78" s="3">
        <f>ROUND(VLOOKUP(科室绩效工资核算1!B:B,录入表!B:P,15,0)*VLOOKUP(科室绩效工资核算1!B:B,奖励标准!A:AU,47,0),0)</f>
        <v>0</v>
      </c>
      <c r="AM78" s="3">
        <f t="shared" si="3"/>
        <v>0</v>
      </c>
      <c r="AN78" s="3">
        <f t="shared" si="2"/>
        <v>0</v>
      </c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2:86" ht="12.5" customHeight="1" x14ac:dyDescent="0.25">
      <c r="B79" s="73" t="s">
        <v>44</v>
      </c>
      <c r="C79" s="3">
        <f>AQ$7*VLOOKUP(B:B,人员表!B:G,MATCH("员工",人员表!$B$3:$G$3,0),0)</f>
        <v>0</v>
      </c>
      <c r="D79" s="3"/>
      <c r="E79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79" s="3">
        <f>ROUND(VLOOKUP(B:B,录入表!B:AT,45,0)*VLOOKUP(科室绩效工资核算1!B:B,奖励标准!A:AR,44,0),0)</f>
        <v>0</v>
      </c>
      <c r="G79" s="3">
        <f>ROUND((VLOOKUP(B:B,录入表!B:W,22,0)+VLOOKUP(B:B,录入表!B:X,23,0))*VLOOKUP(B:B,奖励标准!A:AS,45,0),0)</f>
        <v>0</v>
      </c>
      <c r="H79" s="3">
        <f>ROUND(VLOOKUP(B:B,录入表!B:H,7,0)*VLOOKUP(B:B,奖励标准!A:F,6,0),0)</f>
        <v>0</v>
      </c>
      <c r="I79" s="3">
        <f>ROUND(VLOOKUP(B:B,录入表!B:I,8,0)*VLOOKUP(B:B,奖励标准!A:G,7,0),0)</f>
        <v>0</v>
      </c>
      <c r="J79" s="3">
        <f>ROUND(VLOOKUP(B:B,录入表!B:J,9,0)*VLOOKUP(B:B,奖励标准!A:H,8,0),0)</f>
        <v>0</v>
      </c>
      <c r="K79" s="3">
        <f>ROUND(VLOOKUP(B:B,录入表!B:Q,16,0)*VLOOKUP(科室绩效工资核算1!B:B,奖励标准!A:O,15,0),0)</f>
        <v>0</v>
      </c>
      <c r="L79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79" s="3">
        <f>ROUND(VLOOKUP(科室绩效工资核算1!B:B,录入表!B:AB,27,0)*VLOOKUP(科室绩效工资核算1!B:B,奖励标准!A:Z,26,0),0)</f>
        <v>0</v>
      </c>
      <c r="N79" s="3">
        <f>ROUND(VLOOKUP(B:B,录入表!B:AW,48,0)*VLOOKUP(B:B,奖励标准!A:AT,46,0),0)</f>
        <v>0</v>
      </c>
      <c r="O79" s="3">
        <f>ROUND(VLOOKUP(科室绩效工资核算1!B:B,录入表!B:AA,26,0)*VLOOKUP(B:B,奖励标准!A:Y,25,0),0)</f>
        <v>0</v>
      </c>
      <c r="P79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79" s="3">
        <f>ROUND(VLOOKUP(B:B,录入表!B:AL,37,0)*VLOOKUP(B:B,奖励标准!A:AJ,36,0)+ROUND(VLOOKUP(B:B,录入表!B:AM,38,0)*VLOOKUP(B:B,奖励标准!A:AK,37,0),0),0)</f>
        <v>0</v>
      </c>
      <c r="R79" s="3">
        <f>ROUND(VLOOKUP(B:B,录入表!B:AN,39,0)*VLOOKUP(B:B,奖励标准!A:AL,38,0)+VLOOKUP(B:B,录入表!B:AO,40,0)*VLOOKUP(B:B,奖励标准!A:AM,39,0),0)</f>
        <v>0</v>
      </c>
      <c r="S79" s="3">
        <f>ROUND(((VLOOKUP(B:B,录入表!B:C,2,0)+VLOOKUP(B:B,录入表!B:E,4,0))*VLOOKUP(B:B,奖励标准!A:CU,99,0)),0)</f>
        <v>0</v>
      </c>
      <c r="T79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79" s="3">
        <f>ROUND(VLOOKUP(科室绩效工资核算1!B:B,录入表!B:AU,46,0)*VLOOKUP(B:B,奖励标准!A:CV,100,0),0)</f>
        <v>0</v>
      </c>
      <c r="V79" s="3">
        <f>ROUND(VLOOKUP(科室绩效工资核算1!B:B,录入表!B:AV,47,0)*VLOOKUP(B:B,奖励标准!A:CW,101,0),0)</f>
        <v>0</v>
      </c>
      <c r="W79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79" s="28">
        <f>ROUND(VLOOKUP(B:B,录入表!B:BF,56,0)*VLOOKUP(B:B,奖励标准!A:BD,55,0)+VLOOKUP(B:B,录入表!B:BF,57,0)*VLOOKUP(B:B,奖励标准!A:BD,56,0),0)</f>
        <v>0</v>
      </c>
      <c r="Y79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79" s="28">
        <f>ROUND(VLOOKUP(B:B,录入表!B:BL,62,0)*VLOOKUP(B:B,奖励标准!A:BJ,61,0)+VLOOKUP(B:B,奖励标准!A:BJ,62,0)*VLOOKUP(B:B,录入表!B:BL,63,0),0)</f>
        <v>0</v>
      </c>
      <c r="AA79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79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79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79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79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79" s="82">
        <f>ROUND(VLOOKUP(B:B,录入表!B:CV,98,0)*VLOOKUP(B:B,奖励标准!A:CT,97,0)+VLOOKUP(B:B,奖励标准!A:CU,98,0)*VLOOKUP(B:B,录入表!B:CV,99,0),0)</f>
        <v>0</v>
      </c>
      <c r="AG79" s="82">
        <f>ROUND(VLOOKUP(B:B,录入表!B:CT,96,0)*VLOOKUP(B:B,奖励标准!A:CR,95,0)+VLOOKUP(B:B,录入表!B:CT,97,0)*VLOOKUP(B:B,奖励标准!A:CR,96,0),0)</f>
        <v>0</v>
      </c>
      <c r="AH79" s="28">
        <f>ROUND(VLOOKUP(B:B,录入表!B:CW,100,0)*VLOOKUP(科室绩效工资核算1!B:B,奖励标准!A:L,11,0),0)</f>
        <v>0</v>
      </c>
      <c r="AI79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79" s="3">
        <f>ROUND(VLOOKUP(科室绩效工资核算1!B:B,录入表!B:O,14,0)*VLOOKUP(科室绩效工资核算1!B:B,奖励标准!A:M,13,0),0)</f>
        <v>0</v>
      </c>
      <c r="AK79" s="3">
        <f>ROUND(VLOOKUP(科室绩效工资核算1!B:B,录入表!B:P,15,0)*VLOOKUP(科室绩效工资核算1!B:B,奖励标准!A:N,14,0),0)</f>
        <v>0</v>
      </c>
      <c r="AL79" s="3">
        <f>ROUND(VLOOKUP(科室绩效工资核算1!B:B,录入表!B:P,15,0)*VLOOKUP(科室绩效工资核算1!B:B,奖励标准!A:AU,47,0),0)</f>
        <v>0</v>
      </c>
      <c r="AM79" s="3">
        <f t="shared" si="3"/>
        <v>0</v>
      </c>
      <c r="AN79" s="3">
        <f t="shared" si="2"/>
        <v>0</v>
      </c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2:86" ht="12.5" customHeight="1" x14ac:dyDescent="0.25">
      <c r="B80" s="73" t="s">
        <v>247</v>
      </c>
      <c r="C80" s="3">
        <f>AQ$7*VLOOKUP(B:B,人员表!B:G,MATCH("员工",人员表!$B$3:$G$3,0),0)</f>
        <v>1231.7440000000001</v>
      </c>
      <c r="D80" s="3"/>
      <c r="E80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0" s="3">
        <f>ROUND(VLOOKUP(B:B,录入表!B:AT,45,0)*VLOOKUP(科室绩效工资核算1!B:B,奖励标准!A:AR,44,0),0)</f>
        <v>0</v>
      </c>
      <c r="G80" s="3">
        <f>ROUND((VLOOKUP(B:B,录入表!B:W,22,0)+VLOOKUP(B:B,录入表!B:X,23,0))*VLOOKUP(B:B,奖励标准!A:AS,45,0),0)</f>
        <v>0</v>
      </c>
      <c r="H80" s="3">
        <f>ROUND(VLOOKUP(B:B,录入表!B:H,7,0)*VLOOKUP(B:B,奖励标准!A:F,6,0),0)</f>
        <v>0</v>
      </c>
      <c r="I80" s="3">
        <f>ROUND(VLOOKUP(B:B,录入表!B:I,8,0)*VLOOKUP(B:B,奖励标准!A:G,7,0),0)</f>
        <v>0</v>
      </c>
      <c r="J80" s="3">
        <f>ROUND(VLOOKUP(B:B,录入表!B:J,9,0)*VLOOKUP(B:B,奖励标准!A:H,8,0),0)</f>
        <v>0</v>
      </c>
      <c r="K80" s="3">
        <f>ROUND(VLOOKUP(B:B,录入表!B:Q,16,0)*VLOOKUP(科室绩效工资核算1!B:B,奖励标准!A:O,15,0),0)</f>
        <v>0</v>
      </c>
      <c r="L80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0" s="3">
        <f>ROUND(VLOOKUP(科室绩效工资核算1!B:B,录入表!B:AB,27,0)*VLOOKUP(科室绩效工资核算1!B:B,奖励标准!A:Z,26,0),0)</f>
        <v>0</v>
      </c>
      <c r="N80" s="3">
        <f>ROUND(VLOOKUP(B:B,录入表!B:AW,48,0)*VLOOKUP(B:B,奖励标准!A:AT,46,0),0)</f>
        <v>0</v>
      </c>
      <c r="O80" s="3">
        <f>ROUND(VLOOKUP(科室绩效工资核算1!B:B,录入表!B:AA,26,0)*VLOOKUP(B:B,奖励标准!A:Y,25,0),0)</f>
        <v>0</v>
      </c>
      <c r="P80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0" s="3">
        <f>ROUND(VLOOKUP(B:B,录入表!B:AL,37,0)*VLOOKUP(B:B,奖励标准!A:AJ,36,0)+ROUND(VLOOKUP(B:B,录入表!B:AM,38,0)*VLOOKUP(B:B,奖励标准!A:AK,37,0),0),0)</f>
        <v>0</v>
      </c>
      <c r="R80" s="3">
        <f>ROUND(VLOOKUP(B:B,录入表!B:AN,39,0)*VLOOKUP(B:B,奖励标准!A:AL,38,0)+VLOOKUP(B:B,录入表!B:AO,40,0)*VLOOKUP(B:B,奖励标准!A:AM,39,0),0)</f>
        <v>0</v>
      </c>
      <c r="S80" s="3">
        <f>ROUND(((VLOOKUP(B:B,录入表!B:C,2,0)+VLOOKUP(B:B,录入表!B:E,4,0))*VLOOKUP(B:B,奖励标准!A:CU,99,0)),0)</f>
        <v>0</v>
      </c>
      <c r="T80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0" s="3">
        <f>ROUND(VLOOKUP(科室绩效工资核算1!B:B,录入表!B:AU,46,0)*VLOOKUP(B:B,奖励标准!A:CV,100,0),0)</f>
        <v>0</v>
      </c>
      <c r="V80" s="3">
        <f>ROUND(VLOOKUP(科室绩效工资核算1!B:B,录入表!B:AV,47,0)*VLOOKUP(B:B,奖励标准!A:CW,101,0),0)</f>
        <v>0</v>
      </c>
      <c r="W80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0" s="28">
        <f>ROUND(VLOOKUP(B:B,录入表!B:BF,56,0)*VLOOKUP(B:B,奖励标准!A:BD,55,0)+VLOOKUP(B:B,录入表!B:BF,57,0)*VLOOKUP(B:B,奖励标准!A:BD,56,0),0)</f>
        <v>0</v>
      </c>
      <c r="Y80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0" s="28">
        <f>ROUND(VLOOKUP(B:B,录入表!B:BL,62,0)*VLOOKUP(B:B,奖励标准!A:BJ,61,0)+VLOOKUP(B:B,奖励标准!A:BJ,62,0)*VLOOKUP(B:B,录入表!B:BL,63,0),0)</f>
        <v>0</v>
      </c>
      <c r="AA80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0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0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0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0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0" s="82">
        <f>ROUND(VLOOKUP(B:B,录入表!B:CV,98,0)*VLOOKUP(B:B,奖励标准!A:CT,97,0)+VLOOKUP(B:B,奖励标准!A:CU,98,0)*VLOOKUP(B:B,录入表!B:CV,99,0),0)</f>
        <v>0</v>
      </c>
      <c r="AG80" s="82">
        <f>ROUND(VLOOKUP(B:B,录入表!B:CT,96,0)*VLOOKUP(B:B,奖励标准!A:CR,95,0)+VLOOKUP(B:B,录入表!B:CT,97,0)*VLOOKUP(B:B,奖励标准!A:CR,96,0),0)</f>
        <v>0</v>
      </c>
      <c r="AH80" s="28">
        <f>ROUND(VLOOKUP(B:B,录入表!B:CW,100,0)*VLOOKUP(科室绩效工资核算1!B:B,奖励标准!A:L,11,0),0)</f>
        <v>0</v>
      </c>
      <c r="AI80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0" s="3">
        <f>ROUND(VLOOKUP(科室绩效工资核算1!B:B,录入表!B:O,14,0)*VLOOKUP(科室绩效工资核算1!B:B,奖励标准!A:M,13,0),0)</f>
        <v>0</v>
      </c>
      <c r="AK80" s="3">
        <f>ROUND(VLOOKUP(科室绩效工资核算1!B:B,录入表!B:P,15,0)*VLOOKUP(科室绩效工资核算1!B:B,奖励标准!A:N,14,0),0)</f>
        <v>0</v>
      </c>
      <c r="AL80" s="3">
        <f>ROUND(VLOOKUP(科室绩效工资核算1!B:B,录入表!B:P,15,0)*VLOOKUP(科室绩效工资核算1!B:B,奖励标准!A:AU,47,0),0)</f>
        <v>0</v>
      </c>
      <c r="AM80" s="3">
        <f t="shared" si="3"/>
        <v>0</v>
      </c>
      <c r="AN80" s="3">
        <f t="shared" si="2"/>
        <v>1231.7440000000001</v>
      </c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2:86" ht="12.5" customHeight="1" x14ac:dyDescent="0.25">
      <c r="B81" s="73" t="s">
        <v>142</v>
      </c>
      <c r="C81" s="3"/>
      <c r="D81" s="3"/>
      <c r="E81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13360</v>
      </c>
      <c r="F81" s="3">
        <f>ROUND(VLOOKUP(B:B,录入表!B:AT,45,0)*VLOOKUP(科室绩效工资核算1!B:B,奖励标准!A:AR,44,0),0)</f>
        <v>0</v>
      </c>
      <c r="G81" s="3">
        <f>ROUND((VLOOKUP(B:B,录入表!B:W,22,0)+VLOOKUP(B:B,录入表!B:X,23,0))*VLOOKUP(B:B,奖励标准!A:AS,45,0),0)</f>
        <v>0</v>
      </c>
      <c r="H81" s="3">
        <f>ROUND(VLOOKUP(B:B,录入表!B:H,7,0)*VLOOKUP(B:B,奖励标准!A:F,6,0),0)</f>
        <v>0</v>
      </c>
      <c r="I81" s="3">
        <f>ROUND(VLOOKUP(B:B,录入表!B:I,8,0)*VLOOKUP(B:B,奖励标准!A:G,7,0),0)</f>
        <v>0</v>
      </c>
      <c r="J81" s="3">
        <f>ROUND(VLOOKUP(B:B,录入表!B:J,9,0)*VLOOKUP(B:B,奖励标准!A:H,8,0),0)</f>
        <v>0</v>
      </c>
      <c r="K81" s="3">
        <f>ROUND(VLOOKUP(B:B,录入表!B:Q,16,0)*VLOOKUP(科室绩效工资核算1!B:B,奖励标准!A:O,15,0),0)</f>
        <v>0</v>
      </c>
      <c r="L81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1" s="3">
        <f>ROUND(VLOOKUP(科室绩效工资核算1!B:B,录入表!B:AB,27,0)*VLOOKUP(科室绩效工资核算1!B:B,奖励标准!A:Z,26,0),0)</f>
        <v>0</v>
      </c>
      <c r="N81" s="3">
        <f>ROUND(VLOOKUP(B:B,录入表!B:AW,48,0)*VLOOKUP(B:B,奖励标准!A:AT,46,0),0)</f>
        <v>0</v>
      </c>
      <c r="O81" s="3">
        <f>ROUND(VLOOKUP(科室绩效工资核算1!B:B,录入表!B:AA,26,0)*VLOOKUP(B:B,奖励标准!A:Y,25,0),0)</f>
        <v>0</v>
      </c>
      <c r="P81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1" s="3">
        <f>ROUND(VLOOKUP(B:B,录入表!B:AL,37,0)*VLOOKUP(B:B,奖励标准!A:AJ,36,0)+ROUND(VLOOKUP(B:B,录入表!B:AM,38,0)*VLOOKUP(B:B,奖励标准!A:AK,37,0),0),0)</f>
        <v>0</v>
      </c>
      <c r="R81" s="3">
        <f>ROUND(VLOOKUP(B:B,录入表!B:AN,39,0)*VLOOKUP(B:B,奖励标准!A:AL,38,0)+VLOOKUP(B:B,录入表!B:AO,40,0)*VLOOKUP(B:B,奖励标准!A:AM,39,0),0)</f>
        <v>0</v>
      </c>
      <c r="S81" s="3">
        <f>ROUND(((VLOOKUP(B:B,录入表!B:C,2,0)+VLOOKUP(B:B,录入表!B:E,4,0))*VLOOKUP(B:B,奖励标准!A:CU,99,0)),0)</f>
        <v>0</v>
      </c>
      <c r="T81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1" s="3">
        <f>ROUND(VLOOKUP(科室绩效工资核算1!B:B,录入表!B:AU,46,0)*VLOOKUP(B:B,奖励标准!A:CV,100,0),0)</f>
        <v>0</v>
      </c>
      <c r="V81" s="3">
        <f>ROUND(VLOOKUP(科室绩效工资核算1!B:B,录入表!B:AV,47,0)*VLOOKUP(B:B,奖励标准!A:CW,101,0),0)</f>
        <v>0</v>
      </c>
      <c r="W81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1" s="28">
        <f>ROUND(VLOOKUP(B:B,录入表!B:BF,56,0)*VLOOKUP(B:B,奖励标准!A:BD,55,0)+VLOOKUP(B:B,录入表!B:BF,57,0)*VLOOKUP(B:B,奖励标准!A:BD,56,0),0)</f>
        <v>0</v>
      </c>
      <c r="Y81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1" s="28">
        <f>ROUND(VLOOKUP(B:B,录入表!B:BL,62,0)*VLOOKUP(B:B,奖励标准!A:BJ,61,0)+VLOOKUP(B:B,奖励标准!A:BJ,62,0)*VLOOKUP(B:B,录入表!B:BL,63,0),0)</f>
        <v>0</v>
      </c>
      <c r="AA81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1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1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1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1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1" s="82">
        <f>ROUND(VLOOKUP(B:B,录入表!B:CV,98,0)*VLOOKUP(B:B,奖励标准!A:CT,97,0)+VLOOKUP(B:B,奖励标准!A:CU,98,0)*VLOOKUP(B:B,录入表!B:CV,99,0),0)</f>
        <v>0</v>
      </c>
      <c r="AG81" s="82">
        <f>ROUND(VLOOKUP(B:B,录入表!B:CT,96,0)*VLOOKUP(B:B,奖励标准!A:CR,95,0)+VLOOKUP(B:B,录入表!B:CT,97,0)*VLOOKUP(B:B,奖励标准!A:CR,96,0),0)</f>
        <v>0</v>
      </c>
      <c r="AH81" s="28">
        <f>ROUND(VLOOKUP(B:B,录入表!B:CW,100,0)*VLOOKUP(科室绩效工资核算1!B:B,奖励标准!A:L,11,0),0)</f>
        <v>0</v>
      </c>
      <c r="AI81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1" s="3">
        <f>ROUND(VLOOKUP(科室绩效工资核算1!B:B,录入表!B:O,14,0)*VLOOKUP(科室绩效工资核算1!B:B,奖励标准!A:M,13,0),0)</f>
        <v>0</v>
      </c>
      <c r="AK81" s="3">
        <f>ROUND(VLOOKUP(科室绩效工资核算1!B:B,录入表!B:P,15,0)*VLOOKUP(科室绩效工资核算1!B:B,奖励标准!A:N,14,0),0)</f>
        <v>0</v>
      </c>
      <c r="AL81" s="3">
        <f>ROUND(VLOOKUP(科室绩效工资核算1!B:B,录入表!B:P,15,0)*VLOOKUP(科室绩效工资核算1!B:B,奖励标准!A:AU,47,0),0)</f>
        <v>0</v>
      </c>
      <c r="AM81" s="3">
        <f t="shared" si="3"/>
        <v>0</v>
      </c>
      <c r="AN81" s="3">
        <f t="shared" si="2"/>
        <v>13360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2:86" ht="12.5" customHeight="1" x14ac:dyDescent="0.25">
      <c r="B82" s="73" t="s">
        <v>143</v>
      </c>
      <c r="C82" s="3">
        <f>AQ$7*VLOOKUP(B:B,人员表!B:G,MATCH("员工",人员表!$B$3:$G$3,0),0)</f>
        <v>2463.4880000000003</v>
      </c>
      <c r="D82" s="3"/>
      <c r="E82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2" s="3">
        <f>ROUND(VLOOKUP(B:B,录入表!B:AT,45,0)*VLOOKUP(科室绩效工资核算1!B:B,奖励标准!A:AR,44,0),0)</f>
        <v>0</v>
      </c>
      <c r="G82" s="3">
        <f>ROUND((VLOOKUP(B:B,录入表!B:W,22,0)+VLOOKUP(B:B,录入表!B:X,23,0))*VLOOKUP(B:B,奖励标准!A:AS,45,0),0)</f>
        <v>0</v>
      </c>
      <c r="H82" s="3">
        <f>ROUND(VLOOKUP(B:B,录入表!B:H,7,0)*VLOOKUP(B:B,奖励标准!A:F,6,0),0)</f>
        <v>0</v>
      </c>
      <c r="I82" s="3">
        <f>ROUND(VLOOKUP(B:B,录入表!B:I,8,0)*VLOOKUP(B:B,奖励标准!A:G,7,0),0)</f>
        <v>0</v>
      </c>
      <c r="J82" s="3">
        <f>ROUND(VLOOKUP(B:B,录入表!B:J,9,0)*VLOOKUP(B:B,奖励标准!A:H,8,0),0)</f>
        <v>0</v>
      </c>
      <c r="K82" s="3">
        <f>ROUND(VLOOKUP(B:B,录入表!B:Q,16,0)*VLOOKUP(科室绩效工资核算1!B:B,奖励标准!A:O,15,0),0)</f>
        <v>0</v>
      </c>
      <c r="L82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2" s="3">
        <f>ROUND(VLOOKUP(科室绩效工资核算1!B:B,录入表!B:AB,27,0)*VLOOKUP(科室绩效工资核算1!B:B,奖励标准!A:Z,26,0),0)</f>
        <v>0</v>
      </c>
      <c r="N82" s="3">
        <f>ROUND(VLOOKUP(B:B,录入表!B:AW,48,0)*VLOOKUP(B:B,奖励标准!A:AT,46,0),0)</f>
        <v>0</v>
      </c>
      <c r="O82" s="3">
        <f>ROUND(VLOOKUP(科室绩效工资核算1!B:B,录入表!B:AA,26,0)*VLOOKUP(B:B,奖励标准!A:Y,25,0),0)</f>
        <v>0</v>
      </c>
      <c r="P82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2" s="3">
        <f>ROUND(VLOOKUP(B:B,录入表!B:AL,37,0)*VLOOKUP(B:B,奖励标准!A:AJ,36,0)+ROUND(VLOOKUP(B:B,录入表!B:AM,38,0)*VLOOKUP(B:B,奖励标准!A:AK,37,0),0),0)</f>
        <v>0</v>
      </c>
      <c r="R82" s="3">
        <f>ROUND(VLOOKUP(B:B,录入表!B:AN,39,0)*VLOOKUP(B:B,奖励标准!A:AL,38,0)+VLOOKUP(B:B,录入表!B:AO,40,0)*VLOOKUP(B:B,奖励标准!A:AM,39,0),0)</f>
        <v>0</v>
      </c>
      <c r="S82" s="3">
        <f>ROUND(((VLOOKUP(B:B,录入表!B:C,2,0)+VLOOKUP(B:B,录入表!B:E,4,0))*VLOOKUP(B:B,奖励标准!A:CU,99,0)),0)</f>
        <v>0</v>
      </c>
      <c r="T82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2" s="3">
        <f>ROUND(VLOOKUP(科室绩效工资核算1!B:B,录入表!B:AU,46,0)*VLOOKUP(B:B,奖励标准!A:CV,100,0),0)</f>
        <v>0</v>
      </c>
      <c r="V82" s="3">
        <f>ROUND(VLOOKUP(科室绩效工资核算1!B:B,录入表!B:AV,47,0)*VLOOKUP(B:B,奖励标准!A:CW,101,0),0)</f>
        <v>0</v>
      </c>
      <c r="W82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2" s="28">
        <f>ROUND(VLOOKUP(B:B,录入表!B:BF,56,0)*VLOOKUP(B:B,奖励标准!A:BD,55,0)+VLOOKUP(B:B,录入表!B:BF,57,0)*VLOOKUP(B:B,奖励标准!A:BD,56,0),0)</f>
        <v>0</v>
      </c>
      <c r="Y82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2" s="28">
        <f>ROUND(VLOOKUP(B:B,录入表!B:BL,62,0)*VLOOKUP(B:B,奖励标准!A:BJ,61,0)+VLOOKUP(B:B,奖励标准!A:BJ,62,0)*VLOOKUP(B:B,录入表!B:BL,63,0),0)</f>
        <v>0</v>
      </c>
      <c r="AA82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2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2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2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2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2" s="82">
        <f>ROUND(VLOOKUP(B:B,录入表!B:CV,98,0)*VLOOKUP(B:B,奖励标准!A:CT,97,0)+VLOOKUP(B:B,奖励标准!A:CU,98,0)*VLOOKUP(B:B,录入表!B:CV,99,0),0)</f>
        <v>0</v>
      </c>
      <c r="AG82" s="82">
        <f>ROUND(VLOOKUP(B:B,录入表!B:CT,96,0)*VLOOKUP(B:B,奖励标准!A:CR,95,0)+VLOOKUP(B:B,录入表!B:CT,97,0)*VLOOKUP(B:B,奖励标准!A:CR,96,0),0)</f>
        <v>0</v>
      </c>
      <c r="AH82" s="28">
        <f>ROUND(VLOOKUP(B:B,录入表!B:CW,100,0)*VLOOKUP(科室绩效工资核算1!B:B,奖励标准!A:L,11,0),0)</f>
        <v>0</v>
      </c>
      <c r="AI82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2" s="3">
        <f>ROUND(VLOOKUP(科室绩效工资核算1!B:B,录入表!B:O,14,0)*VLOOKUP(科室绩效工资核算1!B:B,奖励标准!A:M,13,0),0)</f>
        <v>0</v>
      </c>
      <c r="AK82" s="3">
        <f>ROUND(VLOOKUP(科室绩效工资核算1!B:B,录入表!B:P,15,0)*VLOOKUP(科室绩效工资核算1!B:B,奖励标准!A:N,14,0),0)</f>
        <v>0</v>
      </c>
      <c r="AL82" s="3">
        <f>ROUND(VLOOKUP(科室绩效工资核算1!B:B,录入表!B:P,15,0)*VLOOKUP(科室绩效工资核算1!B:B,奖励标准!A:AU,47,0),0)</f>
        <v>0</v>
      </c>
      <c r="AM82" s="3">
        <f t="shared" si="3"/>
        <v>0</v>
      </c>
      <c r="AN82" s="3">
        <f t="shared" si="2"/>
        <v>2463.4880000000003</v>
      </c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2:86" ht="12.5" customHeight="1" x14ac:dyDescent="0.25">
      <c r="B83" s="73" t="s">
        <v>422</v>
      </c>
      <c r="C83" s="3">
        <f>AQ$7*VLOOKUP(B:B,人员表!B:G,MATCH("员工",人员表!$B$3:$G$3,0),0)</f>
        <v>8499.0336000000025</v>
      </c>
      <c r="D83" s="3"/>
      <c r="E83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3" s="3">
        <f>ROUND(VLOOKUP(B:B,录入表!B:AT,45,0)*VLOOKUP(科室绩效工资核算1!B:B,奖励标准!A:AR,44,0),0)</f>
        <v>0</v>
      </c>
      <c r="G83" s="3">
        <f>ROUND((VLOOKUP(B:B,录入表!B:W,22,0)+VLOOKUP(B:B,录入表!B:X,23,0))*VLOOKUP(B:B,奖励标准!A:AS,45,0),0)</f>
        <v>0</v>
      </c>
      <c r="H83" s="3">
        <f>ROUND(VLOOKUP(B:B,录入表!B:H,7,0)*VLOOKUP(B:B,奖励标准!A:F,6,0),0)</f>
        <v>0</v>
      </c>
      <c r="I83" s="3">
        <f>ROUND(VLOOKUP(B:B,录入表!B:I,8,0)*VLOOKUP(B:B,奖励标准!A:G,7,0),0)</f>
        <v>0</v>
      </c>
      <c r="J83" s="3">
        <f>ROUND(VLOOKUP(B:B,录入表!B:J,9,0)*VLOOKUP(B:B,奖励标准!A:H,8,0),0)</f>
        <v>0</v>
      </c>
      <c r="K83" s="3">
        <f>ROUND(VLOOKUP(B:B,录入表!B:Q,16,0)*VLOOKUP(科室绩效工资核算1!B:B,奖励标准!A:O,15,0),0)</f>
        <v>0</v>
      </c>
      <c r="L83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3" s="3">
        <f>ROUND(VLOOKUP(科室绩效工资核算1!B:B,录入表!B:AB,27,0)*VLOOKUP(科室绩效工资核算1!B:B,奖励标准!A:Z,26,0),0)</f>
        <v>0</v>
      </c>
      <c r="N83" s="3">
        <f>ROUND(VLOOKUP(B:B,录入表!B:AW,48,0)*VLOOKUP(B:B,奖励标准!A:AT,46,0),0)</f>
        <v>0</v>
      </c>
      <c r="O83" s="3">
        <f>ROUND(VLOOKUP(科室绩效工资核算1!B:B,录入表!B:AA,26,0)*VLOOKUP(B:B,奖励标准!A:Y,25,0),0)</f>
        <v>0</v>
      </c>
      <c r="P83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3" s="3">
        <f>ROUND(VLOOKUP(B:B,录入表!B:AL,37,0)*VLOOKUP(B:B,奖励标准!A:AJ,36,0)+ROUND(VLOOKUP(B:B,录入表!B:AM,38,0)*VLOOKUP(B:B,奖励标准!A:AK,37,0),0),0)</f>
        <v>0</v>
      </c>
      <c r="R83" s="3">
        <f>ROUND(VLOOKUP(B:B,录入表!B:AN,39,0)*VLOOKUP(B:B,奖励标准!A:AL,38,0)+VLOOKUP(B:B,录入表!B:AO,40,0)*VLOOKUP(B:B,奖励标准!A:AM,39,0),0)</f>
        <v>0</v>
      </c>
      <c r="S83" s="3">
        <f>ROUND(((VLOOKUP(B:B,录入表!B:C,2,0)+VLOOKUP(B:B,录入表!B:E,4,0))*VLOOKUP(B:B,奖励标准!A:CU,99,0)),0)</f>
        <v>0</v>
      </c>
      <c r="T83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3" s="3">
        <f>ROUND(VLOOKUP(科室绩效工资核算1!B:B,录入表!B:AU,46,0)*VLOOKUP(B:B,奖励标准!A:CV,100,0),0)</f>
        <v>0</v>
      </c>
      <c r="V83" s="3">
        <f>ROUND(VLOOKUP(科室绩效工资核算1!B:B,录入表!B:AV,47,0)*VLOOKUP(B:B,奖励标准!A:CW,101,0),0)</f>
        <v>0</v>
      </c>
      <c r="W83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3" s="28">
        <f>ROUND(VLOOKUP(B:B,录入表!B:BF,56,0)*VLOOKUP(B:B,奖励标准!A:BD,55,0)+VLOOKUP(B:B,录入表!B:BF,57,0)*VLOOKUP(B:B,奖励标准!A:BD,56,0),0)</f>
        <v>0</v>
      </c>
      <c r="Y83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3" s="28">
        <f>ROUND(VLOOKUP(B:B,录入表!B:BL,62,0)*VLOOKUP(B:B,奖励标准!A:BJ,61,0)+VLOOKUP(B:B,奖励标准!A:BJ,62,0)*VLOOKUP(B:B,录入表!B:BL,63,0),0)</f>
        <v>0</v>
      </c>
      <c r="AA83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3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3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3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3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3" s="82">
        <f>ROUND(VLOOKUP(B:B,录入表!B:CV,98,0)*VLOOKUP(B:B,奖励标准!A:CT,97,0)+VLOOKUP(B:B,奖励标准!A:CU,98,0)*VLOOKUP(B:B,录入表!B:CV,99,0),0)</f>
        <v>0</v>
      </c>
      <c r="AG83" s="82">
        <f>ROUND(VLOOKUP(B:B,录入表!B:CT,96,0)*VLOOKUP(B:B,奖励标准!A:CR,95,0)+VLOOKUP(B:B,录入表!B:CT,97,0)*VLOOKUP(B:B,奖励标准!A:CR,96,0),0)</f>
        <v>0</v>
      </c>
      <c r="AH83" s="28">
        <f>ROUND(VLOOKUP(B:B,录入表!B:CW,100,0)*VLOOKUP(科室绩效工资核算1!B:B,奖励标准!A:L,11,0),0)</f>
        <v>0</v>
      </c>
      <c r="AI83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3" s="3">
        <f>ROUND(VLOOKUP(科室绩效工资核算1!B:B,录入表!B:O,14,0)*VLOOKUP(科室绩效工资核算1!B:B,奖励标准!A:M,13,0),0)</f>
        <v>0</v>
      </c>
      <c r="AK83" s="3">
        <f>ROUND(VLOOKUP(科室绩效工资核算1!B:B,录入表!B:P,15,0)*VLOOKUP(科室绩效工资核算1!B:B,奖励标准!A:N,14,0),0)</f>
        <v>0</v>
      </c>
      <c r="AL83" s="3">
        <f>ROUND(VLOOKUP(科室绩效工资核算1!B:B,录入表!B:P,15,0)*VLOOKUP(科室绩效工资核算1!B:B,奖励标准!A:AU,47,0),0)</f>
        <v>0</v>
      </c>
      <c r="AM83" s="3">
        <f t="shared" si="3"/>
        <v>0</v>
      </c>
      <c r="AN83" s="3">
        <f t="shared" si="2"/>
        <v>8499.0336000000025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2:86" ht="12.5" customHeight="1" x14ac:dyDescent="0.25">
      <c r="B84" s="73" t="s">
        <v>146</v>
      </c>
      <c r="C84" s="3">
        <f>AQ$7*VLOOKUP(B:B,人员表!B:G,MATCH("员工",人员表!$B$3:$G$3,0),0)</f>
        <v>20262.1888</v>
      </c>
      <c r="D84" s="3"/>
      <c r="E84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4" s="3">
        <f>ROUND(VLOOKUP(B:B,录入表!B:AT,45,0)*VLOOKUP(科室绩效工资核算1!B:B,奖励标准!A:AR,44,0),0)</f>
        <v>0</v>
      </c>
      <c r="G84" s="3">
        <f>ROUND((VLOOKUP(B:B,录入表!B:W,22,0)+VLOOKUP(B:B,录入表!B:X,23,0))*VLOOKUP(B:B,奖励标准!A:AS,45,0),0)</f>
        <v>0</v>
      </c>
      <c r="H84" s="3">
        <f>ROUND(VLOOKUP(B:B,录入表!B:H,7,0)*VLOOKUP(B:B,奖励标准!A:F,6,0),0)</f>
        <v>0</v>
      </c>
      <c r="I84" s="3">
        <f>ROUND(VLOOKUP(B:B,录入表!B:I,8,0)*VLOOKUP(B:B,奖励标准!A:G,7,0),0)</f>
        <v>0</v>
      </c>
      <c r="J84" s="3">
        <f>ROUND(VLOOKUP(B:B,录入表!B:J,9,0)*VLOOKUP(B:B,奖励标准!A:H,8,0),0)</f>
        <v>0</v>
      </c>
      <c r="K84" s="3">
        <f>ROUND(VLOOKUP(B:B,录入表!B:Q,16,0)*VLOOKUP(科室绩效工资核算1!B:B,奖励标准!A:O,15,0),0)</f>
        <v>0</v>
      </c>
      <c r="L84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4" s="3">
        <f>ROUND(VLOOKUP(科室绩效工资核算1!B:B,录入表!B:AB,27,0)*VLOOKUP(科室绩效工资核算1!B:B,奖励标准!A:Z,26,0),0)</f>
        <v>0</v>
      </c>
      <c r="N84" s="3">
        <f>ROUND(VLOOKUP(B:B,录入表!B:AW,48,0)*VLOOKUP(B:B,奖励标准!A:AT,46,0),0)</f>
        <v>0</v>
      </c>
      <c r="O84" s="3">
        <f>ROUND(VLOOKUP(科室绩效工资核算1!B:B,录入表!B:AA,26,0)*VLOOKUP(B:B,奖励标准!A:Y,25,0),0)</f>
        <v>0</v>
      </c>
      <c r="P84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4" s="3">
        <f>ROUND(VLOOKUP(B:B,录入表!B:AL,37,0)*VLOOKUP(B:B,奖励标准!A:AJ,36,0)+ROUND(VLOOKUP(B:B,录入表!B:AM,38,0)*VLOOKUP(B:B,奖励标准!A:AK,37,0),0),0)</f>
        <v>0</v>
      </c>
      <c r="R84" s="3">
        <f>ROUND(VLOOKUP(B:B,录入表!B:AN,39,0)*VLOOKUP(B:B,奖励标准!A:AL,38,0)+VLOOKUP(B:B,录入表!B:AO,40,0)*VLOOKUP(B:B,奖励标准!A:AM,39,0),0)</f>
        <v>0</v>
      </c>
      <c r="S84" s="3">
        <f>ROUND(((VLOOKUP(B:B,录入表!B:C,2,0)+VLOOKUP(B:B,录入表!B:E,4,0))*VLOOKUP(B:B,奖励标准!A:CU,99,0)),0)</f>
        <v>0</v>
      </c>
      <c r="T84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4" s="3">
        <f>ROUND(VLOOKUP(科室绩效工资核算1!B:B,录入表!B:AU,46,0)*VLOOKUP(B:B,奖励标准!A:CV,100,0),0)</f>
        <v>0</v>
      </c>
      <c r="V84" s="3">
        <f>ROUND(VLOOKUP(科室绩效工资核算1!B:B,录入表!B:AV,47,0)*VLOOKUP(B:B,奖励标准!A:CW,101,0),0)</f>
        <v>0</v>
      </c>
      <c r="W84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4" s="28">
        <f>ROUND(VLOOKUP(B:B,录入表!B:BF,56,0)*VLOOKUP(B:B,奖励标准!A:BD,55,0)+VLOOKUP(B:B,录入表!B:BF,57,0)*VLOOKUP(B:B,奖励标准!A:BD,56,0),0)</f>
        <v>0</v>
      </c>
      <c r="Y84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4" s="28">
        <f>ROUND(VLOOKUP(B:B,录入表!B:BL,62,0)*VLOOKUP(B:B,奖励标准!A:BJ,61,0)+VLOOKUP(B:B,奖励标准!A:BJ,62,0)*VLOOKUP(B:B,录入表!B:BL,63,0),0)</f>
        <v>0</v>
      </c>
      <c r="AA84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4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4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4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4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4" s="82">
        <f>ROUND(VLOOKUP(B:B,录入表!B:CV,98,0)*VLOOKUP(B:B,奖励标准!A:CT,97,0)+VLOOKUP(B:B,奖励标准!A:CU,98,0)*VLOOKUP(B:B,录入表!B:CV,99,0),0)</f>
        <v>0</v>
      </c>
      <c r="AG84" s="82">
        <f>ROUND(VLOOKUP(B:B,录入表!B:CT,96,0)*VLOOKUP(B:B,奖励标准!A:CR,95,0)+VLOOKUP(B:B,录入表!B:CT,97,0)*VLOOKUP(B:B,奖励标准!A:CR,96,0),0)</f>
        <v>0</v>
      </c>
      <c r="AH84" s="28">
        <f>ROUND(VLOOKUP(B:B,录入表!B:CW,100,0)*VLOOKUP(科室绩效工资核算1!B:B,奖励标准!A:L,11,0),0)</f>
        <v>0</v>
      </c>
      <c r="AI84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4" s="3">
        <f>ROUND(VLOOKUP(科室绩效工资核算1!B:B,录入表!B:O,14,0)*VLOOKUP(科室绩效工资核算1!B:B,奖励标准!A:M,13,0),0)</f>
        <v>0</v>
      </c>
      <c r="AK84" s="3">
        <f>ROUND(VLOOKUP(科室绩效工资核算1!B:B,录入表!B:P,15,0)*VLOOKUP(科室绩效工资核算1!B:B,奖励标准!A:N,14,0),0)</f>
        <v>0</v>
      </c>
      <c r="AL84" s="3">
        <f>ROUND(VLOOKUP(科室绩效工资核算1!B:B,录入表!B:P,15,0)*VLOOKUP(科室绩效工资核算1!B:B,奖励标准!A:AU,47,0),0)</f>
        <v>0</v>
      </c>
      <c r="AM84" s="3">
        <f t="shared" si="3"/>
        <v>0</v>
      </c>
      <c r="AN84" s="3">
        <f t="shared" si="2"/>
        <v>20262.1888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2:86" ht="12.5" customHeight="1" x14ac:dyDescent="0.25">
      <c r="B85" s="73" t="s">
        <v>250</v>
      </c>
      <c r="C85" s="3"/>
      <c r="D85" s="3"/>
      <c r="E85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5" s="3">
        <f>ROUND(VLOOKUP(B:B,录入表!B:AT,45,0)*VLOOKUP(科室绩效工资核算1!B:B,奖励标准!A:AR,44,0),0)</f>
        <v>0</v>
      </c>
      <c r="G85" s="3">
        <f>ROUND((VLOOKUP(B:B,录入表!B:W,22,0)+VLOOKUP(B:B,录入表!B:X,23,0))*VLOOKUP(B:B,奖励标准!A:AS,45,0),0)</f>
        <v>0</v>
      </c>
      <c r="H85" s="3">
        <f>ROUND(VLOOKUP(B:B,录入表!B:H,7,0)*VLOOKUP(B:B,奖励标准!A:F,6,0),0)</f>
        <v>0</v>
      </c>
      <c r="I85" s="3">
        <f>ROUND(VLOOKUP(B:B,录入表!B:I,8,0)*VLOOKUP(B:B,奖励标准!A:G,7,0),0)</f>
        <v>0</v>
      </c>
      <c r="J85" s="3">
        <f>ROUND(VLOOKUP(B:B,录入表!B:J,9,0)*VLOOKUP(B:B,奖励标准!A:H,8,0),0)</f>
        <v>0</v>
      </c>
      <c r="K85" s="3">
        <f>ROUND(VLOOKUP(B:B,录入表!B:Q,16,0)*VLOOKUP(科室绩效工资核算1!B:B,奖励标准!A:O,15,0),0)</f>
        <v>0</v>
      </c>
      <c r="L85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5" s="3">
        <f>ROUND(VLOOKUP(科室绩效工资核算1!B:B,录入表!B:AB,27,0)*VLOOKUP(科室绩效工资核算1!B:B,奖励标准!A:Z,26,0),0)</f>
        <v>0</v>
      </c>
      <c r="N85" s="3">
        <f>ROUND(VLOOKUP(B:B,录入表!B:AW,48,0)*VLOOKUP(B:B,奖励标准!A:AT,46,0),0)</f>
        <v>0</v>
      </c>
      <c r="O85" s="3">
        <f>ROUND(VLOOKUP(科室绩效工资核算1!B:B,录入表!B:AA,26,0)*VLOOKUP(B:B,奖励标准!A:Y,25,0),0)</f>
        <v>0</v>
      </c>
      <c r="P85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5" s="3">
        <f>ROUND(VLOOKUP(B:B,录入表!B:AL,37,0)*VLOOKUP(B:B,奖励标准!A:AJ,36,0)+ROUND(VLOOKUP(B:B,录入表!B:AM,38,0)*VLOOKUP(B:B,奖励标准!A:AK,37,0),0),0)</f>
        <v>0</v>
      </c>
      <c r="R85" s="3">
        <f>ROUND(VLOOKUP(B:B,录入表!B:AN,39,0)*VLOOKUP(B:B,奖励标准!A:AL,38,0)+VLOOKUP(B:B,录入表!B:AO,40,0)*VLOOKUP(B:B,奖励标准!A:AM,39,0),0)</f>
        <v>0</v>
      </c>
      <c r="S85" s="3">
        <f>ROUND(((VLOOKUP(B:B,录入表!B:C,2,0)+VLOOKUP(B:B,录入表!B:E,4,0))*VLOOKUP(B:B,奖励标准!A:CU,99,0)),0)</f>
        <v>0</v>
      </c>
      <c r="T85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5" s="3">
        <f>ROUND(VLOOKUP(科室绩效工资核算1!B:B,录入表!B:AU,46,0)*VLOOKUP(B:B,奖励标准!A:CV,100,0),0)</f>
        <v>0</v>
      </c>
      <c r="V85" s="3">
        <f>ROUND(VLOOKUP(科室绩效工资核算1!B:B,录入表!B:AV,47,0)*VLOOKUP(B:B,奖励标准!A:CW,101,0),0)</f>
        <v>0</v>
      </c>
      <c r="W85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5" s="28">
        <f>ROUND(VLOOKUP(B:B,录入表!B:BF,56,0)*VLOOKUP(B:B,奖励标准!A:BD,55,0)+VLOOKUP(B:B,录入表!B:BF,57,0)*VLOOKUP(B:B,奖励标准!A:BD,56,0),0)</f>
        <v>0</v>
      </c>
      <c r="Y85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5" s="28">
        <f>ROUND(VLOOKUP(B:B,录入表!B:BL,62,0)*VLOOKUP(B:B,奖励标准!A:BJ,61,0)+VLOOKUP(B:B,奖励标准!A:BJ,62,0)*VLOOKUP(B:B,录入表!B:BL,63,0),0)</f>
        <v>0</v>
      </c>
      <c r="AA85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5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5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5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5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5" s="82">
        <f>ROUND(VLOOKUP(B:B,录入表!B:CV,98,0)*VLOOKUP(B:B,奖励标准!A:CT,97,0)+VLOOKUP(B:B,奖励标准!A:CU,98,0)*VLOOKUP(B:B,录入表!B:CV,99,0),0)</f>
        <v>0</v>
      </c>
      <c r="AG85" s="82">
        <f>ROUND(VLOOKUP(B:B,录入表!B:CT,96,0)*VLOOKUP(B:B,奖励标准!A:CR,95,0)+VLOOKUP(B:B,录入表!B:CT,97,0)*VLOOKUP(B:B,奖励标准!A:CR,96,0),0)</f>
        <v>0</v>
      </c>
      <c r="AH85" s="28">
        <f>ROUND(VLOOKUP(B:B,录入表!B:CW,100,0)*VLOOKUP(科室绩效工资核算1!B:B,奖励标准!A:L,11,0),0)</f>
        <v>0</v>
      </c>
      <c r="AI85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5" s="3">
        <f>ROUND(VLOOKUP(科室绩效工资核算1!B:B,录入表!B:O,14,0)*VLOOKUP(科室绩效工资核算1!B:B,奖励标准!A:M,13,0),0)</f>
        <v>0</v>
      </c>
      <c r="AK85" s="3">
        <f>ROUND(VLOOKUP(科室绩效工资核算1!B:B,录入表!B:P,15,0)*VLOOKUP(科室绩效工资核算1!B:B,奖励标准!A:N,14,0),0)</f>
        <v>0</v>
      </c>
      <c r="AL85" s="3">
        <f>ROUND(VLOOKUP(科室绩效工资核算1!B:B,录入表!B:P,15,0)*VLOOKUP(科室绩效工资核算1!B:B,奖励标准!A:AU,47,0),0)</f>
        <v>0</v>
      </c>
      <c r="AM85" s="3">
        <f t="shared" si="3"/>
        <v>0</v>
      </c>
      <c r="AN85" s="3">
        <f t="shared" si="2"/>
        <v>0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2:86" ht="12.5" customHeight="1" x14ac:dyDescent="0.25">
      <c r="B86" s="73" t="s">
        <v>253</v>
      </c>
      <c r="C86" s="3"/>
      <c r="D86" s="3"/>
      <c r="E86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6" s="3">
        <f>ROUND(VLOOKUP(B:B,录入表!B:AT,45,0)*VLOOKUP(科室绩效工资核算1!B:B,奖励标准!A:AR,44,0),0)</f>
        <v>0</v>
      </c>
      <c r="G86" s="3">
        <f>ROUND((VLOOKUP(B:B,录入表!B:W,22,0)+VLOOKUP(B:B,录入表!B:X,23,0))*VLOOKUP(B:B,奖励标准!A:AS,45,0),0)</f>
        <v>0</v>
      </c>
      <c r="H86" s="3">
        <f>ROUND(VLOOKUP(B:B,录入表!B:H,7,0)*VLOOKUP(B:B,奖励标准!A:F,6,0),0)</f>
        <v>0</v>
      </c>
      <c r="I86" s="3">
        <f>ROUND(VLOOKUP(B:B,录入表!B:I,8,0)*VLOOKUP(B:B,奖励标准!A:G,7,0),0)</f>
        <v>0</v>
      </c>
      <c r="J86" s="3">
        <f>ROUND(VLOOKUP(B:B,录入表!B:J,9,0)*VLOOKUP(B:B,奖励标准!A:H,8,0),0)</f>
        <v>0</v>
      </c>
      <c r="K86" s="3">
        <f>ROUND(VLOOKUP(B:B,录入表!B:Q,16,0)*VLOOKUP(科室绩效工资核算1!B:B,奖励标准!A:O,15,0),0)</f>
        <v>0</v>
      </c>
      <c r="L86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6" s="3">
        <f>ROUND(VLOOKUP(科室绩效工资核算1!B:B,录入表!B:AB,27,0)*VLOOKUP(科室绩效工资核算1!B:B,奖励标准!A:Z,26,0),0)</f>
        <v>0</v>
      </c>
      <c r="N86" s="3">
        <f>ROUND(VLOOKUP(B:B,录入表!B:AW,48,0)*VLOOKUP(B:B,奖励标准!A:AT,46,0),0)</f>
        <v>0</v>
      </c>
      <c r="O86" s="3">
        <f>ROUND(VLOOKUP(科室绩效工资核算1!B:B,录入表!B:AA,26,0)*VLOOKUP(B:B,奖励标准!A:Y,25,0),0)</f>
        <v>0</v>
      </c>
      <c r="P86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6" s="3">
        <f>ROUND(VLOOKUP(B:B,录入表!B:AL,37,0)*VLOOKUP(B:B,奖励标准!A:AJ,36,0)+ROUND(VLOOKUP(B:B,录入表!B:AM,38,0)*VLOOKUP(B:B,奖励标准!A:AK,37,0),0),0)</f>
        <v>0</v>
      </c>
      <c r="R86" s="3">
        <f>ROUND(VLOOKUP(B:B,录入表!B:AN,39,0)*VLOOKUP(B:B,奖励标准!A:AL,38,0)+VLOOKUP(B:B,录入表!B:AO,40,0)*VLOOKUP(B:B,奖励标准!A:AM,39,0),0)</f>
        <v>0</v>
      </c>
      <c r="S86" s="3">
        <f>ROUND(((VLOOKUP(B:B,录入表!B:C,2,0)+VLOOKUP(B:B,录入表!B:E,4,0))*VLOOKUP(B:B,奖励标准!A:CU,99,0)),0)</f>
        <v>0</v>
      </c>
      <c r="T86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6" s="3">
        <f>ROUND(VLOOKUP(科室绩效工资核算1!B:B,录入表!B:AU,46,0)*VLOOKUP(B:B,奖励标准!A:CV,100,0),0)</f>
        <v>0</v>
      </c>
      <c r="V86" s="3">
        <f>ROUND(VLOOKUP(科室绩效工资核算1!B:B,录入表!B:AV,47,0)*VLOOKUP(B:B,奖励标准!A:CW,101,0),0)</f>
        <v>0</v>
      </c>
      <c r="W86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6" s="28">
        <f>ROUND(VLOOKUP(B:B,录入表!B:BF,56,0)*VLOOKUP(B:B,奖励标准!A:BD,55,0)+VLOOKUP(B:B,录入表!B:BF,57,0)*VLOOKUP(B:B,奖励标准!A:BD,56,0),0)</f>
        <v>0</v>
      </c>
      <c r="Y86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6" s="28">
        <f>ROUND(VLOOKUP(B:B,录入表!B:BL,62,0)*VLOOKUP(B:B,奖励标准!A:BJ,61,0)+VLOOKUP(B:B,奖励标准!A:BJ,62,0)*VLOOKUP(B:B,录入表!B:BL,63,0),0)</f>
        <v>0</v>
      </c>
      <c r="AA86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6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6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6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6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6" s="82">
        <f>ROUND(VLOOKUP(B:B,录入表!B:CV,98,0)*VLOOKUP(B:B,奖励标准!A:CT,97,0)+VLOOKUP(B:B,奖励标准!A:CU,98,0)*VLOOKUP(B:B,录入表!B:CV,99,0),0)</f>
        <v>0</v>
      </c>
      <c r="AG86" s="82">
        <f>ROUND(VLOOKUP(B:B,录入表!B:CT,96,0)*VLOOKUP(B:B,奖励标准!A:CR,95,0)+VLOOKUP(B:B,录入表!B:CT,97,0)*VLOOKUP(B:B,奖励标准!A:CR,96,0),0)</f>
        <v>0</v>
      </c>
      <c r="AH86" s="28">
        <f>ROUND(VLOOKUP(B:B,录入表!B:CW,100,0)*VLOOKUP(科室绩效工资核算1!B:B,奖励标准!A:L,11,0),0)</f>
        <v>0</v>
      </c>
      <c r="AI86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6" s="3">
        <f>ROUND(VLOOKUP(科室绩效工资核算1!B:B,录入表!B:O,14,0)*VLOOKUP(科室绩效工资核算1!B:B,奖励标准!A:M,13,0),0)</f>
        <v>0</v>
      </c>
      <c r="AK86" s="3">
        <f>ROUND(VLOOKUP(科室绩效工资核算1!B:B,录入表!B:P,15,0)*VLOOKUP(科室绩效工资核算1!B:B,奖励标准!A:N,14,0),0)</f>
        <v>0</v>
      </c>
      <c r="AL86" s="3">
        <f>ROUND(VLOOKUP(科室绩效工资核算1!B:B,录入表!B:P,15,0)*VLOOKUP(科室绩效工资核算1!B:B,奖励标准!A:AU,47,0),0)</f>
        <v>0</v>
      </c>
      <c r="AM86" s="3">
        <f t="shared" si="3"/>
        <v>0</v>
      </c>
      <c r="AN86" s="3">
        <f t="shared" si="2"/>
        <v>0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2:86" ht="12.5" customHeight="1" x14ac:dyDescent="0.25">
      <c r="B87" s="73" t="s">
        <v>252</v>
      </c>
      <c r="C87" s="3"/>
      <c r="D87" s="3"/>
      <c r="E87" s="3">
        <f>VLOOKUP(B:B,录入表!B:AP,41,0)*VLOOKUP(B:B,奖励标准!A:AN,40,0)+VLOOKUP(B:B,录入表!B:AQ,42,0)*VLOOKUP(B:B,奖励标准!A:AO,41,0)+VLOOKUP(B:B,录入表!B:AR,43,0)*VLOOKUP(B:B,奖励标准!A:AP,42,0)+VLOOKUP(B:B,录入表!B:AS,44,0)*VLOOKUP(B:B,奖励标准!A:AQ,43,0)</f>
        <v>0</v>
      </c>
      <c r="F87" s="3">
        <f>ROUND(VLOOKUP(B:B,录入表!B:AT,45,0)*VLOOKUP(科室绩效工资核算1!B:B,奖励标准!A:AR,44,0),0)</f>
        <v>0</v>
      </c>
      <c r="G87" s="3">
        <f>ROUND((VLOOKUP(B:B,录入表!B:W,22,0)+VLOOKUP(B:B,录入表!B:X,23,0))*VLOOKUP(B:B,奖励标准!A:AS,45,0),0)</f>
        <v>0</v>
      </c>
      <c r="H87" s="3">
        <f>ROUND(VLOOKUP(B:B,录入表!B:H,7,0)*VLOOKUP(B:B,奖励标准!A:F,6,0),0)</f>
        <v>0</v>
      </c>
      <c r="I87" s="3">
        <f>ROUND(VLOOKUP(B:B,录入表!B:I,8,0)*VLOOKUP(B:B,奖励标准!A:G,7,0),0)</f>
        <v>0</v>
      </c>
      <c r="J87" s="3">
        <f>ROUND(VLOOKUP(B:B,录入表!B:J,9,0)*VLOOKUP(B:B,奖励标准!A:H,8,0),0)</f>
        <v>0</v>
      </c>
      <c r="K87" s="3">
        <f>ROUND(VLOOKUP(B:B,录入表!B:Q,16,0)*VLOOKUP(科室绩效工资核算1!B:B,奖励标准!A:O,15,0),0)</f>
        <v>0</v>
      </c>
      <c r="L87" s="81">
        <f>ROUND(VLOOKUP(B:B,录入表!B:R,17,0)*VLOOKUP(B:B,奖励标准!A:X,16,0)+VLOOKUP(B:B,录入表!B:S,18,0)*VLOOKUP(B:B,奖励标准!A:X,17,0)+VLOOKUP(B:B,录入表!B:T,19,0)*VLOOKUP(B:B,奖励标准!A:X,18,0)+VLOOKUP(B:B,录入表!B:U,20,0)*VLOOKUP(B:B,奖励标准!A:X,19,0)+VLOOKUP(B:B,录入表!B:V,21,0)*VLOOKUP(B:B,奖励标准!A:X,20,0)+VLOOKUP(B:B,录入表!B:W,22,0)*VLOOKUP(B:B,奖励标准!A:X,21,0)+VLOOKUP(B:B,录入表!B:X,23,0)*VLOOKUP(B:B,奖励标准!A:X,22,0)+VLOOKUP(B:B,录入表!B:Y,24,0)*VLOOKUP(B:B,奖励标准!A:X,23,0)+VLOOKUP(B:B,录入表!B:Z,25,0)*VLOOKUP(B:B,奖励标准!A:X,24,0),0)</f>
        <v>0</v>
      </c>
      <c r="M87" s="3">
        <f>ROUND(VLOOKUP(科室绩效工资核算1!B:B,录入表!B:AB,27,0)*VLOOKUP(科室绩效工资核算1!B:B,奖励标准!A:Z,26,0),0)</f>
        <v>0</v>
      </c>
      <c r="N87" s="3">
        <f>ROUND(VLOOKUP(B:B,录入表!B:AW,48,0)*VLOOKUP(B:B,奖励标准!A:AT,46,0),0)</f>
        <v>0</v>
      </c>
      <c r="O87" s="3">
        <f>ROUND(VLOOKUP(科室绩效工资核算1!B:B,录入表!B:AA,26,0)*VLOOKUP(B:B,奖励标准!A:Y,25,0),0)</f>
        <v>0</v>
      </c>
      <c r="P87" s="3">
        <f>ROUND(VLOOKUP(B:B,录入表!B:AK,33,0)*VLOOKUP(B:B,奖励标准!A:AI,32,0)+VLOOKUP(B:B,录入表!B:AK,34,0)*VLOOKUP(B:B,奖励标准!A:AI,33,0)+VLOOKUP(B:B,录入表!B:AK,35,0)*VLOOKUP(B:B,奖励标准!A:AI,34,0)+VLOOKUP(B:B,录入表!B:AK,36,0)*VLOOKUP(B:B,奖励标准!A:AI,35,0),0)</f>
        <v>0</v>
      </c>
      <c r="Q87" s="3">
        <f>ROUND(VLOOKUP(B:B,录入表!B:AL,37,0)*VLOOKUP(B:B,奖励标准!A:AJ,36,0)+ROUND(VLOOKUP(B:B,录入表!B:AM,38,0)*VLOOKUP(B:B,奖励标准!A:AK,37,0),0),0)</f>
        <v>0</v>
      </c>
      <c r="R87" s="3">
        <f>ROUND(VLOOKUP(B:B,录入表!B:AN,39,0)*VLOOKUP(B:B,奖励标准!A:AL,38,0)+VLOOKUP(B:B,录入表!B:AO,40,0)*VLOOKUP(B:B,奖励标准!A:AM,39,0),0)</f>
        <v>0</v>
      </c>
      <c r="S87" s="3">
        <f>ROUND(((VLOOKUP(B:B,录入表!B:C,2,0)+VLOOKUP(B:B,录入表!B:E,4,0))*VLOOKUP(B:B,奖励标准!A:CU,99,0)),0)</f>
        <v>0</v>
      </c>
      <c r="T87" s="3">
        <f>ROUND(VLOOKUP(B:B,录入表!B:AG,28,0)*VLOOKUP(B:B,奖励标准!A:AE,27,0)+VLOOKUP(B:B,录入表!B:AG,29,0)*VLOOKUP(B:B,奖励标准!A:AE,28,0)+VLOOKUP(B:B,录入表!B:AG,30,0)*VLOOKUP(B:B,奖励标准!A:AE,29,0)+VLOOKUP(B:B,录入表!B:AG,31,0)*VLOOKUP(B:B,奖励标准!A:AE,30,0)+VLOOKUP(B:B,录入表!B:AG,32,0)*VLOOKUP(B:B,奖励标准!A:AE,31,0),0)</f>
        <v>0</v>
      </c>
      <c r="U87" s="3">
        <f>ROUND(VLOOKUP(科室绩效工资核算1!B:B,录入表!B:AU,46,0)*VLOOKUP(B:B,奖励标准!A:CV,100,0),0)</f>
        <v>0</v>
      </c>
      <c r="V87" s="3">
        <f>ROUND(VLOOKUP(科室绩效工资核算1!B:B,录入表!B:AV,47,0)*VLOOKUP(B:B,奖励标准!A:CW,101,0),0)</f>
        <v>0</v>
      </c>
      <c r="W87" s="28">
        <f>ROUND(VLOOKUP(B:B,录入表!B:BD,49,0)*VLOOKUP(B:B,奖励标准!A:BB,48,0)+VLOOKUP(B:B,录入表!B:BD,50,0)*VLOOKUP(B:B,奖励标准!A:BB,49,0)+VLOOKUP(B:B,录入表!B:BD,51,0)*VLOOKUP(B:B,奖励标准!A:BB,50,0)+VLOOKUP(B:B,录入表!B:BD,52,0)*VLOOKUP(B:B,奖励标准!A:BB,51,0)+VLOOKUP(B:B,录入表!B:BD,53,0)*VLOOKUP(B:B,奖励标准!A:BB,52,0)+VLOOKUP(B:B,录入表!B:BD,54,0)*VLOOKUP(B:B,奖励标准!A:BB,53,0)+VLOOKUP(B:B,录入表!B:BD,55,0)*VLOOKUP(B:B,奖励标准!A:BB,54,0),0)</f>
        <v>0</v>
      </c>
      <c r="X87" s="28">
        <f>ROUND(VLOOKUP(B:B,录入表!B:BF,56,0)*VLOOKUP(B:B,奖励标准!A:BD,55,0)+VLOOKUP(B:B,录入表!B:BF,57,0)*VLOOKUP(B:B,奖励标准!A:BD,56,0),0)</f>
        <v>0</v>
      </c>
      <c r="Y87" s="28">
        <f>ROUND(VLOOKUP(科室绩效工资核算1!B:B,录入表!B:BJ,58,0)*VLOOKUP(B:B,奖励标准!A:BH,57,0)+VLOOKUP(科室绩效工资核算1!B:B,录入表!B:BJ,59,0)*VLOOKUP(B:B,奖励标准!A:BH,58,0)+VLOOKUP(科室绩效工资核算1!B:B,录入表!B:BJ,60,0)*VLOOKUP(B:B,奖励标准!A:BH,59,0)+VLOOKUP(科室绩效工资核算1!B:B,录入表!B:BJ,61,0)*VLOOKUP(B:B,奖励标准!A:BH,60,0),0)</f>
        <v>0</v>
      </c>
      <c r="Z87" s="28">
        <f>ROUND(VLOOKUP(B:B,录入表!B:BL,62,0)*VLOOKUP(B:B,奖励标准!A:BJ,61,0)+VLOOKUP(B:B,奖励标准!A:BJ,62,0)*VLOOKUP(B:B,录入表!B:BL,63,0),0)</f>
        <v>0</v>
      </c>
      <c r="AA87" s="28">
        <f>ROUND(VLOOKUP(科室绩效工资核算1!B:B,录入表!B:BS,64,0)*VLOOKUP(B:B,奖励标准!A:BQ,63,0)+VLOOKUP(科室绩效工资核算1!B:B,录入表!B:BS,65,0)*VLOOKUP(B:B,奖励标准!A:BQ,64,0)+VLOOKUP(科室绩效工资核算1!B:B,录入表!B:BS,66,0)*VLOOKUP(B:B,奖励标准!A:BQ,65,0)+VLOOKUP(科室绩效工资核算1!B:B,录入表!B:BS,67,0)*VLOOKUP(B:B,奖励标准!A:BQ,66,0)+VLOOKUP(科室绩效工资核算1!B:B,录入表!B:BS,68,0)*VLOOKUP(B:B,奖励标准!A:BQ,67,0)+VLOOKUP(B:B,奖励标准!A:BQ,68,0)*VLOOKUP(科室绩效工资核算1!B:B,录入表!B:BS,69,0)+VLOOKUP(科室绩效工资核算1!B:B,录入表!B:BS,70,0)*+VLOOKUP(B:B,奖励标准!A:BQ,69,0),0)</f>
        <v>0</v>
      </c>
      <c r="AB87" s="28">
        <f>ROUND(VLOOKUP(B:B,录入表!B:CA,71,0)*VLOOKUP(B:B,奖励标准!A:BY,70,0)+VLOOKUP(B:B,录入表!B:CA,72,0)*VLOOKUP(B:B,奖励标准!A:BY,71,0)+VLOOKUP(B:B,录入表!B:CA,73,0)*VLOOKUP(B:B,奖励标准!A:BY,72,0)+VLOOKUP(B:B,录入表!B:CA,74,0)*VLOOKUP(B:B,奖励标准!A:BY,73,0)+VLOOKUP(B:B,录入表!B:CA,75,0)*VLOOKUP(B:B,奖励标准!A:BY,74,0)+VLOOKUP(B:B,录入表!B:CA,76,0)*VLOOKUP(B:B,奖励标准!A:BY,75,0)+VLOOKUP(B:B,录入表!B:CA,77,0)*VLOOKUP(B:B,奖励标准!A:BY,76,0)+VLOOKUP(B:B,录入表!B:CA,78,0)*VLOOKUP(B:B,奖励标准!A:BY,77,0),0)</f>
        <v>0</v>
      </c>
      <c r="AC87" s="28">
        <f>ROUND(VLOOKUP(B:B,录入表!B:CF,79,0)*VLOOKUP(B:B,奖励标准!A:CD,78,0)+VLOOKUP(B:B,录入表!B:CF,80,0)*VLOOKUP(B:B,奖励标准!A:CD,79,0)+VLOOKUP(B:B,录入表!B:CF,81,0)*VLOOKUP(B:B,奖励标准!A:CD,80,0)+VLOOKUP(B:B,奖励标准!A:CD,81,0)*VLOOKUP(B:B,录入表!B:CF,82,0)+VLOOKUP(B:B,录入表!B:CF,83,0)*VLOOKUP(B:B,奖励标准!A:CD,82,0),0)</f>
        <v>0</v>
      </c>
      <c r="AD87" s="28">
        <f>ROUND(VLOOKUP(科室绩效工资核算1!B:B,录入表!B:CM,84,0)*VLOOKUP(B:B,奖励标准!A:CK,83,0)+VLOOKUP(科室绩效工资核算1!B:B,录入表!B:CM,85,0)*VLOOKUP(B:B,奖励标准!A:CK,84,0)+VLOOKUP(科室绩效工资核算1!B:B,录入表!B:CM,86,0)*VLOOKUP(B:B,奖励标准!A:CK,85,0)+VLOOKUP(科室绩效工资核算1!B:B,录入表!B:CM,87,0)*VLOOKUP(B:B,奖励标准!A:CK,86,0)+VLOOKUP(B:B,奖励标准!A:CK,87,0)*VLOOKUP(科室绩效工资核算1!B:B,录入表!B:CM,88,0)+VLOOKUP(科室绩效工资核算1!B:B,录入表!B:CM,89,0)*VLOOKUP(B:B,奖励标准!A:CK,88,0)+VLOOKUP(科室绩效工资核算1!B:B,录入表!B:CM,90,0)*VLOOKUP(B:B,奖励标准!A:CK,89,0),0)</f>
        <v>0</v>
      </c>
      <c r="AE87" s="28">
        <f>ROUND(VLOOKUP(B:B,录入表!B:CR,91,0)*VLOOKUP(B:B,奖励标准!A:CP,90,0)+VLOOKUP(B:B,录入表!B:CR,92,0)*VLOOKUP(B:B,奖励标准!A:CP,91,0)+VLOOKUP(B:B,录入表!B:CR,93,0)*VLOOKUP(B:B,奖励标准!A:CP,92,0)+VLOOKUP(B:B,奖励标准!A:CP,93,0)*VLOOKUP(B:B,录入表!B:CR,94,0)+VLOOKUP(B:B,录入表!B:CR,95,0)*VLOOKUP(B:B,奖励标准!A:CP,94,0),0)</f>
        <v>0</v>
      </c>
      <c r="AF87" s="82">
        <f>ROUND(VLOOKUP(B:B,录入表!B:CV,98,0)*VLOOKUP(B:B,奖励标准!A:CT,97,0)+VLOOKUP(B:B,奖励标准!A:CU,98,0)*VLOOKUP(B:B,录入表!B:CV,99,0),0)</f>
        <v>0</v>
      </c>
      <c r="AG87" s="82">
        <f>ROUND(VLOOKUP(B:B,录入表!B:CT,96,0)*VLOOKUP(B:B,奖励标准!A:CR,95,0)+VLOOKUP(B:B,录入表!B:CT,97,0)*VLOOKUP(B:B,奖励标准!A:CR,96,0),0)</f>
        <v>0</v>
      </c>
      <c r="AH87" s="28">
        <f>ROUND(VLOOKUP(B:B,录入表!B:CW,100,0)*VLOOKUP(科室绩效工资核算1!B:B,奖励标准!A:L,11,0),0)</f>
        <v>0</v>
      </c>
      <c r="AI87" s="3">
        <f>ROUND(VLOOKUP(B:B,录入表!B:N,10,0)*VLOOKUP(B:B,奖励标准!A:L,9,0)+VLOOKUP(B:B,录入表!B:N,11,0)*VLOOKUP(B:B,奖励标准!A:L,10,0)+VLOOKUP(B:B,录入表!B:N,12,0)*VLOOKUP(B:B,奖励标准!A:L,11,0)+VLOOKUP(B:B,录入表!B:N,13,0)*VLOOKUP(B:B,奖励标准!A:L,12,0),0)</f>
        <v>0</v>
      </c>
      <c r="AJ87" s="3">
        <f>ROUND(VLOOKUP(科室绩效工资核算1!B:B,录入表!B:O,14,0)*VLOOKUP(科室绩效工资核算1!B:B,奖励标准!A:M,13,0),0)</f>
        <v>0</v>
      </c>
      <c r="AK87" s="3">
        <f>ROUND(VLOOKUP(科室绩效工资核算1!B:B,录入表!B:P,15,0)*VLOOKUP(科室绩效工资核算1!B:B,奖励标准!A:N,14,0),0)</f>
        <v>0</v>
      </c>
      <c r="AL87" s="3">
        <f>ROUND(VLOOKUP(科室绩效工资核算1!B:B,录入表!B:P,15,0)*VLOOKUP(科室绩效工资核算1!B:B,奖励标准!A:AU,47,0),0)</f>
        <v>0</v>
      </c>
      <c r="AM87" s="3">
        <f t="shared" si="3"/>
        <v>0</v>
      </c>
      <c r="AN87" s="3">
        <f t="shared" si="2"/>
        <v>0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2:86" ht="12.5" customHeight="1" x14ac:dyDescent="0.25">
      <c r="B88" s="73" t="s">
        <v>8</v>
      </c>
      <c r="C88" s="28">
        <f>SUM(C4:C87)</f>
        <v>368366.61200000008</v>
      </c>
      <c r="D88" s="28">
        <f>SUM(D4:D87)</f>
        <v>503552.6</v>
      </c>
      <c r="E88" s="28">
        <f t="shared" ref="E88:AM88" si="4">SUM(E4:E87)</f>
        <v>20150</v>
      </c>
      <c r="F88" s="28">
        <f t="shared" si="4"/>
        <v>13662</v>
      </c>
      <c r="G88" s="28">
        <f t="shared" si="4"/>
        <v>3040</v>
      </c>
      <c r="H88" s="28">
        <f t="shared" si="4"/>
        <v>52340</v>
      </c>
      <c r="I88" s="28">
        <f t="shared" si="4"/>
        <v>24970</v>
      </c>
      <c r="J88" s="28">
        <f t="shared" si="4"/>
        <v>17822</v>
      </c>
      <c r="K88" s="28">
        <f t="shared" si="4"/>
        <v>4530</v>
      </c>
      <c r="L88" s="28">
        <f t="shared" si="4"/>
        <v>21398</v>
      </c>
      <c r="M88" s="28">
        <f t="shared" si="4"/>
        <v>11040</v>
      </c>
      <c r="N88" s="28">
        <f t="shared" si="4"/>
        <v>36</v>
      </c>
      <c r="O88" s="28">
        <f t="shared" si="4"/>
        <v>4717</v>
      </c>
      <c r="P88" s="28">
        <f t="shared" si="4"/>
        <v>13630</v>
      </c>
      <c r="Q88" s="28">
        <f t="shared" si="4"/>
        <v>19969</v>
      </c>
      <c r="R88" s="28">
        <f t="shared" si="4"/>
        <v>31304</v>
      </c>
      <c r="S88" s="28">
        <f t="shared" si="4"/>
        <v>990</v>
      </c>
      <c r="T88" s="28">
        <f t="shared" si="4"/>
        <v>80590</v>
      </c>
      <c r="U88" s="28">
        <f t="shared" si="4"/>
        <v>3160</v>
      </c>
      <c r="V88" s="28">
        <f t="shared" si="4"/>
        <v>1760</v>
      </c>
      <c r="W88" s="28">
        <f t="shared" si="4"/>
        <v>76301</v>
      </c>
      <c r="X88" s="28">
        <f t="shared" si="4"/>
        <v>13724</v>
      </c>
      <c r="Y88" s="28">
        <f t="shared" si="4"/>
        <v>38196</v>
      </c>
      <c r="Z88" s="28">
        <f t="shared" si="4"/>
        <v>21917</v>
      </c>
      <c r="AA88" s="28">
        <f t="shared" si="4"/>
        <v>11725</v>
      </c>
      <c r="AB88" s="28">
        <f t="shared" si="4"/>
        <v>58424</v>
      </c>
      <c r="AC88" s="28">
        <f t="shared" si="4"/>
        <v>1061</v>
      </c>
      <c r="AD88" s="28">
        <f t="shared" si="4"/>
        <v>11472</v>
      </c>
      <c r="AE88" s="28">
        <f t="shared" si="4"/>
        <v>5765</v>
      </c>
      <c r="AF88" s="28">
        <f t="shared" si="4"/>
        <v>69553</v>
      </c>
      <c r="AG88" s="28">
        <f t="shared" si="4"/>
        <v>59707</v>
      </c>
      <c r="AH88" s="28">
        <f t="shared" si="4"/>
        <v>2206</v>
      </c>
      <c r="AI88" s="28">
        <f t="shared" si="4"/>
        <v>39784</v>
      </c>
      <c r="AJ88" s="28">
        <f t="shared" si="4"/>
        <v>22075</v>
      </c>
      <c r="AK88" s="28">
        <f t="shared" si="4"/>
        <v>7560</v>
      </c>
      <c r="AL88" s="28">
        <f t="shared" si="4"/>
        <v>4200</v>
      </c>
      <c r="AM88" s="28">
        <f t="shared" si="4"/>
        <v>75825</v>
      </c>
      <c r="AN88" s="28">
        <f t="shared" si="2"/>
        <v>1564872.2120000001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2:86" ht="12.5" customHeight="1" x14ac:dyDescent="0.25"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2:86" ht="12.5" customHeight="1" x14ac:dyDescent="0.25"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2:86" ht="12.5" customHeight="1" x14ac:dyDescent="0.25"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2:86" ht="12.5" customHeight="1" x14ac:dyDescent="0.25"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2:86" ht="12.5" customHeight="1" x14ac:dyDescent="0.25"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2:86" ht="12.5" customHeight="1" x14ac:dyDescent="0.25"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2:86" ht="12.5" customHeight="1" x14ac:dyDescent="0.25"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2:86" ht="12.5" customHeight="1" x14ac:dyDescent="0.25"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42:86" ht="12.5" customHeight="1" x14ac:dyDescent="0.25"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42:86" ht="12.5" customHeight="1" x14ac:dyDescent="0.25"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42:86" ht="12.5" customHeight="1" x14ac:dyDescent="0.25"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42:86" ht="12.5" customHeight="1" x14ac:dyDescent="0.25"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42:86" ht="12.5" customHeight="1" x14ac:dyDescent="0.25"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42:86" ht="12.5" customHeight="1" x14ac:dyDescent="0.25"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42:86" ht="12.5" customHeight="1" x14ac:dyDescent="0.25"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42:86" ht="12.5" customHeight="1" x14ac:dyDescent="0.25"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42:86" ht="12.5" customHeight="1" x14ac:dyDescent="0.25"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42:86" ht="12.5" customHeight="1" x14ac:dyDescent="0.25"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42:86" ht="12.5" customHeight="1" x14ac:dyDescent="0.25"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42:86" ht="12.5" customHeight="1" x14ac:dyDescent="0.25"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42:86" ht="12.5" customHeight="1" x14ac:dyDescent="0.25"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42:86" ht="12.5" customHeight="1" x14ac:dyDescent="0.25"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</row>
    <row r="111" spans="42:86" ht="12.5" customHeight="1" x14ac:dyDescent="0.25"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42:86" ht="12.5" customHeight="1" x14ac:dyDescent="0.25"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42:86" ht="12.5" customHeight="1" x14ac:dyDescent="0.25"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42:86" ht="12.5" customHeight="1" x14ac:dyDescent="0.25"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42:86" ht="12.5" customHeight="1" x14ac:dyDescent="0.25"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42:86" ht="12.5" customHeight="1" x14ac:dyDescent="0.25"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42:86" ht="12.5" customHeight="1" x14ac:dyDescent="0.25"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42:86" ht="12.5" customHeight="1" x14ac:dyDescent="0.25"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42:86" ht="12.5" customHeight="1" x14ac:dyDescent="0.25"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42:86" ht="12.5" customHeight="1" x14ac:dyDescent="0.25"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42:86" ht="12.5" customHeight="1" x14ac:dyDescent="0.25"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42:86" ht="12.5" customHeight="1" x14ac:dyDescent="0.25"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42:86" ht="12.5" customHeight="1" x14ac:dyDescent="0.25"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42:86" ht="12.5" customHeight="1" x14ac:dyDescent="0.25"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42:86" ht="12.5" customHeight="1" x14ac:dyDescent="0.25"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42:86" ht="12.5" customHeight="1" x14ac:dyDescent="0.25"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42:86" ht="12.5" customHeight="1" x14ac:dyDescent="0.25"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42:86" ht="12.5" customHeight="1" x14ac:dyDescent="0.25"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42:86" ht="12.5" customHeight="1" x14ac:dyDescent="0.25"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42:86" ht="12.5" customHeight="1" x14ac:dyDescent="0.25"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42:86" ht="12.5" customHeight="1" x14ac:dyDescent="0.25"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42:86" ht="12.5" customHeight="1" x14ac:dyDescent="0.25"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42:86" ht="12.5" customHeight="1" x14ac:dyDescent="0.25"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42:86" ht="12.5" customHeight="1" x14ac:dyDescent="0.25"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42:86" ht="12.5" customHeight="1" x14ac:dyDescent="0.25"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42:86" ht="12.5" customHeight="1" x14ac:dyDescent="0.25"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42:86" ht="12.5" customHeight="1" x14ac:dyDescent="0.25"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3" sqref="F33"/>
    </sheetView>
  </sheetViews>
  <sheetFormatPr defaultRowHeight="14" x14ac:dyDescent="0.25"/>
  <cols>
    <col min="2" max="2" width="14.36328125" customWidth="1"/>
    <col min="3" max="3" width="9.26953125" style="36" customWidth="1"/>
    <col min="4" max="4" width="10.54296875" customWidth="1"/>
    <col min="5" max="5" width="8.90625" customWidth="1"/>
    <col min="16" max="16" width="10.90625" customWidth="1"/>
    <col min="22" max="22" width="10.26953125" customWidth="1"/>
  </cols>
  <sheetData>
    <row r="2" spans="2:25" x14ac:dyDescent="0.25">
      <c r="B2">
        <v>1</v>
      </c>
      <c r="C2" s="36">
        <v>2</v>
      </c>
      <c r="D2">
        <v>3</v>
      </c>
      <c r="E2" s="36">
        <v>4</v>
      </c>
      <c r="F2">
        <v>5</v>
      </c>
      <c r="G2" s="36">
        <v>6</v>
      </c>
      <c r="H2">
        <v>7</v>
      </c>
      <c r="I2" s="36">
        <v>8</v>
      </c>
      <c r="J2">
        <v>9</v>
      </c>
      <c r="K2" s="36">
        <v>10</v>
      </c>
      <c r="L2">
        <v>11</v>
      </c>
      <c r="M2" s="36">
        <v>12</v>
      </c>
      <c r="N2">
        <v>13</v>
      </c>
      <c r="O2" s="36">
        <v>14</v>
      </c>
      <c r="P2">
        <v>15</v>
      </c>
      <c r="Q2" s="36">
        <v>16</v>
      </c>
      <c r="R2">
        <v>17</v>
      </c>
      <c r="S2" s="36">
        <v>18</v>
      </c>
      <c r="T2">
        <v>19</v>
      </c>
      <c r="U2" s="36">
        <v>20</v>
      </c>
      <c r="V2">
        <v>21</v>
      </c>
      <c r="W2" s="36">
        <v>22</v>
      </c>
      <c r="X2">
        <v>23</v>
      </c>
      <c r="Y2" s="36">
        <v>24</v>
      </c>
    </row>
    <row r="3" spans="2:25" ht="28" x14ac:dyDescent="0.25">
      <c r="B3" s="38" t="s">
        <v>0</v>
      </c>
      <c r="C3" s="39" t="s">
        <v>375</v>
      </c>
      <c r="D3" s="40" t="s">
        <v>376</v>
      </c>
      <c r="E3" s="40" t="s">
        <v>377</v>
      </c>
      <c r="F3" s="41" t="s">
        <v>379</v>
      </c>
      <c r="G3" s="41" t="s">
        <v>380</v>
      </c>
      <c r="H3" s="41" t="s">
        <v>97</v>
      </c>
      <c r="I3" s="41" t="s">
        <v>381</v>
      </c>
      <c r="J3" s="42" t="s">
        <v>49</v>
      </c>
      <c r="K3" s="42" t="s">
        <v>107</v>
      </c>
      <c r="L3" s="42" t="s">
        <v>382</v>
      </c>
      <c r="M3" s="42" t="s">
        <v>3</v>
      </c>
      <c r="N3" s="42" t="s">
        <v>383</v>
      </c>
      <c r="O3" s="42" t="s">
        <v>50</v>
      </c>
      <c r="P3" s="42" t="s">
        <v>384</v>
      </c>
      <c r="Q3" s="42" t="s">
        <v>385</v>
      </c>
      <c r="R3" s="42" t="s">
        <v>227</v>
      </c>
      <c r="S3" s="42" t="s">
        <v>106</v>
      </c>
      <c r="T3" s="42" t="s">
        <v>225</v>
      </c>
      <c r="U3" s="42" t="s">
        <v>393</v>
      </c>
      <c r="V3" s="42" t="s">
        <v>389</v>
      </c>
      <c r="W3" s="42" t="s">
        <v>390</v>
      </c>
      <c r="X3" s="42" t="s">
        <v>391</v>
      </c>
      <c r="Y3" s="42" t="s">
        <v>392</v>
      </c>
    </row>
    <row r="4" spans="2:25" x14ac:dyDescent="0.25">
      <c r="B4" s="38" t="str">
        <f>科室绩效工资核算1!B4</f>
        <v>神一科</v>
      </c>
      <c r="C4" s="43">
        <f>科室绩效工资核算1!C4</f>
        <v>4728</v>
      </c>
      <c r="D4" s="5">
        <f>SUM(科室绩效工资核算1!D4:G4)+SUM(科室绩效工资核算1!W4:AG4)</f>
        <v>15694</v>
      </c>
      <c r="E4" s="5">
        <f>科室绩效工资核算1!H4-SUMIF(中层绩效!B:B,科室绩效工资核算2!B4,中层绩效!H:H)</f>
        <v>1440</v>
      </c>
      <c r="F4" s="5">
        <f>科室绩效工资核算1!I4-SUMIF(中层绩效!B:B,科室绩效工资核算1!B4,中层绩效!I:I)</f>
        <v>750</v>
      </c>
      <c r="G4" s="5">
        <f>科室绩效工资核算1!J4-SUMIF(中层绩效!B:B,科室绩效工资核算1!B4,中层绩效!J:J)</f>
        <v>296</v>
      </c>
      <c r="H4" s="5">
        <f>科室绩效工资核算1!K4-SUMIF(中层绩效!B:B,科室绩效工资核算1!B4,中层绩效!K:K)</f>
        <v>90</v>
      </c>
      <c r="I4" s="5">
        <f>科室绩效工资核算1!L4-SUMIF(中层绩效!B:B,科室绩效工资核算1!B4,中层绩效!L:L)</f>
        <v>0</v>
      </c>
      <c r="J4" s="5">
        <f>科室绩效工资核算1!M4-SUMIF(中层绩效!B:B,科室绩效工资核算1!B4,中层绩效!M:M)</f>
        <v>0</v>
      </c>
      <c r="K4" s="5">
        <f>科室绩效工资核算1!N4-SUMIF(中层绩效!B:B,科室绩效工资核算1!B4,中层绩效!N:N)</f>
        <v>0</v>
      </c>
      <c r="L4" s="5">
        <f>科室绩效工资核算1!O4-SUMIF(中层绩效!B:B,科室绩效工资核算1!B4,中层绩效!O:O)</f>
        <v>90</v>
      </c>
      <c r="M4" s="5">
        <f>科室绩效工资核算1!P4-SUMIF(中层绩效!B:B,科室绩效工资核算1!B4,中层绩效!P:P)</f>
        <v>0</v>
      </c>
      <c r="N4" s="5">
        <f>科室绩效工资核算1!Q4-SUMIF(中层绩效!B:B,科室绩效工资核算1!B4,中层绩效!Q:Q)</f>
        <v>69</v>
      </c>
      <c r="O4" s="5">
        <f>科室绩效工资核算1!R4-SUMIF(中层绩效!B:B,科室绩效工资核算1!B4,中层绩效!R:R)</f>
        <v>16</v>
      </c>
      <c r="P4" s="5">
        <f>科室绩效工资核算1!S4-SUMIF(中层绩效!B:B,科室绩效工资核算1!B4,中层绩效!S:S)</f>
        <v>4</v>
      </c>
      <c r="Q4" s="5">
        <f>科室绩效工资核算1!T4-SUMIF(中层绩效!B:B,科室绩效工资核算1!B4,中层绩效!T:T)</f>
        <v>1520</v>
      </c>
      <c r="R4" s="5">
        <f>科室绩效工资核算1!V4</f>
        <v>0</v>
      </c>
      <c r="S4" s="5">
        <f>科室绩效工资核算1!U4</f>
        <v>0</v>
      </c>
      <c r="T4" s="5">
        <f>SUM(科室绩效工资核算1!AI4+科室绩效工资核算1!AH4)</f>
        <v>0</v>
      </c>
      <c r="U4" s="43">
        <f>SUM(C4:S4)</f>
        <v>24697</v>
      </c>
      <c r="V4" s="43">
        <f>IFERROR(C4+D4/VLOOKUP($B:$B,人员表!$B:$G,MATCH("员工",人员表!$B$3:$G$3,0),0)*VLOOKUP($B:$B,人员表!$B:$G,MATCH("医疗组",人员表!$B$3:$G$3,0),0),0)</f>
        <v>12148.330969267139</v>
      </c>
      <c r="W4" s="43">
        <f>IFERROR(D4/VLOOKUP($B:$B,人员表!$B:$G,MATCH("员工",人员表!$B$3:$G$3,0),0)*VLOOKUP($B:$B,人员表!$B:$G,MATCH("护理组",人员表!$B$3:$G$3,0),0),0)</f>
        <v>8273.6690307328608</v>
      </c>
      <c r="X4" s="5">
        <f>SUM(E4:P4)</f>
        <v>2755</v>
      </c>
      <c r="Y4" s="5">
        <f>Q4</f>
        <v>1520</v>
      </c>
    </row>
    <row r="5" spans="2:25" x14ac:dyDescent="0.25">
      <c r="B5" s="38" t="str">
        <f>科室绩效工资核算1!B5</f>
        <v>神二科</v>
      </c>
      <c r="C5" s="43">
        <f>科室绩效工资核算1!C5</f>
        <v>7968</v>
      </c>
      <c r="D5" s="5">
        <f>SUM(科室绩效工资核算1!D5:G5)+SUM(科室绩效工资核算1!W5:AG5)</f>
        <v>18150</v>
      </c>
      <c r="E5" s="5">
        <f>科室绩效工资核算1!H5-SUMIF(中层绩效!B:B,科室绩效工资核算2!B5,中层绩效!H:H)</f>
        <v>1486</v>
      </c>
      <c r="F5" s="5">
        <f>科室绩效工资核算1!I5-SUMIF(中层绩效!B:B,科室绩效工资核算1!B5,中层绩效!I:I)</f>
        <v>750</v>
      </c>
      <c r="G5" s="5">
        <f>科室绩效工资核算1!J5-SUMIF(中层绩效!B:B,科室绩效工资核算1!B5,中层绩效!J:J)</f>
        <v>402</v>
      </c>
      <c r="H5" s="5">
        <f>科室绩效工资核算1!K5-SUMIF(中层绩效!B:B,科室绩效工资核算1!B5,中层绩效!K:K)</f>
        <v>86</v>
      </c>
      <c r="I5" s="5">
        <f>科室绩效工资核算1!L5-SUMIF(中层绩效!B:B,科室绩效工资核算1!B5,中层绩效!L:L)</f>
        <v>0</v>
      </c>
      <c r="J5" s="5">
        <f>科室绩效工资核算1!M5-SUMIF(中层绩效!B:B,科室绩效工资核算1!B5,中层绩效!M:M)</f>
        <v>0</v>
      </c>
      <c r="K5" s="5">
        <f>科室绩效工资核算1!N5-SUMIF(中层绩效!B:B,科室绩效工资核算1!B5,中层绩效!N:N)</f>
        <v>0</v>
      </c>
      <c r="L5" s="5">
        <f>科室绩效工资核算1!O5-SUMIF(中层绩效!B:B,科室绩效工资核算1!B5,中层绩效!O:O)</f>
        <v>51</v>
      </c>
      <c r="M5" s="5">
        <f>科室绩效工资核算1!P5-SUMIF(中层绩效!B:B,科室绩效工资核算1!B5,中层绩效!P:P)</f>
        <v>11</v>
      </c>
      <c r="N5" s="5">
        <f>科室绩效工资核算1!Q5-SUMIF(中层绩效!B:B,科室绩效工资核算1!B5,中层绩效!Q:Q)</f>
        <v>1018</v>
      </c>
      <c r="O5" s="5">
        <f>科室绩效工资核算1!R5-SUMIF(中层绩效!B:B,科室绩效工资核算1!B5,中层绩效!R:R)</f>
        <v>824</v>
      </c>
      <c r="P5" s="5">
        <f>科室绩效工资核算1!S5-SUMIF(中层绩效!B:B,科室绩效工资核算1!B5,中层绩效!S:S)</f>
        <v>0</v>
      </c>
      <c r="Q5" s="5">
        <f>科室绩效工资核算1!T5-SUMIF(中层绩效!B:B,科室绩效工资核算1!B5,中层绩效!T:T)</f>
        <v>1574</v>
      </c>
      <c r="R5" s="5">
        <f>科室绩效工资核算1!V5</f>
        <v>0</v>
      </c>
      <c r="S5" s="5">
        <f>科室绩效工资核算1!U5</f>
        <v>0</v>
      </c>
      <c r="T5" s="5">
        <f>SUM(科室绩效工资核算1!AI5+科室绩效工资核算1!AH5)</f>
        <v>0</v>
      </c>
      <c r="U5" s="43">
        <f t="shared" ref="U5:U39" si="0">SUM(C5:S5)</f>
        <v>32320</v>
      </c>
      <c r="V5" s="43">
        <f>IFERROR(C5+D5/VLOOKUP($B:$B,人员表!$B:$G,MATCH("员工",人员表!$B$3:$G$3,0),0)*VLOOKUP($B:$B,人员表!$B:$G,MATCH("医疗组",人员表!$B$3:$G$3,0),0),0)</f>
        <v>15731.045337895637</v>
      </c>
      <c r="W5" s="43">
        <f>IFERROR(D5/VLOOKUP($B:$B,人员表!$B:$G,MATCH("员工",人员表!$B$3:$G$3,0),0)*VLOOKUP($B:$B,人员表!$B:$G,MATCH("护理组",人员表!$B$3:$G$3,0),0),0)</f>
        <v>10386.954662104361</v>
      </c>
      <c r="X5" s="5">
        <f t="shared" ref="X5:X68" si="1">SUM(E5:P5)</f>
        <v>4628</v>
      </c>
      <c r="Y5" s="5">
        <f t="shared" ref="Y5:Y68" si="2">Q5</f>
        <v>1574</v>
      </c>
    </row>
    <row r="6" spans="2:25" x14ac:dyDescent="0.25">
      <c r="B6" s="38" t="str">
        <f>科室绩效工资核算1!B6</f>
        <v>神三科</v>
      </c>
      <c r="C6" s="43">
        <f>科室绩效工资核算1!C6</f>
        <v>4208</v>
      </c>
      <c r="D6" s="5">
        <f>SUM(科室绩效工资核算1!D6:G6)+SUM(科室绩效工资核算1!W6:AG6)</f>
        <v>16618</v>
      </c>
      <c r="E6" s="5">
        <f>科室绩效工资核算1!H6-SUMIF(中层绩效!B:B,科室绩效工资核算2!B6,中层绩效!H:H)</f>
        <v>2112</v>
      </c>
      <c r="F6" s="5">
        <f>科室绩效工资核算1!I6-SUMIF(中层绩效!B:B,科室绩效工资核算1!B6,中层绩效!I:I)</f>
        <v>741</v>
      </c>
      <c r="G6" s="5">
        <f>科室绩效工资核算1!J6-SUMIF(中层绩效!B:B,科室绩效工资核算1!B6,中层绩效!J:J)</f>
        <v>334</v>
      </c>
      <c r="H6" s="5">
        <f>科室绩效工资核算1!K6-SUMIF(中层绩效!B:B,科室绩效工资核算1!B6,中层绩效!K:K)</f>
        <v>0</v>
      </c>
      <c r="I6" s="5">
        <f>科室绩效工资核算1!L6-SUMIF(中层绩效!B:B,科室绩效工资核算1!B6,中层绩效!L:L)</f>
        <v>0</v>
      </c>
      <c r="J6" s="5">
        <f>科室绩效工资核算1!M6-SUMIF(中层绩效!B:B,科室绩效工资核算1!B6,中层绩效!M:M)</f>
        <v>0</v>
      </c>
      <c r="K6" s="5">
        <f>科室绩效工资核算1!N6-SUMIF(中层绩效!B:B,科室绩效工资核算1!B6,中层绩效!N:N)</f>
        <v>0</v>
      </c>
      <c r="L6" s="5">
        <f>科室绩效工资核算1!O6-SUMIF(中层绩效!B:B,科室绩效工资核算1!B6,中层绩效!O:O)</f>
        <v>111</v>
      </c>
      <c r="M6" s="5">
        <f>科室绩效工资核算1!P6-SUMIF(中层绩效!B:B,科室绩效工资核算1!B6,中层绩效!P:P)</f>
        <v>0</v>
      </c>
      <c r="N6" s="5">
        <f>科室绩效工资核算1!Q6-SUMIF(中层绩效!B:B,科室绩效工资核算1!B6,中层绩效!Q:Q)</f>
        <v>197</v>
      </c>
      <c r="O6" s="5">
        <f>科室绩效工资核算1!R6-SUMIF(中层绩效!B:B,科室绩效工资核算1!B6,中层绩效!R:R)</f>
        <v>95</v>
      </c>
      <c r="P6" s="5">
        <f>科室绩效工资核算1!S6-SUMIF(中层绩效!B:B,科室绩效工资核算1!B6,中层绩效!S:S)</f>
        <v>121</v>
      </c>
      <c r="Q6" s="5">
        <f>科室绩效工资核算1!T6-SUMIF(中层绩效!B:B,科室绩效工资核算1!B6,中层绩效!T:T)</f>
        <v>1935</v>
      </c>
      <c r="R6" s="5">
        <f>科室绩效工资核算1!V6</f>
        <v>0</v>
      </c>
      <c r="S6" s="5">
        <f>科室绩效工资核算1!U6</f>
        <v>0</v>
      </c>
      <c r="T6" s="5">
        <f>SUM(科室绩效工资核算1!AI6+科室绩效工资核算1!AH6)</f>
        <v>0</v>
      </c>
      <c r="U6" s="43">
        <f t="shared" si="0"/>
        <v>26472</v>
      </c>
      <c r="V6" s="43">
        <f>IFERROR(C6+D6/VLOOKUP($B:$B,人员表!$B:$G,MATCH("员工",人员表!$B$3:$G$3,0),0)*VLOOKUP($B:$B,人员表!$B:$G,MATCH("医疗组",人员表!$B$3:$G$3,0),0),0)</f>
        <v>11705.867104183757</v>
      </c>
      <c r="W6" s="43">
        <f>IFERROR(D6/VLOOKUP($B:$B,人员表!$B:$G,MATCH("员工",人员表!$B$3:$G$3,0),0)*VLOOKUP($B:$B,人员表!$B:$G,MATCH("护理组",人员表!$B$3:$G$3,0),0),0)</f>
        <v>9120.132895816243</v>
      </c>
      <c r="X6" s="5">
        <f t="shared" si="1"/>
        <v>3711</v>
      </c>
      <c r="Y6" s="5">
        <f t="shared" si="2"/>
        <v>1935</v>
      </c>
    </row>
    <row r="7" spans="2:25" x14ac:dyDescent="0.25">
      <c r="B7" s="38" t="str">
        <f>科室绩效工资核算1!B7</f>
        <v>心内科</v>
      </c>
      <c r="C7" s="43">
        <f>科室绩效工资核算1!C7</f>
        <v>6330</v>
      </c>
      <c r="D7" s="5">
        <f>SUM(科室绩效工资核算1!D7:G7)+SUM(科室绩效工资核算1!W7:AG7)</f>
        <v>46352</v>
      </c>
      <c r="E7" s="5">
        <f>科室绩效工资核算1!H7-SUMIF(中层绩效!B:B,科室绩效工资核算2!B7,中层绩效!H:H)</f>
        <v>4772</v>
      </c>
      <c r="F7" s="5">
        <f>科室绩效工资核算1!I7-SUMIF(中层绩效!B:B,科室绩效工资核算1!B7,中层绩效!I:I)</f>
        <v>2403</v>
      </c>
      <c r="G7" s="5">
        <f>科室绩效工资核算1!J7-SUMIF(中层绩效!B:B,科室绩效工资核算1!B7,中层绩效!J:J)</f>
        <v>701</v>
      </c>
      <c r="H7" s="5">
        <f>科室绩效工资核算1!K7-SUMIF(中层绩效!B:B,科室绩效工资核算1!B7,中层绩效!K:K)</f>
        <v>0</v>
      </c>
      <c r="I7" s="5">
        <f>科室绩效工资核算1!L7-SUMIF(中层绩效!B:B,科室绩效工资核算1!B7,中层绩效!L:L)</f>
        <v>0</v>
      </c>
      <c r="J7" s="5">
        <f>科室绩效工资核算1!M7-SUMIF(中层绩效!B:B,科室绩效工资核算1!B7,中层绩效!M:M)</f>
        <v>0</v>
      </c>
      <c r="K7" s="5">
        <f>科室绩效工资核算1!N7-SUMIF(中层绩效!B:B,科室绩效工资核算1!B7,中层绩效!N:N)</f>
        <v>0</v>
      </c>
      <c r="L7" s="5">
        <f>科室绩效工资核算1!O7-SUMIF(中层绩效!B:B,科室绩效工资核算1!B7,中层绩效!O:O)</f>
        <v>476</v>
      </c>
      <c r="M7" s="5">
        <f>科室绩效工资核算1!P7-SUMIF(中层绩效!B:B,科室绩效工资核算1!B7,中层绩效!P:P)</f>
        <v>0</v>
      </c>
      <c r="N7" s="5">
        <f>科室绩效工资核算1!Q7-SUMIF(中层绩效!B:B,科室绩效工资核算1!B7,中层绩效!Q:Q)</f>
        <v>0</v>
      </c>
      <c r="O7" s="5">
        <f>科室绩效工资核算1!R7-SUMIF(中层绩效!B:B,科室绩效工资核算1!B7,中层绩效!R:R)</f>
        <v>0</v>
      </c>
      <c r="P7" s="5">
        <f>科室绩效工资核算1!S7-SUMIF(中层绩效!B:B,科室绩效工资核算1!B7,中层绩效!S:S)</f>
        <v>11</v>
      </c>
      <c r="Q7" s="5">
        <f>科室绩效工资核算1!T7-SUMIF(中层绩效!B:B,科室绩效工资核算1!B7,中层绩效!T:T)</f>
        <v>6722</v>
      </c>
      <c r="R7" s="5">
        <f>科室绩效工资核算1!V7</f>
        <v>0</v>
      </c>
      <c r="S7" s="5">
        <f>科室绩效工资核算1!U7</f>
        <v>0</v>
      </c>
      <c r="T7" s="5">
        <f>SUM(科室绩效工资核算1!AI7+科室绩效工资核算1!AH7)</f>
        <v>0</v>
      </c>
      <c r="U7" s="43">
        <f t="shared" si="0"/>
        <v>67767</v>
      </c>
      <c r="V7" s="43">
        <f>IFERROR(C7+D7/VLOOKUP($B:$B,人员表!$B:$G,MATCH("员工",人员表!$B$3:$G$3,0),0)*VLOOKUP($B:$B,人员表!$B:$G,MATCH("医疗组",人员表!$B$3:$G$3,0),0),0)</f>
        <v>35152.611644997174</v>
      </c>
      <c r="W7" s="43">
        <f>IFERROR(D7/VLOOKUP($B:$B,人员表!$B:$G,MATCH("员工",人员表!$B$3:$G$3,0),0)*VLOOKUP($B:$B,人员表!$B:$G,MATCH("护理组",人员表!$B$3:$G$3,0),0),0)</f>
        <v>17529.388355002826</v>
      </c>
      <c r="X7" s="5">
        <f t="shared" si="1"/>
        <v>8363</v>
      </c>
      <c r="Y7" s="5">
        <f t="shared" si="2"/>
        <v>6722</v>
      </c>
    </row>
    <row r="8" spans="2:25" x14ac:dyDescent="0.25">
      <c r="B8" s="38" t="str">
        <f>科室绩效工资核算1!B8</f>
        <v>呼吸内科</v>
      </c>
      <c r="C8" s="43">
        <f>科室绩效工资核算1!C8</f>
        <v>9359</v>
      </c>
      <c r="D8" s="5">
        <f>SUM(科室绩效工资核算1!D8:G8)+SUM(科室绩效工资核算1!W8:AG8)</f>
        <v>20716</v>
      </c>
      <c r="E8" s="5">
        <f>科室绩效工资核算1!H8-SUMIF(中层绩效!B:B,科室绩效工资核算2!B8,中层绩效!H:H)</f>
        <v>1973</v>
      </c>
      <c r="F8" s="5">
        <f>科室绩效工资核算1!I8-SUMIF(中层绩效!B:B,科室绩效工资核算1!B8,中层绩效!I:I)</f>
        <v>820</v>
      </c>
      <c r="G8" s="5">
        <f>科室绩效工资核算1!J8-SUMIF(中层绩效!B:B,科室绩效工资核算1!B8,中层绩效!J:J)</f>
        <v>1167</v>
      </c>
      <c r="H8" s="5">
        <f>科室绩效工资核算1!K8-SUMIF(中层绩效!B:B,科室绩效工资核算1!B8,中层绩效!K:K)</f>
        <v>0</v>
      </c>
      <c r="I8" s="5">
        <f>科室绩效工资核算1!L8-SUMIF(中层绩效!B:B,科室绩效工资核算1!B8,中层绩效!L:L)</f>
        <v>0</v>
      </c>
      <c r="J8" s="5">
        <f>科室绩效工资核算1!M8-SUMIF(中层绩效!B:B,科室绩效工资核算1!B8,中层绩效!M:M)</f>
        <v>0</v>
      </c>
      <c r="K8" s="5">
        <f>科室绩效工资核算1!N8-SUMIF(中层绩效!B:B,科室绩效工资核算1!B8,中层绩效!N:N)</f>
        <v>0</v>
      </c>
      <c r="L8" s="5">
        <f>科室绩效工资核算1!O8-SUMIF(中层绩效!B:B,科室绩效工资核算1!B8,中层绩效!O:O)</f>
        <v>145</v>
      </c>
      <c r="M8" s="5">
        <f>科室绩效工资核算1!P8-SUMIF(中层绩效!B:B,科室绩效工资核算1!B8,中层绩效!P:P)</f>
        <v>0</v>
      </c>
      <c r="N8" s="5">
        <f>科室绩效工资核算1!Q8-SUMIF(中层绩效!B:B,科室绩效工资核算1!B8,中层绩效!Q:Q)</f>
        <v>0</v>
      </c>
      <c r="O8" s="5">
        <f>科室绩效工资核算1!R8-SUMIF(中层绩效!B:B,科室绩效工资核算1!B8,中层绩效!R:R)</f>
        <v>0</v>
      </c>
      <c r="P8" s="5">
        <f>科室绩效工资核算1!S8-SUMIF(中层绩效!B:B,科室绩效工资核算1!B8,中层绩效!S:S)</f>
        <v>5</v>
      </c>
      <c r="Q8" s="5">
        <f>科室绩效工资核算1!T8-SUMIF(中层绩效!B:B,科室绩效工资核算1!B8,中层绩效!T:T)</f>
        <v>2271</v>
      </c>
      <c r="R8" s="5">
        <f>科室绩效工资核算1!V8</f>
        <v>0</v>
      </c>
      <c r="S8" s="5">
        <f>科室绩效工资核算1!U8</f>
        <v>0</v>
      </c>
      <c r="T8" s="5">
        <f>SUM(科室绩效工资核算1!AI8+科室绩效工资核算1!AH8)</f>
        <v>0</v>
      </c>
      <c r="U8" s="43">
        <f t="shared" si="0"/>
        <v>36456</v>
      </c>
      <c r="V8" s="43">
        <f>IFERROR(C8+D8/VLOOKUP($B:$B,人员表!$B:$G,MATCH("员工",人员表!$B$3:$G$3,0),0)*VLOOKUP($B:$B,人员表!$B:$G,MATCH("医疗组",人员表!$B$3:$G$3,0),0),0)</f>
        <v>17110.543498596817</v>
      </c>
      <c r="W8" s="43">
        <f>IFERROR(D8/VLOOKUP($B:$B,人员表!$B:$G,MATCH("员工",人员表!$B$3:$G$3,0),0)*VLOOKUP($B:$B,人员表!$B:$G,MATCH("护理组",人员表!$B$3:$G$3,0),0),0)</f>
        <v>12964.45650140318</v>
      </c>
      <c r="X8" s="5">
        <f t="shared" si="1"/>
        <v>4110</v>
      </c>
      <c r="Y8" s="5">
        <f t="shared" si="2"/>
        <v>2271</v>
      </c>
    </row>
    <row r="9" spans="2:25" x14ac:dyDescent="0.25">
      <c r="B9" s="38" t="str">
        <f>科室绩效工资核算1!B9</f>
        <v>消化内科</v>
      </c>
      <c r="C9" s="43">
        <f>科室绩效工资核算1!C9</f>
        <v>8261</v>
      </c>
      <c r="D9" s="5">
        <f>SUM(科室绩效工资核算1!D9:G9)+SUM(科室绩效工资核算1!W9:AG9)</f>
        <v>19118</v>
      </c>
      <c r="E9" s="5">
        <f>科室绩效工资核算1!H9-SUMIF(中层绩效!B:B,科室绩效工资核算2!B9,中层绩效!H:H)</f>
        <v>1743</v>
      </c>
      <c r="F9" s="5">
        <f>科室绩效工资核算1!I9-SUMIF(中层绩效!B:B,科室绩效工资核算1!B9,中层绩效!I:I)</f>
        <v>743</v>
      </c>
      <c r="G9" s="5">
        <f>科室绩效工资核算1!J9-SUMIF(中层绩效!B:B,科室绩效工资核算1!B9,中层绩效!J:J)</f>
        <v>709</v>
      </c>
      <c r="H9" s="5">
        <f>科室绩效工资核算1!K9-SUMIF(中层绩效!B:B,科室绩效工资核算1!B9,中层绩效!K:K)</f>
        <v>0</v>
      </c>
      <c r="I9" s="5">
        <f>科室绩效工资核算1!L9-SUMIF(中层绩效!B:B,科室绩效工资核算1!B9,中层绩效!L:L)</f>
        <v>0</v>
      </c>
      <c r="J9" s="5">
        <f>科室绩效工资核算1!M9-SUMIF(中层绩效!B:B,科室绩效工资核算1!B9,中层绩效!M:M)</f>
        <v>0</v>
      </c>
      <c r="K9" s="5">
        <f>科室绩效工资核算1!N9-SUMIF(中层绩效!B:B,科室绩效工资核算1!B9,中层绩效!N:N)</f>
        <v>0</v>
      </c>
      <c r="L9" s="5">
        <f>科室绩效工资核算1!O9-SUMIF(中层绩效!B:B,科室绩效工资核算1!B9,中层绩效!O:O)</f>
        <v>183</v>
      </c>
      <c r="M9" s="5">
        <f>科室绩效工资核算1!P9-SUMIF(中层绩效!B:B,科室绩效工资核算1!B9,中层绩效!P:P)</f>
        <v>0</v>
      </c>
      <c r="N9" s="5">
        <f>科室绩效工资核算1!Q9-SUMIF(中层绩效!B:B,科室绩效工资核算1!B9,中层绩效!Q:Q)</f>
        <v>0</v>
      </c>
      <c r="O9" s="5">
        <f>科室绩效工资核算1!R9-SUMIF(中层绩效!B:B,科室绩效工资核算1!B9,中层绩效!R:R)</f>
        <v>0</v>
      </c>
      <c r="P9" s="5">
        <f>科室绩效工资核算1!S9-SUMIF(中层绩效!B:B,科室绩效工资核算1!B9,中层绩效!S:S)</f>
        <v>0</v>
      </c>
      <c r="Q9" s="5">
        <f>科室绩效工资核算1!T9-SUMIF(中层绩效!B:B,科室绩效工资核算1!B9,中层绩效!T:T)</f>
        <v>1411</v>
      </c>
      <c r="R9" s="5">
        <f>科室绩效工资核算1!V9</f>
        <v>0</v>
      </c>
      <c r="S9" s="5">
        <f>科室绩效工资核算1!U9</f>
        <v>0</v>
      </c>
      <c r="T9" s="5">
        <f>SUM(科室绩效工资核算1!AI9+科室绩效工资核算1!AH9)</f>
        <v>0</v>
      </c>
      <c r="U9" s="43">
        <f t="shared" si="0"/>
        <v>32168</v>
      </c>
      <c r="V9" s="43">
        <f>IFERROR(C9+D9/VLOOKUP($B:$B,人员表!$B:$G,MATCH("员工",人员表!$B$3:$G$3,0),0)*VLOOKUP($B:$B,人员表!$B:$G,MATCH("医疗组",人员表!$B$3:$G$3,0),0),0)</f>
        <v>16438.074422583406</v>
      </c>
      <c r="W9" s="43">
        <f>IFERROR(D9/VLOOKUP($B:$B,人员表!$B:$G,MATCH("员工",人员表!$B$3:$G$3,0),0)*VLOOKUP($B:$B,人员表!$B:$G,MATCH("护理组",人员表!$B$3:$G$3,0),0),0)</f>
        <v>10940.925577416596</v>
      </c>
      <c r="X9" s="5">
        <f t="shared" si="1"/>
        <v>3378</v>
      </c>
      <c r="Y9" s="5">
        <f t="shared" si="2"/>
        <v>1411</v>
      </c>
    </row>
    <row r="10" spans="2:25" x14ac:dyDescent="0.25">
      <c r="B10" s="38" t="str">
        <f>科室绩效工资核算1!B10</f>
        <v>内分泌科</v>
      </c>
      <c r="C10" s="43">
        <f>科室绩效工资核算1!C10</f>
        <v>4047</v>
      </c>
      <c r="D10" s="5">
        <f>SUM(科室绩效工资核算1!D10:G10)+SUM(科室绩效工资核算1!W10:AG10)</f>
        <v>15535</v>
      </c>
      <c r="E10" s="5">
        <f>科室绩效工资核算1!H10-SUMIF(中层绩效!B:B,科室绩效工资核算2!B10,中层绩效!H:H)</f>
        <v>1590</v>
      </c>
      <c r="F10" s="5">
        <f>科室绩效工资核算1!I10-SUMIF(中层绩效!B:B,科室绩效工资核算1!B10,中层绩效!I:I)</f>
        <v>705</v>
      </c>
      <c r="G10" s="5">
        <f>科室绩效工资核算1!J10-SUMIF(中层绩效!B:B,科室绩效工资核算1!B10,中层绩效!J:J)</f>
        <v>287</v>
      </c>
      <c r="H10" s="5">
        <f>科室绩效工资核算1!K10-SUMIF(中层绩效!B:B,科室绩效工资核算1!B10,中层绩效!K:K)</f>
        <v>0</v>
      </c>
      <c r="I10" s="5">
        <f>科室绩效工资核算1!L10-SUMIF(中层绩效!B:B,科室绩效工资核算1!B10,中层绩效!L:L)</f>
        <v>0</v>
      </c>
      <c r="J10" s="5">
        <f>科室绩效工资核算1!M10-SUMIF(中层绩效!B:B,科室绩效工资核算1!B10,中层绩效!M:M)</f>
        <v>0</v>
      </c>
      <c r="K10" s="5">
        <f>科室绩效工资核算1!N10-SUMIF(中层绩效!B:B,科室绩效工资核算1!B10,中层绩效!N:N)</f>
        <v>0</v>
      </c>
      <c r="L10" s="5">
        <f>科室绩效工资核算1!O10-SUMIF(中层绩效!B:B,科室绩效工资核算1!B10,中层绩效!O:O)</f>
        <v>156</v>
      </c>
      <c r="M10" s="5">
        <f>科室绩效工资核算1!P10-SUMIF(中层绩效!B:B,科室绩效工资核算1!B10,中层绩效!P:P)</f>
        <v>0</v>
      </c>
      <c r="N10" s="5">
        <f>科室绩效工资核算1!Q10-SUMIF(中层绩效!B:B,科室绩效工资核算1!B10,中层绩效!Q:Q)</f>
        <v>0</v>
      </c>
      <c r="O10" s="5">
        <f>科室绩效工资核算1!R10-SUMIF(中层绩效!B:B,科室绩效工资核算1!B10,中层绩效!R:R)</f>
        <v>0</v>
      </c>
      <c r="P10" s="5">
        <f>科室绩效工资核算1!S10-SUMIF(中层绩效!B:B,科室绩效工资核算1!B10,中层绩效!S:S)</f>
        <v>0</v>
      </c>
      <c r="Q10" s="5">
        <f>科室绩效工资核算1!T10-SUMIF(中层绩效!B:B,科室绩效工资核算1!B10,中层绩效!T:T)</f>
        <v>1616</v>
      </c>
      <c r="R10" s="5">
        <f>科室绩效工资核算1!V10</f>
        <v>0</v>
      </c>
      <c r="S10" s="5">
        <f>科室绩效工资核算1!U10</f>
        <v>0</v>
      </c>
      <c r="T10" s="5">
        <f>SUM(科室绩效工资核算1!AI10+科室绩效工资核算1!AH10)</f>
        <v>0</v>
      </c>
      <c r="U10" s="43">
        <f t="shared" si="0"/>
        <v>23936</v>
      </c>
      <c r="V10" s="43">
        <f>IFERROR(C10+D10/VLOOKUP($B:$B,人员表!$B:$G,MATCH("员工",人员表!$B$3:$G$3,0),0)*VLOOKUP($B:$B,人员表!$B:$G,MATCH("医疗组",人员表!$B$3:$G$3,0),0),0)</f>
        <v>11392.153664302599</v>
      </c>
      <c r="W10" s="43">
        <f>IFERROR(D10/VLOOKUP($B:$B,人员表!$B:$G,MATCH("员工",人员表!$B$3:$G$3,0),0)*VLOOKUP($B:$B,人员表!$B:$G,MATCH("护理组",人员表!$B$3:$G$3,0),0),0)</f>
        <v>8189.8463356973989</v>
      </c>
      <c r="X10" s="5">
        <f t="shared" si="1"/>
        <v>2738</v>
      </c>
      <c r="Y10" s="5">
        <f t="shared" si="2"/>
        <v>1616</v>
      </c>
    </row>
    <row r="11" spans="2:25" x14ac:dyDescent="0.25">
      <c r="B11" s="38" t="str">
        <f>科室绩效工资核算1!B11</f>
        <v>儿一科</v>
      </c>
      <c r="C11" s="43">
        <f>科室绩效工资核算1!C11</f>
        <v>5530</v>
      </c>
      <c r="D11" s="5">
        <f>SUM(科室绩效工资核算1!D11:G11)+SUM(科室绩效工资核算1!W11:AG11)</f>
        <v>25692</v>
      </c>
      <c r="E11" s="5">
        <f>科室绩效工资核算1!H11-SUMIF(中层绩效!B:B,科室绩效工资核算2!B11,中层绩效!H:H)</f>
        <v>4262</v>
      </c>
      <c r="F11" s="5">
        <f>科室绩效工资核算1!I11-SUMIF(中层绩效!B:B,科室绩效工资核算1!B11,中层绩效!I:I)</f>
        <v>2543</v>
      </c>
      <c r="G11" s="5">
        <f>科室绩效工资核算1!J11-SUMIF(中层绩效!B:B,科室绩效工资核算1!B11,中层绩效!J:J)</f>
        <v>488</v>
      </c>
      <c r="H11" s="5">
        <f>科室绩效工资核算1!K11-SUMIF(中层绩效!B:B,科室绩效工资核算1!B11,中层绩效!K:K)</f>
        <v>0</v>
      </c>
      <c r="I11" s="5">
        <f>科室绩效工资核算1!L11-SUMIF(中层绩效!B:B,科室绩效工资核算1!B11,中层绩效!L:L)</f>
        <v>0</v>
      </c>
      <c r="J11" s="5">
        <f>科室绩效工资核算1!M11-SUMIF(中层绩效!B:B,科室绩效工资核算1!B11,中层绩效!M:M)</f>
        <v>0</v>
      </c>
      <c r="K11" s="5">
        <f>科室绩效工资核算1!N11-SUMIF(中层绩效!B:B,科室绩效工资核算1!B11,中层绩效!N:N)</f>
        <v>0</v>
      </c>
      <c r="L11" s="5">
        <f>科室绩效工资核算1!O11-SUMIF(中层绩效!B:B,科室绩效工资核算1!B11,中层绩效!O:O)</f>
        <v>10</v>
      </c>
      <c r="M11" s="5">
        <f>科室绩效工资核算1!P11-SUMIF(中层绩效!B:B,科室绩效工资核算1!B11,中层绩效!P:P)</f>
        <v>0</v>
      </c>
      <c r="N11" s="5">
        <f>科室绩效工资核算1!Q11-SUMIF(中层绩效!B:B,科室绩效工资核算1!B11,中层绩效!Q:Q)</f>
        <v>2564</v>
      </c>
      <c r="O11" s="5">
        <f>科室绩效工资核算1!R11-SUMIF(中层绩效!B:B,科室绩效工资核算1!B11,中层绩效!R:R)</f>
        <v>6577</v>
      </c>
      <c r="P11" s="5">
        <f>科室绩效工资核算1!S11-SUMIF(中层绩效!B:B,科室绩效工资核算1!B11,中层绩效!S:S)</f>
        <v>0</v>
      </c>
      <c r="Q11" s="5">
        <f>科室绩效工资核算1!T11-SUMIF(中层绩效!B:B,科室绩效工资核算1!B11,中层绩效!T:T)</f>
        <v>2818</v>
      </c>
      <c r="R11" s="5">
        <f>科室绩效工资核算1!V11</f>
        <v>0</v>
      </c>
      <c r="S11" s="5">
        <f>科室绩效工资核算1!U11</f>
        <v>0</v>
      </c>
      <c r="T11" s="5">
        <f>SUM(科室绩效工资核算1!AI11+科室绩效工资核算1!AH11)</f>
        <v>0</v>
      </c>
      <c r="U11" s="43">
        <f t="shared" si="0"/>
        <v>50484</v>
      </c>
      <c r="V11" s="43">
        <f>IFERROR(C11+D11/VLOOKUP($B:$B,人员表!$B:$G,MATCH("员工",人员表!$B$3:$G$3,0),0)*VLOOKUP($B:$B,人员表!$B:$G,MATCH("医疗组",人员表!$B$3:$G$3,0),0),0)</f>
        <v>18666.888239590942</v>
      </c>
      <c r="W11" s="43">
        <f>IFERROR(D11/VLOOKUP($B:$B,人员表!$B:$G,MATCH("员工",人员表!$B$3:$G$3,0),0)*VLOOKUP($B:$B,人员表!$B:$G,MATCH("护理组",人员表!$B$3:$G$3,0),0),0)</f>
        <v>12555.111760409058</v>
      </c>
      <c r="X11" s="5">
        <f t="shared" si="1"/>
        <v>16444</v>
      </c>
      <c r="Y11" s="5">
        <f t="shared" si="2"/>
        <v>2818</v>
      </c>
    </row>
    <row r="12" spans="2:25" x14ac:dyDescent="0.25">
      <c r="B12" s="38" t="str">
        <f>科室绩效工资核算1!B12</f>
        <v>儿二科</v>
      </c>
      <c r="C12" s="43">
        <f>科室绩效工资核算1!C12</f>
        <v>3911</v>
      </c>
      <c r="D12" s="5">
        <f>SUM(科室绩效工资核算1!D12:G12)+SUM(科室绩效工资核算1!W12:AG12)</f>
        <v>19352</v>
      </c>
      <c r="E12" s="5">
        <f>科室绩效工资核算1!H12-SUMIF(中层绩效!B:B,科室绩效工资核算2!B12,中层绩效!H:H)</f>
        <v>3744</v>
      </c>
      <c r="F12" s="5">
        <f>科室绩效工资核算1!I12-SUMIF(中层绩效!B:B,科室绩效工资核算1!B12,中层绩效!I:I)</f>
        <v>2280</v>
      </c>
      <c r="G12" s="5">
        <f>科室绩效工资核算1!J12-SUMIF(中层绩效!B:B,科室绩效工资核算1!B12,中层绩效!J:J)</f>
        <v>362</v>
      </c>
      <c r="H12" s="5">
        <f>科室绩效工资核算1!K12-SUMIF(中层绩效!B:B,科室绩效工资核算1!B12,中层绩效!K:K)</f>
        <v>0</v>
      </c>
      <c r="I12" s="5">
        <f>科室绩效工资核算1!L12-SUMIF(中层绩效!B:B,科室绩效工资核算1!B12,中层绩效!L:L)</f>
        <v>0</v>
      </c>
      <c r="J12" s="5">
        <f>科室绩效工资核算1!M12-SUMIF(中层绩效!B:B,科室绩效工资核算1!B12,中层绩效!M:M)</f>
        <v>0</v>
      </c>
      <c r="K12" s="5">
        <f>科室绩效工资核算1!N12-SUMIF(中层绩效!B:B,科室绩效工资核算1!B12,中层绩效!N:N)</f>
        <v>0</v>
      </c>
      <c r="L12" s="5">
        <f>科室绩效工资核算1!O12-SUMIF(中层绩效!B:B,科室绩效工资核算1!B12,中层绩效!O:O)</f>
        <v>0</v>
      </c>
      <c r="M12" s="5">
        <f>科室绩效工资核算1!P12-SUMIF(中层绩效!B:B,科室绩效工资核算1!B12,中层绩效!P:P)</f>
        <v>0</v>
      </c>
      <c r="N12" s="5">
        <f>科室绩效工资核算1!Q12-SUMIF(中层绩效!B:B,科室绩效工资核算1!B12,中层绩效!Q:Q)</f>
        <v>0</v>
      </c>
      <c r="O12" s="5">
        <f>科室绩效工资核算1!R12-SUMIF(中层绩效!B:B,科室绩效工资核算1!B12,中层绩效!R:R)</f>
        <v>4654</v>
      </c>
      <c r="P12" s="5">
        <f>科室绩效工资核算1!S12-SUMIF(中层绩效!B:B,科室绩效工资核算1!B12,中层绩效!S:S)</f>
        <v>0</v>
      </c>
      <c r="Q12" s="5">
        <f>科室绩效工资核算1!T12-SUMIF(中层绩效!B:B,科室绩效工资核算1!B12,中层绩效!T:T)</f>
        <v>2332</v>
      </c>
      <c r="R12" s="5">
        <f>科室绩效工资核算1!V12</f>
        <v>0</v>
      </c>
      <c r="S12" s="5">
        <f>科室绩效工资核算1!U12</f>
        <v>0</v>
      </c>
      <c r="T12" s="5">
        <f>SUM(科室绩效工资核算1!AI12+科室绩效工资核算1!AH12)</f>
        <v>0</v>
      </c>
      <c r="U12" s="43">
        <f t="shared" si="0"/>
        <v>36635</v>
      </c>
      <c r="V12" s="43">
        <f>IFERROR(C12+D12/VLOOKUP($B:$B,人员表!$B:$G,MATCH("员工",人员表!$B$3:$G$3,0),0)*VLOOKUP($B:$B,人员表!$B:$G,MATCH("医疗组",人员表!$B$3:$G$3,0),0),0)</f>
        <v>14449.869979577943</v>
      </c>
      <c r="W12" s="43">
        <f>IFERROR(D12/VLOOKUP($B:$B,人员表!$B:$G,MATCH("员工",人员表!$B$3:$G$3,0),0)*VLOOKUP($B:$B,人员表!$B:$G,MATCH("护理组",人员表!$B$3:$G$3,0),0),0)</f>
        <v>8813.1300204220552</v>
      </c>
      <c r="X12" s="5">
        <f t="shared" si="1"/>
        <v>11040</v>
      </c>
      <c r="Y12" s="5">
        <f t="shared" si="2"/>
        <v>2332</v>
      </c>
    </row>
    <row r="13" spans="2:25" x14ac:dyDescent="0.25">
      <c r="B13" s="38" t="str">
        <f>科室绩效工资核算1!B13</f>
        <v>新生儿科</v>
      </c>
      <c r="C13" s="43">
        <f>科室绩效工资核算1!C13</f>
        <v>2060</v>
      </c>
      <c r="D13" s="5">
        <f>SUM(科室绩效工资核算1!D13:G13)+SUM(科室绩效工资核算1!W13:AG13)</f>
        <v>11090</v>
      </c>
      <c r="E13" s="5">
        <f>科室绩效工资核算1!H13-SUMIF(中层绩效!B:B,科室绩效工资核算2!B13,中层绩效!H:H)</f>
        <v>1685</v>
      </c>
      <c r="F13" s="5">
        <f>科室绩效工资核算1!I13-SUMIF(中层绩效!B:B,科室绩效工资核算1!B13,中层绩效!I:I)</f>
        <v>1636</v>
      </c>
      <c r="G13" s="5">
        <f>科室绩效工资核算1!J13-SUMIF(中层绩效!B:B,科室绩效工资核算1!B13,中层绩效!J:J)</f>
        <v>233</v>
      </c>
      <c r="H13" s="5">
        <f>科室绩效工资核算1!K13-SUMIF(中层绩效!B:B,科室绩效工资核算1!B13,中层绩效!K:K)</f>
        <v>0</v>
      </c>
      <c r="I13" s="5">
        <f>科室绩效工资核算1!L13-SUMIF(中层绩效!B:B,科室绩效工资核算1!B13,中层绩效!L:L)</f>
        <v>0</v>
      </c>
      <c r="J13" s="5">
        <f>科室绩效工资核算1!M13-SUMIF(中层绩效!B:B,科室绩效工资核算1!B13,中层绩效!M:M)</f>
        <v>0</v>
      </c>
      <c r="K13" s="5">
        <f>科室绩效工资核算1!N13-SUMIF(中层绩效!B:B,科室绩效工资核算1!B13,中层绩效!N:N)</f>
        <v>0</v>
      </c>
      <c r="L13" s="5">
        <f>科室绩效工资核算1!O13-SUMIF(中层绩效!B:B,科室绩效工资核算1!B13,中层绩效!O:O)</f>
        <v>0</v>
      </c>
      <c r="M13" s="5">
        <f>科室绩效工资核算1!P13-SUMIF(中层绩效!B:B,科室绩效工资核算1!B13,中层绩效!P:P)</f>
        <v>0</v>
      </c>
      <c r="N13" s="5">
        <f>科室绩效工资核算1!Q13-SUMIF(中层绩效!B:B,科室绩效工资核算1!B13,中层绩效!Q:Q)</f>
        <v>1777</v>
      </c>
      <c r="O13" s="5">
        <f>科室绩效工资核算1!R13-SUMIF(中层绩效!B:B,科室绩效工资核算1!B13,中层绩效!R:R)</f>
        <v>0</v>
      </c>
      <c r="P13" s="5">
        <f>科室绩效工资核算1!S13-SUMIF(中层绩效!B:B,科室绩效工资核算1!B13,中层绩效!S:S)</f>
        <v>0</v>
      </c>
      <c r="Q13" s="5">
        <f>科室绩效工资核算1!T13-SUMIF(中层绩效!B:B,科室绩效工资核算1!B13,中层绩效!T:T)</f>
        <v>3039</v>
      </c>
      <c r="R13" s="5">
        <f>科室绩效工资核算1!V13</f>
        <v>0</v>
      </c>
      <c r="S13" s="5">
        <f>科室绩效工资核算1!U13</f>
        <v>0</v>
      </c>
      <c r="T13" s="5">
        <f>SUM(科室绩效工资核算1!AI13+科室绩效工资核算1!AH13)</f>
        <v>0</v>
      </c>
      <c r="U13" s="43">
        <f t="shared" si="0"/>
        <v>21520</v>
      </c>
      <c r="V13" s="43">
        <f>IFERROR(C13+D13/VLOOKUP($B:$B,人员表!$B:$G,MATCH("员工",人员表!$B$3:$G$3,0),0)*VLOOKUP($B:$B,人员表!$B:$G,MATCH("医疗组",人员表!$B$3:$G$3,0),0),0)</f>
        <v>8421.3766730401512</v>
      </c>
      <c r="W13" s="43">
        <f>IFERROR(D13/VLOOKUP($B:$B,人员表!$B:$G,MATCH("员工",人员表!$B$3:$G$3,0),0)*VLOOKUP($B:$B,人员表!$B:$G,MATCH("护理组",人员表!$B$3:$G$3,0),0),0)</f>
        <v>4728.623326959847</v>
      </c>
      <c r="X13" s="5">
        <f t="shared" si="1"/>
        <v>5331</v>
      </c>
      <c r="Y13" s="5">
        <f t="shared" si="2"/>
        <v>3039</v>
      </c>
    </row>
    <row r="14" spans="2:25" x14ac:dyDescent="0.25">
      <c r="B14" s="38" t="str">
        <f>科室绩效工资核算1!B14</f>
        <v>康复科</v>
      </c>
      <c r="C14" s="43">
        <f>科室绩效工资核算1!C14</f>
        <v>5153</v>
      </c>
      <c r="D14" s="5">
        <f>SUM(科室绩效工资核算1!D14:G14)+SUM(科室绩效工资核算1!W14:AG14)</f>
        <v>10793</v>
      </c>
      <c r="E14" s="5">
        <f>科室绩效工资核算1!H14-SUMIF(中层绩效!B:B,科室绩效工资核算2!B14,中层绩效!H:H)</f>
        <v>400</v>
      </c>
      <c r="F14" s="5">
        <f>科室绩效工资核算1!I14-SUMIF(中层绩效!B:B,科室绩效工资核算1!B14,中层绩效!I:I)</f>
        <v>242</v>
      </c>
      <c r="G14" s="5">
        <f>科室绩效工资核算1!J14-SUMIF(中层绩效!B:B,科室绩效工资核算1!B14,中层绩效!J:J)</f>
        <v>117</v>
      </c>
      <c r="H14" s="5">
        <f>科室绩效工资核算1!K14-SUMIF(中层绩效!B:B,科室绩效工资核算1!B14,中层绩效!K:K)</f>
        <v>0</v>
      </c>
      <c r="I14" s="5">
        <f>科室绩效工资核算1!L14-SUMIF(中层绩效!B:B,科室绩效工资核算1!B14,中层绩效!L:L)</f>
        <v>0</v>
      </c>
      <c r="J14" s="5">
        <f>科室绩效工资核算1!M14-SUMIF(中层绩效!B:B,科室绩效工资核算1!B14,中层绩效!M:M)</f>
        <v>0</v>
      </c>
      <c r="K14" s="5">
        <f>科室绩效工资核算1!N14-SUMIF(中层绩效!B:B,科室绩效工资核算1!B14,中层绩效!N:N)</f>
        <v>0</v>
      </c>
      <c r="L14" s="5">
        <f>科室绩效工资核算1!O14-SUMIF(中层绩效!B:B,科室绩效工资核算1!B14,中层绩效!O:O)</f>
        <v>42</v>
      </c>
      <c r="M14" s="5">
        <f>科室绩效工资核算1!P14-SUMIF(中层绩效!B:B,科室绩效工资核算1!B14,中层绩效!P:P)</f>
        <v>0</v>
      </c>
      <c r="N14" s="5">
        <f>科室绩效工资核算1!Q14-SUMIF(中层绩效!B:B,科室绩效工资核算1!B14,中层绩效!Q:Q)</f>
        <v>4975</v>
      </c>
      <c r="O14" s="5">
        <f>科室绩效工资核算1!R14-SUMIF(中层绩效!B:B,科室绩效工资核算1!B14,中层绩效!R:R)</f>
        <v>10952</v>
      </c>
      <c r="P14" s="5">
        <f>科室绩效工资核算1!S14-SUMIF(中层绩效!B:B,科室绩效工资核算1!B14,中层绩效!S:S)</f>
        <v>38</v>
      </c>
      <c r="Q14" s="5">
        <f>科室绩效工资核算1!T14-SUMIF(中层绩效!B:B,科室绩效工资核算1!B14,中层绩效!T:T)</f>
        <v>860</v>
      </c>
      <c r="R14" s="5">
        <f>科室绩效工资核算1!V14</f>
        <v>0</v>
      </c>
      <c r="S14" s="5">
        <f>科室绩效工资核算1!U14</f>
        <v>0</v>
      </c>
      <c r="T14" s="5">
        <f>SUM(科室绩效工资核算1!AI14+科室绩效工资核算1!AH14)</f>
        <v>0</v>
      </c>
      <c r="U14" s="43">
        <f t="shared" si="0"/>
        <v>33572</v>
      </c>
      <c r="V14" s="43">
        <f>IFERROR(C14+D14/VLOOKUP($B:$B,人员表!$B:$G,MATCH("员工",人员表!$B$3:$G$3,0),0)*VLOOKUP($B:$B,人员表!$B:$G,MATCH("医疗组",人员表!$B$3:$G$3,0),0),0)</f>
        <v>11619.746554823247</v>
      </c>
      <c r="W14" s="43">
        <f>IFERROR(D14/VLOOKUP($B:$B,人员表!$B:$G,MATCH("员工",人员表!$B$3:$G$3,0),0)*VLOOKUP($B:$B,人员表!$B:$G,MATCH("护理组",人员表!$B$3:$G$3,0),0),0)</f>
        <v>4326.2534451767524</v>
      </c>
      <c r="X14" s="5">
        <f t="shared" si="1"/>
        <v>16766</v>
      </c>
      <c r="Y14" s="5">
        <f t="shared" si="2"/>
        <v>860</v>
      </c>
    </row>
    <row r="15" spans="2:25" x14ac:dyDescent="0.25">
      <c r="B15" s="38" t="str">
        <f>科室绩效工资核算1!B15</f>
        <v>中医科</v>
      </c>
      <c r="C15" s="43">
        <f>科室绩效工资核算1!C15</f>
        <v>3392</v>
      </c>
      <c r="D15" s="5">
        <f>SUM(科室绩效工资核算1!D15:G15)+SUM(科室绩效工资核算1!W15:AG15)</f>
        <v>3730</v>
      </c>
      <c r="E15" s="5">
        <f>科室绩效工资核算1!H15-SUMIF(中层绩效!B:B,科室绩效工资核算2!B15,中层绩效!H:H)</f>
        <v>432</v>
      </c>
      <c r="F15" s="5">
        <f>科室绩效工资核算1!I15-SUMIF(中层绩效!B:B,科室绩效工资核算1!B15,中层绩效!I:I)</f>
        <v>162</v>
      </c>
      <c r="G15" s="5">
        <f>科室绩效工资核算1!J15-SUMIF(中层绩效!B:B,科室绩效工资核算1!B15,中层绩效!J:J)</f>
        <v>181</v>
      </c>
      <c r="H15" s="5">
        <f>科室绩效工资核算1!K15-SUMIF(中层绩效!B:B,科室绩效工资核算1!B15,中层绩效!K:K)</f>
        <v>0</v>
      </c>
      <c r="I15" s="5">
        <f>科室绩效工资核算1!L15-SUMIF(中层绩效!B:B,科室绩效工资核算1!B15,中层绩效!L:L)</f>
        <v>0</v>
      </c>
      <c r="J15" s="5">
        <f>科室绩效工资核算1!M15-SUMIF(中层绩效!B:B,科室绩效工资核算1!B15,中层绩效!M:M)</f>
        <v>0</v>
      </c>
      <c r="K15" s="5">
        <f>科室绩效工资核算1!N15-SUMIF(中层绩效!B:B,科室绩效工资核算1!B15,中层绩效!N:N)</f>
        <v>0</v>
      </c>
      <c r="L15" s="5">
        <f>科室绩效工资核算1!O15-SUMIF(中层绩效!B:B,科室绩效工资核算1!B15,中层绩效!O:O)</f>
        <v>0</v>
      </c>
      <c r="M15" s="5">
        <f>科室绩效工资核算1!P15-SUMIF(中层绩效!B:B,科室绩效工资核算1!B15,中层绩效!P:P)</f>
        <v>0</v>
      </c>
      <c r="N15" s="5">
        <f>科室绩效工资核算1!Q15-SUMIF(中层绩效!B:B,科室绩效工资核算1!B15,中层绩效!Q:Q)</f>
        <v>0</v>
      </c>
      <c r="O15" s="5">
        <f>科室绩效工资核算1!R15-SUMIF(中层绩效!B:B,科室绩效工资核算1!B15,中层绩效!R:R)</f>
        <v>551</v>
      </c>
      <c r="P15" s="5">
        <f>科室绩效工资核算1!S15-SUMIF(中层绩效!B:B,科室绩效工资核算1!B15,中层绩效!S:S)</f>
        <v>269</v>
      </c>
      <c r="Q15" s="5">
        <f>科室绩效工资核算1!T15-SUMIF(中层绩效!B:B,科室绩效工资核算1!B15,中层绩效!T:T)</f>
        <v>491</v>
      </c>
      <c r="R15" s="5">
        <f>科室绩效工资核算1!V15</f>
        <v>0</v>
      </c>
      <c r="S15" s="5">
        <f>科室绩效工资核算1!U15</f>
        <v>0</v>
      </c>
      <c r="T15" s="5">
        <f>SUM(科室绩效工资核算1!AI15+科室绩效工资核算1!AH15)</f>
        <v>0</v>
      </c>
      <c r="U15" s="43">
        <f t="shared" si="0"/>
        <v>9208</v>
      </c>
      <c r="V15" s="43">
        <f>IFERROR(C15+D15/VLOOKUP($B:$B,人员表!$B:$G,MATCH("员工",人员表!$B$3:$G$3,0),0)*VLOOKUP($B:$B,人员表!$B:$G,MATCH("医疗组",人员表!$B$3:$G$3,0),0),0)</f>
        <v>4546.7987616099072</v>
      </c>
      <c r="W15" s="43">
        <f>IFERROR(D15/VLOOKUP($B:$B,人员表!$B:$G,MATCH("员工",人员表!$B$3:$G$3,0),0)*VLOOKUP($B:$B,人员表!$B:$G,MATCH("护理组",人员表!$B$3:$G$3,0),0),0)</f>
        <v>2575.2012383900928</v>
      </c>
      <c r="X15" s="5">
        <f t="shared" si="1"/>
        <v>1595</v>
      </c>
      <c r="Y15" s="5">
        <f t="shared" si="2"/>
        <v>491</v>
      </c>
    </row>
    <row r="16" spans="2:25" x14ac:dyDescent="0.25">
      <c r="B16" s="38" t="str">
        <f>科室绩效工资核算1!B16</f>
        <v>普外一科</v>
      </c>
      <c r="C16" s="43">
        <f>科室绩效工资核算1!C16</f>
        <v>1783</v>
      </c>
      <c r="D16" s="5">
        <f>SUM(科室绩效工资核算1!D16:G16)+SUM(科室绩效工资核算1!W16:AG16)</f>
        <v>14567</v>
      </c>
      <c r="E16" s="5">
        <f>科室绩效工资核算1!H16-SUMIF(中层绩效!B:B,科室绩效工资核算2!B16,中层绩效!H:H)</f>
        <v>692</v>
      </c>
      <c r="F16" s="5">
        <f>科室绩效工资核算1!I16-SUMIF(中层绩效!B:B,科室绩效工资核算1!B16,中层绩效!I:I)</f>
        <v>313</v>
      </c>
      <c r="G16" s="5">
        <f>科室绩效工资核算1!J16-SUMIF(中层绩效!B:B,科室绩效工资核算1!B16,中层绩效!J:J)</f>
        <v>175</v>
      </c>
      <c r="H16" s="5">
        <f>科室绩效工资核算1!K16-SUMIF(中层绩效!B:B,科室绩效工资核算1!B16,中层绩效!K:K)</f>
        <v>100</v>
      </c>
      <c r="I16" s="5">
        <f>科室绩效工资核算1!L16-SUMIF(中层绩效!B:B,科室绩效工资核算1!B16,中层绩效!L:L)</f>
        <v>0</v>
      </c>
      <c r="J16" s="5">
        <f>科室绩效工资核算1!M16-SUMIF(中层绩效!B:B,科室绩效工资核算1!B16,中层绩效!M:M)</f>
        <v>0</v>
      </c>
      <c r="K16" s="5">
        <f>科室绩效工资核算1!N16-SUMIF(中层绩效!B:B,科室绩效工资核算1!B16,中层绩效!N:N)</f>
        <v>0</v>
      </c>
      <c r="L16" s="5">
        <f>科室绩效工资核算1!O16-SUMIF(中层绩效!B:B,科室绩效工资核算1!B16,中层绩效!O:O)</f>
        <v>121</v>
      </c>
      <c r="M16" s="5">
        <f>科室绩效工资核算1!P16-SUMIF(中层绩效!B:B,科室绩效工资核算1!B16,中层绩效!P:P)</f>
        <v>215</v>
      </c>
      <c r="N16" s="5">
        <f>科室绩效工资核算1!Q16-SUMIF(中层绩效!B:B,科室绩效工资核算1!B16,中层绩效!Q:Q)</f>
        <v>351</v>
      </c>
      <c r="O16" s="5">
        <f>科室绩效工资核算1!R16-SUMIF(中层绩效!B:B,科室绩效工资核算1!B16,中层绩效!R:R)</f>
        <v>0</v>
      </c>
      <c r="P16" s="5">
        <f>科室绩效工资核算1!S16-SUMIF(中层绩效!B:B,科室绩效工资核算1!B16,中层绩效!S:S)</f>
        <v>0</v>
      </c>
      <c r="Q16" s="5">
        <f>科室绩效工资核算1!T16-SUMIF(中层绩效!B:B,科室绩效工资核算1!B16,中层绩效!T:T)</f>
        <v>1645</v>
      </c>
      <c r="R16" s="5">
        <f>科室绩效工资核算1!V16</f>
        <v>0</v>
      </c>
      <c r="S16" s="5">
        <f>科室绩效工资核算1!U16</f>
        <v>0</v>
      </c>
      <c r="T16" s="5">
        <f>SUM(科室绩效工资核算1!AI16+科室绩效工资核算1!AH16)</f>
        <v>4240</v>
      </c>
      <c r="U16" s="43">
        <f t="shared" si="0"/>
        <v>19962</v>
      </c>
      <c r="V16" s="43">
        <f>IFERROR(C16+D16/VLOOKUP($B:$B,人员表!$B:$G,MATCH("员工",人员表!$B$3:$G$3,0),0)*VLOOKUP($B:$B,人员表!$B:$G,MATCH("医疗组",人员表!$B$3:$G$3,0),0),0)</f>
        <v>7208.0459662288931</v>
      </c>
      <c r="W16" s="43">
        <f>IFERROR(D16/VLOOKUP($B:$B,人员表!$B:$G,MATCH("员工",人员表!$B$3:$G$3,0),0)*VLOOKUP($B:$B,人员表!$B:$G,MATCH("护理组",人员表!$B$3:$G$3,0),0),0)</f>
        <v>9141.9540337711078</v>
      </c>
      <c r="X16" s="5">
        <f t="shared" si="1"/>
        <v>1967</v>
      </c>
      <c r="Y16" s="5">
        <f t="shared" si="2"/>
        <v>1645</v>
      </c>
    </row>
    <row r="17" spans="2:25" x14ac:dyDescent="0.25">
      <c r="B17" s="38" t="str">
        <f>科室绩效工资核算1!B17</f>
        <v>神经外科</v>
      </c>
      <c r="C17" s="43">
        <f>科室绩效工资核算1!C17</f>
        <v>2461</v>
      </c>
      <c r="D17" s="5">
        <f>SUM(科室绩效工资核算1!D17:G17)+SUM(科室绩效工资核算1!W17:AG17)</f>
        <v>54311</v>
      </c>
      <c r="E17" s="5">
        <f>科室绩效工资核算1!H17-SUMIF(中层绩效!B:B,科室绩效工资核算2!B17,中层绩效!H:H)</f>
        <v>1744</v>
      </c>
      <c r="F17" s="5">
        <f>科室绩效工资核算1!I17-SUMIF(中层绩效!B:B,科室绩效工资核算1!B17,中层绩效!I:I)</f>
        <v>720</v>
      </c>
      <c r="G17" s="5">
        <f>科室绩效工资核算1!J17-SUMIF(中层绩效!B:B,科室绩效工资核算1!B17,中层绩效!J:J)</f>
        <v>188</v>
      </c>
      <c r="H17" s="5">
        <f>科室绩效工资核算1!K17-SUMIF(中层绩效!B:B,科室绩效工资核算1!B17,中层绩效!K:K)</f>
        <v>0</v>
      </c>
      <c r="I17" s="5">
        <f>科室绩效工资核算1!L17-SUMIF(中层绩效!B:B,科室绩效工资核算1!B17,中层绩效!L:L)</f>
        <v>0</v>
      </c>
      <c r="J17" s="5">
        <f>科室绩效工资核算1!M17-SUMIF(中层绩效!B:B,科室绩效工资核算1!B17,中层绩效!M:M)</f>
        <v>0</v>
      </c>
      <c r="K17" s="5">
        <f>科室绩效工资核算1!N17-SUMIF(中层绩效!B:B,科室绩效工资核算1!B17,中层绩效!N:N)</f>
        <v>0</v>
      </c>
      <c r="L17" s="5">
        <f>科室绩效工资核算1!O17-SUMIF(中层绩效!B:B,科室绩效工资核算1!B17,中层绩效!O:O)</f>
        <v>143</v>
      </c>
      <c r="M17" s="5">
        <f>科室绩效工资核算1!P17-SUMIF(中层绩效!B:B,科室绩效工资核算1!B17,中层绩效!P:P)</f>
        <v>578</v>
      </c>
      <c r="N17" s="5">
        <f>科室绩效工资核算1!Q17-SUMIF(中层绩效!B:B,科室绩效工资核算1!B17,中层绩效!Q:Q)</f>
        <v>2802</v>
      </c>
      <c r="O17" s="5">
        <f>科室绩效工资核算1!R17-SUMIF(中层绩效!B:B,科室绩效工资核算1!B17,中层绩效!R:R)</f>
        <v>0</v>
      </c>
      <c r="P17" s="5">
        <f>科室绩效工资核算1!S17-SUMIF(中层绩效!B:B,科室绩效工资核算1!B17,中层绩效!S:S)</f>
        <v>0</v>
      </c>
      <c r="Q17" s="5">
        <f>科室绩效工资核算1!T17-SUMIF(中层绩效!B:B,科室绩效工资核算1!B17,中层绩效!T:T)</f>
        <v>6605</v>
      </c>
      <c r="R17" s="5">
        <f>科室绩效工资核算1!V17</f>
        <v>0</v>
      </c>
      <c r="S17" s="5">
        <f>科室绩效工资核算1!U17</f>
        <v>0</v>
      </c>
      <c r="T17" s="5">
        <f>SUM(科室绩效工资核算1!AI17+科室绩效工资核算1!AH17)</f>
        <v>1702</v>
      </c>
      <c r="U17" s="43">
        <f t="shared" si="0"/>
        <v>69552</v>
      </c>
      <c r="V17" s="43">
        <f>IFERROR(C17+D17/VLOOKUP($B:$B,人员表!$B:$G,MATCH("员工",人员表!$B$3:$G$3,0),0)*VLOOKUP($B:$B,人员表!$B:$G,MATCH("医疗组",人员表!$B$3:$G$3,0),0),0)</f>
        <v>32038.127297481278</v>
      </c>
      <c r="W17" s="43">
        <f>IFERROR(D17/VLOOKUP($B:$B,人员表!$B:$G,MATCH("员工",人员表!$B$3:$G$3,0),0)*VLOOKUP($B:$B,人员表!$B:$G,MATCH("护理组",人员表!$B$3:$G$3,0),0),0)</f>
        <v>24733.872702518722</v>
      </c>
      <c r="X17" s="5">
        <f t="shared" si="1"/>
        <v>6175</v>
      </c>
      <c r="Y17" s="5">
        <f t="shared" si="2"/>
        <v>6605</v>
      </c>
    </row>
    <row r="18" spans="2:25" x14ac:dyDescent="0.25">
      <c r="B18" s="38" t="str">
        <f>科室绩效工资核算1!B18</f>
        <v>胸泌尿外科</v>
      </c>
      <c r="C18" s="43">
        <f>科室绩效工资核算1!C18</f>
        <v>16589</v>
      </c>
      <c r="D18" s="5">
        <f>SUM(科室绩效工资核算1!D18:G18)+SUM(科室绩效工资核算1!W18:AG18)</f>
        <v>17016</v>
      </c>
      <c r="E18" s="5">
        <f>科室绩效工资核算1!H18-SUMIF(中层绩效!B:B,科室绩效工资核算2!B18,中层绩效!H:H)</f>
        <v>1391</v>
      </c>
      <c r="F18" s="5">
        <f>科室绩效工资核算1!I18-SUMIF(中层绩效!B:B,科室绩效工资核算1!B18,中层绩效!I:I)</f>
        <v>485</v>
      </c>
      <c r="G18" s="5">
        <f>科室绩效工资核算1!J18-SUMIF(中层绩效!B:B,科室绩效工资核算1!B18,中层绩效!J:J)</f>
        <v>387</v>
      </c>
      <c r="H18" s="5">
        <f>科室绩效工资核算1!K18-SUMIF(中层绩效!B:B,科室绩效工资核算1!B18,中层绩效!K:K)</f>
        <v>0</v>
      </c>
      <c r="I18" s="5">
        <f>科室绩效工资核算1!L18-SUMIF(中层绩效!B:B,科室绩效工资核算1!B18,中层绩效!L:L)</f>
        <v>1451</v>
      </c>
      <c r="J18" s="5">
        <f>科室绩效工资核算1!M18-SUMIF(中层绩效!B:B,科室绩效工资核算1!B18,中层绩效!M:M)</f>
        <v>4724</v>
      </c>
      <c r="K18" s="5">
        <f>科室绩效工资核算1!N18-SUMIF(中层绩效!B:B,科室绩效工资核算1!B18,中层绩效!N:N)</f>
        <v>0</v>
      </c>
      <c r="L18" s="5">
        <f>科室绩效工资核算1!O18-SUMIF(中层绩效!B:B,科室绩效工资核算1!B18,中层绩效!O:O)</f>
        <v>290</v>
      </c>
      <c r="M18" s="5">
        <f>科室绩效工资核算1!P18-SUMIF(中层绩效!B:B,科室绩效工资核算1!B18,中层绩效!P:P)</f>
        <v>1292</v>
      </c>
      <c r="N18" s="5">
        <f>科室绩效工资核算1!Q18-SUMIF(中层绩效!B:B,科室绩效工资核算1!B18,中层绩效!Q:Q)</f>
        <v>0</v>
      </c>
      <c r="O18" s="5">
        <f>科室绩效工资核算1!R18-SUMIF(中层绩效!B:B,科室绩效工资核算1!B18,中层绩效!R:R)</f>
        <v>80</v>
      </c>
      <c r="P18" s="5">
        <f>科室绩效工资核算1!S18-SUMIF(中层绩效!B:B,科室绩效工资核算1!B18,中层绩效!S:S)</f>
        <v>0</v>
      </c>
      <c r="Q18" s="5">
        <f>科室绩效工资核算1!T18-SUMIF(中层绩效!B:B,科室绩效工资核算1!B18,中层绩效!T:T)</f>
        <v>1272</v>
      </c>
      <c r="R18" s="5">
        <f>科室绩效工资核算1!V18</f>
        <v>0</v>
      </c>
      <c r="S18" s="5">
        <f>科室绩效工资核算1!U18</f>
        <v>0</v>
      </c>
      <c r="T18" s="5">
        <f>SUM(科室绩效工资核算1!AI18+科室绩效工资核算1!AH18)</f>
        <v>1431</v>
      </c>
      <c r="U18" s="43">
        <f>SUM(C18:S18)</f>
        <v>44977</v>
      </c>
      <c r="V18" s="43">
        <f>IFERROR(C18/2+D18/VLOOKUP($B:$B,人员表!$B:$G,MATCH("员工",人员表!$B$3:$G$3,0),0)*VLOOKUP($B:$B,人员表!$B:$G,MATCH("医疗组",人员表!$B$3:$G$3,0),0),0)</f>
        <v>17799.808994941719</v>
      </c>
      <c r="W18" s="43">
        <f>IFERROR(C18/2+D18/VLOOKUP($B:$B,人员表!$B:$G,MATCH("员工",人员表!$B$3:$G$3,0),0)*VLOOKUP($B:$B,人员表!$B:$G,MATCH("护理组",人员表!$B$3:$G$3,0),0),0)</f>
        <v>15805.191005058281</v>
      </c>
      <c r="X18" s="5">
        <f t="shared" si="1"/>
        <v>10100</v>
      </c>
      <c r="Y18" s="5">
        <f t="shared" si="2"/>
        <v>1272</v>
      </c>
    </row>
    <row r="19" spans="2:25" x14ac:dyDescent="0.25">
      <c r="B19" s="38" t="str">
        <f>科室绩效工资核算1!B19</f>
        <v>骨一科</v>
      </c>
      <c r="C19" s="43">
        <f>科室绩效工资核算1!C19</f>
        <v>2850</v>
      </c>
      <c r="D19" s="5">
        <f>SUM(科室绩效工资核算1!D19:G19)+SUM(科室绩效工资核算1!W19:AG19)</f>
        <v>20964</v>
      </c>
      <c r="E19" s="5">
        <f>科室绩效工资核算1!H19-SUMIF(中层绩效!B:B,科室绩效工资核算2!B19,中层绩效!H:H)</f>
        <v>773</v>
      </c>
      <c r="F19" s="5">
        <f>科室绩效工资核算1!I19-SUMIF(中层绩效!B:B,科室绩效工资核算1!B19,中层绩效!I:I)</f>
        <v>367</v>
      </c>
      <c r="G19" s="5">
        <f>科室绩效工资核算1!J19-SUMIF(中层绩效!B:B,科室绩效工资核算1!B19,中层绩效!J:J)</f>
        <v>177</v>
      </c>
      <c r="H19" s="5">
        <f>科室绩效工资核算1!K19-SUMIF(中层绩效!B:B,科室绩效工资核算1!B19,中层绩效!K:K)</f>
        <v>0</v>
      </c>
      <c r="I19" s="5">
        <f>科室绩效工资核算1!L19-SUMIF(中层绩效!B:B,科室绩效工资核算1!B19,中层绩效!L:L)</f>
        <v>0</v>
      </c>
      <c r="J19" s="5">
        <f>科室绩效工资核算1!M19-SUMIF(中层绩效!B:B,科室绩效工资核算1!B19,中层绩效!M:M)</f>
        <v>0</v>
      </c>
      <c r="K19" s="5">
        <f>科室绩效工资核算1!N19-SUMIF(中层绩效!B:B,科室绩效工资核算1!B19,中层绩效!N:N)</f>
        <v>0</v>
      </c>
      <c r="L19" s="5">
        <f>科室绩效工资核算1!O19-SUMIF(中层绩效!B:B,科室绩效工资核算1!B19,中层绩效!O:O)</f>
        <v>81</v>
      </c>
      <c r="M19" s="5">
        <f>科室绩效工资核算1!P19-SUMIF(中层绩效!B:B,科室绩效工资核算1!B19,中层绩效!P:P)</f>
        <v>834</v>
      </c>
      <c r="N19" s="5">
        <f>科室绩效工资核算1!Q19-SUMIF(中层绩效!B:B,科室绩效工资核算1!B19,中层绩效!Q:Q)</f>
        <v>0</v>
      </c>
      <c r="O19" s="5">
        <f>科室绩效工资核算1!R19-SUMIF(中层绩效!B:B,科室绩效工资核算1!B19,中层绩效!R:R)</f>
        <v>110</v>
      </c>
      <c r="P19" s="5">
        <f>科室绩效工资核算1!S19-SUMIF(中层绩效!B:B,科室绩效工资核算1!B19,中层绩效!S:S)</f>
        <v>0</v>
      </c>
      <c r="Q19" s="5">
        <f>科室绩效工资核算1!T19-SUMIF(中层绩效!B:B,科室绩效工资核算1!B19,中层绩效!T:T)</f>
        <v>2989</v>
      </c>
      <c r="R19" s="5">
        <f>科室绩效工资核算1!V19</f>
        <v>0</v>
      </c>
      <c r="S19" s="5">
        <f>科室绩效工资核算1!U19</f>
        <v>0</v>
      </c>
      <c r="T19" s="5">
        <f>SUM(科室绩效工资核算1!AI19+科室绩效工资核算1!AH19)</f>
        <v>7313</v>
      </c>
      <c r="U19" s="43">
        <f t="shared" si="0"/>
        <v>29145</v>
      </c>
      <c r="V19" s="43">
        <f>IFERROR(C19+D19/VLOOKUP($B:$B,人员表!$B:$G,MATCH("员工",人员表!$B$3:$G$3,0),0)*VLOOKUP($B:$B,人员表!$B:$G,MATCH("医疗组",人员表!$B$3:$G$3,0),0),0)</f>
        <v>10694.340505144995</v>
      </c>
      <c r="W19" s="43">
        <f>IFERROR(D19/VLOOKUP($B:$B,人员表!$B:$G,MATCH("员工",人员表!$B$3:$G$3,0),0)*VLOOKUP($B:$B,人员表!$B:$G,MATCH("护理组",人员表!$B$3:$G$3,0),0),0)</f>
        <v>13119.659494855005</v>
      </c>
      <c r="X19" s="5">
        <f t="shared" si="1"/>
        <v>2342</v>
      </c>
      <c r="Y19" s="5">
        <f t="shared" si="2"/>
        <v>2989</v>
      </c>
    </row>
    <row r="20" spans="2:25" x14ac:dyDescent="0.25">
      <c r="B20" s="38" t="str">
        <f>科室绩效工资核算1!B20</f>
        <v>骨二科</v>
      </c>
      <c r="C20" s="43">
        <f>科室绩效工资核算1!C20</f>
        <v>4112</v>
      </c>
      <c r="D20" s="5">
        <f>SUM(科室绩效工资核算1!D20:G20)+SUM(科室绩效工资核算1!W20:AG20)</f>
        <v>17447</v>
      </c>
      <c r="E20" s="5">
        <f>科室绩效工资核算1!H20-SUMIF(中层绩效!B:B,科室绩效工资核算2!B20,中层绩效!H:H)</f>
        <v>827</v>
      </c>
      <c r="F20" s="5">
        <f>科室绩效工资核算1!I20-SUMIF(中层绩效!B:B,科室绩效工资核算1!B20,中层绩效!I:I)</f>
        <v>414</v>
      </c>
      <c r="G20" s="5">
        <f>科室绩效工资核算1!J20-SUMIF(中层绩效!B:B,科室绩效工资核算1!B20,中层绩效!J:J)</f>
        <v>169</v>
      </c>
      <c r="H20" s="5">
        <f>科室绩效工资核算1!K20-SUMIF(中层绩效!B:B,科室绩效工资核算1!B20,中层绩效!K:K)</f>
        <v>0</v>
      </c>
      <c r="I20" s="5">
        <f>科室绩效工资核算1!L20-SUMIF(中层绩效!B:B,科室绩效工资核算1!B20,中层绩效!L:L)</f>
        <v>120</v>
      </c>
      <c r="J20" s="5">
        <f>科室绩效工资核算1!M20-SUMIF(中层绩效!B:B,科室绩效工资核算1!B20,中层绩效!M:M)</f>
        <v>0</v>
      </c>
      <c r="K20" s="5">
        <f>科室绩效工资核算1!N20-SUMIF(中层绩效!B:B,科室绩效工资核算1!B20,中层绩效!N:N)</f>
        <v>0</v>
      </c>
      <c r="L20" s="5">
        <f>科室绩效工资核算1!O20-SUMIF(中层绩效!B:B,科室绩效工资核算1!B20,中层绩效!O:O)</f>
        <v>146</v>
      </c>
      <c r="M20" s="5">
        <f>科室绩效工资核算1!P20-SUMIF(中层绩效!B:B,科室绩效工资核算1!B20,中层绩效!P:P)</f>
        <v>1235</v>
      </c>
      <c r="N20" s="5">
        <f>科室绩效工资核算1!Q20-SUMIF(中层绩效!B:B,科室绩效工资核算1!B20,中层绩效!Q:Q)</f>
        <v>223</v>
      </c>
      <c r="O20" s="5">
        <f>科室绩效工资核算1!R20-SUMIF(中层绩效!B:B,科室绩效工资核算1!B20,中层绩效!R:R)</f>
        <v>141</v>
      </c>
      <c r="P20" s="5">
        <f>科室绩效工资核算1!S20-SUMIF(中层绩效!B:B,科室绩效工资核算1!B20,中层绩效!S:S)</f>
        <v>0</v>
      </c>
      <c r="Q20" s="5">
        <f>科室绩效工资核算1!T20-SUMIF(中层绩效!B:B,科室绩效工资核算1!B20,中层绩效!T:T)</f>
        <v>1344</v>
      </c>
      <c r="R20" s="5">
        <f>科室绩效工资核算1!V20</f>
        <v>0</v>
      </c>
      <c r="S20" s="5">
        <f>科室绩效工资核算1!U20</f>
        <v>0</v>
      </c>
      <c r="T20" s="5">
        <f>SUM(科室绩效工资核算1!AI20+科室绩效工资核算1!AH20)</f>
        <v>6530</v>
      </c>
      <c r="U20" s="43">
        <f t="shared" si="0"/>
        <v>26178</v>
      </c>
      <c r="V20" s="43">
        <f>IFERROR(C20+D20/VLOOKUP($B:$B,人员表!$B:$G,MATCH("员工",人员表!$B$3:$G$3,0),0)*VLOOKUP($B:$B,人员表!$B:$G,MATCH("医疗组",人员表!$B$3:$G$3,0),0),0)</f>
        <v>10104.590775269871</v>
      </c>
      <c r="W20" s="43">
        <f>IFERROR(D20/VLOOKUP($B:$B,人员表!$B:$G,MATCH("员工",人员表!$B$3:$G$3,0),0)*VLOOKUP($B:$B,人员表!$B:$G,MATCH("护理组",人员表!$B$3:$G$3,0),0),0)</f>
        <v>11454.409224730127</v>
      </c>
      <c r="X20" s="5">
        <f t="shared" si="1"/>
        <v>3275</v>
      </c>
      <c r="Y20" s="5">
        <f t="shared" si="2"/>
        <v>1344</v>
      </c>
    </row>
    <row r="21" spans="2:25" x14ac:dyDescent="0.25">
      <c r="B21" s="38" t="str">
        <f>科室绩效工资核算1!B21</f>
        <v>妇产科</v>
      </c>
      <c r="C21" s="43">
        <f>科室绩效工资核算1!C21</f>
        <v>3433</v>
      </c>
      <c r="D21" s="5">
        <f>SUM(科室绩效工资核算1!D21:G21)+SUM(科室绩效工资核算1!W21:AG21)</f>
        <v>38647</v>
      </c>
      <c r="E21" s="5">
        <f>科室绩效工资核算1!H21-SUMIF(中层绩效!B:B,科室绩效工资核算2!B21,中层绩效!H:H)</f>
        <v>2382</v>
      </c>
      <c r="F21" s="5">
        <f>科室绩效工资核算1!I21-SUMIF(中层绩效!B:B,科室绩效工资核算1!B21,中层绩效!I:I)</f>
        <v>1045</v>
      </c>
      <c r="G21" s="5">
        <f>科室绩效工资核算1!J21-SUMIF(中层绩效!B:B,科室绩效工资核算1!B21,中层绩效!J:J)</f>
        <v>157</v>
      </c>
      <c r="H21" s="5">
        <f>科室绩效工资核算1!K21-SUMIF(中层绩效!B:B,科室绩效工资核算1!B21,中层绩效!K:K)</f>
        <v>2721</v>
      </c>
      <c r="I21" s="5">
        <f>科室绩效工资核算1!L21-SUMIF(中层绩效!B:B,科室绩效工资核算1!B21,中层绩效!L:L)</f>
        <v>2087</v>
      </c>
      <c r="J21" s="5">
        <f>科室绩效工资核算1!M21-SUMIF(中层绩效!B:B,科室绩效工资核算1!B21,中层绩效!M:M)</f>
        <v>5200</v>
      </c>
      <c r="K21" s="5">
        <f>科室绩效工资核算1!N21-SUMIF(中层绩效!B:B,科室绩效工资核算1!B21,中层绩效!N:N)</f>
        <v>0</v>
      </c>
      <c r="L21" s="5">
        <f>科室绩效工资核算1!O21-SUMIF(中层绩效!B:B,科室绩效工资核算1!B21,中层绩效!O:O)</f>
        <v>53</v>
      </c>
      <c r="M21" s="5">
        <f>科室绩效工资核算1!P21-SUMIF(中层绩效!B:B,科室绩效工资核算1!B21,中层绩效!P:P)</f>
        <v>1244</v>
      </c>
      <c r="N21" s="5">
        <f>科室绩效工资核算1!Q21-SUMIF(中层绩效!B:B,科室绩效工资核算1!B21,中层绩效!Q:Q)</f>
        <v>0</v>
      </c>
      <c r="O21" s="5">
        <f>科室绩效工资核算1!R21-SUMIF(中层绩效!B:B,科室绩效工资核算1!B21,中层绩效!R:R)</f>
        <v>0</v>
      </c>
      <c r="P21" s="5">
        <f>科室绩效工资核算1!S21-SUMIF(中层绩效!B:B,科室绩效工资核算1!B21,中层绩效!S:S)</f>
        <v>0</v>
      </c>
      <c r="Q21" s="5">
        <f>科室绩效工资核算1!T21-SUMIF(中层绩效!B:B,科室绩效工资核算1!B21,中层绩效!T:T)</f>
        <v>1600</v>
      </c>
      <c r="R21" s="5">
        <f>科室绩效工资核算1!V21</f>
        <v>1760</v>
      </c>
      <c r="S21" s="5">
        <f>科室绩效工资核算1!U21</f>
        <v>3160</v>
      </c>
      <c r="T21" s="5">
        <f>SUM(科室绩效工资核算1!AI21+科室绩效工资核算1!AH21)</f>
        <v>9975</v>
      </c>
      <c r="U21" s="43">
        <f t="shared" si="0"/>
        <v>63489</v>
      </c>
      <c r="V21" s="43">
        <f>IFERROR(C21+D21/VLOOKUP($B:$B,人员表!$B:$G,MATCH("员工",人员表!$B$3:$G$3,0),0)*VLOOKUP($B:$B,人员表!$B:$G,MATCH("医疗组",人员表!$B$3:$G$3,0),0),0)</f>
        <v>11506.885793871865</v>
      </c>
      <c r="W21" s="43">
        <f>IFERROR(D21/VLOOKUP($B:$B,人员表!$B:$G,MATCH("员工",人员表!$B$3:$G$3,0),0)*VLOOKUP($B:$B,人员表!$B:$G,MATCH("护理组",人员表!$B$3:$G$3,0),0),0)</f>
        <v>30573.114206128132</v>
      </c>
      <c r="X21" s="5">
        <f t="shared" si="1"/>
        <v>14889</v>
      </c>
      <c r="Y21" s="5">
        <f t="shared" si="2"/>
        <v>1600</v>
      </c>
    </row>
    <row r="22" spans="2:25" x14ac:dyDescent="0.25">
      <c r="B22" s="38" t="str">
        <f>科室绩效工资核算1!B22</f>
        <v>烧伤肛肠科</v>
      </c>
      <c r="C22" s="43">
        <f>科室绩效工资核算1!C22</f>
        <v>1264</v>
      </c>
      <c r="D22" s="5">
        <f>SUM(科室绩效工资核算1!D22:G22)+SUM(科室绩效工资核算1!W22:AG22)</f>
        <v>11068</v>
      </c>
      <c r="E22" s="5">
        <f>科室绩效工资核算1!H22-SUMIF(中层绩效!B:B,科室绩效工资核算2!B22,中层绩效!H:H)</f>
        <v>264</v>
      </c>
      <c r="F22" s="5">
        <f>科室绩效工资核算1!I22-SUMIF(中层绩效!B:B,科室绩效工资核算1!B22,中层绩效!I:I)</f>
        <v>154</v>
      </c>
      <c r="G22" s="5">
        <f>科室绩效工资核算1!J22-SUMIF(中层绩效!B:B,科室绩效工资核算1!B22,中层绩效!J:J)</f>
        <v>74</v>
      </c>
      <c r="H22" s="5">
        <f>科室绩效工资核算1!K22-SUMIF(中层绩效!B:B,科室绩效工资核算1!B22,中层绩效!K:K)</f>
        <v>0</v>
      </c>
      <c r="I22" s="5">
        <f>科室绩效工资核算1!L22-SUMIF(中层绩效!B:B,科室绩效工资核算1!B22,中层绩效!L:L)</f>
        <v>44</v>
      </c>
      <c r="J22" s="5">
        <f>科室绩效工资核算1!M22-SUMIF(中层绩效!B:B,科室绩效工资核算1!B22,中层绩效!M:M)</f>
        <v>0</v>
      </c>
      <c r="K22" s="5">
        <f>科室绩效工资核算1!N22-SUMIF(中层绩效!B:B,科室绩效工资核算1!B22,中层绩效!N:N)</f>
        <v>0</v>
      </c>
      <c r="L22" s="5">
        <f>科室绩效工资核算1!O22-SUMIF(中层绩效!B:B,科室绩效工资核算1!B22,中层绩效!O:O)</f>
        <v>66</v>
      </c>
      <c r="M22" s="5">
        <f>科室绩效工资核算1!P22-SUMIF(中层绩效!B:B,科室绩效工资核算1!B22,中层绩效!P:P)</f>
        <v>526</v>
      </c>
      <c r="N22" s="5">
        <f>科室绩效工资核算1!Q22-SUMIF(中层绩效!B:B,科室绩效工资核算1!B22,中层绩效!Q:Q)</f>
        <v>0</v>
      </c>
      <c r="O22" s="5">
        <f>科室绩效工资核算1!R22-SUMIF(中层绩效!B:B,科室绩效工资核算1!B22,中层绩效!R:R)</f>
        <v>459</v>
      </c>
      <c r="P22" s="5">
        <f>科室绩效工资核算1!S22-SUMIF(中层绩效!B:B,科室绩效工资核算1!B22,中层绩效!S:S)</f>
        <v>0</v>
      </c>
      <c r="Q22" s="5">
        <f>科室绩效工资核算1!T22-SUMIF(中层绩效!B:B,科室绩效工资核算1!B22,中层绩效!T:T)</f>
        <v>861</v>
      </c>
      <c r="R22" s="5">
        <f>科室绩效工资核算1!V22</f>
        <v>0</v>
      </c>
      <c r="S22" s="5">
        <f>科室绩效工资核算1!U22</f>
        <v>0</v>
      </c>
      <c r="T22" s="5">
        <f>SUM(科室绩效工资核算1!AI22+科室绩效工资核算1!AH22)</f>
        <v>1260</v>
      </c>
      <c r="U22" s="43">
        <f t="shared" si="0"/>
        <v>14780</v>
      </c>
      <c r="V22" s="43">
        <f>IFERROR(C22+D22/VLOOKUP($B:$B,人员表!$B:$G,MATCH("员工",人员表!$B$3:$G$3,0),0)*VLOOKUP($B:$B,人员表!$B:$G,MATCH("医疗组",人员表!$B$3:$G$3,0),0),0)</f>
        <v>9518.7732696897383</v>
      </c>
      <c r="W22" s="43">
        <f>IFERROR(D22/VLOOKUP($B:$B,人员表!$B:$G,MATCH("员工",人员表!$B$3:$G$3,0),0)*VLOOKUP($B:$B,人员表!$B:$G,MATCH("护理组",人员表!$B$3:$G$3,0),0),0)</f>
        <v>2813.2267303102626</v>
      </c>
      <c r="X22" s="5">
        <f t="shared" si="1"/>
        <v>1587</v>
      </c>
      <c r="Y22" s="5">
        <f t="shared" si="2"/>
        <v>861</v>
      </c>
    </row>
    <row r="23" spans="2:25" x14ac:dyDescent="0.25">
      <c r="B23" s="38" t="str">
        <f>科室绩效工资核算1!B23</f>
        <v>肿瘤科</v>
      </c>
      <c r="C23" s="43">
        <f>科室绩效工资核算1!C23</f>
        <v>2746</v>
      </c>
      <c r="D23" s="5">
        <f>SUM(科室绩效工资核算1!D23:G23)+SUM(科室绩效工资核算1!W23:AG23)</f>
        <v>22113</v>
      </c>
      <c r="E23" s="5">
        <f>科室绩效工资核算1!H23-SUMIF(中层绩效!B:B,科室绩效工资核算2!B23,中层绩效!H:H)</f>
        <v>1698</v>
      </c>
      <c r="F23" s="5">
        <f>科室绩效工资核算1!I23-SUMIF(中层绩效!B:B,科室绩效工资核算1!B23,中层绩效!I:I)</f>
        <v>719</v>
      </c>
      <c r="G23" s="5">
        <f>科室绩效工资核算1!J23-SUMIF(中层绩效!B:B,科室绩效工资核算1!B23,中层绩效!J:J)</f>
        <v>339</v>
      </c>
      <c r="H23" s="5">
        <f>科室绩效工资核算1!K23-SUMIF(中层绩效!B:B,科室绩效工资核算1!B23,中层绩效!K:K)</f>
        <v>0</v>
      </c>
      <c r="I23" s="5">
        <f>科室绩效工资核算1!L23-SUMIF(中层绩效!B:B,科室绩效工资核算1!B23,中层绩效!L:L)</f>
        <v>0</v>
      </c>
      <c r="J23" s="5">
        <f>科室绩效工资核算1!M23-SUMIF(中层绩效!B:B,科室绩效工资核算1!B23,中层绩效!M:M)</f>
        <v>0</v>
      </c>
      <c r="K23" s="5">
        <f>科室绩效工资核算1!N23-SUMIF(中层绩效!B:B,科室绩效工资核算1!B23,中层绩效!N:N)</f>
        <v>28</v>
      </c>
      <c r="L23" s="5">
        <f>科室绩效工资核算1!O23-SUMIF(中层绩效!B:B,科室绩效工资核算1!B23,中层绩效!O:O)</f>
        <v>118</v>
      </c>
      <c r="M23" s="5">
        <f>科室绩效工资核算1!P23-SUMIF(中层绩效!B:B,科室绩效工资核算1!B23,中层绩效!P:P)</f>
        <v>622</v>
      </c>
      <c r="N23" s="5">
        <f>科室绩效工资核算1!Q23-SUMIF(中层绩效!B:B,科室绩效工资核算1!B23,中层绩效!Q:Q)</f>
        <v>0</v>
      </c>
      <c r="O23" s="5">
        <f>科室绩效工资核算1!R23-SUMIF(中层绩效!B:B,科室绩效工资核算1!B23,中层绩效!R:R)</f>
        <v>16</v>
      </c>
      <c r="P23" s="5">
        <f>科室绩效工资核算1!S23-SUMIF(中层绩效!B:B,科室绩效工资核算1!B23,中层绩效!S:S)</f>
        <v>0</v>
      </c>
      <c r="Q23" s="5">
        <f>科室绩效工资核算1!T23-SUMIF(中层绩效!B:B,科室绩效工资核算1!B23,中层绩效!T:T)</f>
        <v>1864</v>
      </c>
      <c r="R23" s="5">
        <f>科室绩效工资核算1!V23</f>
        <v>0</v>
      </c>
      <c r="S23" s="5">
        <f>科室绩效工资核算1!U23</f>
        <v>0</v>
      </c>
      <c r="T23" s="5">
        <f>SUM(科室绩效工资核算1!AI23+科室绩效工资核算1!AH23)</f>
        <v>131</v>
      </c>
      <c r="U23" s="43">
        <f t="shared" si="0"/>
        <v>30263</v>
      </c>
      <c r="V23" s="43">
        <f>IFERROR(C23+D23/VLOOKUP($B:$B,人员表!$B:$G,MATCH("员工",人员表!$B$3:$G$3,0),0)*VLOOKUP($B:$B,人员表!$B:$G,MATCH("医疗组",人员表!$B$3:$G$3,0),0),0)</f>
        <v>15812.772727272728</v>
      </c>
      <c r="W23" s="43">
        <f>IFERROR(D23/VLOOKUP($B:$B,人员表!$B:$G,MATCH("员工",人员表!$B$3:$G$3,0),0)*VLOOKUP($B:$B,人员表!$B:$G,MATCH("护理组",人员表!$B$3:$G$3,0),0),0)</f>
        <v>9046.2272727272721</v>
      </c>
      <c r="X23" s="5">
        <f t="shared" si="1"/>
        <v>3540</v>
      </c>
      <c r="Y23" s="5">
        <f t="shared" si="2"/>
        <v>1864</v>
      </c>
    </row>
    <row r="24" spans="2:25" x14ac:dyDescent="0.25">
      <c r="B24" s="38" t="str">
        <f>科室绩效工资核算1!B24</f>
        <v>ICU</v>
      </c>
      <c r="C24" s="43">
        <f>科室绩效工资核算1!C24</f>
        <v>4</v>
      </c>
      <c r="D24" s="5">
        <f>SUM(科室绩效工资核算1!D24:G24)+SUM(科室绩效工资核算1!W24:AG24)</f>
        <v>4865</v>
      </c>
      <c r="E24" s="5">
        <f>科室绩效工资核算1!H24-SUMIF(中层绩效!B:B,科室绩效工资核算2!B24,中层绩效!H:H)</f>
        <v>884</v>
      </c>
      <c r="F24" s="5">
        <f>科室绩效工资核算1!I24-SUMIF(中层绩效!B:B,科室绩效工资核算1!B24,中层绩效!I:I)</f>
        <v>0</v>
      </c>
      <c r="G24" s="5">
        <f>科室绩效工资核算1!J24-SUMIF(中层绩效!B:B,科室绩效工资核算1!B24,中层绩效!J:J)</f>
        <v>0</v>
      </c>
      <c r="H24" s="5">
        <f>科室绩效工资核算1!K24-SUMIF(中层绩效!B:B,科室绩效工资核算1!B24,中层绩效!K:K)</f>
        <v>0</v>
      </c>
      <c r="I24" s="5">
        <f>科室绩效工资核算1!L24-SUMIF(中层绩效!B:B,科室绩效工资核算1!B24,中层绩效!L:L)</f>
        <v>0</v>
      </c>
      <c r="J24" s="5">
        <f>科室绩效工资核算1!M24-SUMIF(中层绩效!B:B,科室绩效工资核算1!B24,中层绩效!M:M)</f>
        <v>0</v>
      </c>
      <c r="K24" s="5">
        <f>科室绩效工资核算1!N24-SUMIF(中层绩效!B:B,科室绩效工资核算1!B24,中层绩效!N:N)</f>
        <v>0</v>
      </c>
      <c r="L24" s="5">
        <f>科室绩效工资核算1!O24-SUMIF(中层绩效!B:B,科室绩效工资核算1!B24,中层绩效!O:O)</f>
        <v>404</v>
      </c>
      <c r="M24" s="5">
        <f>科室绩效工资核算1!P24-SUMIF(中层绩效!B:B,科室绩效工资核算1!B24,中层绩效!P:P)</f>
        <v>0</v>
      </c>
      <c r="N24" s="5">
        <f>科室绩效工资核算1!Q24-SUMIF(中层绩效!B:B,科室绩效工资核算1!B24,中层绩效!Q:Q)</f>
        <v>1941</v>
      </c>
      <c r="O24" s="5">
        <f>科室绩效工资核算1!R24-SUMIF(中层绩效!B:B,科室绩效工资核算1!B24,中层绩效!R:R)</f>
        <v>0</v>
      </c>
      <c r="P24" s="5">
        <f>科室绩效工资核算1!S24-SUMIF(中层绩效!B:B,科室绩效工资核算1!B24,中层绩效!S:S)</f>
        <v>0</v>
      </c>
      <c r="Q24" s="5">
        <f>科室绩效工资核算1!T24-SUMIF(中层绩效!B:B,科室绩效工资核算1!B24,中层绩效!T:T)</f>
        <v>3540</v>
      </c>
      <c r="R24" s="5">
        <f>科室绩效工资核算1!V24</f>
        <v>0</v>
      </c>
      <c r="S24" s="5">
        <f>科室绩效工资核算1!U24</f>
        <v>0</v>
      </c>
      <c r="T24" s="5">
        <f>SUM(科室绩效工资核算1!AI24+科室绩效工资核算1!AH24)</f>
        <v>0</v>
      </c>
      <c r="U24" s="43">
        <f t="shared" si="0"/>
        <v>11638</v>
      </c>
      <c r="V24" s="43">
        <f>IFERROR(C24+D24/VLOOKUP($B:$B,人员表!$B:$G,MATCH("员工",人员表!$B$3:$G$3,0),0)*VLOOKUP($B:$B,人员表!$B:$G,MATCH("医疗组",人员表!$B$3:$G$3,0),0),0)</f>
        <v>2342.9423076923076</v>
      </c>
      <c r="W24" s="43">
        <f>IFERROR(D24/VLOOKUP($B:$B,人员表!$B:$G,MATCH("员工",人员表!$B$3:$G$3,0),0)*VLOOKUP($B:$B,人员表!$B:$G,MATCH("护理组",人员表!$B$3:$G$3,0),0),0)</f>
        <v>2526.0576923076924</v>
      </c>
      <c r="X24" s="5">
        <f t="shared" si="1"/>
        <v>3229</v>
      </c>
      <c r="Y24" s="5">
        <f t="shared" si="2"/>
        <v>3540</v>
      </c>
    </row>
    <row r="25" spans="2:25" x14ac:dyDescent="0.25">
      <c r="B25" s="38" t="str">
        <f>科室绩效工资核算1!B25</f>
        <v>急诊内科</v>
      </c>
      <c r="C25" s="43">
        <f>科室绩效工资核算1!C25</f>
        <v>12663</v>
      </c>
      <c r="D25" s="5">
        <f>SUM(科室绩效工资核算1!D25:G25)+SUM(科室绩效工资核算1!W25:AG25)</f>
        <v>21477</v>
      </c>
      <c r="E25" s="5">
        <f>科室绩效工资核算1!H25-SUMIF(中层绩效!B:B,科室绩效工资核算2!B25,中层绩效!H:H)</f>
        <v>1344</v>
      </c>
      <c r="F25" s="5">
        <f>科室绩效工资核算1!I25-SUMIF(中层绩效!B:B,科室绩效工资核算1!B25,中层绩效!I:I)</f>
        <v>559</v>
      </c>
      <c r="G25" s="5">
        <f>科室绩效工资核算1!J25-SUMIF(中层绩效!B:B,科室绩效工资核算1!B25,中层绩效!J:J)</f>
        <v>983</v>
      </c>
      <c r="H25" s="5">
        <f>科室绩效工资核算1!K25-SUMIF(中层绩效!B:B,科室绩效工资核算1!B25,中层绩效!K:K)</f>
        <v>0</v>
      </c>
      <c r="I25" s="5">
        <f>科室绩效工资核算1!L25-SUMIF(中层绩效!B:B,科室绩效工资核算1!B25,中层绩效!L:L)</f>
        <v>0</v>
      </c>
      <c r="J25" s="5">
        <f>科室绩效工资核算1!M25-SUMIF(中层绩效!B:B,科室绩效工资核算1!B25,中层绩效!M:M)</f>
        <v>0</v>
      </c>
      <c r="K25" s="5">
        <f>科室绩效工资核算1!N25-SUMIF(中层绩效!B:B,科室绩效工资核算1!B25,中层绩效!N:N)</f>
        <v>0</v>
      </c>
      <c r="L25" s="5">
        <f>科室绩效工资核算1!O25-SUMIF(中层绩效!B:B,科室绩效工资核算1!B25,中层绩效!O:O)</f>
        <v>27</v>
      </c>
      <c r="M25" s="5">
        <f>科室绩效工资核算1!P25-SUMIF(中层绩效!B:B,科室绩效工资核算1!B25,中层绩效!P:P)</f>
        <v>5</v>
      </c>
      <c r="N25" s="5">
        <f>科室绩效工资核算1!Q25-SUMIF(中层绩效!B:B,科室绩效工资核算1!B25,中层绩效!Q:Q)</f>
        <v>0</v>
      </c>
      <c r="O25" s="5">
        <f>科室绩效工资核算1!R25-SUMIF(中层绩效!B:B,科室绩效工资核算1!B25,中层绩效!R:R)</f>
        <v>0</v>
      </c>
      <c r="P25" s="5">
        <f>科室绩效工资核算1!S25-SUMIF(中层绩效!B:B,科室绩效工资核算1!B25,中层绩效!S:S)</f>
        <v>0</v>
      </c>
      <c r="Q25" s="5">
        <f>科室绩效工资核算1!T25-SUMIF(中层绩效!B:B,科室绩效工资核算1!B25,中层绩效!T:T)</f>
        <v>1046</v>
      </c>
      <c r="R25" s="5">
        <f>科室绩效工资核算1!V25</f>
        <v>0</v>
      </c>
      <c r="S25" s="5">
        <f>科室绩效工资核算1!U25</f>
        <v>0</v>
      </c>
      <c r="T25" s="5">
        <f>SUM(科室绩效工资核算1!AI25+科室绩效工资核算1!AH25)</f>
        <v>0</v>
      </c>
      <c r="U25" s="43">
        <f t="shared" si="0"/>
        <v>38104</v>
      </c>
      <c r="V25" s="43">
        <f>IFERROR((C25+D25)/VLOOKUP($B:$B,人员表!$B:$G,MATCH("员工",人员表!$B$3:$G$3,0),0)*VLOOKUP($B:$B,人员表!$B:$G,MATCH("医疗组",人员表!$B$3:$G$3,0),0),0)</f>
        <v>17481.325301204819</v>
      </c>
      <c r="W25" s="43">
        <f>IFERROR((C25+D25)/VLOOKUP($B:$B,人员表!$B:$G,MATCH("员工",人员表!$B$3:$G$3,0),0)*VLOOKUP($B:$B,人员表!$B:$G,MATCH("护理组",人员表!$B$3:$G$3,0),0),0)</f>
        <v>16658.674698795181</v>
      </c>
      <c r="X25" s="5">
        <f t="shared" si="1"/>
        <v>2918</v>
      </c>
      <c r="Y25" s="5">
        <f t="shared" si="2"/>
        <v>1046</v>
      </c>
    </row>
    <row r="26" spans="2:25" x14ac:dyDescent="0.25">
      <c r="B26" s="38" t="str">
        <f>科室绩效工资核算1!B26</f>
        <v>血透室</v>
      </c>
      <c r="C26" s="43">
        <f>科室绩效工资核算1!C26</f>
        <v>33690</v>
      </c>
      <c r="D26" s="5">
        <f>SUM(科室绩效工资核算1!D26:G26)+SUM(科室绩效工资核算1!W26:AG26)</f>
        <v>26</v>
      </c>
      <c r="E26" s="5">
        <f>科室绩效工资核算1!H26-SUMIF(中层绩效!B:B,科室绩效工资核算2!B26,中层绩效!H:H)</f>
        <v>0</v>
      </c>
      <c r="F26" s="5">
        <f>科室绩效工资核算1!I26-SUMIF(中层绩效!B:B,科室绩效工资核算1!B26,中层绩效!I:I)</f>
        <v>0</v>
      </c>
      <c r="G26" s="5">
        <f>科室绩效工资核算1!J26-SUMIF(中层绩效!B:B,科室绩效工资核算1!B26,中层绩效!J:J)</f>
        <v>2</v>
      </c>
      <c r="H26" s="5">
        <f>科室绩效工资核算1!K26-SUMIF(中层绩效!B:B,科室绩效工资核算1!B26,中层绩效!K:K)</f>
        <v>0</v>
      </c>
      <c r="I26" s="5">
        <f>科室绩效工资核算1!L26-SUMIF(中层绩效!B:B,科室绩效工资核算1!B26,中层绩效!L:L)</f>
        <v>0</v>
      </c>
      <c r="J26" s="5">
        <f>科室绩效工资核算1!M26-SUMIF(中层绩效!B:B,科室绩效工资核算1!B26,中层绩效!M:M)</f>
        <v>0</v>
      </c>
      <c r="K26" s="5">
        <f>科室绩效工资核算1!N26-SUMIF(中层绩效!B:B,科室绩效工资核算1!B26,中层绩效!N:N)</f>
        <v>0</v>
      </c>
      <c r="L26" s="5">
        <f>科室绩效工资核算1!O26-SUMIF(中层绩效!B:B,科室绩效工资核算1!B26,中层绩效!O:O)</f>
        <v>42</v>
      </c>
      <c r="M26" s="5">
        <f>科室绩效工资核算1!P26-SUMIF(中层绩效!B:B,科室绩效工资核算1!B26,中层绩效!P:P)</f>
        <v>389</v>
      </c>
      <c r="N26" s="5">
        <f>科室绩效工资核算1!Q26-SUMIF(中层绩效!B:B,科室绩效工资核算1!B26,中层绩效!Q:Q)</f>
        <v>0</v>
      </c>
      <c r="O26" s="5">
        <f>科室绩效工资核算1!R26-SUMIF(中层绩效!B:B,科室绩效工资核算1!B26,中层绩效!R:R)</f>
        <v>0</v>
      </c>
      <c r="P26" s="5">
        <f>科室绩效工资核算1!S26-SUMIF(中层绩效!B:B,科室绩效工资核算1!B26,中层绩效!S:S)</f>
        <v>0</v>
      </c>
      <c r="Q26" s="5">
        <f>科室绩效工资核算1!T26-SUMIF(中层绩效!B:B,科室绩效工资核算1!B26,中层绩效!T:T)</f>
        <v>0</v>
      </c>
      <c r="R26" s="5">
        <f>科室绩效工资核算1!V26</f>
        <v>0</v>
      </c>
      <c r="S26" s="5">
        <f>科室绩效工资核算1!U26</f>
        <v>0</v>
      </c>
      <c r="T26" s="5">
        <f>SUM(科室绩效工资核算1!AI26+科室绩效工资核算1!AH26)</f>
        <v>0</v>
      </c>
      <c r="U26" s="43">
        <f t="shared" si="0"/>
        <v>34149</v>
      </c>
      <c r="V26" s="43">
        <f>IFERROR((C26+D26)/VLOOKUP($B:$B,人员表!$B:$G,MATCH("员工",人员表!$B$3:$G$3,0),0)*VLOOKUP($B:$B,人员表!$B:$G,MATCH("医疗组",人员表!$B$3:$G$3,0),0),0)</f>
        <v>15108.584905660378</v>
      </c>
      <c r="W26" s="43">
        <f>IFERROR((C26+D26)/VLOOKUP($B:$B,人员表!$B:$G,MATCH("员工",人员表!$B$3:$G$3,0),0)*VLOOKUP($B:$B,人员表!$B:$G,MATCH("护理组",人员表!$B$3:$G$3,0),0),0)</f>
        <v>18607.415094339623</v>
      </c>
      <c r="X26" s="5">
        <f t="shared" si="1"/>
        <v>433</v>
      </c>
      <c r="Y26" s="5">
        <f t="shared" si="2"/>
        <v>0</v>
      </c>
    </row>
    <row r="27" spans="2:25" x14ac:dyDescent="0.25">
      <c r="B27" s="38" t="str">
        <f>科室绩效工资核算1!B27</f>
        <v>眼科</v>
      </c>
      <c r="C27" s="43">
        <f>科室绩效工资核算1!C27</f>
        <v>6811</v>
      </c>
      <c r="D27" s="5">
        <f>SUM(科室绩效工资核算1!D27:G27)+SUM(科室绩效工资核算1!W27:AG27)</f>
        <v>1237</v>
      </c>
      <c r="E27" s="5">
        <f>科室绩效工资核算1!H27-SUMIF(中层绩效!B:B,科室绩效工资核算2!B27,中层绩效!H:H)</f>
        <v>110</v>
      </c>
      <c r="F27" s="5">
        <f>科室绩效工资核算1!I27-SUMIF(中层绩效!B:B,科室绩效工资核算1!B27,中层绩效!I:I)</f>
        <v>55</v>
      </c>
      <c r="G27" s="5">
        <f>科室绩效工资核算1!J27-SUMIF(中层绩效!B:B,科室绩效工资核算1!B27,中层绩效!J:J)</f>
        <v>167</v>
      </c>
      <c r="H27" s="5">
        <f>科室绩效工资核算1!K27-SUMIF(中层绩效!B:B,科室绩效工资核算1!B27,中层绩效!K:K)</f>
        <v>82</v>
      </c>
      <c r="I27" s="5">
        <f>科室绩效工资核算1!L27-SUMIF(中层绩效!B:B,科室绩效工资核算1!B27,中层绩效!L:L)</f>
        <v>230</v>
      </c>
      <c r="J27" s="5">
        <f>科室绩效工资核算1!M27-SUMIF(中层绩效!B:B,科室绩效工资核算1!B27,中层绩效!M:M)</f>
        <v>0</v>
      </c>
      <c r="K27" s="5">
        <f>科室绩效工资核算1!N27-SUMIF(中层绩效!B:B,科室绩效工资核算1!B27,中层绩效!N:N)</f>
        <v>0</v>
      </c>
      <c r="L27" s="5">
        <f>科室绩效工资核算1!O27-SUMIF(中层绩效!B:B,科室绩效工资核算1!B27,中层绩效!O:O)</f>
        <v>268</v>
      </c>
      <c r="M27" s="5">
        <f>科室绩效工资核算1!P27-SUMIF(中层绩效!B:B,科室绩效工资核算1!B27,中层绩效!P:P)</f>
        <v>184</v>
      </c>
      <c r="N27" s="5">
        <f>科室绩效工资核算1!Q27-SUMIF(中层绩效!B:B,科室绩效工资核算1!B27,中层绩效!Q:Q)</f>
        <v>0</v>
      </c>
      <c r="O27" s="5">
        <f>科室绩效工资核算1!R27-SUMIF(中层绩效!B:B,科室绩效工资核算1!B27,中层绩效!R:R)</f>
        <v>0</v>
      </c>
      <c r="P27" s="5">
        <f>科室绩效工资核算1!S27-SUMIF(中层绩效!B:B,科室绩效工资核算1!B27,中层绩效!S:S)</f>
        <v>0</v>
      </c>
      <c r="Q27" s="5">
        <f>科室绩效工资核算1!T27-SUMIF(中层绩效!B:B,科室绩效工资核算1!B27,中层绩效!T:T)</f>
        <v>22</v>
      </c>
      <c r="R27" s="5">
        <f>科室绩效工资核算1!V27</f>
        <v>0</v>
      </c>
      <c r="S27" s="5">
        <f>科室绩效工资核算1!U27</f>
        <v>0</v>
      </c>
      <c r="T27" s="5">
        <f>SUM(科室绩效工资核算1!AI27+科室绩效工资核算1!AH27)</f>
        <v>969</v>
      </c>
      <c r="U27" s="43">
        <f t="shared" si="0"/>
        <v>9166</v>
      </c>
      <c r="V27" s="43">
        <f>IFERROR(C27+D27/VLOOKUP($B:$B,人员表!$B:$G,MATCH("员工",人员表!$B$3:$G$3,0),0)*VLOOKUP($B:$B,人员表!$B:$G,MATCH("医疗组",人员表!$B$3:$G$3,0),0),0)</f>
        <v>8048</v>
      </c>
      <c r="W27" s="43">
        <f>IFERROR(D27/VLOOKUP($B:$B,人员表!$B:$G,MATCH("员工",人员表!$B$3:$G$3,0),0)*VLOOKUP($B:$B,人员表!$B:$G,MATCH("护理组",人员表!$B$3:$G$3,0),0),0)</f>
        <v>0</v>
      </c>
      <c r="X27" s="5">
        <f t="shared" si="1"/>
        <v>1096</v>
      </c>
      <c r="Y27" s="5">
        <f t="shared" si="2"/>
        <v>22</v>
      </c>
    </row>
    <row r="28" spans="2:25" x14ac:dyDescent="0.25">
      <c r="B28" s="38" t="str">
        <f>科室绩效工资核算1!B28</f>
        <v>耳鼻喉科</v>
      </c>
      <c r="C28" s="43">
        <f>科室绩效工资核算1!C28</f>
        <v>23055</v>
      </c>
      <c r="D28" s="5">
        <f>SUM(科室绩效工资核算1!D28:G28)+SUM(科室绩效工资核算1!W28:AG28)</f>
        <v>1335</v>
      </c>
      <c r="E28" s="5">
        <f>科室绩效工资核算1!H28-SUMIF(中层绩效!B:B,科室绩效工资核算2!B28,中层绩效!H:H)</f>
        <v>0</v>
      </c>
      <c r="F28" s="5">
        <f>科室绩效工资核算1!I28-SUMIF(中层绩效!B:B,科室绩效工资核算1!B28,中层绩效!I:I)</f>
        <v>0</v>
      </c>
      <c r="G28" s="5">
        <f>科室绩效工资核算1!J28-SUMIF(中层绩效!B:B,科室绩效工资核算1!B28,中层绩效!J:J)</f>
        <v>729</v>
      </c>
      <c r="H28" s="5">
        <f>科室绩效工资核算1!K28-SUMIF(中层绩效!B:B,科室绩效工资核算1!B28,中层绩效!K:K)</f>
        <v>0</v>
      </c>
      <c r="I28" s="5">
        <f>科室绩效工资核算1!L28-SUMIF(中层绩效!B:B,科室绩效工资核算1!B28,中层绩效!L:L)</f>
        <v>26</v>
      </c>
      <c r="J28" s="5">
        <f>科室绩效工资核算1!M28-SUMIF(中层绩效!B:B,科室绩效工资核算1!B28,中层绩效!M:M)</f>
        <v>0</v>
      </c>
      <c r="K28" s="5">
        <f>科室绩效工资核算1!N28-SUMIF(中层绩效!B:B,科室绩效工资核算1!B28,中层绩效!N:N)</f>
        <v>0</v>
      </c>
      <c r="L28" s="5">
        <f>科室绩效工资核算1!O28-SUMIF(中层绩效!B:B,科室绩效工资核算1!B28,中层绩效!O:O)</f>
        <v>257</v>
      </c>
      <c r="M28" s="5">
        <f>科室绩效工资核算1!P28-SUMIF(中层绩效!B:B,科室绩效工资核算1!B28,中层绩效!P:P)</f>
        <v>154</v>
      </c>
      <c r="N28" s="5">
        <f>科室绩效工资核算1!Q28-SUMIF(中层绩效!B:B,科室绩效工资核算1!B28,中层绩效!Q:Q)</f>
        <v>0</v>
      </c>
      <c r="O28" s="5">
        <f>科室绩效工资核算1!R28-SUMIF(中层绩效!B:B,科室绩效工资核算1!B28,中层绩效!R:R)</f>
        <v>0</v>
      </c>
      <c r="P28" s="5">
        <f>科室绩效工资核算1!S28-SUMIF(中层绩效!B:B,科室绩效工资核算1!B28,中层绩效!S:S)</f>
        <v>0</v>
      </c>
      <c r="Q28" s="5">
        <f>科室绩效工资核算1!T28-SUMIF(中层绩效!B:B,科室绩效工资核算1!B28,中层绩效!T:T)</f>
        <v>0</v>
      </c>
      <c r="R28" s="5">
        <f>科室绩效工资核算1!V28</f>
        <v>0</v>
      </c>
      <c r="S28" s="5">
        <f>科室绩效工资核算1!U28</f>
        <v>0</v>
      </c>
      <c r="T28" s="5">
        <f>SUM(科室绩效工资核算1!AI28+科室绩效工资核算1!AH28)</f>
        <v>1223</v>
      </c>
      <c r="U28" s="43">
        <f t="shared" si="0"/>
        <v>25556</v>
      </c>
      <c r="V28" s="43">
        <f>IFERROR(C28+D28/VLOOKUP($B:$B,人员表!$B:$G,MATCH("员工",人员表!$B$3:$G$3,0),0)*VLOOKUP($B:$B,人员表!$B:$G,MATCH("医疗组",人员表!$B$3:$G$3,0),0),0)</f>
        <v>24390</v>
      </c>
      <c r="W28" s="43">
        <f>IFERROR(D28/VLOOKUP($B:$B,人员表!$B:$G,MATCH("员工",人员表!$B$3:$G$3,0),0)*VLOOKUP($B:$B,人员表!$B:$G,MATCH("护理组",人员表!$B$3:$G$3,0),0),0)</f>
        <v>0</v>
      </c>
      <c r="X28" s="5">
        <f t="shared" si="1"/>
        <v>1166</v>
      </c>
      <c r="Y28" s="5">
        <f t="shared" si="2"/>
        <v>0</v>
      </c>
    </row>
    <row r="29" spans="2:25" x14ac:dyDescent="0.25">
      <c r="B29" s="38" t="str">
        <f>科室绩效工资核算1!B29</f>
        <v>口腔科</v>
      </c>
      <c r="C29" s="43">
        <f>科室绩效工资核算1!C29</f>
        <v>5176</v>
      </c>
      <c r="D29" s="5">
        <f>SUM(科室绩效工资核算1!D29:G29)+SUM(科室绩效工资核算1!W29:AG29)</f>
        <v>203</v>
      </c>
      <c r="E29" s="5">
        <f>科室绩效工资核算1!H29-SUMIF(中层绩效!B:B,科室绩效工资核算2!B29,中层绩效!H:H)</f>
        <v>17</v>
      </c>
      <c r="F29" s="5">
        <f>科室绩效工资核算1!I29-SUMIF(中层绩效!B:B,科室绩效工资核算1!B29,中层绩效!I:I)</f>
        <v>0</v>
      </c>
      <c r="G29" s="5">
        <f>科室绩效工资核算1!J29-SUMIF(中层绩效!B:B,科室绩效工资核算1!B29,中层绩效!J:J)</f>
        <v>131</v>
      </c>
      <c r="H29" s="5">
        <f>科室绩效工资核算1!K29-SUMIF(中层绩效!B:B,科室绩效工资核算1!B29,中层绩效!K:K)</f>
        <v>0</v>
      </c>
      <c r="I29" s="5">
        <f>科室绩效工资核算1!L29-SUMIF(中层绩效!B:B,科室绩效工资核算1!B29,中层绩效!L:L)</f>
        <v>0</v>
      </c>
      <c r="J29" s="5">
        <f>科室绩效工资核算1!M29-SUMIF(中层绩效!B:B,科室绩效工资核算1!B29,中层绩效!M:M)</f>
        <v>0</v>
      </c>
      <c r="K29" s="5">
        <f>科室绩效工资核算1!N29-SUMIF(中层绩效!B:B,科室绩效工资核算1!B29,中层绩效!N:N)</f>
        <v>0</v>
      </c>
      <c r="L29" s="5">
        <f>科室绩效工资核算1!O29-SUMIF(中层绩效!B:B,科室绩效工资核算1!B29,中层绩效!O:O)</f>
        <v>110</v>
      </c>
      <c r="M29" s="5">
        <f>科室绩效工资核算1!P29-SUMIF(中层绩效!B:B,科室绩效工资核算1!B29,中层绩效!P:P)</f>
        <v>876</v>
      </c>
      <c r="N29" s="5">
        <f>科室绩效工资核算1!Q29-SUMIF(中层绩效!B:B,科室绩效工资核算1!B29,中层绩效!Q:Q)</f>
        <v>0</v>
      </c>
      <c r="O29" s="5">
        <f>科室绩效工资核算1!R29-SUMIF(中层绩效!B:B,科室绩效工资核算1!B29,中层绩效!R:R)</f>
        <v>0</v>
      </c>
      <c r="P29" s="5">
        <f>科室绩效工资核算1!S29-SUMIF(中层绩效!B:B,科室绩效工资核算1!B29,中层绩效!S:S)</f>
        <v>0</v>
      </c>
      <c r="Q29" s="5">
        <f>科室绩效工资核算1!T29-SUMIF(中层绩效!B:B,科室绩效工资核算1!B29,中层绩效!T:T)</f>
        <v>0</v>
      </c>
      <c r="R29" s="5">
        <f>科室绩效工资核算1!V29</f>
        <v>0</v>
      </c>
      <c r="S29" s="5">
        <f>科室绩效工资核算1!U29</f>
        <v>0</v>
      </c>
      <c r="T29" s="5">
        <f>SUM(科室绩效工资核算1!AI29+科室绩效工资核算1!AH29)</f>
        <v>69</v>
      </c>
      <c r="U29" s="43">
        <f t="shared" si="0"/>
        <v>6513</v>
      </c>
      <c r="V29" s="43">
        <f>IFERROR(C29+D29/VLOOKUP($B:$B,人员表!$B:$G,MATCH("员工",人员表!$B$3:$G$3,0),0)*VLOOKUP($B:$B,人员表!$B:$G,MATCH("医疗组",人员表!$B$3:$G$3,0),0),0)</f>
        <v>5379</v>
      </c>
      <c r="W29" s="43">
        <f>IFERROR(D29/VLOOKUP($B:$B,人员表!$B:$G,MATCH("员工",人员表!$B$3:$G$3,0),0)*VLOOKUP($B:$B,人员表!$B:$G,MATCH("护理组",人员表!$B$3:$G$3,0),0),0)</f>
        <v>0</v>
      </c>
      <c r="X29" s="5">
        <f t="shared" si="1"/>
        <v>1134</v>
      </c>
      <c r="Y29" s="5">
        <f t="shared" si="2"/>
        <v>0</v>
      </c>
    </row>
    <row r="30" spans="2:25" x14ac:dyDescent="0.25">
      <c r="B30" s="38" t="str">
        <f>科室绩效工资核算1!B30</f>
        <v>普外二科</v>
      </c>
      <c r="C30" s="43">
        <f>科室绩效工资核算1!C30</f>
        <v>5868</v>
      </c>
      <c r="D30" s="5">
        <f>SUM(科室绩效工资核算1!D30:G30)+SUM(科室绩效工资核算1!W30:AG30)</f>
        <v>16693</v>
      </c>
      <c r="E30" s="5">
        <f>科室绩效工资核算1!H30-SUMIF(中层绩效!B:B,科室绩效工资核算2!B30,中层绩效!H:H)</f>
        <v>789</v>
      </c>
      <c r="F30" s="5">
        <f>科室绩效工资核算1!I30-SUMIF(中层绩效!B:B,科室绩效工资核算1!B30,中层绩效!I:I)</f>
        <v>382</v>
      </c>
      <c r="G30" s="5">
        <f>科室绩效工资核算1!J30-SUMIF(中层绩效!B:B,科室绩效工资核算1!B30,中层绩效!J:J)</f>
        <v>235</v>
      </c>
      <c r="H30" s="5">
        <f>科室绩效工资核算1!K30-SUMIF(中层绩效!B:B,科室绩效工资核算1!B30,中层绩效!K:K)</f>
        <v>76</v>
      </c>
      <c r="I30" s="5">
        <f>科室绩效工资核算1!L30-SUMIF(中层绩效!B:B,科室绩效工资核算1!B30,中层绩效!L:L)</f>
        <v>0</v>
      </c>
      <c r="J30" s="5">
        <f>科室绩效工资核算1!M30-SUMIF(中层绩效!B:B,科室绩效工资核算1!B30,中层绩效!M:M)</f>
        <v>0</v>
      </c>
      <c r="K30" s="5">
        <f>科室绩效工资核算1!N30-SUMIF(中层绩效!B:B,科室绩效工资核算1!B30,中层绩效!N:N)</f>
        <v>0</v>
      </c>
      <c r="L30" s="5">
        <f>科室绩效工资核算1!O30-SUMIF(中层绩效!B:B,科室绩效工资核算1!B30,中层绩效!O:O)</f>
        <v>148</v>
      </c>
      <c r="M30" s="5">
        <f>科室绩效工资核算1!P30-SUMIF(中层绩效!B:B,科室绩效工资核算1!B30,中层绩效!P:P)</f>
        <v>250</v>
      </c>
      <c r="N30" s="5">
        <f>科室绩效工资核算1!Q30-SUMIF(中层绩效!B:B,科室绩效工资核算1!B30,中层绩效!Q:Q)</f>
        <v>407</v>
      </c>
      <c r="O30" s="5">
        <f>科室绩效工资核算1!R30-SUMIF(中层绩效!B:B,科室绩效工资核算1!B30,中层绩效!R:R)</f>
        <v>82</v>
      </c>
      <c r="P30" s="5">
        <f>科室绩效工资核算1!S30-SUMIF(中层绩效!B:B,科室绩效工资核算1!B30,中层绩效!S:S)</f>
        <v>0</v>
      </c>
      <c r="Q30" s="5">
        <f>科室绩效工资核算1!T30-SUMIF(中层绩效!B:B,科室绩效工资核算1!B30,中层绩效!T:T)</f>
        <v>1632</v>
      </c>
      <c r="R30" s="5">
        <f>科室绩效工资核算1!V30</f>
        <v>0</v>
      </c>
      <c r="S30" s="5">
        <f>科室绩效工资核算1!U30</f>
        <v>0</v>
      </c>
      <c r="T30" s="5">
        <f>SUM(科室绩效工资核算1!AI30+科室绩效工资核算1!AH30)</f>
        <v>4941</v>
      </c>
      <c r="U30" s="43">
        <f t="shared" si="0"/>
        <v>26562</v>
      </c>
      <c r="V30" s="43">
        <f>IFERROR(C30+D30/VLOOKUP($B:$B,人员表!$B:$G,MATCH("员工",人员表!$B$3:$G$3,0),0)*VLOOKUP($B:$B,人员表!$B:$G,MATCH("医疗组",人员表!$B$3:$G$3,0),0),0)</f>
        <v>14096.943661971831</v>
      </c>
      <c r="W30" s="43">
        <f>IFERROR(D30/VLOOKUP($B:$B,人员表!$B:$G,MATCH("员工",人员表!$B$3:$G$3,0),0)*VLOOKUP($B:$B,人员表!$B:$G,MATCH("护理组",人员表!$B$3:$G$3,0),0),0)</f>
        <v>8464.0563380281692</v>
      </c>
      <c r="X30" s="5">
        <f t="shared" si="1"/>
        <v>2369</v>
      </c>
      <c r="Y30" s="5">
        <f t="shared" si="2"/>
        <v>1632</v>
      </c>
    </row>
    <row r="31" spans="2:25" x14ac:dyDescent="0.25">
      <c r="B31" s="38" t="str">
        <f>科室绩效工资核算1!B31</f>
        <v>妇科门诊</v>
      </c>
      <c r="C31" s="43">
        <f>科室绩效工资核算1!C31</f>
        <v>27004</v>
      </c>
      <c r="D31" s="5">
        <f>SUM(科室绩效工资核算1!D31:G31)+SUM(科室绩效工资核算1!W31:AG31)</f>
        <v>177</v>
      </c>
      <c r="E31" s="5">
        <f>科室绩效工资核算1!H31-SUMIF(中层绩效!B:B,科室绩效工资核算2!B31,中层绩效!H:H)</f>
        <v>576</v>
      </c>
      <c r="F31" s="5">
        <f>科室绩效工资核算1!I31-SUMIF(中层绩效!B:B,科室绩效工资核算1!B31,中层绩效!I:I)</f>
        <v>0</v>
      </c>
      <c r="G31" s="5">
        <f>科室绩效工资核算1!J31-SUMIF(中层绩效!B:B,科室绩效工资核算1!B31,中层绩效!J:J)</f>
        <v>1018</v>
      </c>
      <c r="H31" s="5">
        <f>科室绩效工资核算1!K31-SUMIF(中层绩效!B:B,科室绩效工资核算1!B31,中层绩效!K:K)</f>
        <v>0</v>
      </c>
      <c r="I31" s="5">
        <f>科室绩效工资核算1!L31-SUMIF(中层绩效!B:B,科室绩效工资核算1!B31,中层绩效!L:L)</f>
        <v>1320</v>
      </c>
      <c r="J31" s="5">
        <f>科室绩效工资核算1!M31-SUMIF(中层绩效!B:B,科室绩效工资核算1!B31,中层绩效!M:M)</f>
        <v>0</v>
      </c>
      <c r="K31" s="5">
        <f>科室绩效工资核算1!N31-SUMIF(中层绩效!B:B,科室绩效工资核算1!B31,中层绩效!N:N)</f>
        <v>0</v>
      </c>
      <c r="L31" s="5">
        <f>科室绩效工资核算1!O31-SUMIF(中层绩效!B:B,科室绩效工资核算1!B31,中层绩效!O:O)</f>
        <v>53</v>
      </c>
      <c r="M31" s="5">
        <f>科室绩效工资核算1!P31-SUMIF(中层绩效!B:B,科室绩效工资核算1!B31,中层绩效!P:P)</f>
        <v>620</v>
      </c>
      <c r="N31" s="5">
        <f>科室绩效工资核算1!Q31-SUMIF(中层绩效!B:B,科室绩效工资核算1!B31,中层绩效!Q:Q)</f>
        <v>0</v>
      </c>
      <c r="O31" s="5">
        <f>科室绩效工资核算1!R31-SUMIF(中层绩效!B:B,科室绩效工资核算1!B31,中层绩效!R:R)</f>
        <v>0</v>
      </c>
      <c r="P31" s="5">
        <f>科室绩效工资核算1!S31-SUMIF(中层绩效!B:B,科室绩效工资核算1!B31,中层绩效!S:S)</f>
        <v>0</v>
      </c>
      <c r="Q31" s="5">
        <f>科室绩效工资核算1!T31-SUMIF(中层绩效!B:B,科室绩效工资核算1!B31,中层绩效!T:T)</f>
        <v>0</v>
      </c>
      <c r="R31" s="5">
        <f>科室绩效工资核算1!V31</f>
        <v>0</v>
      </c>
      <c r="S31" s="5">
        <f>科室绩效工资核算1!U31</f>
        <v>0</v>
      </c>
      <c r="T31" s="5">
        <f>SUM(科室绩效工资核算1!AI31+科室绩效工资核算1!AH31)</f>
        <v>0</v>
      </c>
      <c r="U31" s="43">
        <f t="shared" si="0"/>
        <v>30768</v>
      </c>
      <c r="V31" s="43">
        <f>IFERROR(C31+D31/VLOOKUP($B:$B,人员表!$B:$G,MATCH("员工",人员表!$B$3:$G$3,0),0)*VLOOKUP($B:$B,人员表!$B:$G,MATCH("医疗组",人员表!$B$3:$G$3,0),0),0)</f>
        <v>27181</v>
      </c>
      <c r="W31" s="43">
        <f>IFERROR(D31/VLOOKUP($B:$B,人员表!$B:$G,MATCH("员工",人员表!$B$3:$G$3,0),0)*VLOOKUP($B:$B,人员表!$B:$G,MATCH("护理组",人员表!$B$3:$G$3,0),0),0)</f>
        <v>0</v>
      </c>
      <c r="X31" s="5">
        <f t="shared" si="1"/>
        <v>3587</v>
      </c>
      <c r="Y31" s="5">
        <f t="shared" si="2"/>
        <v>0</v>
      </c>
    </row>
    <row r="32" spans="2:25" x14ac:dyDescent="0.25">
      <c r="B32" s="38" t="str">
        <f>科室绩效工资核算1!B32</f>
        <v>张三01</v>
      </c>
      <c r="C32" s="43">
        <f>科室绩效工资核算1!C32</f>
        <v>3785</v>
      </c>
      <c r="D32" s="5">
        <f>SUM(科室绩效工资核算1!D32:G32)+SUM(科室绩效工资核算1!W32:AG32)</f>
        <v>0</v>
      </c>
      <c r="E32" s="5">
        <f>科室绩效工资核算1!H32-SUMIF(中层绩效!B:B,科室绩效工资核算2!B32,中层绩效!H:H)</f>
        <v>0</v>
      </c>
      <c r="F32" s="5">
        <f>科室绩效工资核算1!I32-SUMIF(中层绩效!B:B,科室绩效工资核算1!B32,中层绩效!I:I)</f>
        <v>0</v>
      </c>
      <c r="G32" s="5">
        <f>科室绩效工资核算1!J32-SUMIF(中层绩效!B:B,科室绩效工资核算1!B32,中层绩效!J:J)</f>
        <v>69</v>
      </c>
      <c r="H32" s="5">
        <f>科室绩效工资核算1!K32-SUMIF(中层绩效!B:B,科室绩效工资核算1!B32,中层绩效!K:K)</f>
        <v>0</v>
      </c>
      <c r="I32" s="5">
        <f>科室绩效工资核算1!L32-SUMIF(中层绩效!B:B,科室绩效工资核算1!B32,中层绩效!L:L)</f>
        <v>0</v>
      </c>
      <c r="J32" s="5">
        <f>科室绩效工资核算1!M32-SUMIF(中层绩效!B:B,科室绩效工资核算1!B32,中层绩效!M:M)</f>
        <v>0</v>
      </c>
      <c r="K32" s="5">
        <f>科室绩效工资核算1!N32-SUMIF(中层绩效!B:B,科室绩效工资核算1!B32,中层绩效!N:N)</f>
        <v>0</v>
      </c>
      <c r="L32" s="5">
        <f>科室绩效工资核算1!O32-SUMIF(中层绩效!B:B,科室绩效工资核算1!B32,中层绩效!O:O)</f>
        <v>0</v>
      </c>
      <c r="M32" s="5">
        <f>科室绩效工资核算1!P32-SUMIF(中层绩效!B:B,科室绩效工资核算1!B32,中层绩效!P:P)</f>
        <v>0</v>
      </c>
      <c r="N32" s="5">
        <f>科室绩效工资核算1!Q32-SUMIF(中层绩效!B:B,科室绩效工资核算1!B32,中层绩效!Q:Q)</f>
        <v>0</v>
      </c>
      <c r="O32" s="5">
        <f>科室绩效工资核算1!R32-SUMIF(中层绩效!B:B,科室绩效工资核算1!B32,中层绩效!R:R)</f>
        <v>404</v>
      </c>
      <c r="P32" s="5">
        <f>科室绩效工资核算1!S32-SUMIF(中层绩效!B:B,科室绩效工资核算1!B32,中层绩效!S:S)</f>
        <v>0</v>
      </c>
      <c r="Q32" s="5">
        <f>科室绩效工资核算1!T32-SUMIF(中层绩效!B:B,科室绩效工资核算1!B32,中层绩效!T:T)</f>
        <v>0</v>
      </c>
      <c r="R32" s="5">
        <f>科室绩效工资核算1!V32</f>
        <v>0</v>
      </c>
      <c r="S32" s="5">
        <f>科室绩效工资核算1!U32</f>
        <v>0</v>
      </c>
      <c r="T32" s="5">
        <f>SUM(科室绩效工资核算1!AI32+科室绩效工资核算1!AH32)</f>
        <v>0</v>
      </c>
      <c r="U32" s="43">
        <f t="shared" si="0"/>
        <v>4258</v>
      </c>
      <c r="V32" s="43">
        <f>IFERROR(C32+D32/VLOOKUP($B:$B,人员表!$B:$G,MATCH("员工",人员表!$B$3:$G$3,0),0)*VLOOKUP($B:$B,人员表!$B:$G,MATCH("医疗组",人员表!$B$3:$G$3,0),0),0)</f>
        <v>3785</v>
      </c>
      <c r="W32" s="43">
        <f>IFERROR(D32/VLOOKUP($B:$B,人员表!$B:$G,MATCH("员工",人员表!$B$3:$G$3,0),0)*VLOOKUP($B:$B,人员表!$B:$G,MATCH("护理组",人员表!$B$3:$G$3,0),0),0)</f>
        <v>0</v>
      </c>
      <c r="X32" s="5">
        <f t="shared" si="1"/>
        <v>473</v>
      </c>
      <c r="Y32" s="5">
        <f t="shared" si="2"/>
        <v>0</v>
      </c>
    </row>
    <row r="33" spans="2:25" x14ac:dyDescent="0.25">
      <c r="B33" s="38" t="str">
        <f>科室绩效工资核算1!B33</f>
        <v>李四02</v>
      </c>
      <c r="C33" s="43">
        <f>科室绩效工资核算1!C33</f>
        <v>3500</v>
      </c>
      <c r="D33" s="5">
        <f>SUM(科室绩效工资核算1!D33:G33)+SUM(科室绩效工资核算1!W33:AG33)</f>
        <v>0</v>
      </c>
      <c r="E33" s="5">
        <f>科室绩效工资核算1!H33-SUMIF(中层绩效!B:B,科室绩效工资核算2!B33,中层绩效!H:H)</f>
        <v>440</v>
      </c>
      <c r="F33" s="5">
        <f>科室绩效工资核算1!I33-SUMIF(中层绩效!B:B,科室绩效工资核算1!B33,中层绩效!I:I)</f>
        <v>0</v>
      </c>
      <c r="G33" s="5">
        <f>科室绩效工资核算1!J33-SUMIF(中层绩效!B:B,科室绩效工资核算1!B33,中层绩效!J:J)</f>
        <v>425</v>
      </c>
      <c r="H33" s="5">
        <f>科室绩效工资核算1!K33-SUMIF(中层绩效!B:B,科室绩效工资核算1!B33,中层绩效!K:K)</f>
        <v>0</v>
      </c>
      <c r="I33" s="5">
        <f>科室绩效工资核算1!L33-SUMIF(中层绩效!B:B,科室绩效工资核算1!B33,中层绩效!L:L)</f>
        <v>193</v>
      </c>
      <c r="J33" s="5">
        <f>科室绩效工资核算1!M33-SUMIF(中层绩效!B:B,科室绩效工资核算1!B33,中层绩效!M:M)</f>
        <v>0</v>
      </c>
      <c r="K33" s="5">
        <f>科室绩效工资核算1!N33-SUMIF(中层绩效!B:B,科室绩效工资核算1!B33,中层绩效!N:N)</f>
        <v>0</v>
      </c>
      <c r="L33" s="5">
        <f>科室绩效工资核算1!O33-SUMIF(中层绩效!B:B,科室绩效工资核算1!B33,中层绩效!O:O)</f>
        <v>0</v>
      </c>
      <c r="M33" s="5">
        <f>科室绩效工资核算1!P33-SUMIF(中层绩效!B:B,科室绩效工资核算1!B33,中层绩效!P:P)</f>
        <v>0</v>
      </c>
      <c r="N33" s="5">
        <f>科室绩效工资核算1!Q33-SUMIF(中层绩效!B:B,科室绩效工资核算1!B33,中层绩效!Q:Q)</f>
        <v>0</v>
      </c>
      <c r="O33" s="5">
        <f>科室绩效工资核算1!R33-SUMIF(中层绩效!B:B,科室绩效工资核算1!B33,中层绩效!R:R)</f>
        <v>0</v>
      </c>
      <c r="P33" s="5">
        <f>科室绩效工资核算1!S33-SUMIF(中层绩效!B:B,科室绩效工资核算1!B33,中层绩效!S:S)</f>
        <v>0</v>
      </c>
      <c r="Q33" s="5">
        <f>科室绩效工资核算1!T33-SUMIF(中层绩效!B:B,科室绩效工资核算1!B33,中层绩效!T:T)</f>
        <v>0</v>
      </c>
      <c r="R33" s="5">
        <f>科室绩效工资核算1!V33</f>
        <v>0</v>
      </c>
      <c r="S33" s="5">
        <f>科室绩效工资核算1!U33</f>
        <v>0</v>
      </c>
      <c r="T33" s="5">
        <f>SUM(科室绩效工资核算1!AI33+科室绩效工资核算1!AH33)</f>
        <v>0</v>
      </c>
      <c r="U33" s="43">
        <f t="shared" si="0"/>
        <v>4558</v>
      </c>
      <c r="V33" s="43">
        <f>IFERROR(C33+D33/VLOOKUP($B:$B,人员表!$B:$G,MATCH("员工",人员表!$B$3:$G$3,0),0)*VLOOKUP($B:$B,人员表!$B:$G,MATCH("医疗组",人员表!$B$3:$G$3,0),0),0)</f>
        <v>3500</v>
      </c>
      <c r="W33" s="43">
        <f>IFERROR(D33/VLOOKUP($B:$B,人员表!$B:$G,MATCH("员工",人员表!$B$3:$G$3,0),0)*VLOOKUP($B:$B,人员表!$B:$G,MATCH("护理组",人员表!$B$3:$G$3,0),0),0)</f>
        <v>0</v>
      </c>
      <c r="X33" s="5">
        <f t="shared" si="1"/>
        <v>1058</v>
      </c>
      <c r="Y33" s="5">
        <f t="shared" si="2"/>
        <v>0</v>
      </c>
    </row>
    <row r="34" spans="2:25" x14ac:dyDescent="0.25">
      <c r="B34" s="38" t="str">
        <f>科室绩效工资核算1!B34</f>
        <v>赵武12</v>
      </c>
      <c r="C34" s="43">
        <f>科室绩效工资核算1!C34</f>
        <v>7444</v>
      </c>
      <c r="D34" s="5">
        <f>SUM(科室绩效工资核算1!D34:G34)+SUM(科室绩效工资核算1!W34:AG34)</f>
        <v>0</v>
      </c>
      <c r="E34" s="5">
        <f>科室绩效工资核算1!H34-SUMIF(中层绩效!B:B,科室绩效工资核算2!B34,中层绩效!H:H)</f>
        <v>140</v>
      </c>
      <c r="F34" s="5">
        <f>科室绩效工资核算1!I34-SUMIF(中层绩效!B:B,科室绩效工资核算1!B34,中层绩效!I:I)</f>
        <v>0</v>
      </c>
      <c r="G34" s="5">
        <f>科室绩效工资核算1!J34-SUMIF(中层绩效!B:B,科室绩效工资核算1!B34,中层绩效!J:J)</f>
        <v>3332</v>
      </c>
      <c r="H34" s="5">
        <f>科室绩效工资核算1!K34-SUMIF(中层绩效!B:B,科室绩效工资核算1!B34,中层绩效!K:K)</f>
        <v>0</v>
      </c>
      <c r="I34" s="5">
        <f>科室绩效工资核算1!L34-SUMIF(中层绩效!B:B,科室绩效工资核算1!B34,中层绩效!L:L)</f>
        <v>0</v>
      </c>
      <c r="J34" s="5">
        <f>科室绩效工资核算1!M34-SUMIF(中层绩效!B:B,科室绩效工资核算1!B34,中层绩效!M:M)</f>
        <v>0</v>
      </c>
      <c r="K34" s="5">
        <f>科室绩效工资核算1!N34-SUMIF(中层绩效!B:B,科室绩效工资核算1!B34,中层绩效!N:N)</f>
        <v>0</v>
      </c>
      <c r="L34" s="5">
        <f>科室绩效工资核算1!O34-SUMIF(中层绩效!B:B,科室绩效工资核算1!B34,中层绩效!O:O)</f>
        <v>0</v>
      </c>
      <c r="M34" s="5">
        <f>科室绩效工资核算1!P34-SUMIF(中层绩效!B:B,科室绩效工资核算1!B34,中层绩效!P:P)</f>
        <v>0</v>
      </c>
      <c r="N34" s="5">
        <f>科室绩效工资核算1!Q34-SUMIF(中层绩效!B:B,科室绩效工资核算1!B34,中层绩效!Q:Q)</f>
        <v>0</v>
      </c>
      <c r="O34" s="5">
        <f>科室绩效工资核算1!R34-SUMIF(中层绩效!B:B,科室绩效工资核算1!B34,中层绩效!R:R)</f>
        <v>0</v>
      </c>
      <c r="P34" s="5">
        <f>科室绩效工资核算1!S34-SUMIF(中层绩效!B:B,科室绩效工资核算1!B34,中层绩效!S:S)</f>
        <v>299</v>
      </c>
      <c r="Q34" s="5">
        <f>科室绩效工资核算1!T34-SUMIF(中层绩效!B:B,科室绩效工资核算1!B34,中层绩效!T:T)</f>
        <v>0</v>
      </c>
      <c r="R34" s="5">
        <f>科室绩效工资核算1!V34</f>
        <v>0</v>
      </c>
      <c r="S34" s="5">
        <f>科室绩效工资核算1!U34</f>
        <v>0</v>
      </c>
      <c r="T34" s="5">
        <f>SUM(科室绩效工资核算1!AI34+科室绩效工资核算1!AH34)</f>
        <v>0</v>
      </c>
      <c r="U34" s="43">
        <f t="shared" si="0"/>
        <v>11215</v>
      </c>
      <c r="V34" s="43">
        <f>IFERROR(C34+D34/VLOOKUP($B:$B,人员表!$B:$G,MATCH("员工",人员表!$B$3:$G$3,0),0)*VLOOKUP($B:$B,人员表!$B:$G,MATCH("医疗组",人员表!$B$3:$G$3,0),0),0)</f>
        <v>7444</v>
      </c>
      <c r="W34" s="43">
        <f>IFERROR(D34/VLOOKUP($B:$B,人员表!$B:$G,MATCH("员工",人员表!$B$3:$G$3,0),0)*VLOOKUP($B:$B,人员表!$B:$G,MATCH("护理组",人员表!$B$3:$G$3,0),0),0)</f>
        <v>0</v>
      </c>
      <c r="X34" s="5">
        <f t="shared" si="1"/>
        <v>3771</v>
      </c>
      <c r="Y34" s="5">
        <f t="shared" si="2"/>
        <v>0</v>
      </c>
    </row>
    <row r="35" spans="2:25" x14ac:dyDescent="0.25">
      <c r="B35" s="38" t="str">
        <f>科室绩效工资核算1!B35</f>
        <v>皮肤科</v>
      </c>
      <c r="C35" s="43">
        <f>科室绩效工资核算1!C35</f>
        <v>2346</v>
      </c>
      <c r="D35" s="5">
        <f>SUM(科室绩效工资核算1!D35:G35)+SUM(科室绩效工资核算1!W35:AG35)</f>
        <v>1209</v>
      </c>
      <c r="E35" s="5">
        <f>科室绩效工资核算1!H35-SUMIF(中层绩效!B:B,科室绩效工资核算2!B35,中层绩效!H:H)</f>
        <v>0</v>
      </c>
      <c r="F35" s="5">
        <f>科室绩效工资核算1!I35-SUMIF(中层绩效!B:B,科室绩效工资核算1!B35,中层绩效!I:I)</f>
        <v>0</v>
      </c>
      <c r="G35" s="5">
        <f>科室绩效工资核算1!J35-SUMIF(中层绩效!B:B,科室绩效工资核算1!B35,中层绩效!J:J)</f>
        <v>509</v>
      </c>
      <c r="H35" s="5">
        <f>科室绩效工资核算1!K35-SUMIF(中层绩效!B:B,科室绩效工资核算1!B35,中层绩效!K:K)</f>
        <v>0</v>
      </c>
      <c r="I35" s="5">
        <f>科室绩效工资核算1!L35-SUMIF(中层绩效!B:B,科室绩效工资核算1!B35,中层绩效!L:L)</f>
        <v>0</v>
      </c>
      <c r="J35" s="5">
        <f>科室绩效工资核算1!M35-SUMIF(中层绩效!B:B,科室绩效工资核算1!B35,中层绩效!M:M)</f>
        <v>0</v>
      </c>
      <c r="K35" s="5">
        <f>科室绩效工资核算1!N35-SUMIF(中层绩效!B:B,科室绩效工资核算1!B35,中层绩效!N:N)</f>
        <v>0</v>
      </c>
      <c r="L35" s="5">
        <f>科室绩效工资核算1!O35-SUMIF(中层绩效!B:B,科室绩效工资核算1!B35,中层绩效!O:O)</f>
        <v>64</v>
      </c>
      <c r="M35" s="5">
        <f>科室绩效工资核算1!P35-SUMIF(中层绩效!B:B,科室绩效工资核算1!B35,中层绩效!P:P)</f>
        <v>0</v>
      </c>
      <c r="N35" s="5">
        <f>科室绩效工资核算1!Q35-SUMIF(中层绩效!B:B,科室绩效工资核算1!B35,中层绩效!Q:Q)</f>
        <v>0</v>
      </c>
      <c r="O35" s="5">
        <f>科室绩效工资核算1!R35-SUMIF(中层绩效!B:B,科室绩效工资核算1!B35,中层绩效!R:R)</f>
        <v>0</v>
      </c>
      <c r="P35" s="5">
        <f>科室绩效工资核算1!S35-SUMIF(中层绩效!B:B,科室绩效工资核算1!B35,中层绩效!S:S)</f>
        <v>7</v>
      </c>
      <c r="Q35" s="5">
        <f>科室绩效工资核算1!T35-SUMIF(中层绩效!B:B,科室绩效工资核算1!B35,中层绩效!T:T)</f>
        <v>0</v>
      </c>
      <c r="R35" s="5">
        <f>科室绩效工资核算1!V35</f>
        <v>0</v>
      </c>
      <c r="S35" s="5">
        <f>科室绩效工资核算1!U35</f>
        <v>0</v>
      </c>
      <c r="T35" s="5">
        <f>SUM(科室绩效工资核算1!AI35+科室绩效工资核算1!AH35)</f>
        <v>0</v>
      </c>
      <c r="U35" s="43">
        <f t="shared" si="0"/>
        <v>4135</v>
      </c>
      <c r="V35" s="43">
        <f>IFERROR(C35+D35/VLOOKUP($B:$B,人员表!$B:$G,MATCH("员工",人员表!$B$3:$G$3,0),0)*VLOOKUP($B:$B,人员表!$B:$G,MATCH("医疗组",人员表!$B$3:$G$3,0),0),0)</f>
        <v>3555</v>
      </c>
      <c r="W35" s="43">
        <f>IFERROR(D35/VLOOKUP($B:$B,人员表!$B:$G,MATCH("员工",人员表!$B$3:$G$3,0),0)*VLOOKUP($B:$B,人员表!$B:$G,MATCH("护理组",人员表!$B$3:$G$3,0),0),0)</f>
        <v>0</v>
      </c>
      <c r="X35" s="5">
        <f t="shared" si="1"/>
        <v>580</v>
      </c>
      <c r="Y35" s="5">
        <f t="shared" si="2"/>
        <v>0</v>
      </c>
    </row>
    <row r="36" spans="2:25" x14ac:dyDescent="0.25">
      <c r="B36" s="38" t="str">
        <f>科室绩效工资核算1!B36</f>
        <v>驾驶员体检</v>
      </c>
      <c r="C36" s="43">
        <f>科室绩效工资核算1!C36</f>
        <v>0</v>
      </c>
      <c r="D36" s="5">
        <f>SUM(科室绩效工资核算1!D36:G36)+SUM(科室绩效工资核算1!W36:AG36)</f>
        <v>-13957</v>
      </c>
      <c r="E36" s="5">
        <f>科室绩效工资核算1!H36-SUMIF(中层绩效!B:B,科室绩效工资核算2!B36,中层绩效!H:H)</f>
        <v>0</v>
      </c>
      <c r="F36" s="5">
        <f>科室绩效工资核算1!I36-SUMIF(中层绩效!B:B,科室绩效工资核算1!B36,中层绩效!I:I)</f>
        <v>0</v>
      </c>
      <c r="G36" s="5">
        <f>科室绩效工资核算1!J36-SUMIF(中层绩效!B:B,科室绩效工资核算1!B36,中层绩效!J:J)</f>
        <v>0</v>
      </c>
      <c r="H36" s="5">
        <f>科室绩效工资核算1!K36-SUMIF(中层绩效!B:B,科室绩效工资核算1!B36,中层绩效!K:K)</f>
        <v>0</v>
      </c>
      <c r="I36" s="5">
        <f>科室绩效工资核算1!L36-SUMIF(中层绩效!B:B,科室绩效工资核算1!B36,中层绩效!L:L)</f>
        <v>0</v>
      </c>
      <c r="J36" s="5">
        <f>科室绩效工资核算1!M36-SUMIF(中层绩效!B:B,科室绩效工资核算1!B36,中层绩效!M:M)</f>
        <v>0</v>
      </c>
      <c r="K36" s="5">
        <f>科室绩效工资核算1!N36-SUMIF(中层绩效!B:B,科室绩效工资核算1!B36,中层绩效!N:N)</f>
        <v>0</v>
      </c>
      <c r="L36" s="5">
        <f>科室绩效工资核算1!O36-SUMIF(中层绩效!B:B,科室绩效工资核算1!B36,中层绩效!O:O)</f>
        <v>0</v>
      </c>
      <c r="M36" s="5">
        <f>科室绩效工资核算1!P36-SUMIF(中层绩效!B:B,科室绩效工资核算1!B36,中层绩效!P:P)</f>
        <v>0</v>
      </c>
      <c r="N36" s="5">
        <f>科室绩效工资核算1!Q36-SUMIF(中层绩效!B:B,科室绩效工资核算1!B36,中层绩效!Q:Q)</f>
        <v>0</v>
      </c>
      <c r="O36" s="5">
        <f>科室绩效工资核算1!R36-SUMIF(中层绩效!B:B,科室绩效工资核算1!B36,中层绩效!R:R)</f>
        <v>0</v>
      </c>
      <c r="P36" s="5">
        <f>科室绩效工资核算1!S36-SUMIF(中层绩效!B:B,科室绩效工资核算1!B36,中层绩效!S:S)</f>
        <v>0</v>
      </c>
      <c r="Q36" s="5">
        <f>科室绩效工资核算1!T36-SUMIF(中层绩效!B:B,科室绩效工资核算1!B36,中层绩效!T:T)</f>
        <v>0</v>
      </c>
      <c r="R36" s="5">
        <f>科室绩效工资核算1!V36</f>
        <v>0</v>
      </c>
      <c r="S36" s="5">
        <f>科室绩效工资核算1!U36</f>
        <v>0</v>
      </c>
      <c r="T36" s="5">
        <f>SUM(科室绩效工资核算1!AI36+科室绩效工资核算1!AH36)</f>
        <v>0</v>
      </c>
      <c r="U36" s="43">
        <f t="shared" si="0"/>
        <v>-13957</v>
      </c>
      <c r="V36" s="43">
        <f>IFERROR(C36+D36/VLOOKUP($B:$B,人员表!$B:$G,MATCH("员工",人员表!$B$3:$G$3,0),0)*VLOOKUP($B:$B,人员表!$B:$G,MATCH("医疗组",人员表!$B$3:$G$3,0),0),0)</f>
        <v>-13957</v>
      </c>
      <c r="W36" s="43">
        <f>IFERROR(D36/VLOOKUP($B:$B,人员表!$B:$G,MATCH("员工",人员表!$B$3:$G$3,0),0)*VLOOKUP($B:$B,人员表!$B:$G,MATCH("护理组",人员表!$B$3:$G$3,0),0),0)</f>
        <v>0</v>
      </c>
      <c r="X36" s="5">
        <f t="shared" si="1"/>
        <v>0</v>
      </c>
      <c r="Y36" s="5">
        <f t="shared" si="2"/>
        <v>0</v>
      </c>
    </row>
    <row r="37" spans="2:25" x14ac:dyDescent="0.25">
      <c r="B37" s="38" t="str">
        <f>科室绩效工资核算1!B37</f>
        <v>碎石科</v>
      </c>
      <c r="C37" s="43">
        <f>科室绩效工资核算1!C37</f>
        <v>3</v>
      </c>
      <c r="D37" s="5">
        <f>SUM(科室绩效工资核算1!D37:G37)+SUM(科室绩效工资核算1!W37:AG37)</f>
        <v>8325</v>
      </c>
      <c r="E37" s="5">
        <f>科室绩效工资核算1!H37-SUMIF(中层绩效!B:B,科室绩效工资核算2!B37,中层绩效!H:H)</f>
        <v>0</v>
      </c>
      <c r="F37" s="5">
        <f>科室绩效工资核算1!I37-SUMIF(中层绩效!B:B,科室绩效工资核算1!B37,中层绩效!I:I)</f>
        <v>0</v>
      </c>
      <c r="G37" s="5">
        <f>科室绩效工资核算1!J37-SUMIF(中层绩效!B:B,科室绩效工资核算1!B37,中层绩效!J:J)</f>
        <v>2</v>
      </c>
      <c r="H37" s="5">
        <f>科室绩效工资核算1!K37-SUMIF(中层绩效!B:B,科室绩效工资核算1!B37,中层绩效!K:K)</f>
        <v>0</v>
      </c>
      <c r="I37" s="5">
        <f>科室绩效工资核算1!L37-SUMIF(中层绩效!B:B,科室绩效工资核算1!B37,中层绩效!L:L)</f>
        <v>0</v>
      </c>
      <c r="J37" s="5">
        <f>科室绩效工资核算1!M37-SUMIF(中层绩效!B:B,科室绩效工资核算1!B37,中层绩效!M:M)</f>
        <v>0</v>
      </c>
      <c r="K37" s="5">
        <f>科室绩效工资核算1!N37-SUMIF(中层绩效!B:B,科室绩效工资核算1!B37,中层绩效!N:N)</f>
        <v>0</v>
      </c>
      <c r="L37" s="5">
        <f>科室绩效工资核算1!O37-SUMIF(中层绩效!B:B,科室绩效工资核算1!B37,中层绩效!O:O)</f>
        <v>0</v>
      </c>
      <c r="M37" s="5">
        <f>科室绩效工资核算1!P37-SUMIF(中层绩效!B:B,科室绩效工资核算1!B37,中层绩效!P:P)</f>
        <v>0</v>
      </c>
      <c r="N37" s="5">
        <f>科室绩效工资核算1!Q37-SUMIF(中层绩效!B:B,科室绩效工资核算1!B37,中层绩效!Q:Q)</f>
        <v>0</v>
      </c>
      <c r="O37" s="5">
        <f>科室绩效工资核算1!R37-SUMIF(中层绩效!B:B,科室绩效工资核算1!B37,中层绩效!R:R)</f>
        <v>0</v>
      </c>
      <c r="P37" s="5">
        <f>科室绩效工资核算1!S37-SUMIF(中层绩效!B:B,科室绩效工资核算1!B37,中层绩效!S:S)</f>
        <v>0</v>
      </c>
      <c r="Q37" s="5">
        <f>科室绩效工资核算1!T37-SUMIF(中层绩效!B:B,科室绩效工资核算1!B37,中层绩效!T:T)</f>
        <v>0</v>
      </c>
      <c r="R37" s="5">
        <f>科室绩效工资核算1!V37</f>
        <v>0</v>
      </c>
      <c r="S37" s="5">
        <f>科室绩效工资核算1!U37</f>
        <v>0</v>
      </c>
      <c r="T37" s="5">
        <f>SUM(科室绩效工资核算1!AI37+科室绩效工资核算1!AH37)</f>
        <v>0</v>
      </c>
      <c r="U37" s="43">
        <f t="shared" si="0"/>
        <v>8330</v>
      </c>
      <c r="V37" s="43">
        <f>IFERROR(C37+D37/VLOOKUP($B:$B,人员表!$B:$G,MATCH("员工",人员表!$B$3:$G$3,0),0)*VLOOKUP($B:$B,人员表!$B:$G,MATCH("医疗组",人员表!$B$3:$G$3,0),0),0)</f>
        <v>8328</v>
      </c>
      <c r="W37" s="43">
        <f>IFERROR(D37/VLOOKUP($B:$B,人员表!$B:$G,MATCH("员工",人员表!$B$3:$G$3,0),0)*VLOOKUP($B:$B,人员表!$B:$G,MATCH("护理组",人员表!$B$3:$G$3,0),0),0)</f>
        <v>0</v>
      </c>
      <c r="X37" s="5">
        <f t="shared" si="1"/>
        <v>2</v>
      </c>
      <c r="Y37" s="5">
        <f t="shared" si="2"/>
        <v>0</v>
      </c>
    </row>
    <row r="38" spans="2:25" x14ac:dyDescent="0.25">
      <c r="B38" s="38" t="str">
        <f>科室绩效工资核算1!B38</f>
        <v>门诊手术室</v>
      </c>
      <c r="C38" s="43">
        <f>科室绩效工资核算1!C38</f>
        <v>7461</v>
      </c>
      <c r="D38" s="5">
        <f>SUM(科室绩效工资核算1!D38:G38)+SUM(科室绩效工资核算1!W38:AG38)</f>
        <v>3040</v>
      </c>
      <c r="E38" s="5">
        <f>科室绩效工资核算1!H38-SUMIF(中层绩效!B:B,科室绩效工资核算2!B38,中层绩效!H:H)</f>
        <v>0</v>
      </c>
      <c r="F38" s="5">
        <f>科室绩效工资核算1!I38-SUMIF(中层绩效!B:B,科室绩效工资核算1!B38,中层绩效!I:I)</f>
        <v>0</v>
      </c>
      <c r="G38" s="5">
        <f>科室绩效工资核算1!J38-SUMIF(中层绩效!B:B,科室绩效工资核算1!B38,中层绩效!J:J)</f>
        <v>0</v>
      </c>
      <c r="H38" s="5">
        <f>科室绩效工资核算1!K38-SUMIF(中层绩效!B:B,科室绩效工资核算1!B38,中层绩效!K:K)</f>
        <v>0</v>
      </c>
      <c r="I38" s="5">
        <f>科室绩效工资核算1!L38-SUMIF(中层绩效!B:B,科室绩效工资核算1!B38,中层绩效!L:L)</f>
        <v>3159</v>
      </c>
      <c r="J38" s="5">
        <f>科室绩效工资核算1!M38-SUMIF(中层绩效!B:B,科室绩效工资核算1!B38,中层绩效!M:M)</f>
        <v>0</v>
      </c>
      <c r="K38" s="5">
        <f>科室绩效工资核算1!N38-SUMIF(中层绩效!B:B,科室绩效工资核算1!B38,中层绩效!N:N)</f>
        <v>0</v>
      </c>
      <c r="L38" s="5">
        <f>科室绩效工资核算1!O38-SUMIF(中层绩效!B:B,科室绩效工资核算1!B38,中层绩效!O:O)</f>
        <v>0</v>
      </c>
      <c r="M38" s="5">
        <f>科室绩效工资核算1!P38-SUMIF(中层绩效!B:B,科室绩效工资核算1!B38,中层绩效!P:P)</f>
        <v>1231</v>
      </c>
      <c r="N38" s="5">
        <f>科室绩效工资核算1!Q38-SUMIF(中层绩效!B:B,科室绩效工资核算1!B38,中层绩效!Q:Q)</f>
        <v>0</v>
      </c>
      <c r="O38" s="5">
        <f>科室绩效工资核算1!R38-SUMIF(中层绩效!B:B,科室绩效工资核算1!B38,中层绩效!R:R)</f>
        <v>0</v>
      </c>
      <c r="P38" s="5">
        <f>科室绩效工资核算1!S38-SUMIF(中层绩效!B:B,科室绩效工资核算1!B38,中层绩效!S:S)</f>
        <v>0</v>
      </c>
      <c r="Q38" s="5">
        <f>科室绩效工资核算1!T38-SUMIF(中层绩效!B:B,科室绩效工资核算1!B38,中层绩效!T:T)</f>
        <v>0</v>
      </c>
      <c r="R38" s="5">
        <f>科室绩效工资核算1!V38</f>
        <v>0</v>
      </c>
      <c r="S38" s="5">
        <f>科室绩效工资核算1!U38</f>
        <v>0</v>
      </c>
      <c r="T38" s="5">
        <f>SUM(科室绩效工资核算1!AI38+科室绩效工资核算1!AH38)</f>
        <v>0</v>
      </c>
      <c r="U38" s="43">
        <f t="shared" si="0"/>
        <v>14891</v>
      </c>
      <c r="V38" s="43">
        <f>IFERROR(C38+D38/VLOOKUP($B:$B,人员表!$B:$G,MATCH("员工",人员表!$B$3:$G$3,0),0)*VLOOKUP($B:$B,人员表!$B:$G,MATCH("医疗组",人员表!$B$3:$G$3,0),0),0)</f>
        <v>10501</v>
      </c>
      <c r="W38" s="43">
        <f>IFERROR(D38/VLOOKUP($B:$B,人员表!$B:$G,MATCH("员工",人员表!$B$3:$G$3,0),0)*VLOOKUP($B:$B,人员表!$B:$G,MATCH("护理组",人员表!$B$3:$G$3,0),0),0)</f>
        <v>0</v>
      </c>
      <c r="X38" s="5">
        <f t="shared" si="1"/>
        <v>4390</v>
      </c>
      <c r="Y38" s="5">
        <f>Q38</f>
        <v>0</v>
      </c>
    </row>
    <row r="39" spans="2:25" x14ac:dyDescent="0.25">
      <c r="B39" s="38" t="str">
        <f>科室绩效工资核算1!B39</f>
        <v>麻醉科</v>
      </c>
      <c r="C39" s="43">
        <f>科室绩效工资核算1!C39</f>
        <v>0</v>
      </c>
      <c r="D39" s="5">
        <f>SUM(科室绩效工资核算1!D39:G39)+SUM(科室绩效工资核算1!W39:AG39)</f>
        <v>6272</v>
      </c>
      <c r="E39" s="5">
        <f>科室绩效工资核算1!H39-SUMIF(中层绩效!B:B,科室绩效工资核算2!B39,中层绩效!H:H)</f>
        <v>0</v>
      </c>
      <c r="F39" s="5">
        <f>科室绩效工资核算1!I39-SUMIF(中层绩效!B:B,科室绩效工资核算1!B39,中层绩效!I:I)</f>
        <v>0</v>
      </c>
      <c r="G39" s="5">
        <f>科室绩效工资核算1!J39-SUMIF(中层绩效!B:B,科室绩效工资核算1!B39,中层绩效!J:J)</f>
        <v>2</v>
      </c>
      <c r="H39" s="5">
        <f>科室绩效工资核算1!K39-SUMIF(中层绩效!B:B,科室绩效工资核算1!B39,中层绩效!K:K)</f>
        <v>0</v>
      </c>
      <c r="I39" s="5">
        <f>科室绩效工资核算1!L39-SUMIF(中层绩效!B:B,科室绩效工资核算1!B39,中层绩效!L:L)</f>
        <v>8485</v>
      </c>
      <c r="J39" s="5">
        <f>科室绩效工资核算1!M39-SUMIF(中层绩效!B:B,科室绩效工资核算1!B39,中层绩效!M:M)</f>
        <v>0</v>
      </c>
      <c r="K39" s="5">
        <f>科室绩效工资核算1!N39-SUMIF(中层绩效!B:B,科室绩效工资核算1!B39,中层绩效!N:N)</f>
        <v>0</v>
      </c>
      <c r="L39" s="5">
        <f>科室绩效工资核算1!O39-SUMIF(中层绩效!B:B,科室绩效工资核算1!B39,中层绩效!O:O)</f>
        <v>0</v>
      </c>
      <c r="M39" s="5">
        <f>科室绩效工资核算1!P39-SUMIF(中层绩效!B:B,科室绩效工资核算1!B39,中层绩效!P:P)</f>
        <v>0</v>
      </c>
      <c r="N39" s="5">
        <f>科室绩效工资核算1!Q39-SUMIF(中层绩效!B:B,科室绩效工资核算1!B39,中层绩效!Q:Q)</f>
        <v>0</v>
      </c>
      <c r="O39" s="5">
        <f>科室绩效工资核算1!R39-SUMIF(中层绩效!B:B,科室绩效工资核算1!B39,中层绩效!R:R)</f>
        <v>0</v>
      </c>
      <c r="P39" s="5">
        <f>科室绩效工资核算1!S39-SUMIF(中层绩效!B:B,科室绩效工资核算1!B39,中层绩效!S:S)</f>
        <v>0</v>
      </c>
      <c r="Q39" s="5">
        <f>科室绩效工资核算1!T39-SUMIF(中层绩效!B:B,科室绩效工资核算1!B39,中层绩效!T:T)</f>
        <v>16520</v>
      </c>
      <c r="R39" s="5">
        <f>科室绩效工资核算1!V39</f>
        <v>0</v>
      </c>
      <c r="S39" s="5">
        <f>科室绩效工资核算1!U39</f>
        <v>0</v>
      </c>
      <c r="U39" s="43">
        <f t="shared" si="0"/>
        <v>31279</v>
      </c>
      <c r="V39" s="43">
        <f>IFERROR((C39+D39)/VLOOKUP($B:$B,人员表!$B:$G,MATCH("员工",人员表!$B$3:$G$3,0),0)*VLOOKUP($B:$B,人员表!$B:$G,MATCH("医疗组",人员表!$B$3:$G$3,0),0),0)</f>
        <v>2435.7281553398057</v>
      </c>
      <c r="W39" s="43">
        <f>IFERROR(D39/VLOOKUP($B:$B,人员表!$B:$G,MATCH("员工",人员表!$B$3:$G$3,0),0)*VLOOKUP($B:$B,人员表!$B:$G,MATCH("护理组",人员表!$B$3:$G$3,0),0),0)</f>
        <v>3836.2718446601939</v>
      </c>
      <c r="X39" s="5">
        <f t="shared" si="1"/>
        <v>8487</v>
      </c>
      <c r="Y39" s="5">
        <f>Q39</f>
        <v>16520</v>
      </c>
    </row>
    <row r="40" spans="2:25" x14ac:dyDescent="0.25">
      <c r="B40" s="38" t="str">
        <f>科室绩效工资核算1!B40</f>
        <v>检验科</v>
      </c>
      <c r="C40" s="43">
        <f>科室绩效工资核算1!C40</f>
        <v>0</v>
      </c>
      <c r="D40" s="5">
        <f>SUM(科室绩效工资核算1!D40:G40)+SUM(科室绩效工资核算1!W40:AG40)</f>
        <v>76301</v>
      </c>
      <c r="E40" s="5">
        <f>科室绩效工资核算1!H40-SUMIF(中层绩效!B:B,科室绩效工资核算2!B40,中层绩效!H:H)</f>
        <v>0</v>
      </c>
      <c r="F40" s="5">
        <f>科室绩效工资核算1!I40-SUMIF(中层绩效!B:B,科室绩效工资核算1!B40,中层绩效!I:I)</f>
        <v>0</v>
      </c>
      <c r="G40" s="5">
        <f>科室绩效工资核算1!J40-SUMIF(中层绩效!B:B,科室绩效工资核算1!B40,中层绩效!J:J)</f>
        <v>0</v>
      </c>
      <c r="H40" s="5">
        <f>科室绩效工资核算1!K40-SUMIF(中层绩效!B:B,科室绩效工资核算1!B40,中层绩效!K:K)</f>
        <v>0</v>
      </c>
      <c r="I40" s="5">
        <f>科室绩效工资核算1!L40-SUMIF(中层绩效!B:B,科室绩效工资核算1!B40,中层绩效!L:L)</f>
        <v>0</v>
      </c>
      <c r="J40" s="5">
        <f>科室绩效工资核算1!M40-SUMIF(中层绩效!B:B,科室绩效工资核算1!B40,中层绩效!M:M)</f>
        <v>0</v>
      </c>
      <c r="K40" s="5">
        <f>科室绩效工资核算1!N40-SUMIF(中层绩效!B:B,科室绩效工资核算1!B40,中层绩效!N:N)</f>
        <v>0</v>
      </c>
      <c r="L40" s="5">
        <f>科室绩效工资核算1!O40-SUMIF(中层绩效!B:B,科室绩效工资核算1!B40,中层绩效!O:O)</f>
        <v>0</v>
      </c>
      <c r="M40" s="5">
        <f>科室绩效工资核算1!P40-SUMIF(中层绩效!B:B,科室绩效工资核算1!B40,中层绩效!P:P)</f>
        <v>0</v>
      </c>
      <c r="N40" s="5">
        <f>科室绩效工资核算1!Q40-SUMIF(中层绩效!B:B,科室绩效工资核算1!B40,中层绩效!Q:Q)</f>
        <v>0</v>
      </c>
      <c r="O40" s="5">
        <f>科室绩效工资核算1!R40-SUMIF(中层绩效!B:B,科室绩效工资核算1!B40,中层绩效!R:R)</f>
        <v>0</v>
      </c>
      <c r="P40" s="5">
        <f>科室绩效工资核算1!S40-SUMIF(中层绩效!B:B,科室绩效工资核算1!B40,中层绩效!S:S)</f>
        <v>0</v>
      </c>
      <c r="Q40" s="5">
        <f>科室绩效工资核算1!T40-SUMIF(中层绩效!B:B,科室绩效工资核算1!B40,中层绩效!T:T)</f>
        <v>0</v>
      </c>
      <c r="R40" s="5">
        <f>科室绩效工资核算1!V40</f>
        <v>0</v>
      </c>
      <c r="S40" s="5">
        <f>科室绩效工资核算1!U40</f>
        <v>0</v>
      </c>
      <c r="T40" s="5">
        <f>SUM(科室绩效工资核算1!AI40+科室绩效工资核算1!AH40)</f>
        <v>0</v>
      </c>
      <c r="U40" s="43">
        <f t="shared" ref="U40:U71" si="3">SUM(B40:R40)</f>
        <v>76301</v>
      </c>
      <c r="V40" s="43">
        <f t="shared" ref="V40:V71" si="4">SUM(C40:S40)</f>
        <v>76301</v>
      </c>
      <c r="W40" s="43">
        <f>IFERROR(D40/VLOOKUP($B:$B,人员表!$B:$G,MATCH("员工",人员表!$B$3:$G$3,0),0)*VLOOKUP($B:$B,人员表!$B:$G,MATCH("护理组",人员表!$B$3:$G$3,0),0),0)</f>
        <v>0</v>
      </c>
      <c r="X40" s="5">
        <f t="shared" si="1"/>
        <v>0</v>
      </c>
      <c r="Y40" s="5">
        <f t="shared" si="2"/>
        <v>0</v>
      </c>
    </row>
    <row r="41" spans="2:25" x14ac:dyDescent="0.25">
      <c r="B41" s="38" t="str">
        <f>科室绩效工资核算1!B41</f>
        <v>放射科</v>
      </c>
      <c r="C41" s="43">
        <f>科室绩效工资核算1!C41</f>
        <v>0</v>
      </c>
      <c r="D41" s="5">
        <f>SUM(科室绩效工资核算1!D41:G41)+SUM(科室绩效工资核算1!W41:AG41)</f>
        <v>13724</v>
      </c>
      <c r="E41" s="5">
        <f>科室绩效工资核算1!H41-SUMIF(中层绩效!B:B,科室绩效工资核算2!B41,中层绩效!H:H)</f>
        <v>0</v>
      </c>
      <c r="F41" s="5">
        <f>科室绩效工资核算1!I41-SUMIF(中层绩效!B:B,科室绩效工资核算1!B41,中层绩效!I:I)</f>
        <v>0</v>
      </c>
      <c r="G41" s="5">
        <f>科室绩效工资核算1!J41-SUMIF(中层绩效!B:B,科室绩效工资核算1!B41,中层绩效!J:J)</f>
        <v>0</v>
      </c>
      <c r="H41" s="5">
        <f>科室绩效工资核算1!K41-SUMIF(中层绩效!B:B,科室绩效工资核算1!B41,中层绩效!K:K)</f>
        <v>0</v>
      </c>
      <c r="I41" s="5">
        <f>科室绩效工资核算1!L41-SUMIF(中层绩效!B:B,科室绩效工资核算1!B41,中层绩效!L:L)</f>
        <v>0</v>
      </c>
      <c r="J41" s="5">
        <f>科室绩效工资核算1!M41-SUMIF(中层绩效!B:B,科室绩效工资核算1!B41,中层绩效!M:M)</f>
        <v>0</v>
      </c>
      <c r="K41" s="5">
        <f>科室绩效工资核算1!N41-SUMIF(中层绩效!B:B,科室绩效工资核算1!B41,中层绩效!N:N)</f>
        <v>0</v>
      </c>
      <c r="L41" s="5">
        <f>科室绩效工资核算1!O41-SUMIF(中层绩效!B:B,科室绩效工资核算1!B41,中层绩效!O:O)</f>
        <v>0</v>
      </c>
      <c r="M41" s="5">
        <f>科室绩效工资核算1!P41-SUMIF(中层绩效!B:B,科室绩效工资核算1!B41,中层绩效!P:P)</f>
        <v>0</v>
      </c>
      <c r="N41" s="5">
        <f>科室绩效工资核算1!Q41-SUMIF(中层绩效!B:B,科室绩效工资核算1!B41,中层绩效!Q:Q)</f>
        <v>0</v>
      </c>
      <c r="O41" s="5">
        <f>科室绩效工资核算1!R41-SUMIF(中层绩效!B:B,科室绩效工资核算1!B41,中层绩效!R:R)</f>
        <v>0</v>
      </c>
      <c r="P41" s="5">
        <f>科室绩效工资核算1!S41-SUMIF(中层绩效!B:B,科室绩效工资核算1!B41,中层绩效!S:S)</f>
        <v>0</v>
      </c>
      <c r="Q41" s="5">
        <f>科室绩效工资核算1!T41-SUMIF(中层绩效!B:B,科室绩效工资核算1!B41,中层绩效!T:T)</f>
        <v>0</v>
      </c>
      <c r="R41" s="5">
        <f>科室绩效工资核算1!V41</f>
        <v>0</v>
      </c>
      <c r="S41" s="5">
        <f>科室绩效工资核算1!U41</f>
        <v>0</v>
      </c>
      <c r="T41" s="5">
        <f>SUM(科室绩效工资核算1!AI41+科室绩效工资核算1!AH41)</f>
        <v>0</v>
      </c>
      <c r="U41" s="43">
        <f t="shared" si="3"/>
        <v>13724</v>
      </c>
      <c r="V41" s="43">
        <f t="shared" si="4"/>
        <v>13724</v>
      </c>
      <c r="W41" s="43">
        <f>IFERROR(D41/VLOOKUP($B:$B,人员表!$B:$G,MATCH("员工",人员表!$B$3:$G$3,0),0)*VLOOKUP($B:$B,人员表!$B:$G,MATCH("护理组",人员表!$B$3:$G$3,0),0),0)</f>
        <v>0</v>
      </c>
      <c r="X41" s="5">
        <f t="shared" si="1"/>
        <v>0</v>
      </c>
      <c r="Y41" s="5">
        <f t="shared" si="2"/>
        <v>0</v>
      </c>
    </row>
    <row r="42" spans="2:25" x14ac:dyDescent="0.25">
      <c r="B42" s="38" t="str">
        <f>科室绩效工资核算1!B42</f>
        <v>CT室</v>
      </c>
      <c r="C42" s="43">
        <f>科室绩效工资核算1!C42</f>
        <v>0</v>
      </c>
      <c r="D42" s="5">
        <f>SUM(科室绩效工资核算1!D42:G42)+SUM(科室绩效工资核算1!W42:AG42)</f>
        <v>38196</v>
      </c>
      <c r="E42" s="5">
        <f>科室绩效工资核算1!H42-SUMIF(中层绩效!B:B,科室绩效工资核算2!B42,中层绩效!H:H)</f>
        <v>0</v>
      </c>
      <c r="F42" s="5">
        <f>科室绩效工资核算1!I42-SUMIF(中层绩效!B:B,科室绩效工资核算1!B42,中层绩效!I:I)</f>
        <v>0</v>
      </c>
      <c r="G42" s="5">
        <f>科室绩效工资核算1!J42-SUMIF(中层绩效!B:B,科室绩效工资核算1!B42,中层绩效!J:J)</f>
        <v>0</v>
      </c>
      <c r="H42" s="5">
        <f>科室绩效工资核算1!K42-SUMIF(中层绩效!B:B,科室绩效工资核算1!B42,中层绩效!K:K)</f>
        <v>0</v>
      </c>
      <c r="I42" s="5">
        <f>科室绩效工资核算1!L42-SUMIF(中层绩效!B:B,科室绩效工资核算1!B42,中层绩效!L:L)</f>
        <v>0</v>
      </c>
      <c r="J42" s="5">
        <f>科室绩效工资核算1!M42-SUMIF(中层绩效!B:B,科室绩效工资核算1!B42,中层绩效!M:M)</f>
        <v>0</v>
      </c>
      <c r="K42" s="5">
        <f>科室绩效工资核算1!N42-SUMIF(中层绩效!B:B,科室绩效工资核算1!B42,中层绩效!N:N)</f>
        <v>0</v>
      </c>
      <c r="L42" s="5">
        <f>科室绩效工资核算1!O42-SUMIF(中层绩效!B:B,科室绩效工资核算1!B42,中层绩效!O:O)</f>
        <v>0</v>
      </c>
      <c r="M42" s="5">
        <f>科室绩效工资核算1!P42-SUMIF(中层绩效!B:B,科室绩效工资核算1!B42,中层绩效!P:P)</f>
        <v>0</v>
      </c>
      <c r="N42" s="5">
        <f>科室绩效工资核算1!Q42-SUMIF(中层绩效!B:B,科室绩效工资核算1!B42,中层绩效!Q:Q)</f>
        <v>0</v>
      </c>
      <c r="O42" s="5">
        <f>科室绩效工资核算1!R42-SUMIF(中层绩效!B:B,科室绩效工资核算1!B42,中层绩效!R:R)</f>
        <v>0</v>
      </c>
      <c r="P42" s="5">
        <f>科室绩效工资核算1!S42-SUMIF(中层绩效!B:B,科室绩效工资核算1!B42,中层绩效!S:S)</f>
        <v>0</v>
      </c>
      <c r="Q42" s="5">
        <f>科室绩效工资核算1!T42-SUMIF(中层绩效!B:B,科室绩效工资核算1!B42,中层绩效!T:T)</f>
        <v>0</v>
      </c>
      <c r="R42" s="5">
        <f>科室绩效工资核算1!V42</f>
        <v>0</v>
      </c>
      <c r="S42" s="5">
        <f>科室绩效工资核算1!U42</f>
        <v>0</v>
      </c>
      <c r="T42" s="5">
        <f>SUM(科室绩效工资核算1!AI42+科室绩效工资核算1!AH42)</f>
        <v>106</v>
      </c>
      <c r="U42" s="43">
        <f t="shared" si="3"/>
        <v>38196</v>
      </c>
      <c r="V42" s="43">
        <f t="shared" si="4"/>
        <v>38196</v>
      </c>
      <c r="W42" s="43">
        <f>IFERROR(D42/VLOOKUP($B:$B,人员表!$B:$G,MATCH("员工",人员表!$B$3:$G$3,0),0)*VLOOKUP($B:$B,人员表!$B:$G,MATCH("护理组",人员表!$B$3:$G$3,0),0),0)</f>
        <v>0</v>
      </c>
      <c r="X42" s="5">
        <f t="shared" si="1"/>
        <v>0</v>
      </c>
      <c r="Y42" s="5">
        <f t="shared" si="2"/>
        <v>0</v>
      </c>
    </row>
    <row r="43" spans="2:25" x14ac:dyDescent="0.25">
      <c r="B43" s="38" t="str">
        <f>科室绩效工资核算1!B43</f>
        <v>磁共振室</v>
      </c>
      <c r="C43" s="43">
        <f>科室绩效工资核算1!C43</f>
        <v>0</v>
      </c>
      <c r="D43" s="5">
        <f>SUM(科室绩效工资核算1!D43:G43)+SUM(科室绩效工资核算1!W43:AG43)</f>
        <v>21917</v>
      </c>
      <c r="E43" s="5">
        <f>科室绩效工资核算1!H43-SUMIF(中层绩效!B:B,科室绩效工资核算2!B43,中层绩效!H:H)</f>
        <v>0</v>
      </c>
      <c r="F43" s="5">
        <f>科室绩效工资核算1!I43-SUMIF(中层绩效!B:B,科室绩效工资核算1!B43,中层绩效!I:I)</f>
        <v>0</v>
      </c>
      <c r="G43" s="5">
        <f>科室绩效工资核算1!J43-SUMIF(中层绩效!B:B,科室绩效工资核算1!B43,中层绩效!J:J)</f>
        <v>0</v>
      </c>
      <c r="H43" s="5">
        <f>科室绩效工资核算1!K43-SUMIF(中层绩效!B:B,科室绩效工资核算1!B43,中层绩效!K:K)</f>
        <v>0</v>
      </c>
      <c r="I43" s="5">
        <f>科室绩效工资核算1!L43-SUMIF(中层绩效!B:B,科室绩效工资核算1!B43,中层绩效!L:L)</f>
        <v>0</v>
      </c>
      <c r="J43" s="5">
        <f>科室绩效工资核算1!M43-SUMIF(中层绩效!B:B,科室绩效工资核算1!B43,中层绩效!M:M)</f>
        <v>0</v>
      </c>
      <c r="K43" s="5">
        <f>科室绩效工资核算1!N43-SUMIF(中层绩效!B:B,科室绩效工资核算1!B43,中层绩效!N:N)</f>
        <v>0</v>
      </c>
      <c r="L43" s="5">
        <f>科室绩效工资核算1!O43-SUMIF(中层绩效!B:B,科室绩效工资核算1!B43,中层绩效!O:O)</f>
        <v>0</v>
      </c>
      <c r="M43" s="5">
        <f>科室绩效工资核算1!P43-SUMIF(中层绩效!B:B,科室绩效工资核算1!B43,中层绩效!P:P)</f>
        <v>0</v>
      </c>
      <c r="N43" s="5">
        <f>科室绩效工资核算1!Q43-SUMIF(中层绩效!B:B,科室绩效工资核算1!B43,中层绩效!Q:Q)</f>
        <v>0</v>
      </c>
      <c r="O43" s="5">
        <f>科室绩效工资核算1!R43-SUMIF(中层绩效!B:B,科室绩效工资核算1!B43,中层绩效!R:R)</f>
        <v>0</v>
      </c>
      <c r="P43" s="5">
        <f>科室绩效工资核算1!S43-SUMIF(中层绩效!B:B,科室绩效工资核算1!B43,中层绩效!S:S)</f>
        <v>0</v>
      </c>
      <c r="Q43" s="5">
        <f>科室绩效工资核算1!T43-SUMIF(中层绩效!B:B,科室绩效工资核算1!B43,中层绩效!T:T)</f>
        <v>0</v>
      </c>
      <c r="R43" s="5">
        <f>科室绩效工资核算1!V43</f>
        <v>0</v>
      </c>
      <c r="S43" s="5">
        <f>科室绩效工资核算1!U43</f>
        <v>0</v>
      </c>
      <c r="T43" s="5">
        <f>SUM(科室绩效工资核算1!AI43+科室绩效工资核算1!AH43)</f>
        <v>0</v>
      </c>
      <c r="U43" s="43">
        <f t="shared" si="3"/>
        <v>21917</v>
      </c>
      <c r="V43" s="43">
        <f t="shared" si="4"/>
        <v>21917</v>
      </c>
      <c r="W43" s="43">
        <f>IFERROR(D43/VLOOKUP($B:$B,人员表!$B:$G,MATCH("员工",人员表!$B$3:$G$3,0),0)*VLOOKUP($B:$B,人员表!$B:$G,MATCH("护理组",人员表!$B$3:$G$3,0),0),0)</f>
        <v>0</v>
      </c>
      <c r="X43" s="5">
        <f t="shared" si="1"/>
        <v>0</v>
      </c>
      <c r="Y43" s="5">
        <f t="shared" si="2"/>
        <v>0</v>
      </c>
    </row>
    <row r="44" spans="2:25" x14ac:dyDescent="0.25">
      <c r="B44" s="38" t="str">
        <f>科室绩效工资核算1!B44</f>
        <v>心电图室</v>
      </c>
      <c r="C44" s="43">
        <f>科室绩效工资核算1!C44</f>
        <v>0</v>
      </c>
      <c r="D44" s="5">
        <f>SUM(科室绩效工资核算1!D44:G44)+SUM(科室绩效工资核算1!W44:AG44)</f>
        <v>11725</v>
      </c>
      <c r="E44" s="5">
        <f>科室绩效工资核算1!H44-SUMIF(中层绩效!B:B,科室绩效工资核算2!B44,中层绩效!H:H)</f>
        <v>0</v>
      </c>
      <c r="F44" s="5">
        <f>科室绩效工资核算1!I44-SUMIF(中层绩效!B:B,科室绩效工资核算1!B44,中层绩效!I:I)</f>
        <v>0</v>
      </c>
      <c r="G44" s="5">
        <f>科室绩效工资核算1!J44-SUMIF(中层绩效!B:B,科室绩效工资核算1!B44,中层绩效!J:J)</f>
        <v>0</v>
      </c>
      <c r="H44" s="5">
        <f>科室绩效工资核算1!K44-SUMIF(中层绩效!B:B,科室绩效工资核算1!B44,中层绩效!K:K)</f>
        <v>0</v>
      </c>
      <c r="I44" s="5">
        <f>科室绩效工资核算1!L44-SUMIF(中层绩效!B:B,科室绩效工资核算1!B44,中层绩效!L:L)</f>
        <v>0</v>
      </c>
      <c r="J44" s="5">
        <f>科室绩效工资核算1!M44-SUMIF(中层绩效!B:B,科室绩效工资核算1!B44,中层绩效!M:M)</f>
        <v>0</v>
      </c>
      <c r="K44" s="5">
        <f>科室绩效工资核算1!N44-SUMIF(中层绩效!B:B,科室绩效工资核算1!B44,中层绩效!N:N)</f>
        <v>0</v>
      </c>
      <c r="L44" s="5">
        <f>科室绩效工资核算1!O44-SUMIF(中层绩效!B:B,科室绩效工资核算1!B44,中层绩效!O:O)</f>
        <v>0</v>
      </c>
      <c r="M44" s="5">
        <f>科室绩效工资核算1!P44-SUMIF(中层绩效!B:B,科室绩效工资核算1!B44,中层绩效!P:P)</f>
        <v>0</v>
      </c>
      <c r="N44" s="5">
        <f>科室绩效工资核算1!Q44-SUMIF(中层绩效!B:B,科室绩效工资核算1!B44,中层绩效!Q:Q)</f>
        <v>0</v>
      </c>
      <c r="O44" s="5">
        <f>科室绩效工资核算1!R44-SUMIF(中层绩效!B:B,科室绩效工资核算1!B44,中层绩效!R:R)</f>
        <v>0</v>
      </c>
      <c r="P44" s="5">
        <f>科室绩效工资核算1!S44-SUMIF(中层绩效!B:B,科室绩效工资核算1!B44,中层绩效!S:S)</f>
        <v>0</v>
      </c>
      <c r="Q44" s="5">
        <f>科室绩效工资核算1!T44-SUMIF(中层绩效!B:B,科室绩效工资核算1!B44,中层绩效!T:T)</f>
        <v>0</v>
      </c>
      <c r="R44" s="5">
        <f>科室绩效工资核算1!V44</f>
        <v>0</v>
      </c>
      <c r="S44" s="5">
        <f>科室绩效工资核算1!U44</f>
        <v>0</v>
      </c>
      <c r="T44" s="5">
        <f>SUM(科室绩效工资核算1!AI44+科室绩效工资核算1!AH44)</f>
        <v>0</v>
      </c>
      <c r="U44" s="43">
        <f t="shared" si="3"/>
        <v>11725</v>
      </c>
      <c r="V44" s="43">
        <f t="shared" si="4"/>
        <v>11725</v>
      </c>
      <c r="W44" s="43">
        <f>IFERROR(D44/VLOOKUP($B:$B,人员表!$B:$G,MATCH("员工",人员表!$B$3:$G$3,0),0)*VLOOKUP($B:$B,人员表!$B:$G,MATCH("护理组",人员表!$B$3:$G$3,0),0),0)</f>
        <v>0</v>
      </c>
      <c r="X44" s="5">
        <f t="shared" si="1"/>
        <v>0</v>
      </c>
      <c r="Y44" s="5">
        <f t="shared" si="2"/>
        <v>0</v>
      </c>
    </row>
    <row r="45" spans="2:25" x14ac:dyDescent="0.25">
      <c r="B45" s="38" t="str">
        <f>科室绩效工资核算1!B45</f>
        <v>超声科</v>
      </c>
      <c r="C45" s="43">
        <f>科室绩效工资核算1!C45</f>
        <v>0</v>
      </c>
      <c r="D45" s="5">
        <f>SUM(科室绩效工资核算1!D45:G45)+SUM(科室绩效工资核算1!W45:AG45)</f>
        <v>58424</v>
      </c>
      <c r="E45" s="5">
        <f>科室绩效工资核算1!H45-SUMIF(中层绩效!B:B,科室绩效工资核算2!B45,中层绩效!H:H)</f>
        <v>0</v>
      </c>
      <c r="F45" s="5">
        <f>科室绩效工资核算1!I45-SUMIF(中层绩效!B:B,科室绩效工资核算1!B45,中层绩效!I:I)</f>
        <v>0</v>
      </c>
      <c r="G45" s="5">
        <f>科室绩效工资核算1!J45-SUMIF(中层绩效!B:B,科室绩效工资核算1!B45,中层绩效!J:J)</f>
        <v>0</v>
      </c>
      <c r="H45" s="5">
        <f>科室绩效工资核算1!K45-SUMIF(中层绩效!B:B,科室绩效工资核算1!B45,中层绩效!K:K)</f>
        <v>0</v>
      </c>
      <c r="I45" s="5">
        <f>科室绩效工资核算1!L45-SUMIF(中层绩效!B:B,科室绩效工资核算1!B45,中层绩效!L:L)</f>
        <v>0</v>
      </c>
      <c r="J45" s="5">
        <f>科室绩效工资核算1!M45-SUMIF(中层绩效!B:B,科室绩效工资核算1!B45,中层绩效!M:M)</f>
        <v>0</v>
      </c>
      <c r="K45" s="5">
        <f>科室绩效工资核算1!N45-SUMIF(中层绩效!B:B,科室绩效工资核算1!B45,中层绩效!N:N)</f>
        <v>0</v>
      </c>
      <c r="L45" s="5">
        <f>科室绩效工资核算1!O45-SUMIF(中层绩效!B:B,科室绩效工资核算1!B45,中层绩效!O:O)</f>
        <v>0</v>
      </c>
      <c r="M45" s="5">
        <f>科室绩效工资核算1!P45-SUMIF(中层绩效!B:B,科室绩效工资核算1!B45,中层绩效!P:P)</f>
        <v>0</v>
      </c>
      <c r="N45" s="5">
        <f>科室绩效工资核算1!Q45-SUMIF(中层绩效!B:B,科室绩效工资核算1!B45,中层绩效!Q:Q)</f>
        <v>0</v>
      </c>
      <c r="O45" s="5">
        <f>科室绩效工资核算1!R45-SUMIF(中层绩效!B:B,科室绩效工资核算1!B45,中层绩效!R:R)</f>
        <v>0</v>
      </c>
      <c r="P45" s="5">
        <f>科室绩效工资核算1!S45-SUMIF(中层绩效!B:B,科室绩效工资核算1!B45,中层绩效!S:S)</f>
        <v>0</v>
      </c>
      <c r="Q45" s="5">
        <f>科室绩效工资核算1!T45-SUMIF(中层绩效!B:B,科室绩效工资核算1!B45,中层绩效!T:T)</f>
        <v>0</v>
      </c>
      <c r="R45" s="5">
        <f>科室绩效工资核算1!V45</f>
        <v>0</v>
      </c>
      <c r="S45" s="5">
        <f>科室绩效工资核算1!U45</f>
        <v>0</v>
      </c>
      <c r="T45" s="5">
        <f>SUM(科室绩效工资核算1!AI45+科室绩效工资核算1!AH45)</f>
        <v>153</v>
      </c>
      <c r="U45" s="43">
        <f t="shared" si="3"/>
        <v>58424</v>
      </c>
      <c r="V45" s="43">
        <f t="shared" si="4"/>
        <v>58424</v>
      </c>
      <c r="W45" s="43">
        <f>IFERROR(D45/VLOOKUP($B:$B,人员表!$B:$G,MATCH("员工",人员表!$B$3:$G$3,0),0)*VLOOKUP($B:$B,人员表!$B:$G,MATCH("护理组",人员表!$B$3:$G$3,0),0),0)</f>
        <v>0</v>
      </c>
      <c r="X45" s="5">
        <f t="shared" si="1"/>
        <v>0</v>
      </c>
      <c r="Y45" s="5">
        <f t="shared" si="2"/>
        <v>0</v>
      </c>
    </row>
    <row r="46" spans="2:25" x14ac:dyDescent="0.25">
      <c r="B46" s="38" t="str">
        <f>科室绩效工资核算1!B46</f>
        <v>脑电图室</v>
      </c>
      <c r="C46" s="43">
        <f>科室绩效工资核算1!C46</f>
        <v>0</v>
      </c>
      <c r="D46" s="5">
        <f>SUM(科室绩效工资核算1!D46:G46)+SUM(科室绩效工资核算1!W46:AG46)</f>
        <v>1061</v>
      </c>
      <c r="E46" s="5">
        <f>科室绩效工资核算1!H46-SUMIF(中层绩效!B:B,科室绩效工资核算2!B46,中层绩效!H:H)</f>
        <v>0</v>
      </c>
      <c r="F46" s="5">
        <f>科室绩效工资核算1!I46-SUMIF(中层绩效!B:B,科室绩效工资核算1!B46,中层绩效!I:I)</f>
        <v>0</v>
      </c>
      <c r="G46" s="5">
        <f>科室绩效工资核算1!J46-SUMIF(中层绩效!B:B,科室绩效工资核算1!B46,中层绩效!J:J)</f>
        <v>0</v>
      </c>
      <c r="H46" s="5">
        <f>科室绩效工资核算1!K46-SUMIF(中层绩效!B:B,科室绩效工资核算1!B46,中层绩效!K:K)</f>
        <v>0</v>
      </c>
      <c r="I46" s="5">
        <f>科室绩效工资核算1!L46-SUMIF(中层绩效!B:B,科室绩效工资核算1!B46,中层绩效!L:L)</f>
        <v>0</v>
      </c>
      <c r="J46" s="5">
        <f>科室绩效工资核算1!M46-SUMIF(中层绩效!B:B,科室绩效工资核算1!B46,中层绩效!M:M)</f>
        <v>0</v>
      </c>
      <c r="K46" s="5">
        <f>科室绩效工资核算1!N46-SUMIF(中层绩效!B:B,科室绩效工资核算1!B46,中层绩效!N:N)</f>
        <v>0</v>
      </c>
      <c r="L46" s="5">
        <f>科室绩效工资核算1!O46-SUMIF(中层绩效!B:B,科室绩效工资核算1!B46,中层绩效!O:O)</f>
        <v>0</v>
      </c>
      <c r="M46" s="5">
        <f>科室绩效工资核算1!P46-SUMIF(中层绩效!B:B,科室绩效工资核算1!B46,中层绩效!P:P)</f>
        <v>0</v>
      </c>
      <c r="N46" s="5">
        <f>科室绩效工资核算1!Q46-SUMIF(中层绩效!B:B,科室绩效工资核算1!B46,中层绩效!Q:Q)</f>
        <v>0</v>
      </c>
      <c r="O46" s="5">
        <f>科室绩效工资核算1!R46-SUMIF(中层绩效!B:B,科室绩效工资核算1!B46,中层绩效!R:R)</f>
        <v>0</v>
      </c>
      <c r="P46" s="5">
        <f>科室绩效工资核算1!S46-SUMIF(中层绩效!B:B,科室绩效工资核算1!B46,中层绩效!S:S)</f>
        <v>0</v>
      </c>
      <c r="Q46" s="5">
        <f>科室绩效工资核算1!T46-SUMIF(中层绩效!B:B,科室绩效工资核算1!B46,中层绩效!T:T)</f>
        <v>0</v>
      </c>
      <c r="R46" s="5">
        <f>科室绩效工资核算1!V46</f>
        <v>0</v>
      </c>
      <c r="S46" s="5">
        <f>科室绩效工资核算1!U46</f>
        <v>0</v>
      </c>
      <c r="T46" s="5">
        <f>SUM(科室绩效工资核算1!AI46+科室绩效工资核算1!AH46)</f>
        <v>0</v>
      </c>
      <c r="U46" s="43">
        <f t="shared" si="3"/>
        <v>1061</v>
      </c>
      <c r="V46" s="43">
        <f t="shared" si="4"/>
        <v>1061</v>
      </c>
      <c r="W46" s="43">
        <f>IFERROR(D46/VLOOKUP($B:$B,人员表!$B:$G,MATCH("员工",人员表!$B$3:$G$3,0),0)*VLOOKUP($B:$B,人员表!$B:$G,MATCH("护理组",人员表!$B$3:$G$3,0),0),0)</f>
        <v>0</v>
      </c>
      <c r="X46" s="5">
        <f t="shared" si="1"/>
        <v>0</v>
      </c>
      <c r="Y46" s="5">
        <f t="shared" si="2"/>
        <v>0</v>
      </c>
    </row>
    <row r="47" spans="2:25" x14ac:dyDescent="0.25">
      <c r="B47" s="38" t="str">
        <f>科室绩效工资核算1!B47</f>
        <v>胃镜室</v>
      </c>
      <c r="C47" s="43">
        <f>科室绩效工资核算1!C47</f>
        <v>0</v>
      </c>
      <c r="D47" s="5">
        <f>SUM(科室绩效工资核算1!D47:G47)+SUM(科室绩效工资核算1!W47:AG47)</f>
        <v>11472</v>
      </c>
      <c r="E47" s="5">
        <f>科室绩效工资核算1!H47-SUMIF(中层绩效!B:B,科室绩效工资核算2!B47,中层绩效!H:H)</f>
        <v>0</v>
      </c>
      <c r="F47" s="5">
        <f>科室绩效工资核算1!I47-SUMIF(中层绩效!B:B,科室绩效工资核算1!B47,中层绩效!I:I)</f>
        <v>0</v>
      </c>
      <c r="G47" s="5">
        <f>科室绩效工资核算1!J47-SUMIF(中层绩效!B:B,科室绩效工资核算1!B47,中层绩效!J:J)</f>
        <v>0</v>
      </c>
      <c r="H47" s="5">
        <f>科室绩效工资核算1!K47-SUMIF(中层绩效!B:B,科室绩效工资核算1!B47,中层绩效!K:K)</f>
        <v>0</v>
      </c>
      <c r="I47" s="5">
        <f>科室绩效工资核算1!L47-SUMIF(中层绩效!B:B,科室绩效工资核算1!B47,中层绩效!L:L)</f>
        <v>0</v>
      </c>
      <c r="J47" s="5">
        <f>科室绩效工资核算1!M47-SUMIF(中层绩效!B:B,科室绩效工资核算1!B47,中层绩效!M:M)</f>
        <v>0</v>
      </c>
      <c r="K47" s="5">
        <f>科室绩效工资核算1!N47-SUMIF(中层绩效!B:B,科室绩效工资核算1!B47,中层绩效!N:N)</f>
        <v>0</v>
      </c>
      <c r="L47" s="5">
        <f>科室绩效工资核算1!O47-SUMIF(中层绩效!B:B,科室绩效工资核算1!B47,中层绩效!O:O)</f>
        <v>0</v>
      </c>
      <c r="M47" s="5">
        <f>科室绩效工资核算1!P47-SUMIF(中层绩效!B:B,科室绩效工资核算1!B47,中层绩效!P:P)</f>
        <v>0</v>
      </c>
      <c r="N47" s="5">
        <f>科室绩效工资核算1!Q47-SUMIF(中层绩效!B:B,科室绩效工资核算1!B47,中层绩效!Q:Q)</f>
        <v>0</v>
      </c>
      <c r="O47" s="5">
        <f>科室绩效工资核算1!R47-SUMIF(中层绩效!B:B,科室绩效工资核算1!B47,中层绩效!R:R)</f>
        <v>0</v>
      </c>
      <c r="P47" s="5">
        <f>科室绩效工资核算1!S47-SUMIF(中层绩效!B:B,科室绩效工资核算1!B47,中层绩效!S:S)</f>
        <v>0</v>
      </c>
      <c r="Q47" s="5">
        <f>科室绩效工资核算1!T47-SUMIF(中层绩效!B:B,科室绩效工资核算1!B47,中层绩效!T:T)</f>
        <v>0</v>
      </c>
      <c r="R47" s="5">
        <f>科室绩效工资核算1!V47</f>
        <v>0</v>
      </c>
      <c r="S47" s="5">
        <f>科室绩效工资核算1!U47</f>
        <v>0</v>
      </c>
      <c r="T47" s="5">
        <f>SUM(科室绩效工资核算1!AI47+科室绩效工资核算1!AH47)</f>
        <v>1947</v>
      </c>
      <c r="U47" s="43">
        <f t="shared" si="3"/>
        <v>11472</v>
      </c>
      <c r="V47" s="43">
        <f t="shared" si="4"/>
        <v>11472</v>
      </c>
      <c r="W47" s="43">
        <f>IFERROR(D47/VLOOKUP($B:$B,人员表!$B:$G,MATCH("员工",人员表!$B$3:$G$3,0),0)*VLOOKUP($B:$B,人员表!$B:$G,MATCH("护理组",人员表!$B$3:$G$3,0),0),0)</f>
        <v>0</v>
      </c>
      <c r="X47" s="5">
        <f t="shared" si="1"/>
        <v>0</v>
      </c>
      <c r="Y47" s="5">
        <f t="shared" si="2"/>
        <v>0</v>
      </c>
    </row>
    <row r="48" spans="2:25" x14ac:dyDescent="0.25">
      <c r="B48" s="38" t="str">
        <f>科室绩效工资核算1!B48</f>
        <v>介入室</v>
      </c>
      <c r="C48" s="43">
        <f>科室绩效工资核算1!C48</f>
        <v>0</v>
      </c>
      <c r="D48" s="5">
        <f>SUM(科室绩效工资核算1!D48:G48)+SUM(科室绩效工资核算1!W48:AG48)</f>
        <v>11389</v>
      </c>
      <c r="E48" s="5">
        <f>科室绩效工资核算1!H48-SUMIF(中层绩效!B:B,科室绩效工资核算2!B48,中层绩效!H:H)</f>
        <v>0</v>
      </c>
      <c r="F48" s="5">
        <f>科室绩效工资核算1!I48-SUMIF(中层绩效!B:B,科室绩效工资核算1!B48,中层绩效!I:I)</f>
        <v>0</v>
      </c>
      <c r="G48" s="5">
        <f>科室绩效工资核算1!J48-SUMIF(中层绩效!B:B,科室绩效工资核算1!B48,中层绩效!J:J)</f>
        <v>0</v>
      </c>
      <c r="H48" s="5">
        <f>科室绩效工资核算1!K48-SUMIF(中层绩效!B:B,科室绩效工资核算1!B48,中层绩效!K:K)</f>
        <v>0</v>
      </c>
      <c r="I48" s="5">
        <f>科室绩效工资核算1!L48-SUMIF(中层绩效!B:B,科室绩效工资核算1!B48,中层绩效!L:L)</f>
        <v>0</v>
      </c>
      <c r="J48" s="5">
        <f>科室绩效工资核算1!M48-SUMIF(中层绩效!B:B,科室绩效工资核算1!B48,中层绩效!M:M)</f>
        <v>0</v>
      </c>
      <c r="K48" s="5">
        <f>科室绩效工资核算1!N48-SUMIF(中层绩效!B:B,科室绩效工资核算1!B48,中层绩效!N:N)</f>
        <v>0</v>
      </c>
      <c r="L48" s="5">
        <f>科室绩效工资核算1!O48-SUMIF(中层绩效!B:B,科室绩效工资核算1!B48,中层绩效!O:O)</f>
        <v>0</v>
      </c>
      <c r="M48" s="5">
        <f>科室绩效工资核算1!P48-SUMIF(中层绩效!B:B,科室绩效工资核算1!B48,中层绩效!P:P)</f>
        <v>0</v>
      </c>
      <c r="N48" s="5">
        <f>科室绩效工资核算1!Q48-SUMIF(中层绩效!B:B,科室绩效工资核算1!B48,中层绩效!Q:Q)</f>
        <v>0</v>
      </c>
      <c r="O48" s="5">
        <f>科室绩效工资核算1!R48-SUMIF(中层绩效!B:B,科室绩效工资核算1!B48,中层绩效!R:R)</f>
        <v>0</v>
      </c>
      <c r="P48" s="5">
        <f>科室绩效工资核算1!S48-SUMIF(中层绩效!B:B,科室绩效工资核算1!B48,中层绩效!S:S)</f>
        <v>0</v>
      </c>
      <c r="Q48" s="5">
        <f>科室绩效工资核算1!T48-SUMIF(中层绩效!B:B,科室绩效工资核算1!B48,中层绩效!T:T)</f>
        <v>0</v>
      </c>
      <c r="R48" s="5">
        <f>科室绩效工资核算1!V48</f>
        <v>0</v>
      </c>
      <c r="S48" s="5">
        <f>科室绩效工资核算1!U48</f>
        <v>0</v>
      </c>
      <c r="T48" s="5">
        <f>SUM(科室绩效工资核算1!AI48+科室绩效工资核算1!AH48)</f>
        <v>0</v>
      </c>
      <c r="U48" s="43">
        <f t="shared" si="3"/>
        <v>11389</v>
      </c>
      <c r="V48" s="43">
        <f t="shared" si="4"/>
        <v>11389</v>
      </c>
      <c r="W48" s="43">
        <f>IFERROR(D48/VLOOKUP($B:$B,人员表!$B:$G,MATCH("员工",人员表!$B$3:$G$3,0),0)*VLOOKUP($B:$B,人员表!$B:$G,MATCH("护理组",人员表!$B$3:$G$3,0),0),0)</f>
        <v>0</v>
      </c>
      <c r="X48" s="5">
        <f t="shared" si="1"/>
        <v>0</v>
      </c>
      <c r="Y48" s="5">
        <f t="shared" si="2"/>
        <v>0</v>
      </c>
    </row>
    <row r="49" spans="2:25" x14ac:dyDescent="0.25">
      <c r="B49" s="38" t="str">
        <f>科室绩效工资核算1!B49</f>
        <v>病理科</v>
      </c>
      <c r="C49" s="43">
        <f>科室绩效工资核算1!C49</f>
        <v>0</v>
      </c>
      <c r="D49" s="5">
        <f>SUM(科室绩效工资核算1!D49:G49)+SUM(科室绩效工资核算1!W49:AG49)</f>
        <v>0</v>
      </c>
      <c r="E49" s="5">
        <f>科室绩效工资核算1!H49-SUMIF(中层绩效!B:B,科室绩效工资核算2!B49,中层绩效!H:H)</f>
        <v>0</v>
      </c>
      <c r="F49" s="5">
        <f>科室绩效工资核算1!I49-SUMIF(中层绩效!B:B,科室绩效工资核算1!B49,中层绩效!I:I)</f>
        <v>0</v>
      </c>
      <c r="G49" s="5">
        <f>科室绩效工资核算1!J49-SUMIF(中层绩效!B:B,科室绩效工资核算1!B49,中层绩效!J:J)</f>
        <v>0</v>
      </c>
      <c r="H49" s="5">
        <f>科室绩效工资核算1!K49-SUMIF(中层绩效!B:B,科室绩效工资核算1!B49,中层绩效!K:K)</f>
        <v>0</v>
      </c>
      <c r="I49" s="5">
        <f>科室绩效工资核算1!L49-SUMIF(中层绩效!B:B,科室绩效工资核算1!B49,中层绩效!L:L)</f>
        <v>0</v>
      </c>
      <c r="J49" s="5">
        <f>科室绩效工资核算1!M49-SUMIF(中层绩效!B:B,科室绩效工资核算1!B49,中层绩效!M:M)</f>
        <v>0</v>
      </c>
      <c r="K49" s="5">
        <f>科室绩效工资核算1!N49-SUMIF(中层绩效!B:B,科室绩效工资核算1!B49,中层绩效!N:N)</f>
        <v>0</v>
      </c>
      <c r="L49" s="5">
        <f>科室绩效工资核算1!O49-SUMIF(中层绩效!B:B,科室绩效工资核算1!B49,中层绩效!O:O)</f>
        <v>0</v>
      </c>
      <c r="M49" s="5">
        <f>科室绩效工资核算1!P49-SUMIF(中层绩效!B:B,科室绩效工资核算1!B49,中层绩效!P:P)</f>
        <v>0</v>
      </c>
      <c r="N49" s="5">
        <f>科室绩效工资核算1!Q49-SUMIF(中层绩效!B:B,科室绩效工资核算1!B49,中层绩效!Q:Q)</f>
        <v>0</v>
      </c>
      <c r="O49" s="5">
        <f>科室绩效工资核算1!R49-SUMIF(中层绩效!B:B,科室绩效工资核算1!B49,中层绩效!R:R)</f>
        <v>0</v>
      </c>
      <c r="P49" s="5">
        <f>科室绩效工资核算1!S49-SUMIF(中层绩效!B:B,科室绩效工资核算1!B49,中层绩效!S:S)</f>
        <v>0</v>
      </c>
      <c r="Q49" s="5">
        <f>科室绩效工资核算1!T49-SUMIF(中层绩效!B:B,科室绩效工资核算1!B49,中层绩效!T:T)</f>
        <v>0</v>
      </c>
      <c r="R49" s="5">
        <f>科室绩效工资核算1!V49</f>
        <v>0</v>
      </c>
      <c r="S49" s="5">
        <f>科室绩效工资核算1!U49</f>
        <v>0</v>
      </c>
      <c r="T49" s="5">
        <f>SUM(科室绩效工资核算1!AI49+科室绩效工资核算1!AH49)</f>
        <v>0</v>
      </c>
      <c r="U49" s="43">
        <f t="shared" si="3"/>
        <v>0</v>
      </c>
      <c r="V49" s="43">
        <f t="shared" si="4"/>
        <v>0</v>
      </c>
      <c r="W49" s="43">
        <f>IFERROR(D49/VLOOKUP($B:$B,人员表!$B:$G,MATCH("员工",人员表!$B$3:$G$3,0),0)*VLOOKUP($B:$B,人员表!$B:$G,MATCH("护理组",人员表!$B$3:$G$3,0),0),0)</f>
        <v>0</v>
      </c>
      <c r="X49" s="5">
        <f t="shared" si="1"/>
        <v>0</v>
      </c>
      <c r="Y49" s="5">
        <f t="shared" si="2"/>
        <v>0</v>
      </c>
    </row>
    <row r="50" spans="2:25" x14ac:dyDescent="0.25">
      <c r="B50" s="38" t="str">
        <f>科室绩效工资核算1!B50</f>
        <v>供应室</v>
      </c>
      <c r="C50" s="43">
        <f>科室绩效工资核算1!C50</f>
        <v>0</v>
      </c>
      <c r="D50" s="5">
        <f>SUM(科室绩效工资核算1!D50:G50)+SUM(科室绩效工资核算1!W50:AG50)</f>
        <v>5765</v>
      </c>
      <c r="E50" s="5">
        <f>科室绩效工资核算1!H50-SUMIF(中层绩效!B:B,科室绩效工资核算2!B50,中层绩效!H:H)</f>
        <v>0</v>
      </c>
      <c r="F50" s="5">
        <f>科室绩效工资核算1!I50-SUMIF(中层绩效!B:B,科室绩效工资核算1!B50,中层绩效!I:I)</f>
        <v>0</v>
      </c>
      <c r="G50" s="5">
        <f>科室绩效工资核算1!J50-SUMIF(中层绩效!B:B,科室绩效工资核算1!B50,中层绩效!J:J)</f>
        <v>0</v>
      </c>
      <c r="H50" s="5">
        <f>科室绩效工资核算1!K50-SUMIF(中层绩效!B:B,科室绩效工资核算1!B50,中层绩效!K:K)</f>
        <v>0</v>
      </c>
      <c r="I50" s="5">
        <f>科室绩效工资核算1!L50-SUMIF(中层绩效!B:B,科室绩效工资核算1!B50,中层绩效!L:L)</f>
        <v>0</v>
      </c>
      <c r="J50" s="5">
        <f>科室绩效工资核算1!M50-SUMIF(中层绩效!B:B,科室绩效工资核算1!B50,中层绩效!M:M)</f>
        <v>0</v>
      </c>
      <c r="K50" s="5">
        <f>科室绩效工资核算1!N50-SUMIF(中层绩效!B:B,科室绩效工资核算1!B50,中层绩效!N:N)</f>
        <v>0</v>
      </c>
      <c r="L50" s="5">
        <f>科室绩效工资核算1!O50-SUMIF(中层绩效!B:B,科室绩效工资核算1!B50,中层绩效!O:O)</f>
        <v>0</v>
      </c>
      <c r="M50" s="5">
        <f>科室绩效工资核算1!P50-SUMIF(中层绩效!B:B,科室绩效工资核算1!B50,中层绩效!P:P)</f>
        <v>0</v>
      </c>
      <c r="N50" s="5">
        <f>科室绩效工资核算1!Q50-SUMIF(中层绩效!B:B,科室绩效工资核算1!B50,中层绩效!Q:Q)</f>
        <v>0</v>
      </c>
      <c r="O50" s="5">
        <f>科室绩效工资核算1!R50-SUMIF(中层绩效!B:B,科室绩效工资核算1!B50,中层绩效!R:R)</f>
        <v>0</v>
      </c>
      <c r="P50" s="5">
        <f>科室绩效工资核算1!S50-SUMIF(中层绩效!B:B,科室绩效工资核算1!B50,中层绩效!S:S)</f>
        <v>0</v>
      </c>
      <c r="Q50" s="5">
        <f>科室绩效工资核算1!T50-SUMIF(中层绩效!B:B,科室绩效工资核算1!B50,中层绩效!T:T)</f>
        <v>0</v>
      </c>
      <c r="R50" s="5">
        <f>科室绩效工资核算1!V50</f>
        <v>0</v>
      </c>
      <c r="S50" s="5">
        <f>科室绩效工资核算1!U50</f>
        <v>0</v>
      </c>
      <c r="T50" s="5">
        <f>SUM(科室绩效工资核算1!AI50+科室绩效工资核算1!AH50)</f>
        <v>0</v>
      </c>
      <c r="U50" s="43">
        <f t="shared" si="3"/>
        <v>5765</v>
      </c>
      <c r="V50" s="43">
        <f t="shared" si="4"/>
        <v>5765</v>
      </c>
      <c r="W50" s="43">
        <f>IFERROR(D50/VLOOKUP($B:$B,人员表!$B:$G,MATCH("员工",人员表!$B$3:$G$3,0),0)*VLOOKUP($B:$B,人员表!$B:$G,MATCH("护理组",人员表!$B$3:$G$3,0),0),0)</f>
        <v>0</v>
      </c>
      <c r="X50" s="5">
        <f t="shared" si="1"/>
        <v>0</v>
      </c>
      <c r="Y50" s="5">
        <f t="shared" si="2"/>
        <v>0</v>
      </c>
    </row>
    <row r="51" spans="2:25" x14ac:dyDescent="0.25">
      <c r="B51" s="38" t="str">
        <f>科室绩效工资核算1!B51</f>
        <v>血库</v>
      </c>
      <c r="C51" s="43">
        <f>科室绩效工资核算1!C51</f>
        <v>0</v>
      </c>
      <c r="D51" s="5">
        <f>SUM(科室绩效工资核算1!D51:G51)+SUM(科室绩效工资核算1!W51:AG51)</f>
        <v>45780.6</v>
      </c>
      <c r="E51" s="5">
        <f>科室绩效工资核算1!H51-SUMIF(中层绩效!B:B,科室绩效工资核算2!B51,中层绩效!H:H)</f>
        <v>0</v>
      </c>
      <c r="F51" s="5">
        <f>科室绩效工资核算1!I51-SUMIF(中层绩效!B:B,科室绩效工资核算1!B51,中层绩效!I:I)</f>
        <v>0</v>
      </c>
      <c r="G51" s="5">
        <f>科室绩效工资核算1!J51-SUMIF(中层绩效!B:B,科室绩效工资核算1!B51,中层绩效!J:J)</f>
        <v>0</v>
      </c>
      <c r="H51" s="5">
        <f>科室绩效工资核算1!K51-SUMIF(中层绩效!B:B,科室绩效工资核算1!B51,中层绩效!K:K)</f>
        <v>0</v>
      </c>
      <c r="I51" s="5">
        <f>科室绩效工资核算1!L51-SUMIF(中层绩效!B:B,科室绩效工资核算1!B51,中层绩效!L:L)</f>
        <v>0</v>
      </c>
      <c r="J51" s="5">
        <f>科室绩效工资核算1!M51-SUMIF(中层绩效!B:B,科室绩效工资核算1!B51,中层绩效!M:M)</f>
        <v>0</v>
      </c>
      <c r="K51" s="5">
        <f>科室绩效工资核算1!N51-SUMIF(中层绩效!B:B,科室绩效工资核算1!B51,中层绩效!N:N)</f>
        <v>0</v>
      </c>
      <c r="L51" s="5">
        <f>科室绩效工资核算1!O51-SUMIF(中层绩效!B:B,科室绩效工资核算1!B51,中层绩效!O:O)</f>
        <v>0</v>
      </c>
      <c r="M51" s="5">
        <f>科室绩效工资核算1!P51-SUMIF(中层绩效!B:B,科室绩效工资核算1!B51,中层绩效!P:P)</f>
        <v>0</v>
      </c>
      <c r="N51" s="5">
        <f>科室绩效工资核算1!Q51-SUMIF(中层绩效!B:B,科室绩效工资核算1!B51,中层绩效!Q:Q)</f>
        <v>0</v>
      </c>
      <c r="O51" s="5">
        <f>科室绩效工资核算1!R51-SUMIF(中层绩效!B:B,科室绩效工资核算1!B51,中层绩效!R:R)</f>
        <v>0</v>
      </c>
      <c r="P51" s="5">
        <f>科室绩效工资核算1!S51-SUMIF(中层绩效!B:B,科室绩效工资核算1!B51,中层绩效!S:S)</f>
        <v>0</v>
      </c>
      <c r="Q51" s="5">
        <f>科室绩效工资核算1!T51-SUMIF(中层绩效!B:B,科室绩效工资核算1!B51,中层绩效!T:T)</f>
        <v>0</v>
      </c>
      <c r="R51" s="5">
        <f>科室绩效工资核算1!V51</f>
        <v>0</v>
      </c>
      <c r="S51" s="5">
        <f>科室绩效工资核算1!U51</f>
        <v>0</v>
      </c>
      <c r="T51" s="5">
        <f>SUM(科室绩效工资核算1!AI51+科室绩效工资核算1!AH51)</f>
        <v>0</v>
      </c>
      <c r="U51" s="43">
        <f t="shared" si="3"/>
        <v>45780.6</v>
      </c>
      <c r="V51" s="43">
        <f t="shared" si="4"/>
        <v>45780.6</v>
      </c>
      <c r="W51" s="43">
        <f>IFERROR(D51/VLOOKUP($B:$B,人员表!$B:$G,MATCH("员工",人员表!$B$3:$G$3,0),0)*VLOOKUP($B:$B,人员表!$B:$G,MATCH("护理组",人员表!$B$3:$G$3,0),0),0)</f>
        <v>0</v>
      </c>
      <c r="X51" s="5">
        <f t="shared" si="1"/>
        <v>0</v>
      </c>
      <c r="Y51" s="5">
        <f t="shared" si="2"/>
        <v>0</v>
      </c>
    </row>
    <row r="52" spans="2:25" x14ac:dyDescent="0.25">
      <c r="B52" s="38" t="str">
        <f>科室绩效工资核算1!B52</f>
        <v>药剂办公室</v>
      </c>
      <c r="C52" s="43"/>
      <c r="D52" s="5">
        <f>SUM(科室绩效工资核算1!D52:G52)+SUM(科室绩效工资核算1!W52:AG52)</f>
        <v>59707</v>
      </c>
      <c r="E52" s="5">
        <f>科室绩效工资核算1!H52-SUMIF(中层绩效!B:B,科室绩效工资核算2!B52,中层绩效!H:H)</f>
        <v>0</v>
      </c>
      <c r="F52" s="5">
        <f>科室绩效工资核算1!I52-SUMIF(中层绩效!B:B,科室绩效工资核算1!B52,中层绩效!I:I)</f>
        <v>0</v>
      </c>
      <c r="G52" s="5">
        <f>科室绩效工资核算1!J52-SUMIF(中层绩效!B:B,科室绩效工资核算1!B52,中层绩效!J:J)</f>
        <v>0</v>
      </c>
      <c r="H52" s="5">
        <f>科室绩效工资核算1!K52-SUMIF(中层绩效!B:B,科室绩效工资核算1!B52,中层绩效!K:K)</f>
        <v>0</v>
      </c>
      <c r="I52" s="5">
        <f>科室绩效工资核算1!L52-SUMIF(中层绩效!B:B,科室绩效工资核算1!B52,中层绩效!L:L)</f>
        <v>0</v>
      </c>
      <c r="J52" s="5">
        <f>科室绩效工资核算1!M52-SUMIF(中层绩效!B:B,科室绩效工资核算1!B52,中层绩效!M:M)</f>
        <v>0</v>
      </c>
      <c r="K52" s="5">
        <f>科室绩效工资核算1!N52-SUMIF(中层绩效!B:B,科室绩效工资核算1!B52,中层绩效!N:N)</f>
        <v>0</v>
      </c>
      <c r="L52" s="5">
        <f>科室绩效工资核算1!O52-SUMIF(中层绩效!B:B,科室绩效工资核算1!B52,中层绩效!O:O)</f>
        <v>0</v>
      </c>
      <c r="M52" s="5">
        <f>科室绩效工资核算1!P52-SUMIF(中层绩效!B:B,科室绩效工资核算1!B52,中层绩效!P:P)</f>
        <v>0</v>
      </c>
      <c r="N52" s="5">
        <f>科室绩效工资核算1!Q52-SUMIF(中层绩效!B:B,科室绩效工资核算1!B52,中层绩效!Q:Q)</f>
        <v>0</v>
      </c>
      <c r="O52" s="5">
        <f>科室绩效工资核算1!R52-SUMIF(中层绩效!B:B,科室绩效工资核算1!B52,中层绩效!R:R)</f>
        <v>0</v>
      </c>
      <c r="P52" s="5">
        <f>科室绩效工资核算1!S52-SUMIF(中层绩效!B:B,科室绩效工资核算1!B52,中层绩效!S:S)</f>
        <v>0</v>
      </c>
      <c r="Q52" s="5">
        <f>科室绩效工资核算1!T52-SUMIF(中层绩效!B:B,科室绩效工资核算1!B52,中层绩效!T:T)</f>
        <v>0</v>
      </c>
      <c r="R52" s="5">
        <f>科室绩效工资核算1!V52</f>
        <v>0</v>
      </c>
      <c r="S52" s="5">
        <f>科室绩效工资核算1!U52</f>
        <v>0</v>
      </c>
      <c r="T52" s="5">
        <f>SUM(科室绩效工资核算1!AI52+科室绩效工资核算1!AH52)</f>
        <v>0</v>
      </c>
      <c r="U52" s="43">
        <f t="shared" si="3"/>
        <v>59707</v>
      </c>
      <c r="V52" s="43">
        <f t="shared" si="4"/>
        <v>59707</v>
      </c>
      <c r="W52" s="43">
        <f>IFERROR(D52/VLOOKUP($B:$B,人员表!$B:$G,MATCH("员工",人员表!$B$3:$G$3,0),0)*VLOOKUP($B:$B,人员表!$B:$G,MATCH("护理组",人员表!$B$3:$G$3,0),0),0)</f>
        <v>0</v>
      </c>
      <c r="X52" s="5">
        <f t="shared" si="1"/>
        <v>0</v>
      </c>
      <c r="Y52" s="5">
        <f t="shared" si="2"/>
        <v>0</v>
      </c>
    </row>
    <row r="53" spans="2:25" x14ac:dyDescent="0.25">
      <c r="B53" s="38" t="str">
        <f>科室绩效工资核算1!B53</f>
        <v>门诊西药房</v>
      </c>
      <c r="C53" s="43">
        <f>科室绩效工资核算1!C53</f>
        <v>0</v>
      </c>
      <c r="D53" s="5">
        <f>SUM(科室绩效工资核算1!D53:G53)+SUM(科室绩效工资核算1!W53:AG53)</f>
        <v>0</v>
      </c>
      <c r="E53" s="5">
        <f>科室绩效工资核算1!H53-SUMIF(中层绩效!B:B,科室绩效工资核算2!B53,中层绩效!H:H)</f>
        <v>0</v>
      </c>
      <c r="F53" s="5">
        <f>科室绩效工资核算1!I53-SUMIF(中层绩效!B:B,科室绩效工资核算1!B53,中层绩效!I:I)</f>
        <v>0</v>
      </c>
      <c r="G53" s="5">
        <f>科室绩效工资核算1!J53-SUMIF(中层绩效!B:B,科室绩效工资核算1!B53,中层绩效!J:J)</f>
        <v>0</v>
      </c>
      <c r="H53" s="5">
        <f>科室绩效工资核算1!K53-SUMIF(中层绩效!B:B,科室绩效工资核算1!B53,中层绩效!K:K)</f>
        <v>0</v>
      </c>
      <c r="I53" s="5">
        <f>科室绩效工资核算1!L53-SUMIF(中层绩效!B:B,科室绩效工资核算1!B53,中层绩效!L:L)</f>
        <v>0</v>
      </c>
      <c r="J53" s="5">
        <f>科室绩效工资核算1!M53-SUMIF(中层绩效!B:B,科室绩效工资核算1!B53,中层绩效!M:M)</f>
        <v>0</v>
      </c>
      <c r="K53" s="5">
        <f>科室绩效工资核算1!N53-SUMIF(中层绩效!B:B,科室绩效工资核算1!B53,中层绩效!N:N)</f>
        <v>0</v>
      </c>
      <c r="L53" s="5">
        <f>科室绩效工资核算1!O53-SUMIF(中层绩效!B:B,科室绩效工资核算1!B53,中层绩效!O:O)</f>
        <v>0</v>
      </c>
      <c r="M53" s="5">
        <f>科室绩效工资核算1!P53-SUMIF(中层绩效!B:B,科室绩效工资核算1!B53,中层绩效!P:P)</f>
        <v>0</v>
      </c>
      <c r="N53" s="5">
        <f>科室绩效工资核算1!Q53-SUMIF(中层绩效!B:B,科室绩效工资核算1!B53,中层绩效!Q:Q)</f>
        <v>0</v>
      </c>
      <c r="O53" s="5">
        <f>科室绩效工资核算1!R53-SUMIF(中层绩效!B:B,科室绩效工资核算1!B53,中层绩效!R:R)</f>
        <v>0</v>
      </c>
      <c r="P53" s="5">
        <f>科室绩效工资核算1!S53-SUMIF(中层绩效!B:B,科室绩效工资核算1!B53,中层绩效!S:S)</f>
        <v>0</v>
      </c>
      <c r="Q53" s="5">
        <f>科室绩效工资核算1!T53-SUMIF(中层绩效!B:B,科室绩效工资核算1!B53,中层绩效!T:T)</f>
        <v>0</v>
      </c>
      <c r="R53" s="5">
        <f>科室绩效工资核算1!V53</f>
        <v>0</v>
      </c>
      <c r="S53" s="5">
        <f>科室绩效工资核算1!U53</f>
        <v>0</v>
      </c>
      <c r="T53" s="5">
        <f>SUM(科室绩效工资核算1!AI53+科室绩效工资核算1!AH53)</f>
        <v>0</v>
      </c>
      <c r="U53" s="43">
        <f t="shared" si="3"/>
        <v>0</v>
      </c>
      <c r="V53" s="43">
        <f t="shared" si="4"/>
        <v>0</v>
      </c>
      <c r="W53" s="43">
        <f>IFERROR(D53/VLOOKUP($B:$B,人员表!$B:$G,MATCH("员工",人员表!$B$3:$G$3,0),0)*VLOOKUP($B:$B,人员表!$B:$G,MATCH("护理组",人员表!$B$3:$G$3,0),0),0)</f>
        <v>0</v>
      </c>
      <c r="X53" s="5">
        <f t="shared" si="1"/>
        <v>0</v>
      </c>
      <c r="Y53" s="5">
        <f t="shared" si="2"/>
        <v>0</v>
      </c>
    </row>
    <row r="54" spans="2:25" x14ac:dyDescent="0.25">
      <c r="B54" s="38" t="str">
        <f>科室绩效工资核算1!B54</f>
        <v>门诊中药房</v>
      </c>
      <c r="C54" s="43">
        <f>科室绩效工资核算1!C54</f>
        <v>0</v>
      </c>
      <c r="D54" s="5">
        <f>SUM(科室绩效工资核算1!D54:G54)+SUM(科室绩效工资核算1!W54:AG54)</f>
        <v>0</v>
      </c>
      <c r="E54" s="5">
        <f>科室绩效工资核算1!H54-SUMIF(中层绩效!B:B,科室绩效工资核算2!B54,中层绩效!H:H)</f>
        <v>0</v>
      </c>
      <c r="F54" s="5">
        <f>科室绩效工资核算1!I54-SUMIF(中层绩效!B:B,科室绩效工资核算1!B54,中层绩效!I:I)</f>
        <v>0</v>
      </c>
      <c r="G54" s="5">
        <f>科室绩效工资核算1!J54-SUMIF(中层绩效!B:B,科室绩效工资核算1!B54,中层绩效!J:J)</f>
        <v>0</v>
      </c>
      <c r="H54" s="5">
        <f>科室绩效工资核算1!K54-SUMIF(中层绩效!B:B,科室绩效工资核算1!B54,中层绩效!K:K)</f>
        <v>0</v>
      </c>
      <c r="I54" s="5">
        <f>科室绩效工资核算1!L54-SUMIF(中层绩效!B:B,科室绩效工资核算1!B54,中层绩效!L:L)</f>
        <v>0</v>
      </c>
      <c r="J54" s="5">
        <f>科室绩效工资核算1!M54-SUMIF(中层绩效!B:B,科室绩效工资核算1!B54,中层绩效!M:M)</f>
        <v>0</v>
      </c>
      <c r="K54" s="5">
        <f>科室绩效工资核算1!N54-SUMIF(中层绩效!B:B,科室绩效工资核算1!B54,中层绩效!N:N)</f>
        <v>0</v>
      </c>
      <c r="L54" s="5">
        <f>科室绩效工资核算1!O54-SUMIF(中层绩效!B:B,科室绩效工资核算1!B54,中层绩效!O:O)</f>
        <v>0</v>
      </c>
      <c r="M54" s="5">
        <f>科室绩效工资核算1!P54-SUMIF(中层绩效!B:B,科室绩效工资核算1!B54,中层绩效!P:P)</f>
        <v>0</v>
      </c>
      <c r="N54" s="5">
        <f>科室绩效工资核算1!Q54-SUMIF(中层绩效!B:B,科室绩效工资核算1!B54,中层绩效!Q:Q)</f>
        <v>0</v>
      </c>
      <c r="O54" s="5">
        <f>科室绩效工资核算1!R54-SUMIF(中层绩效!B:B,科室绩效工资核算1!B54,中层绩效!R:R)</f>
        <v>0</v>
      </c>
      <c r="P54" s="5">
        <f>科室绩效工资核算1!S54-SUMIF(中层绩效!B:B,科室绩效工资核算1!B54,中层绩效!S:S)</f>
        <v>0</v>
      </c>
      <c r="Q54" s="5">
        <f>科室绩效工资核算1!T54-SUMIF(中层绩效!B:B,科室绩效工资核算1!B54,中层绩效!T:T)</f>
        <v>0</v>
      </c>
      <c r="R54" s="5">
        <f>科室绩效工资核算1!V54</f>
        <v>0</v>
      </c>
      <c r="S54" s="5">
        <f>科室绩效工资核算1!U54</f>
        <v>0</v>
      </c>
      <c r="T54" s="5">
        <f>SUM(科室绩效工资核算1!AI54+科室绩效工资核算1!AH54)</f>
        <v>0</v>
      </c>
      <c r="U54" s="43">
        <f t="shared" si="3"/>
        <v>0</v>
      </c>
      <c r="V54" s="43">
        <f t="shared" si="4"/>
        <v>0</v>
      </c>
      <c r="W54" s="43">
        <f>IFERROR(D54/VLOOKUP($B:$B,人员表!$B:$G,MATCH("员工",人员表!$B$3:$G$3,0),0)*VLOOKUP($B:$B,人员表!$B:$G,MATCH("护理组",人员表!$B$3:$G$3,0),0),0)</f>
        <v>0</v>
      </c>
      <c r="X54" s="5">
        <f t="shared" si="1"/>
        <v>0</v>
      </c>
      <c r="Y54" s="5">
        <f t="shared" si="2"/>
        <v>0</v>
      </c>
    </row>
    <row r="55" spans="2:25" x14ac:dyDescent="0.25">
      <c r="B55" s="38" t="str">
        <f>科室绩效工资核算1!B55</f>
        <v>住院药房</v>
      </c>
      <c r="C55" s="43">
        <f>科室绩效工资核算1!C55</f>
        <v>0</v>
      </c>
      <c r="D55" s="5">
        <f>SUM(科室绩效工资核算1!D55:G55)+SUM(科室绩效工资核算1!W55:AG55)</f>
        <v>0</v>
      </c>
      <c r="E55" s="5">
        <f>科室绩效工资核算1!H55-SUMIF(中层绩效!B:B,科室绩效工资核算2!B55,中层绩效!H:H)</f>
        <v>0</v>
      </c>
      <c r="F55" s="5">
        <f>科室绩效工资核算1!I55-SUMIF(中层绩效!B:B,科室绩效工资核算1!B55,中层绩效!I:I)</f>
        <v>0</v>
      </c>
      <c r="G55" s="5">
        <f>科室绩效工资核算1!J55-SUMIF(中层绩效!B:B,科室绩效工资核算1!B55,中层绩效!J:J)</f>
        <v>0</v>
      </c>
      <c r="H55" s="5">
        <f>科室绩效工资核算1!K55-SUMIF(中层绩效!B:B,科室绩效工资核算1!B55,中层绩效!K:K)</f>
        <v>0</v>
      </c>
      <c r="I55" s="5">
        <f>科室绩效工资核算1!L55-SUMIF(中层绩效!B:B,科室绩效工资核算1!B55,中层绩效!L:L)</f>
        <v>0</v>
      </c>
      <c r="J55" s="5">
        <f>科室绩效工资核算1!M55-SUMIF(中层绩效!B:B,科室绩效工资核算1!B55,中层绩效!M:M)</f>
        <v>0</v>
      </c>
      <c r="K55" s="5">
        <f>科室绩效工资核算1!N55-SUMIF(中层绩效!B:B,科室绩效工资核算1!B55,中层绩效!N:N)</f>
        <v>0</v>
      </c>
      <c r="L55" s="5">
        <f>科室绩效工资核算1!O55-SUMIF(中层绩效!B:B,科室绩效工资核算1!B55,中层绩效!O:O)</f>
        <v>0</v>
      </c>
      <c r="M55" s="5">
        <f>科室绩效工资核算1!P55-SUMIF(中层绩效!B:B,科室绩效工资核算1!B55,中层绩效!P:P)</f>
        <v>0</v>
      </c>
      <c r="N55" s="5">
        <f>科室绩效工资核算1!Q55-SUMIF(中层绩效!B:B,科室绩效工资核算1!B55,中层绩效!Q:Q)</f>
        <v>0</v>
      </c>
      <c r="O55" s="5">
        <f>科室绩效工资核算1!R55-SUMIF(中层绩效!B:B,科室绩效工资核算1!B55,中层绩效!R:R)</f>
        <v>0</v>
      </c>
      <c r="P55" s="5">
        <f>科室绩效工资核算1!S55-SUMIF(中层绩效!B:B,科室绩效工资核算1!B55,中层绩效!S:S)</f>
        <v>0</v>
      </c>
      <c r="Q55" s="5">
        <f>科室绩效工资核算1!T55-SUMIF(中层绩效!B:B,科室绩效工资核算1!B55,中层绩效!T:T)</f>
        <v>0</v>
      </c>
      <c r="R55" s="5">
        <f>科室绩效工资核算1!V55</f>
        <v>0</v>
      </c>
      <c r="S55" s="5">
        <f>科室绩效工资核算1!U55</f>
        <v>0</v>
      </c>
      <c r="T55" s="5">
        <f>SUM(科室绩效工资核算1!AI55+科室绩效工资核算1!AH55)</f>
        <v>0</v>
      </c>
      <c r="U55" s="43">
        <f t="shared" si="3"/>
        <v>0</v>
      </c>
      <c r="V55" s="43">
        <f t="shared" si="4"/>
        <v>0</v>
      </c>
      <c r="W55" s="43">
        <f>IFERROR(D55/VLOOKUP($B:$B,人员表!$B:$G,MATCH("员工",人员表!$B$3:$G$3,0),0)*VLOOKUP($B:$B,人员表!$B:$G,MATCH("护理组",人员表!$B$3:$G$3,0),0),0)</f>
        <v>0</v>
      </c>
      <c r="X55" s="5">
        <f t="shared" si="1"/>
        <v>0</v>
      </c>
      <c r="Y55" s="5">
        <f t="shared" si="2"/>
        <v>0</v>
      </c>
    </row>
    <row r="56" spans="2:25" x14ac:dyDescent="0.25">
      <c r="B56" s="38" t="str">
        <f>科室绩效工资核算1!B56</f>
        <v>药库</v>
      </c>
      <c r="C56" s="43">
        <f>科室绩效工资核算1!C56</f>
        <v>0</v>
      </c>
      <c r="D56" s="5">
        <f>SUM(科室绩效工资核算1!D56:G56)+SUM(科室绩效工资核算1!W56:AG56)</f>
        <v>0</v>
      </c>
      <c r="E56" s="5">
        <f>科室绩效工资核算1!H56-SUMIF(中层绩效!B:B,科室绩效工资核算2!B56,中层绩效!H:H)</f>
        <v>0</v>
      </c>
      <c r="F56" s="5">
        <f>科室绩效工资核算1!I56-SUMIF(中层绩效!B:B,科室绩效工资核算1!B56,中层绩效!I:I)</f>
        <v>0</v>
      </c>
      <c r="G56" s="5">
        <f>科室绩效工资核算1!J56-SUMIF(中层绩效!B:B,科室绩效工资核算1!B56,中层绩效!J:J)</f>
        <v>0</v>
      </c>
      <c r="H56" s="5">
        <f>科室绩效工资核算1!K56-SUMIF(中层绩效!B:B,科室绩效工资核算1!B56,中层绩效!K:K)</f>
        <v>0</v>
      </c>
      <c r="I56" s="5">
        <f>科室绩效工资核算1!L56-SUMIF(中层绩效!B:B,科室绩效工资核算1!B56,中层绩效!L:L)</f>
        <v>0</v>
      </c>
      <c r="J56" s="5">
        <f>科室绩效工资核算1!M56-SUMIF(中层绩效!B:B,科室绩效工资核算1!B56,中层绩效!M:M)</f>
        <v>0</v>
      </c>
      <c r="K56" s="5">
        <f>科室绩效工资核算1!N56-SUMIF(中层绩效!B:B,科室绩效工资核算1!B56,中层绩效!N:N)</f>
        <v>0</v>
      </c>
      <c r="L56" s="5">
        <f>科室绩效工资核算1!O56-SUMIF(中层绩效!B:B,科室绩效工资核算1!B56,中层绩效!O:O)</f>
        <v>0</v>
      </c>
      <c r="M56" s="5">
        <f>科室绩效工资核算1!P56-SUMIF(中层绩效!B:B,科室绩效工资核算1!B56,中层绩效!P:P)</f>
        <v>0</v>
      </c>
      <c r="N56" s="5">
        <f>科室绩效工资核算1!Q56-SUMIF(中层绩效!B:B,科室绩效工资核算1!B56,中层绩效!Q:Q)</f>
        <v>0</v>
      </c>
      <c r="O56" s="5">
        <f>科室绩效工资核算1!R56-SUMIF(中层绩效!B:B,科室绩效工资核算1!B56,中层绩效!R:R)</f>
        <v>0</v>
      </c>
      <c r="P56" s="5">
        <f>科室绩效工资核算1!S56-SUMIF(中层绩效!B:B,科室绩效工资核算1!B56,中层绩效!S:S)</f>
        <v>0</v>
      </c>
      <c r="Q56" s="5">
        <f>科室绩效工资核算1!T56-SUMIF(中层绩效!B:B,科室绩效工资核算1!B56,中层绩效!T:T)</f>
        <v>0</v>
      </c>
      <c r="R56" s="5">
        <f>科室绩效工资核算1!V56</f>
        <v>0</v>
      </c>
      <c r="S56" s="5">
        <f>科室绩效工资核算1!U56</f>
        <v>0</v>
      </c>
      <c r="T56" s="5">
        <f>SUM(科室绩效工资核算1!AI56+科室绩效工资核算1!AH56)</f>
        <v>0</v>
      </c>
      <c r="U56" s="43">
        <f t="shared" si="3"/>
        <v>0</v>
      </c>
      <c r="V56" s="43">
        <f t="shared" si="4"/>
        <v>0</v>
      </c>
      <c r="W56" s="43">
        <f>IFERROR(D56/VLOOKUP($B:$B,人员表!$B:$G,MATCH("员工",人员表!$B$3:$G$3,0),0)*VLOOKUP($B:$B,人员表!$B:$G,MATCH("护理组",人员表!$B$3:$G$3,0),0),0)</f>
        <v>0</v>
      </c>
      <c r="X56" s="5">
        <f t="shared" si="1"/>
        <v>0</v>
      </c>
      <c r="Y56" s="5">
        <f t="shared" si="2"/>
        <v>0</v>
      </c>
    </row>
    <row r="57" spans="2:25" x14ac:dyDescent="0.25">
      <c r="B57" s="38" t="str">
        <f>科室绩效工资核算1!B57</f>
        <v>液体库</v>
      </c>
      <c r="C57" s="43">
        <f>科室绩效工资核算1!C57</f>
        <v>0</v>
      </c>
      <c r="D57" s="5">
        <f>SUM(科室绩效工资核算1!D57:G57)+SUM(科室绩效工资核算1!W57:AG57)</f>
        <v>0</v>
      </c>
      <c r="E57" s="5">
        <f>科室绩效工资核算1!H57-SUMIF(中层绩效!B:B,科室绩效工资核算2!B57,中层绩效!H:H)</f>
        <v>0</v>
      </c>
      <c r="F57" s="5">
        <f>科室绩效工资核算1!I57-SUMIF(中层绩效!B:B,科室绩效工资核算1!B57,中层绩效!I:I)</f>
        <v>0</v>
      </c>
      <c r="G57" s="5">
        <f>科室绩效工资核算1!J57-SUMIF(中层绩效!B:B,科室绩效工资核算1!B57,中层绩效!J:J)</f>
        <v>0</v>
      </c>
      <c r="H57" s="5">
        <f>科室绩效工资核算1!K57-SUMIF(中层绩效!B:B,科室绩效工资核算1!B57,中层绩效!K:K)</f>
        <v>0</v>
      </c>
      <c r="I57" s="5">
        <f>科室绩效工资核算1!L57-SUMIF(中层绩效!B:B,科室绩效工资核算1!B57,中层绩效!L:L)</f>
        <v>0</v>
      </c>
      <c r="J57" s="5">
        <f>科室绩效工资核算1!M57-SUMIF(中层绩效!B:B,科室绩效工资核算1!B57,中层绩效!M:M)</f>
        <v>0</v>
      </c>
      <c r="K57" s="5">
        <f>科室绩效工资核算1!N57-SUMIF(中层绩效!B:B,科室绩效工资核算1!B57,中层绩效!N:N)</f>
        <v>0</v>
      </c>
      <c r="L57" s="5">
        <f>科室绩效工资核算1!O57-SUMIF(中层绩效!B:B,科室绩效工资核算1!B57,中层绩效!O:O)</f>
        <v>0</v>
      </c>
      <c r="M57" s="5">
        <f>科室绩效工资核算1!P57-SUMIF(中层绩效!B:B,科室绩效工资核算1!B57,中层绩效!P:P)</f>
        <v>0</v>
      </c>
      <c r="N57" s="5">
        <f>科室绩效工资核算1!Q57-SUMIF(中层绩效!B:B,科室绩效工资核算1!B57,中层绩效!Q:Q)</f>
        <v>0</v>
      </c>
      <c r="O57" s="5">
        <f>科室绩效工资核算1!R57-SUMIF(中层绩效!B:B,科室绩效工资核算1!B57,中层绩效!R:R)</f>
        <v>0</v>
      </c>
      <c r="P57" s="5">
        <f>科室绩效工资核算1!S57-SUMIF(中层绩效!B:B,科室绩效工资核算1!B57,中层绩效!S:S)</f>
        <v>0</v>
      </c>
      <c r="Q57" s="5">
        <f>科室绩效工资核算1!T57-SUMIF(中层绩效!B:B,科室绩效工资核算1!B57,中层绩效!T:T)</f>
        <v>0</v>
      </c>
      <c r="R57" s="5">
        <f>科室绩效工资核算1!V57</f>
        <v>0</v>
      </c>
      <c r="S57" s="5">
        <f>科室绩效工资核算1!U57</f>
        <v>0</v>
      </c>
      <c r="T57" s="5">
        <f>SUM(科室绩效工资核算1!AI57+科室绩效工资核算1!AH57)</f>
        <v>0</v>
      </c>
      <c r="U57" s="43">
        <f t="shared" si="3"/>
        <v>0</v>
      </c>
      <c r="V57" s="43">
        <f t="shared" si="4"/>
        <v>0</v>
      </c>
      <c r="W57" s="43">
        <f>IFERROR(D57/VLOOKUP($B:$B,人员表!$B:$G,MATCH("员工",人员表!$B$3:$G$3,0),0)*VLOOKUP($B:$B,人员表!$B:$G,MATCH("护理组",人员表!$B$3:$G$3,0),0),0)</f>
        <v>0</v>
      </c>
      <c r="X57" s="5">
        <f t="shared" si="1"/>
        <v>0</v>
      </c>
      <c r="Y57" s="5">
        <f t="shared" si="2"/>
        <v>0</v>
      </c>
    </row>
    <row r="58" spans="2:25" x14ac:dyDescent="0.25">
      <c r="B58" s="38" t="str">
        <f>科室绩效工资核算1!B58</f>
        <v>分院药房</v>
      </c>
      <c r="C58" s="43">
        <f>科室绩效工资核算1!C58</f>
        <v>0</v>
      </c>
      <c r="D58" s="5">
        <f>SUM(科室绩效工资核算1!D58:G58)+SUM(科室绩效工资核算1!W58:AG58)</f>
        <v>0</v>
      </c>
      <c r="E58" s="5">
        <f>科室绩效工资核算1!H58-SUMIF(中层绩效!B:B,科室绩效工资核算2!B58,中层绩效!H:H)</f>
        <v>0</v>
      </c>
      <c r="F58" s="5">
        <f>科室绩效工资核算1!I58-SUMIF(中层绩效!B:B,科室绩效工资核算1!B58,中层绩效!I:I)</f>
        <v>0</v>
      </c>
      <c r="G58" s="5">
        <f>科室绩效工资核算1!J58-SUMIF(中层绩效!B:B,科室绩效工资核算1!B58,中层绩效!J:J)</f>
        <v>0</v>
      </c>
      <c r="H58" s="5">
        <f>科室绩效工资核算1!K58-SUMIF(中层绩效!B:B,科室绩效工资核算1!B58,中层绩效!K:K)</f>
        <v>0</v>
      </c>
      <c r="I58" s="5">
        <f>科室绩效工资核算1!L58-SUMIF(中层绩效!B:B,科室绩效工资核算1!B58,中层绩效!L:L)</f>
        <v>0</v>
      </c>
      <c r="J58" s="5">
        <f>科室绩效工资核算1!M58-SUMIF(中层绩效!B:B,科室绩效工资核算1!B58,中层绩效!M:M)</f>
        <v>0</v>
      </c>
      <c r="K58" s="5">
        <f>科室绩效工资核算1!N58-SUMIF(中层绩效!B:B,科室绩效工资核算1!B58,中层绩效!N:N)</f>
        <v>0</v>
      </c>
      <c r="L58" s="5">
        <f>科室绩效工资核算1!O58-SUMIF(中层绩效!B:B,科室绩效工资核算1!B58,中层绩效!O:O)</f>
        <v>0</v>
      </c>
      <c r="M58" s="5">
        <f>科室绩效工资核算1!P58-SUMIF(中层绩效!B:B,科室绩效工资核算1!B58,中层绩效!P:P)</f>
        <v>0</v>
      </c>
      <c r="N58" s="5">
        <f>科室绩效工资核算1!Q58-SUMIF(中层绩效!B:B,科室绩效工资核算1!B58,中层绩效!Q:Q)</f>
        <v>0</v>
      </c>
      <c r="O58" s="5">
        <f>科室绩效工资核算1!R58-SUMIF(中层绩效!B:B,科室绩效工资核算1!B58,中层绩效!R:R)</f>
        <v>0</v>
      </c>
      <c r="P58" s="5">
        <f>科室绩效工资核算1!S58-SUMIF(中层绩效!B:B,科室绩效工资核算1!B58,中层绩效!S:S)</f>
        <v>0</v>
      </c>
      <c r="Q58" s="5">
        <f>科室绩效工资核算1!T58-SUMIF(中层绩效!B:B,科室绩效工资核算1!B58,中层绩效!T:T)</f>
        <v>0</v>
      </c>
      <c r="R58" s="5">
        <f>科室绩效工资核算1!V58</f>
        <v>0</v>
      </c>
      <c r="S58" s="5">
        <f>科室绩效工资核算1!U58</f>
        <v>0</v>
      </c>
      <c r="T58" s="5">
        <f>SUM(科室绩效工资核算1!AI58+科室绩效工资核算1!AH58)</f>
        <v>0</v>
      </c>
      <c r="U58" s="43">
        <f t="shared" si="3"/>
        <v>0</v>
      </c>
      <c r="V58" s="43">
        <f t="shared" si="4"/>
        <v>0</v>
      </c>
      <c r="W58" s="43">
        <f>IFERROR(D58/VLOOKUP($B:$B,人员表!$B:$G,MATCH("员工",人员表!$B$3:$G$3,0),0)*VLOOKUP($B:$B,人员表!$B:$G,MATCH("护理组",人员表!$B$3:$G$3,0),0),0)</f>
        <v>0</v>
      </c>
      <c r="X58" s="5">
        <f t="shared" si="1"/>
        <v>0</v>
      </c>
      <c r="Y58" s="5">
        <f t="shared" si="2"/>
        <v>0</v>
      </c>
    </row>
    <row r="59" spans="2:25" x14ac:dyDescent="0.25">
      <c r="B59" s="38" t="str">
        <f>科室绩效工资核算1!B59</f>
        <v>医务科</v>
      </c>
      <c r="C59" s="43">
        <f>科室绩效工资核算1!C59</f>
        <v>5234.9120000000003</v>
      </c>
      <c r="D59" s="5">
        <f>SUM(科室绩效工资核算1!D59:G59)+SUM(科室绩效工资核算1!W59:AG59)</f>
        <v>0</v>
      </c>
      <c r="E59" s="5">
        <f>科室绩效工资核算1!H59-SUMIF(中层绩效!B:B,科室绩效工资核算2!B59,中层绩效!H:H)</f>
        <v>0</v>
      </c>
      <c r="F59" s="5">
        <f>科室绩效工资核算1!I59-SUMIF(中层绩效!B:B,科室绩效工资核算1!B59,中层绩效!I:I)</f>
        <v>0</v>
      </c>
      <c r="G59" s="5">
        <f>科室绩效工资核算1!J59-SUMIF(中层绩效!B:B,科室绩效工资核算1!B59,中层绩效!J:J)</f>
        <v>0</v>
      </c>
      <c r="H59" s="5">
        <f>科室绩效工资核算1!K59-SUMIF(中层绩效!B:B,科室绩效工资核算1!B59,中层绩效!K:K)</f>
        <v>0</v>
      </c>
      <c r="I59" s="5">
        <f>科室绩效工资核算1!L59-SUMIF(中层绩效!B:B,科室绩效工资核算1!B59,中层绩效!L:L)</f>
        <v>0</v>
      </c>
      <c r="J59" s="5">
        <f>科室绩效工资核算1!M59-SUMIF(中层绩效!B:B,科室绩效工资核算1!B59,中层绩效!M:M)</f>
        <v>0</v>
      </c>
      <c r="K59" s="5">
        <f>科室绩效工资核算1!N59-SUMIF(中层绩效!B:B,科室绩效工资核算1!B59,中层绩效!N:N)</f>
        <v>0</v>
      </c>
      <c r="L59" s="5">
        <f>科室绩效工资核算1!O59-SUMIF(中层绩效!B:B,科室绩效工资核算1!B59,中层绩效!O:O)</f>
        <v>0</v>
      </c>
      <c r="M59" s="5">
        <f>科室绩效工资核算1!P59-SUMIF(中层绩效!B:B,科室绩效工资核算1!B59,中层绩效!P:P)</f>
        <v>0</v>
      </c>
      <c r="N59" s="5">
        <f>科室绩效工资核算1!Q59-SUMIF(中层绩效!B:B,科室绩效工资核算1!B59,中层绩效!Q:Q)</f>
        <v>0</v>
      </c>
      <c r="O59" s="5">
        <f>科室绩效工资核算1!R59-SUMIF(中层绩效!B:B,科室绩效工资核算1!B59,中层绩效!R:R)</f>
        <v>0</v>
      </c>
      <c r="P59" s="5">
        <f>科室绩效工资核算1!S59-SUMIF(中层绩效!B:B,科室绩效工资核算1!B59,中层绩效!S:S)</f>
        <v>0</v>
      </c>
      <c r="Q59" s="5">
        <f>科室绩效工资核算1!T59-SUMIF(中层绩效!B:B,科室绩效工资核算1!B59,中层绩效!T:T)</f>
        <v>0</v>
      </c>
      <c r="R59" s="5">
        <f>科室绩效工资核算1!V59</f>
        <v>0</v>
      </c>
      <c r="S59" s="5">
        <f>科室绩效工资核算1!U59</f>
        <v>0</v>
      </c>
      <c r="T59" s="5">
        <f>SUM(科室绩效工资核算1!AI59+科室绩效工资核算1!AH59)</f>
        <v>0</v>
      </c>
      <c r="U59" s="43">
        <f t="shared" si="3"/>
        <v>5234.9120000000003</v>
      </c>
      <c r="V59" s="43">
        <f t="shared" si="4"/>
        <v>5234.9120000000003</v>
      </c>
      <c r="W59" s="43">
        <f>IFERROR(D59/VLOOKUP($B:$B,人员表!$B:$G,MATCH("员工",人员表!$B$3:$G$3,0),0)*VLOOKUP($B:$B,人员表!$B:$G,MATCH("护理组",人员表!$B$3:$G$3,0),0),0)</f>
        <v>0</v>
      </c>
      <c r="X59" s="5">
        <f t="shared" si="1"/>
        <v>0</v>
      </c>
      <c r="Y59" s="5">
        <f t="shared" si="2"/>
        <v>0</v>
      </c>
    </row>
    <row r="60" spans="2:25" x14ac:dyDescent="0.25">
      <c r="B60" s="38" t="str">
        <f>科室绩效工资核算1!B60</f>
        <v>门诊部</v>
      </c>
      <c r="C60" s="43">
        <f>科室绩效工资核算1!C60</f>
        <v>2617.4560000000001</v>
      </c>
      <c r="D60" s="5">
        <f>SUM(科室绩效工资核算1!D60:G60)+SUM(科室绩效工资核算1!W60:AG60)</f>
        <v>0</v>
      </c>
      <c r="E60" s="5">
        <f>科室绩效工资核算1!H60-SUMIF(中层绩效!B:B,科室绩效工资核算2!B60,中层绩效!H:H)</f>
        <v>0</v>
      </c>
      <c r="F60" s="5">
        <f>科室绩效工资核算1!I60-SUMIF(中层绩效!B:B,科室绩效工资核算1!B60,中层绩效!I:I)</f>
        <v>0</v>
      </c>
      <c r="G60" s="5">
        <f>科室绩效工资核算1!J60-SUMIF(中层绩效!B:B,科室绩效工资核算1!B60,中层绩效!J:J)</f>
        <v>0</v>
      </c>
      <c r="H60" s="5">
        <f>科室绩效工资核算1!K60-SUMIF(中层绩效!B:B,科室绩效工资核算1!B60,中层绩效!K:K)</f>
        <v>0</v>
      </c>
      <c r="I60" s="5">
        <f>科室绩效工资核算1!L60-SUMIF(中层绩效!B:B,科室绩效工资核算1!B60,中层绩效!L:L)</f>
        <v>0</v>
      </c>
      <c r="J60" s="5">
        <f>科室绩效工资核算1!M60-SUMIF(中层绩效!B:B,科室绩效工资核算1!B60,中层绩效!M:M)</f>
        <v>0</v>
      </c>
      <c r="K60" s="5">
        <f>科室绩效工资核算1!N60-SUMIF(中层绩效!B:B,科室绩效工资核算1!B60,中层绩效!N:N)</f>
        <v>0</v>
      </c>
      <c r="L60" s="5">
        <f>科室绩效工资核算1!O60-SUMIF(中层绩效!B:B,科室绩效工资核算1!B60,中层绩效!O:O)</f>
        <v>0</v>
      </c>
      <c r="M60" s="5">
        <f>科室绩效工资核算1!P60-SUMIF(中层绩效!B:B,科室绩效工资核算1!B60,中层绩效!P:P)</f>
        <v>0</v>
      </c>
      <c r="N60" s="5">
        <f>科室绩效工资核算1!Q60-SUMIF(中层绩效!B:B,科室绩效工资核算1!B60,中层绩效!Q:Q)</f>
        <v>0</v>
      </c>
      <c r="O60" s="5">
        <f>科室绩效工资核算1!R60-SUMIF(中层绩效!B:B,科室绩效工资核算1!B60,中层绩效!R:R)</f>
        <v>0</v>
      </c>
      <c r="P60" s="5">
        <f>科室绩效工资核算1!S60-SUMIF(中层绩效!B:B,科室绩效工资核算1!B60,中层绩效!S:S)</f>
        <v>0</v>
      </c>
      <c r="Q60" s="5">
        <f>科室绩效工资核算1!T60-SUMIF(中层绩效!B:B,科室绩效工资核算1!B60,中层绩效!T:T)</f>
        <v>0</v>
      </c>
      <c r="R60" s="5">
        <f>科室绩效工资核算1!V60</f>
        <v>0</v>
      </c>
      <c r="S60" s="5">
        <f>科室绩效工资核算1!U60</f>
        <v>0</v>
      </c>
      <c r="T60" s="5">
        <f>SUM(科室绩效工资核算1!AI60+科室绩效工资核算1!AH60)</f>
        <v>0</v>
      </c>
      <c r="U60" s="43">
        <f t="shared" si="3"/>
        <v>2617.4560000000001</v>
      </c>
      <c r="V60" s="43">
        <f t="shared" si="4"/>
        <v>2617.4560000000001</v>
      </c>
      <c r="W60" s="43">
        <f>IFERROR(D60/VLOOKUP($B:$B,人员表!$B:$G,MATCH("员工",人员表!$B$3:$G$3,0),0)*VLOOKUP($B:$B,人员表!$B:$G,MATCH("护理组",人员表!$B$3:$G$3,0),0),0)</f>
        <v>0</v>
      </c>
      <c r="X60" s="5">
        <f t="shared" si="1"/>
        <v>0</v>
      </c>
      <c r="Y60" s="5">
        <f t="shared" si="2"/>
        <v>0</v>
      </c>
    </row>
    <row r="61" spans="2:25" x14ac:dyDescent="0.25">
      <c r="B61" s="38" t="str">
        <f>科室绩效工资核算1!B61</f>
        <v>护理部</v>
      </c>
      <c r="C61" s="43">
        <f>科室绩效工资核算1!C61</f>
        <v>2617.4560000000001</v>
      </c>
      <c r="D61" s="5">
        <f>SUM(科室绩效工资核算1!D61:G61)+SUM(科室绩效工资核算1!W61:AG61)</f>
        <v>0</v>
      </c>
      <c r="E61" s="5">
        <f>科室绩效工资核算1!H61-SUMIF(中层绩效!B:B,科室绩效工资核算2!B61,中层绩效!H:H)</f>
        <v>0</v>
      </c>
      <c r="F61" s="5">
        <f>科室绩效工资核算1!I61-SUMIF(中层绩效!B:B,科室绩效工资核算1!B61,中层绩效!I:I)</f>
        <v>0</v>
      </c>
      <c r="G61" s="5">
        <f>科室绩效工资核算1!J61-SUMIF(中层绩效!B:B,科室绩效工资核算1!B61,中层绩效!J:J)</f>
        <v>0</v>
      </c>
      <c r="H61" s="5">
        <f>科室绩效工资核算1!K61-SUMIF(中层绩效!B:B,科室绩效工资核算1!B61,中层绩效!K:K)</f>
        <v>0</v>
      </c>
      <c r="I61" s="5">
        <f>科室绩效工资核算1!L61-SUMIF(中层绩效!B:B,科室绩效工资核算1!B61,中层绩效!L:L)</f>
        <v>0</v>
      </c>
      <c r="J61" s="5">
        <f>科室绩效工资核算1!M61-SUMIF(中层绩效!B:B,科室绩效工资核算1!B61,中层绩效!M:M)</f>
        <v>0</v>
      </c>
      <c r="K61" s="5">
        <f>科室绩效工资核算1!N61-SUMIF(中层绩效!B:B,科室绩效工资核算1!B61,中层绩效!N:N)</f>
        <v>0</v>
      </c>
      <c r="L61" s="5">
        <f>科室绩效工资核算1!O61-SUMIF(中层绩效!B:B,科室绩效工资核算1!B61,中层绩效!O:O)</f>
        <v>0</v>
      </c>
      <c r="M61" s="5">
        <f>科室绩效工资核算1!P61-SUMIF(中层绩效!B:B,科室绩效工资核算1!B61,中层绩效!P:P)</f>
        <v>0</v>
      </c>
      <c r="N61" s="5">
        <f>科室绩效工资核算1!Q61-SUMIF(中层绩效!B:B,科室绩效工资核算1!B61,中层绩效!Q:Q)</f>
        <v>0</v>
      </c>
      <c r="O61" s="5">
        <f>科室绩效工资核算1!R61-SUMIF(中层绩效!B:B,科室绩效工资核算1!B61,中层绩效!R:R)</f>
        <v>0</v>
      </c>
      <c r="P61" s="5">
        <f>科室绩效工资核算1!S61-SUMIF(中层绩效!B:B,科室绩效工资核算1!B61,中层绩效!S:S)</f>
        <v>0</v>
      </c>
      <c r="Q61" s="5">
        <f>科室绩效工资核算1!T61-SUMIF(中层绩效!B:B,科室绩效工资核算1!B61,中层绩效!T:T)</f>
        <v>0</v>
      </c>
      <c r="R61" s="5">
        <f>科室绩效工资核算1!V61</f>
        <v>0</v>
      </c>
      <c r="S61" s="5">
        <f>科室绩效工资核算1!U61</f>
        <v>0</v>
      </c>
      <c r="T61" s="5">
        <f>SUM(科室绩效工资核算1!AI61+科室绩效工资核算1!AH61)</f>
        <v>0</v>
      </c>
      <c r="U61" s="43">
        <f t="shared" si="3"/>
        <v>2617.4560000000001</v>
      </c>
      <c r="V61" s="43">
        <f t="shared" si="4"/>
        <v>2617.4560000000001</v>
      </c>
      <c r="W61" s="43">
        <f>IFERROR(D61/VLOOKUP($B:$B,人员表!$B:$G,MATCH("员工",人员表!$B$3:$G$3,0),0)*VLOOKUP($B:$B,人员表!$B:$G,MATCH("护理组",人员表!$B$3:$G$3,0),0),0)</f>
        <v>0</v>
      </c>
      <c r="X61" s="5">
        <f t="shared" si="1"/>
        <v>0</v>
      </c>
      <c r="Y61" s="5">
        <f t="shared" si="2"/>
        <v>0</v>
      </c>
    </row>
    <row r="62" spans="2:25" x14ac:dyDescent="0.25">
      <c r="B62" s="38" t="str">
        <f>科室绩效工资核算1!B62</f>
        <v>服务部</v>
      </c>
      <c r="C62" s="43">
        <f>科室绩效工资核算1!C62</f>
        <v>0</v>
      </c>
      <c r="D62" s="5">
        <f>SUM(科室绩效工资核算1!D62:G62)+SUM(科室绩效工资核算1!W62:AG62)</f>
        <v>0</v>
      </c>
      <c r="E62" s="5">
        <f>科室绩效工资核算1!H62-SUMIF(中层绩效!B:B,科室绩效工资核算2!B62,中层绩效!H:H)</f>
        <v>0</v>
      </c>
      <c r="F62" s="5">
        <f>科室绩效工资核算1!I62-SUMIF(中层绩效!B:B,科室绩效工资核算1!B62,中层绩效!I:I)</f>
        <v>0</v>
      </c>
      <c r="G62" s="5">
        <f>科室绩效工资核算1!J62-SUMIF(中层绩效!B:B,科室绩效工资核算1!B62,中层绩效!J:J)</f>
        <v>0</v>
      </c>
      <c r="H62" s="5">
        <f>科室绩效工资核算1!K62-SUMIF(中层绩效!B:B,科室绩效工资核算1!B62,中层绩效!K:K)</f>
        <v>0</v>
      </c>
      <c r="I62" s="5">
        <f>科室绩效工资核算1!L62-SUMIF(中层绩效!B:B,科室绩效工资核算1!B62,中层绩效!L:L)</f>
        <v>0</v>
      </c>
      <c r="J62" s="5">
        <f>科室绩效工资核算1!M62-SUMIF(中层绩效!B:B,科室绩效工资核算1!B62,中层绩效!M:M)</f>
        <v>0</v>
      </c>
      <c r="K62" s="5">
        <f>科室绩效工资核算1!N62-SUMIF(中层绩效!B:B,科室绩效工资核算1!B62,中层绩效!N:N)</f>
        <v>0</v>
      </c>
      <c r="L62" s="5">
        <f>科室绩效工资核算1!O62-SUMIF(中层绩效!B:B,科室绩效工资核算1!B62,中层绩效!O:O)</f>
        <v>0</v>
      </c>
      <c r="M62" s="5">
        <f>科室绩效工资核算1!P62-SUMIF(中层绩效!B:B,科室绩效工资核算1!B62,中层绩效!P:P)</f>
        <v>0</v>
      </c>
      <c r="N62" s="5">
        <f>科室绩效工资核算1!Q62-SUMIF(中层绩效!B:B,科室绩效工资核算1!B62,中层绩效!Q:Q)</f>
        <v>0</v>
      </c>
      <c r="O62" s="5">
        <f>科室绩效工资核算1!R62-SUMIF(中层绩效!B:B,科室绩效工资核算1!B62,中层绩效!R:R)</f>
        <v>0</v>
      </c>
      <c r="P62" s="5">
        <f>科室绩效工资核算1!S62-SUMIF(中层绩效!B:B,科室绩效工资核算1!B62,中层绩效!S:S)</f>
        <v>0</v>
      </c>
      <c r="Q62" s="5">
        <f>科室绩效工资核算1!T62-SUMIF(中层绩效!B:B,科室绩效工资核算1!B62,中层绩效!T:T)</f>
        <v>0</v>
      </c>
      <c r="R62" s="5">
        <f>科室绩效工资核算1!V62</f>
        <v>0</v>
      </c>
      <c r="S62" s="5">
        <f>科室绩效工资核算1!U62</f>
        <v>0</v>
      </c>
      <c r="T62" s="5">
        <f>SUM(科室绩效工资核算1!AI62+科室绩效工资核算1!AH62)</f>
        <v>0</v>
      </c>
      <c r="U62" s="43">
        <f t="shared" si="3"/>
        <v>0</v>
      </c>
      <c r="V62" s="43">
        <f t="shared" si="4"/>
        <v>0</v>
      </c>
      <c r="W62" s="43">
        <f>IFERROR(D62/VLOOKUP($B:$B,人员表!$B:$G,MATCH("员工",人员表!$B$3:$G$3,0),0)*VLOOKUP($B:$B,人员表!$B:$G,MATCH("护理组",人员表!$B$3:$G$3,0),0),0)</f>
        <v>0</v>
      </c>
      <c r="X62" s="5">
        <f t="shared" si="1"/>
        <v>0</v>
      </c>
      <c r="Y62" s="5">
        <f t="shared" si="2"/>
        <v>0</v>
      </c>
    </row>
    <row r="63" spans="2:25" x14ac:dyDescent="0.25">
      <c r="B63" s="38" t="str">
        <f>科室绩效工资核算1!B63</f>
        <v>财务科</v>
      </c>
      <c r="C63" s="43">
        <f>科室绩效工资核算1!C63</f>
        <v>0</v>
      </c>
      <c r="D63" s="5">
        <f>SUM(科室绩效工资核算1!D63:G63)+SUM(科室绩效工资核算1!W63:AG63)</f>
        <v>69553</v>
      </c>
      <c r="E63" s="5">
        <f>科室绩效工资核算1!H63-SUMIF(中层绩效!B:B,科室绩效工资核算2!B63,中层绩效!H:H)</f>
        <v>0</v>
      </c>
      <c r="F63" s="5">
        <f>科室绩效工资核算1!I63-SUMIF(中层绩效!B:B,科室绩效工资核算1!B63,中层绩效!I:I)</f>
        <v>0</v>
      </c>
      <c r="G63" s="5">
        <f>科室绩效工资核算1!J63-SUMIF(中层绩效!B:B,科室绩效工资核算1!B63,中层绩效!J:J)</f>
        <v>0</v>
      </c>
      <c r="H63" s="5">
        <f>科室绩效工资核算1!K63-SUMIF(中层绩效!B:B,科室绩效工资核算1!B63,中层绩效!K:K)</f>
        <v>0</v>
      </c>
      <c r="I63" s="5">
        <f>科室绩效工资核算1!L63-SUMIF(中层绩效!B:B,科室绩效工资核算1!B63,中层绩效!L:L)</f>
        <v>0</v>
      </c>
      <c r="J63" s="5">
        <f>科室绩效工资核算1!M63-SUMIF(中层绩效!B:B,科室绩效工资核算1!B63,中层绩效!M:M)</f>
        <v>0</v>
      </c>
      <c r="K63" s="5">
        <f>科室绩效工资核算1!N63-SUMIF(中层绩效!B:B,科室绩效工资核算1!B63,中层绩效!N:N)</f>
        <v>0</v>
      </c>
      <c r="L63" s="5">
        <f>科室绩效工资核算1!O63-SUMIF(中层绩效!B:B,科室绩效工资核算1!B63,中层绩效!O:O)</f>
        <v>0</v>
      </c>
      <c r="M63" s="5">
        <f>科室绩效工资核算1!P63-SUMIF(中层绩效!B:B,科室绩效工资核算1!B63,中层绩效!P:P)</f>
        <v>0</v>
      </c>
      <c r="N63" s="5">
        <f>科室绩效工资核算1!Q63-SUMIF(中层绩效!B:B,科室绩效工资核算1!B63,中层绩效!Q:Q)</f>
        <v>0</v>
      </c>
      <c r="O63" s="5">
        <f>科室绩效工资核算1!R63-SUMIF(中层绩效!B:B,科室绩效工资核算1!B63,中层绩效!R:R)</f>
        <v>0</v>
      </c>
      <c r="P63" s="5">
        <f>科室绩效工资核算1!S63-SUMIF(中层绩效!B:B,科室绩效工资核算1!B63,中层绩效!S:S)</f>
        <v>0</v>
      </c>
      <c r="Q63" s="5">
        <f>科室绩效工资核算1!T63-SUMIF(中层绩效!B:B,科室绩效工资核算1!B63,中层绩效!T:T)</f>
        <v>0</v>
      </c>
      <c r="R63" s="5">
        <f>科室绩效工资核算1!V63</f>
        <v>0</v>
      </c>
      <c r="S63" s="5">
        <f>科室绩效工资核算1!U63</f>
        <v>0</v>
      </c>
      <c r="T63" s="5">
        <f>SUM(科室绩效工资核算1!AI63+科室绩效工资核算1!AH63)</f>
        <v>0</v>
      </c>
      <c r="U63" s="43">
        <f t="shared" si="3"/>
        <v>69553</v>
      </c>
      <c r="V63" s="43">
        <f t="shared" si="4"/>
        <v>69553</v>
      </c>
      <c r="W63" s="43">
        <f>IFERROR(D63/VLOOKUP($B:$B,人员表!$B:$G,MATCH("员工",人员表!$B$3:$G$3,0),0)*VLOOKUP($B:$B,人员表!$B:$G,MATCH("护理组",人员表!$B$3:$G$3,0),0),0)</f>
        <v>0</v>
      </c>
      <c r="X63" s="5">
        <f t="shared" si="1"/>
        <v>0</v>
      </c>
      <c r="Y63" s="5">
        <f t="shared" si="2"/>
        <v>0</v>
      </c>
    </row>
    <row r="64" spans="2:25" x14ac:dyDescent="0.25">
      <c r="B64" s="38" t="str">
        <f>科室绩效工资核算1!B64</f>
        <v>院感科</v>
      </c>
      <c r="C64" s="43">
        <f>科室绩效工资核算1!C64</f>
        <v>1308.7280000000001</v>
      </c>
      <c r="D64" s="5">
        <f>SUM(科室绩效工资核算1!D64:G64)+SUM(科室绩效工资核算1!W64:AG64)</f>
        <v>0</v>
      </c>
      <c r="E64" s="5">
        <f>科室绩效工资核算1!H64-SUMIF(中层绩效!B:B,科室绩效工资核算2!B64,中层绩效!H:H)</f>
        <v>0</v>
      </c>
      <c r="F64" s="5">
        <f>科室绩效工资核算1!I64-SUMIF(中层绩效!B:B,科室绩效工资核算1!B64,中层绩效!I:I)</f>
        <v>0</v>
      </c>
      <c r="G64" s="5">
        <f>科室绩效工资核算1!J64-SUMIF(中层绩效!B:B,科室绩效工资核算1!B64,中层绩效!J:J)</f>
        <v>0</v>
      </c>
      <c r="H64" s="5">
        <f>科室绩效工资核算1!K64-SUMIF(中层绩效!B:B,科室绩效工资核算1!B64,中层绩效!K:K)</f>
        <v>0</v>
      </c>
      <c r="I64" s="5">
        <f>科室绩效工资核算1!L64-SUMIF(中层绩效!B:B,科室绩效工资核算1!B64,中层绩效!L:L)</f>
        <v>0</v>
      </c>
      <c r="J64" s="5">
        <f>科室绩效工资核算1!M64-SUMIF(中层绩效!B:B,科室绩效工资核算1!B64,中层绩效!M:M)</f>
        <v>0</v>
      </c>
      <c r="K64" s="5">
        <f>科室绩效工资核算1!N64-SUMIF(中层绩效!B:B,科室绩效工资核算1!B64,中层绩效!N:N)</f>
        <v>0</v>
      </c>
      <c r="L64" s="5">
        <f>科室绩效工资核算1!O64-SUMIF(中层绩效!B:B,科室绩效工资核算1!B64,中层绩效!O:O)</f>
        <v>0</v>
      </c>
      <c r="M64" s="5">
        <f>科室绩效工资核算1!P64-SUMIF(中层绩效!B:B,科室绩效工资核算1!B64,中层绩效!P:P)</f>
        <v>0</v>
      </c>
      <c r="N64" s="5">
        <f>科室绩效工资核算1!Q64-SUMIF(中层绩效!B:B,科室绩效工资核算1!B64,中层绩效!Q:Q)</f>
        <v>0</v>
      </c>
      <c r="O64" s="5">
        <f>科室绩效工资核算1!R64-SUMIF(中层绩效!B:B,科室绩效工资核算1!B64,中层绩效!R:R)</f>
        <v>0</v>
      </c>
      <c r="P64" s="5">
        <f>科室绩效工资核算1!S64-SUMIF(中层绩效!B:B,科室绩效工资核算1!B64,中层绩效!S:S)</f>
        <v>0</v>
      </c>
      <c r="Q64" s="5">
        <f>科室绩效工资核算1!T64-SUMIF(中层绩效!B:B,科室绩效工资核算1!B64,中层绩效!T:T)</f>
        <v>0</v>
      </c>
      <c r="R64" s="5">
        <f>科室绩效工资核算1!V64</f>
        <v>0</v>
      </c>
      <c r="S64" s="5">
        <f>科室绩效工资核算1!U64</f>
        <v>0</v>
      </c>
      <c r="T64" s="5">
        <f>SUM(科室绩效工资核算1!AI64+科室绩效工资核算1!AH64)</f>
        <v>0</v>
      </c>
      <c r="U64" s="43">
        <f t="shared" si="3"/>
        <v>1308.7280000000001</v>
      </c>
      <c r="V64" s="43">
        <f t="shared" si="4"/>
        <v>1308.7280000000001</v>
      </c>
      <c r="W64" s="43">
        <f>IFERROR(D64/VLOOKUP($B:$B,人员表!$B:$G,MATCH("员工",人员表!$B$3:$G$3,0),0)*VLOOKUP($B:$B,人员表!$B:$G,MATCH("护理组",人员表!$B$3:$G$3,0),0),0)</f>
        <v>0</v>
      </c>
      <c r="X64" s="5">
        <f t="shared" si="1"/>
        <v>0</v>
      </c>
      <c r="Y64" s="5">
        <f t="shared" si="2"/>
        <v>0</v>
      </c>
    </row>
    <row r="65" spans="2:25" x14ac:dyDescent="0.25">
      <c r="B65" s="38" t="str">
        <f>科室绩效工资核算1!B65</f>
        <v>人事科</v>
      </c>
      <c r="C65" s="43">
        <f>科室绩效工资核算1!C65</f>
        <v>2463.4880000000003</v>
      </c>
      <c r="D65" s="5">
        <f>SUM(科室绩效工资核算1!D65:G65)+SUM(科室绩效工资核算1!W65:AG65)</f>
        <v>0</v>
      </c>
      <c r="E65" s="5">
        <f>科室绩效工资核算1!H65-SUMIF(中层绩效!B:B,科室绩效工资核算2!B65,中层绩效!H:H)</f>
        <v>0</v>
      </c>
      <c r="F65" s="5">
        <f>科室绩效工资核算1!I65-SUMIF(中层绩效!B:B,科室绩效工资核算1!B65,中层绩效!I:I)</f>
        <v>0</v>
      </c>
      <c r="G65" s="5">
        <f>科室绩效工资核算1!J65-SUMIF(中层绩效!B:B,科室绩效工资核算1!B65,中层绩效!J:J)</f>
        <v>0</v>
      </c>
      <c r="H65" s="5">
        <f>科室绩效工资核算1!K65-SUMIF(中层绩效!B:B,科室绩效工资核算1!B65,中层绩效!K:K)</f>
        <v>0</v>
      </c>
      <c r="I65" s="5">
        <f>科室绩效工资核算1!L65-SUMIF(中层绩效!B:B,科室绩效工资核算1!B65,中层绩效!L:L)</f>
        <v>0</v>
      </c>
      <c r="J65" s="5">
        <f>科室绩效工资核算1!M65-SUMIF(中层绩效!B:B,科室绩效工资核算1!B65,中层绩效!M:M)</f>
        <v>0</v>
      </c>
      <c r="K65" s="5">
        <f>科室绩效工资核算1!N65-SUMIF(中层绩效!B:B,科室绩效工资核算1!B65,中层绩效!N:N)</f>
        <v>0</v>
      </c>
      <c r="L65" s="5">
        <f>科室绩效工资核算1!O65-SUMIF(中层绩效!B:B,科室绩效工资核算1!B65,中层绩效!O:O)</f>
        <v>0</v>
      </c>
      <c r="M65" s="5">
        <f>科室绩效工资核算1!P65-SUMIF(中层绩效!B:B,科室绩效工资核算1!B65,中层绩效!P:P)</f>
        <v>0</v>
      </c>
      <c r="N65" s="5">
        <f>科室绩效工资核算1!Q65-SUMIF(中层绩效!B:B,科室绩效工资核算1!B65,中层绩效!Q:Q)</f>
        <v>0</v>
      </c>
      <c r="O65" s="5">
        <f>科室绩效工资核算1!R65-SUMIF(中层绩效!B:B,科室绩效工资核算1!B65,中层绩效!R:R)</f>
        <v>0</v>
      </c>
      <c r="P65" s="5">
        <f>科室绩效工资核算1!S65-SUMIF(中层绩效!B:B,科室绩效工资核算1!B65,中层绩效!S:S)</f>
        <v>0</v>
      </c>
      <c r="Q65" s="5">
        <f>科室绩效工资核算1!T65-SUMIF(中层绩效!B:B,科室绩效工资核算1!B65,中层绩效!T:T)</f>
        <v>0</v>
      </c>
      <c r="R65" s="5">
        <f>科室绩效工资核算1!V65</f>
        <v>0</v>
      </c>
      <c r="S65" s="5">
        <f>科室绩效工资核算1!U65</f>
        <v>0</v>
      </c>
      <c r="T65" s="5">
        <f>SUM(科室绩效工资核算1!AI65+科室绩效工资核算1!AH65)</f>
        <v>0</v>
      </c>
      <c r="U65" s="43">
        <f t="shared" si="3"/>
        <v>2463.4880000000003</v>
      </c>
      <c r="V65" s="43">
        <f t="shared" si="4"/>
        <v>2463.4880000000003</v>
      </c>
      <c r="W65" s="43">
        <f>IFERROR(D65/VLOOKUP($B:$B,人员表!$B:$G,MATCH("员工",人员表!$B$3:$G$3,0),0)*VLOOKUP($B:$B,人员表!$B:$G,MATCH("护理组",人员表!$B$3:$G$3,0),0),0)</f>
        <v>0</v>
      </c>
      <c r="X65" s="5">
        <f t="shared" si="1"/>
        <v>0</v>
      </c>
      <c r="Y65" s="5">
        <f t="shared" si="2"/>
        <v>0</v>
      </c>
    </row>
    <row r="66" spans="2:25" x14ac:dyDescent="0.25">
      <c r="B66" s="38" t="str">
        <f>科室绩效工资核算1!B66</f>
        <v>科教科</v>
      </c>
      <c r="C66" s="43">
        <f>科室绩效工资核算1!C66</f>
        <v>1231.7440000000001</v>
      </c>
      <c r="D66" s="5">
        <f>SUM(科室绩效工资核算1!D66:G66)+SUM(科室绩效工资核算1!W66:AG66)</f>
        <v>0</v>
      </c>
      <c r="E66" s="5">
        <f>科室绩效工资核算1!H66-SUMIF(中层绩效!B:B,科室绩效工资核算2!B66,中层绩效!H:H)</f>
        <v>0</v>
      </c>
      <c r="F66" s="5">
        <f>科室绩效工资核算1!I66-SUMIF(中层绩效!B:B,科室绩效工资核算1!B66,中层绩效!I:I)</f>
        <v>0</v>
      </c>
      <c r="G66" s="5">
        <f>科室绩效工资核算1!J66-SUMIF(中层绩效!B:B,科室绩效工资核算1!B66,中层绩效!J:J)</f>
        <v>0</v>
      </c>
      <c r="H66" s="5">
        <f>科室绩效工资核算1!K66-SUMIF(中层绩效!B:B,科室绩效工资核算1!B66,中层绩效!K:K)</f>
        <v>0</v>
      </c>
      <c r="I66" s="5">
        <f>科室绩效工资核算1!L66-SUMIF(中层绩效!B:B,科室绩效工资核算1!B66,中层绩效!L:L)</f>
        <v>0</v>
      </c>
      <c r="J66" s="5">
        <f>科室绩效工资核算1!M66-SUMIF(中层绩效!B:B,科室绩效工资核算1!B66,中层绩效!M:M)</f>
        <v>0</v>
      </c>
      <c r="K66" s="5">
        <f>科室绩效工资核算1!N66-SUMIF(中层绩效!B:B,科室绩效工资核算1!B66,中层绩效!N:N)</f>
        <v>0</v>
      </c>
      <c r="L66" s="5">
        <f>科室绩效工资核算1!O66-SUMIF(中层绩效!B:B,科室绩效工资核算1!B66,中层绩效!O:O)</f>
        <v>0</v>
      </c>
      <c r="M66" s="5">
        <f>科室绩效工资核算1!P66-SUMIF(中层绩效!B:B,科室绩效工资核算1!B66,中层绩效!P:P)</f>
        <v>0</v>
      </c>
      <c r="N66" s="5">
        <f>科室绩效工资核算1!Q66-SUMIF(中层绩效!B:B,科室绩效工资核算1!B66,中层绩效!Q:Q)</f>
        <v>0</v>
      </c>
      <c r="O66" s="5">
        <f>科室绩效工资核算1!R66-SUMIF(中层绩效!B:B,科室绩效工资核算1!B66,中层绩效!R:R)</f>
        <v>0</v>
      </c>
      <c r="P66" s="5">
        <f>科室绩效工资核算1!S66-SUMIF(中层绩效!B:B,科室绩效工资核算1!B66,中层绩效!S:S)</f>
        <v>0</v>
      </c>
      <c r="Q66" s="5">
        <f>科室绩效工资核算1!T66-SUMIF(中层绩效!B:B,科室绩效工资核算1!B66,中层绩效!T:T)</f>
        <v>0</v>
      </c>
      <c r="R66" s="5">
        <f>科室绩效工资核算1!V66</f>
        <v>0</v>
      </c>
      <c r="S66" s="5">
        <f>科室绩效工资核算1!U66</f>
        <v>0</v>
      </c>
      <c r="T66" s="5">
        <f>SUM(科室绩效工资核算1!AI66+科室绩效工资核算1!AH66)</f>
        <v>0</v>
      </c>
      <c r="U66" s="43">
        <f t="shared" si="3"/>
        <v>1231.7440000000001</v>
      </c>
      <c r="V66" s="43">
        <f t="shared" si="4"/>
        <v>1231.7440000000001</v>
      </c>
      <c r="W66" s="43">
        <f>IFERROR(D66/VLOOKUP($B:$B,人员表!$B:$G,MATCH("员工",人员表!$B$3:$G$3,0),0)*VLOOKUP($B:$B,人员表!$B:$G,MATCH("护理组",人员表!$B$3:$G$3,0),0),0)</f>
        <v>0</v>
      </c>
      <c r="X66" s="5">
        <f t="shared" si="1"/>
        <v>0</v>
      </c>
      <c r="Y66" s="5">
        <f t="shared" si="2"/>
        <v>0</v>
      </c>
    </row>
    <row r="67" spans="2:25" x14ac:dyDescent="0.25">
      <c r="B67" s="38" t="str">
        <f>科室绩效工资核算1!B67</f>
        <v>纪检科</v>
      </c>
      <c r="C67" s="43">
        <f>科室绩效工资核算1!C67</f>
        <v>1231.7440000000001</v>
      </c>
      <c r="D67" s="5">
        <f>SUM(科室绩效工资核算1!D67:G67)+SUM(科室绩效工资核算1!W67:AG67)</f>
        <v>0</v>
      </c>
      <c r="E67" s="5">
        <f>科室绩效工资核算1!H67-SUMIF(中层绩效!B:B,科室绩效工资核算2!B67,中层绩效!H:H)</f>
        <v>0</v>
      </c>
      <c r="F67" s="5">
        <f>科室绩效工资核算1!I67-SUMIF(中层绩效!B:B,科室绩效工资核算1!B67,中层绩效!I:I)</f>
        <v>0</v>
      </c>
      <c r="G67" s="5">
        <f>科室绩效工资核算1!J67-SUMIF(中层绩效!B:B,科室绩效工资核算1!B67,中层绩效!J:J)</f>
        <v>0</v>
      </c>
      <c r="H67" s="5">
        <f>科室绩效工资核算1!K67-SUMIF(中层绩效!B:B,科室绩效工资核算1!B67,中层绩效!K:K)</f>
        <v>0</v>
      </c>
      <c r="I67" s="5">
        <f>科室绩效工资核算1!L67-SUMIF(中层绩效!B:B,科室绩效工资核算1!B67,中层绩效!L:L)</f>
        <v>0</v>
      </c>
      <c r="J67" s="5">
        <f>科室绩效工资核算1!M67-SUMIF(中层绩效!B:B,科室绩效工资核算1!B67,中层绩效!M:M)</f>
        <v>0</v>
      </c>
      <c r="K67" s="5">
        <f>科室绩效工资核算1!N67-SUMIF(中层绩效!B:B,科室绩效工资核算1!B67,中层绩效!N:N)</f>
        <v>0</v>
      </c>
      <c r="L67" s="5">
        <f>科室绩效工资核算1!O67-SUMIF(中层绩效!B:B,科室绩效工资核算1!B67,中层绩效!O:O)</f>
        <v>0</v>
      </c>
      <c r="M67" s="5">
        <f>科室绩效工资核算1!P67-SUMIF(中层绩效!B:B,科室绩效工资核算1!B67,中层绩效!P:P)</f>
        <v>0</v>
      </c>
      <c r="N67" s="5">
        <f>科室绩效工资核算1!Q67-SUMIF(中层绩效!B:B,科室绩效工资核算1!B67,中层绩效!Q:Q)</f>
        <v>0</v>
      </c>
      <c r="O67" s="5">
        <f>科室绩效工资核算1!R67-SUMIF(中层绩效!B:B,科室绩效工资核算1!B67,中层绩效!R:R)</f>
        <v>0</v>
      </c>
      <c r="P67" s="5">
        <f>科室绩效工资核算1!S67-SUMIF(中层绩效!B:B,科室绩效工资核算1!B67,中层绩效!S:S)</f>
        <v>0</v>
      </c>
      <c r="Q67" s="5">
        <f>科室绩效工资核算1!T67-SUMIF(中层绩效!B:B,科室绩效工资核算1!B67,中层绩效!T:T)</f>
        <v>0</v>
      </c>
      <c r="R67" s="5">
        <f>科室绩效工资核算1!V67</f>
        <v>0</v>
      </c>
      <c r="S67" s="5">
        <f>科室绩效工资核算1!U67</f>
        <v>0</v>
      </c>
      <c r="T67" s="5">
        <f>SUM(科室绩效工资核算1!AI67+科室绩效工资核算1!AH67)</f>
        <v>0</v>
      </c>
      <c r="U67" s="43">
        <f t="shared" si="3"/>
        <v>1231.7440000000001</v>
      </c>
      <c r="V67" s="43">
        <f t="shared" si="4"/>
        <v>1231.7440000000001</v>
      </c>
      <c r="W67" s="43">
        <f>IFERROR(D67/VLOOKUP($B:$B,人员表!$B:$G,MATCH("员工",人员表!$B$3:$G$3,0),0)*VLOOKUP($B:$B,人员表!$B:$G,MATCH("护理组",人员表!$B$3:$G$3,0),0),0)</f>
        <v>0</v>
      </c>
      <c r="X67" s="5">
        <f t="shared" si="1"/>
        <v>0</v>
      </c>
      <c r="Y67" s="5">
        <f t="shared" si="2"/>
        <v>0</v>
      </c>
    </row>
    <row r="68" spans="2:25" x14ac:dyDescent="0.25">
      <c r="B68" s="38" t="str">
        <f>科室绩效工资核算1!B68</f>
        <v>公卫科</v>
      </c>
      <c r="C68" s="43">
        <f>科室绩效工资核算1!C68</f>
        <v>6543.64</v>
      </c>
      <c r="D68" s="5">
        <f>SUM(科室绩效工资核算1!D68:G68)+SUM(科室绩效工资核算1!W68:AG68)</f>
        <v>0</v>
      </c>
      <c r="E68" s="5">
        <f>科室绩效工资核算1!H68-SUMIF(中层绩效!B:B,科室绩效工资核算2!B68,中层绩效!H:H)</f>
        <v>0</v>
      </c>
      <c r="F68" s="5">
        <f>科室绩效工资核算1!I68-SUMIF(中层绩效!B:B,科室绩效工资核算1!B68,中层绩效!I:I)</f>
        <v>0</v>
      </c>
      <c r="G68" s="5">
        <f>科室绩效工资核算1!J68-SUMIF(中层绩效!B:B,科室绩效工资核算1!B68,中层绩效!J:J)</f>
        <v>0</v>
      </c>
      <c r="H68" s="5">
        <f>科室绩效工资核算1!K68-SUMIF(中层绩效!B:B,科室绩效工资核算1!B68,中层绩效!K:K)</f>
        <v>0</v>
      </c>
      <c r="I68" s="5">
        <f>科室绩效工资核算1!L68-SUMIF(中层绩效!B:B,科室绩效工资核算1!B68,中层绩效!L:L)</f>
        <v>0</v>
      </c>
      <c r="J68" s="5">
        <f>科室绩效工资核算1!M68-SUMIF(中层绩效!B:B,科室绩效工资核算1!B68,中层绩效!M:M)</f>
        <v>0</v>
      </c>
      <c r="K68" s="5">
        <f>科室绩效工资核算1!N68-SUMIF(中层绩效!B:B,科室绩效工资核算1!B68,中层绩效!N:N)</f>
        <v>0</v>
      </c>
      <c r="L68" s="5">
        <f>科室绩效工资核算1!O68-SUMIF(中层绩效!B:B,科室绩效工资核算1!B68,中层绩效!O:O)</f>
        <v>0</v>
      </c>
      <c r="M68" s="5">
        <f>科室绩效工资核算1!P68-SUMIF(中层绩效!B:B,科室绩效工资核算1!B68,中层绩效!P:P)</f>
        <v>0</v>
      </c>
      <c r="N68" s="5">
        <f>科室绩效工资核算1!Q68-SUMIF(中层绩效!B:B,科室绩效工资核算1!B68,中层绩效!Q:Q)</f>
        <v>0</v>
      </c>
      <c r="O68" s="5">
        <f>科室绩效工资核算1!R68-SUMIF(中层绩效!B:B,科室绩效工资核算1!B68,中层绩效!R:R)</f>
        <v>0</v>
      </c>
      <c r="P68" s="5">
        <f>科室绩效工资核算1!S68-SUMIF(中层绩效!B:B,科室绩效工资核算1!B68,中层绩效!S:S)</f>
        <v>0</v>
      </c>
      <c r="Q68" s="5">
        <f>科室绩效工资核算1!T68-SUMIF(中层绩效!B:B,科室绩效工资核算1!B68,中层绩效!T:T)</f>
        <v>0</v>
      </c>
      <c r="R68" s="5">
        <f>科室绩效工资核算1!V68</f>
        <v>0</v>
      </c>
      <c r="S68" s="5">
        <f>科室绩效工资核算1!U68</f>
        <v>0</v>
      </c>
      <c r="T68" s="5">
        <f>SUM(科室绩效工资核算1!AI68+科室绩效工资核算1!AH68)</f>
        <v>0</v>
      </c>
      <c r="U68" s="43">
        <f t="shared" si="3"/>
        <v>6543.64</v>
      </c>
      <c r="V68" s="43">
        <f t="shared" si="4"/>
        <v>6543.64</v>
      </c>
      <c r="W68" s="43">
        <f>IFERROR(D68/VLOOKUP($B:$B,人员表!$B:$G,MATCH("员工",人员表!$B$3:$G$3,0),0)*VLOOKUP($B:$B,人员表!$B:$G,MATCH("护理组",人员表!$B$3:$G$3,0),0),0)</f>
        <v>0</v>
      </c>
      <c r="X68" s="5">
        <f t="shared" si="1"/>
        <v>0</v>
      </c>
      <c r="Y68" s="5">
        <f t="shared" si="2"/>
        <v>0</v>
      </c>
    </row>
    <row r="69" spans="2:25" x14ac:dyDescent="0.25">
      <c r="B69" s="38" t="str">
        <f>科室绩效工资核算1!B69</f>
        <v>信息科</v>
      </c>
      <c r="C69" s="43">
        <f>科室绩效工资核算1!C69</f>
        <v>6158.72</v>
      </c>
      <c r="D69" s="5">
        <f>SUM(科室绩效工资核算1!D69:G69)+SUM(科室绩效工资核算1!W69:AG69)</f>
        <v>0</v>
      </c>
      <c r="E69" s="5">
        <f>科室绩效工资核算1!H69-SUMIF(中层绩效!B:B,科室绩效工资核算2!B69,中层绩效!H:H)</f>
        <v>0</v>
      </c>
      <c r="F69" s="5">
        <f>科室绩效工资核算1!I69-SUMIF(中层绩效!B:B,科室绩效工资核算1!B69,中层绩效!I:I)</f>
        <v>0</v>
      </c>
      <c r="G69" s="5">
        <f>科室绩效工资核算1!J69-SUMIF(中层绩效!B:B,科室绩效工资核算1!B69,中层绩效!J:J)</f>
        <v>0</v>
      </c>
      <c r="H69" s="5">
        <f>科室绩效工资核算1!K69-SUMIF(中层绩效!B:B,科室绩效工资核算1!B69,中层绩效!K:K)</f>
        <v>0</v>
      </c>
      <c r="I69" s="5">
        <f>科室绩效工资核算1!L69-SUMIF(中层绩效!B:B,科室绩效工资核算1!B69,中层绩效!L:L)</f>
        <v>0</v>
      </c>
      <c r="J69" s="5">
        <f>科室绩效工资核算1!M69-SUMIF(中层绩效!B:B,科室绩效工资核算1!B69,中层绩效!M:M)</f>
        <v>0</v>
      </c>
      <c r="K69" s="5">
        <f>科室绩效工资核算1!N69-SUMIF(中层绩效!B:B,科室绩效工资核算1!B69,中层绩效!N:N)</f>
        <v>0</v>
      </c>
      <c r="L69" s="5">
        <f>科室绩效工资核算1!O69-SUMIF(中层绩效!B:B,科室绩效工资核算1!B69,中层绩效!O:O)</f>
        <v>0</v>
      </c>
      <c r="M69" s="5">
        <f>科室绩效工资核算1!P69-SUMIF(中层绩效!B:B,科室绩效工资核算1!B69,中层绩效!P:P)</f>
        <v>0</v>
      </c>
      <c r="N69" s="5">
        <f>科室绩效工资核算1!Q69-SUMIF(中层绩效!B:B,科室绩效工资核算1!B69,中层绩效!Q:Q)</f>
        <v>0</v>
      </c>
      <c r="O69" s="5">
        <f>科室绩效工资核算1!R69-SUMIF(中层绩效!B:B,科室绩效工资核算1!B69,中层绩效!R:R)</f>
        <v>0</v>
      </c>
      <c r="P69" s="5">
        <f>科室绩效工资核算1!S69-SUMIF(中层绩效!B:B,科室绩效工资核算1!B69,中层绩效!S:S)</f>
        <v>0</v>
      </c>
      <c r="Q69" s="5">
        <f>科室绩效工资核算1!T69-SUMIF(中层绩效!B:B,科室绩效工资核算1!B69,中层绩效!T:T)</f>
        <v>0</v>
      </c>
      <c r="R69" s="5">
        <f>科室绩效工资核算1!V69</f>
        <v>0</v>
      </c>
      <c r="S69" s="5">
        <f>科室绩效工资核算1!U69</f>
        <v>0</v>
      </c>
      <c r="T69" s="5">
        <f>SUM(科室绩效工资核算1!AI69+科室绩效工资核算1!AH69)</f>
        <v>0</v>
      </c>
      <c r="U69" s="43">
        <f t="shared" si="3"/>
        <v>6158.72</v>
      </c>
      <c r="V69" s="43">
        <f t="shared" si="4"/>
        <v>6158.72</v>
      </c>
      <c r="W69" s="43">
        <f>IFERROR(D69/VLOOKUP($B:$B,人员表!$B:$G,MATCH("员工",人员表!$B$3:$G$3,0),0)*VLOOKUP($B:$B,人员表!$B:$G,MATCH("护理组",人员表!$B$3:$G$3,0),0),0)</f>
        <v>0</v>
      </c>
      <c r="X69" s="5">
        <f t="shared" ref="X69:X87" si="5">SUM(E69:P69)</f>
        <v>0</v>
      </c>
      <c r="Y69" s="5">
        <f t="shared" ref="Y69:Y87" si="6">Q69</f>
        <v>0</v>
      </c>
    </row>
    <row r="70" spans="2:25" x14ac:dyDescent="0.25">
      <c r="B70" s="38" t="str">
        <f>科室绩效工资核算1!B70</f>
        <v>医保办</v>
      </c>
      <c r="C70" s="43">
        <f>科室绩效工资核算1!C70</f>
        <v>2463.4880000000003</v>
      </c>
      <c r="D70" s="5">
        <f>SUM(科室绩效工资核算1!D70:G70)+SUM(科室绩效工资核算1!W70:AG70)</f>
        <v>0</v>
      </c>
      <c r="E70" s="5">
        <f>科室绩效工资核算1!H70-SUMIF(中层绩效!B:B,科室绩效工资核算2!B70,中层绩效!H:H)</f>
        <v>0</v>
      </c>
      <c r="F70" s="5">
        <f>科室绩效工资核算1!I70-SUMIF(中层绩效!B:B,科室绩效工资核算1!B70,中层绩效!I:I)</f>
        <v>0</v>
      </c>
      <c r="G70" s="5">
        <f>科室绩效工资核算1!J70-SUMIF(中层绩效!B:B,科室绩效工资核算1!B70,中层绩效!J:J)</f>
        <v>0</v>
      </c>
      <c r="H70" s="5">
        <f>科室绩效工资核算1!K70-SUMIF(中层绩效!B:B,科室绩效工资核算1!B70,中层绩效!K:K)</f>
        <v>0</v>
      </c>
      <c r="I70" s="5">
        <f>科室绩效工资核算1!L70-SUMIF(中层绩效!B:B,科室绩效工资核算1!B70,中层绩效!L:L)</f>
        <v>0</v>
      </c>
      <c r="J70" s="5">
        <f>科室绩效工资核算1!M70-SUMIF(中层绩效!B:B,科室绩效工资核算1!B70,中层绩效!M:M)</f>
        <v>0</v>
      </c>
      <c r="K70" s="5">
        <f>科室绩效工资核算1!N70-SUMIF(中层绩效!B:B,科室绩效工资核算1!B70,中层绩效!N:N)</f>
        <v>0</v>
      </c>
      <c r="L70" s="5">
        <f>科室绩效工资核算1!O70-SUMIF(中层绩效!B:B,科室绩效工资核算1!B70,中层绩效!O:O)</f>
        <v>0</v>
      </c>
      <c r="M70" s="5">
        <f>科室绩效工资核算1!P70-SUMIF(中层绩效!B:B,科室绩效工资核算1!B70,中层绩效!P:P)</f>
        <v>0</v>
      </c>
      <c r="N70" s="5">
        <f>科室绩效工资核算1!Q70-SUMIF(中层绩效!B:B,科室绩效工资核算1!B70,中层绩效!Q:Q)</f>
        <v>0</v>
      </c>
      <c r="O70" s="5">
        <f>科室绩效工资核算1!R70-SUMIF(中层绩效!B:B,科室绩效工资核算1!B70,中层绩效!R:R)</f>
        <v>0</v>
      </c>
      <c r="P70" s="5">
        <f>科室绩效工资核算1!S70-SUMIF(中层绩效!B:B,科室绩效工资核算1!B70,中层绩效!S:S)</f>
        <v>0</v>
      </c>
      <c r="Q70" s="5">
        <f>科室绩效工资核算1!T70-SUMIF(中层绩效!B:B,科室绩效工资核算1!B70,中层绩效!T:T)</f>
        <v>0</v>
      </c>
      <c r="R70" s="5">
        <f>科室绩效工资核算1!V70</f>
        <v>0</v>
      </c>
      <c r="S70" s="5">
        <f>科室绩效工资核算1!U70</f>
        <v>0</v>
      </c>
      <c r="T70" s="5">
        <f>SUM(科室绩效工资核算1!AI70+科室绩效工资核算1!AH70)</f>
        <v>0</v>
      </c>
      <c r="U70" s="43">
        <f t="shared" si="3"/>
        <v>2463.4880000000003</v>
      </c>
      <c r="V70" s="43">
        <f t="shared" si="4"/>
        <v>2463.4880000000003</v>
      </c>
      <c r="W70" s="43">
        <f>IFERROR(D70/VLOOKUP($B:$B,人员表!$B:$G,MATCH("员工",人员表!$B$3:$G$3,0),0)*VLOOKUP($B:$B,人员表!$B:$G,MATCH("护理组",人员表!$B$3:$G$3,0),0),0)</f>
        <v>0</v>
      </c>
      <c r="X70" s="5">
        <f t="shared" si="5"/>
        <v>0</v>
      </c>
      <c r="Y70" s="5">
        <f t="shared" si="6"/>
        <v>0</v>
      </c>
    </row>
    <row r="71" spans="2:25" x14ac:dyDescent="0.25">
      <c r="B71" s="38" t="str">
        <f>科室绩效工资核算1!B71</f>
        <v>院办</v>
      </c>
      <c r="C71" s="43">
        <f>科室绩效工资核算1!C71</f>
        <v>0</v>
      </c>
      <c r="D71" s="5">
        <f>SUM(科室绩效工资核算1!D71:G71)+SUM(科室绩效工资核算1!W71:AG71)</f>
        <v>0</v>
      </c>
      <c r="E71" s="5">
        <f>科室绩效工资核算1!H71-SUMIF(中层绩效!B:B,科室绩效工资核算2!B71,中层绩效!H:H)</f>
        <v>0</v>
      </c>
      <c r="F71" s="5">
        <f>科室绩效工资核算1!I71-SUMIF(中层绩效!B:B,科室绩效工资核算1!B71,中层绩效!I:I)</f>
        <v>0</v>
      </c>
      <c r="G71" s="5">
        <f>科室绩效工资核算1!J71-SUMIF(中层绩效!B:B,科室绩效工资核算1!B71,中层绩效!J:J)</f>
        <v>0</v>
      </c>
      <c r="H71" s="5">
        <f>科室绩效工资核算1!K71-SUMIF(中层绩效!B:B,科室绩效工资核算1!B71,中层绩效!K:K)</f>
        <v>0</v>
      </c>
      <c r="I71" s="5">
        <f>科室绩效工资核算1!L71-SUMIF(中层绩效!B:B,科室绩效工资核算1!B71,中层绩效!L:L)</f>
        <v>0</v>
      </c>
      <c r="J71" s="5">
        <f>科室绩效工资核算1!M71-SUMIF(中层绩效!B:B,科室绩效工资核算1!B71,中层绩效!M:M)</f>
        <v>0</v>
      </c>
      <c r="K71" s="5">
        <f>科室绩效工资核算1!N71-SUMIF(中层绩效!B:B,科室绩效工资核算1!B71,中层绩效!N:N)</f>
        <v>0</v>
      </c>
      <c r="L71" s="5">
        <f>科室绩效工资核算1!O71-SUMIF(中层绩效!B:B,科室绩效工资核算1!B71,中层绩效!O:O)</f>
        <v>0</v>
      </c>
      <c r="M71" s="5">
        <f>科室绩效工资核算1!P71-SUMIF(中层绩效!B:B,科室绩效工资核算1!B71,中层绩效!P:P)</f>
        <v>0</v>
      </c>
      <c r="N71" s="5">
        <f>科室绩效工资核算1!Q71-SUMIF(中层绩效!B:B,科室绩效工资核算1!B71,中层绩效!Q:Q)</f>
        <v>0</v>
      </c>
      <c r="O71" s="5">
        <f>科室绩效工资核算1!R71-SUMIF(中层绩效!B:B,科室绩效工资核算1!B71,中层绩效!R:R)</f>
        <v>0</v>
      </c>
      <c r="P71" s="5">
        <f>科室绩效工资核算1!S71-SUMIF(中层绩效!B:B,科室绩效工资核算1!B71,中层绩效!S:S)</f>
        <v>0</v>
      </c>
      <c r="Q71" s="5">
        <f>科室绩效工资核算1!T71-SUMIF(中层绩效!B:B,科室绩效工资核算1!B71,中层绩效!T:T)</f>
        <v>0</v>
      </c>
      <c r="R71" s="5">
        <f>科室绩效工资核算1!V71</f>
        <v>0</v>
      </c>
      <c r="S71" s="5">
        <f>科室绩效工资核算1!U71</f>
        <v>0</v>
      </c>
      <c r="T71" s="5">
        <f>SUM(科室绩效工资核算1!AI71+科室绩效工资核算1!AH71)</f>
        <v>0</v>
      </c>
      <c r="U71" s="43">
        <f t="shared" si="3"/>
        <v>0</v>
      </c>
      <c r="V71" s="43">
        <f t="shared" si="4"/>
        <v>0</v>
      </c>
      <c r="W71" s="43">
        <f>IFERROR(D71/VLOOKUP($B:$B,人员表!$B:$G,MATCH("员工",人员表!$B$3:$G$3,0),0)*VLOOKUP($B:$B,人员表!$B:$G,MATCH("护理组",人员表!$B$3:$G$3,0),0),0)</f>
        <v>0</v>
      </c>
      <c r="X71" s="5">
        <f t="shared" si="5"/>
        <v>0</v>
      </c>
      <c r="Y71" s="5">
        <f t="shared" si="6"/>
        <v>0</v>
      </c>
    </row>
    <row r="72" spans="2:25" x14ac:dyDescent="0.25">
      <c r="B72" s="38" t="str">
        <f>科室绩效工资核算1!B72</f>
        <v>器械科</v>
      </c>
      <c r="C72" s="43">
        <f>科室绩效工资核算1!C72</f>
        <v>9730.7775999999994</v>
      </c>
      <c r="D72" s="5">
        <f>SUM(科室绩效工资核算1!D72:G72)+SUM(科室绩效工资核算1!W72:AG72)</f>
        <v>0</v>
      </c>
      <c r="E72" s="5">
        <f>科室绩效工资核算1!H72-SUMIF(中层绩效!B:B,科室绩效工资核算2!B72,中层绩效!H:H)</f>
        <v>0</v>
      </c>
      <c r="F72" s="5">
        <f>科室绩效工资核算1!I72-SUMIF(中层绩效!B:B,科室绩效工资核算1!B72,中层绩效!I:I)</f>
        <v>0</v>
      </c>
      <c r="G72" s="5">
        <f>科室绩效工资核算1!J72-SUMIF(中层绩效!B:B,科室绩效工资核算1!B72,中层绩效!J:J)</f>
        <v>0</v>
      </c>
      <c r="H72" s="5">
        <f>科室绩效工资核算1!K72-SUMIF(中层绩效!B:B,科室绩效工资核算1!B72,中层绩效!K:K)</f>
        <v>0</v>
      </c>
      <c r="I72" s="5">
        <f>科室绩效工资核算1!L72-SUMIF(中层绩效!B:B,科室绩效工资核算1!B72,中层绩效!L:L)</f>
        <v>0</v>
      </c>
      <c r="J72" s="5">
        <f>科室绩效工资核算1!M72-SUMIF(中层绩效!B:B,科室绩效工资核算1!B72,中层绩效!M:M)</f>
        <v>0</v>
      </c>
      <c r="K72" s="5">
        <f>科室绩效工资核算1!N72-SUMIF(中层绩效!B:B,科室绩效工资核算1!B72,中层绩效!N:N)</f>
        <v>0</v>
      </c>
      <c r="L72" s="5">
        <f>科室绩效工资核算1!O72-SUMIF(中层绩效!B:B,科室绩效工资核算1!B72,中层绩效!O:O)</f>
        <v>0</v>
      </c>
      <c r="M72" s="5">
        <f>科室绩效工资核算1!P72-SUMIF(中层绩效!B:B,科室绩效工资核算1!B72,中层绩效!P:P)</f>
        <v>0</v>
      </c>
      <c r="N72" s="5">
        <f>科室绩效工资核算1!Q72-SUMIF(中层绩效!B:B,科室绩效工资核算1!B72,中层绩效!Q:Q)</f>
        <v>0</v>
      </c>
      <c r="O72" s="5">
        <f>科室绩效工资核算1!R72-SUMIF(中层绩效!B:B,科室绩效工资核算1!B72,中层绩效!R:R)</f>
        <v>0</v>
      </c>
      <c r="P72" s="5">
        <f>科室绩效工资核算1!S72-SUMIF(中层绩效!B:B,科室绩效工资核算1!B72,中层绩效!S:S)</f>
        <v>0</v>
      </c>
      <c r="Q72" s="5">
        <f>科室绩效工资核算1!T72-SUMIF(中层绩效!B:B,科室绩效工资核算1!B72,中层绩效!T:T)</f>
        <v>0</v>
      </c>
      <c r="R72" s="5">
        <f>科室绩效工资核算1!V72</f>
        <v>0</v>
      </c>
      <c r="S72" s="5">
        <f>科室绩效工资核算1!U72</f>
        <v>0</v>
      </c>
      <c r="T72" s="5">
        <f>SUM(科室绩效工资核算1!AI72+科室绩效工资核算1!AH72)</f>
        <v>0</v>
      </c>
      <c r="U72" s="43">
        <f t="shared" ref="U72:U85" si="7">SUM(B72:R72)</f>
        <v>9730.7775999999994</v>
      </c>
      <c r="V72" s="43">
        <f t="shared" ref="V72:V87" si="8">SUM(C72:S72)</f>
        <v>9730.7775999999994</v>
      </c>
      <c r="W72" s="43">
        <f>IFERROR(D72/VLOOKUP($B:$B,人员表!$B:$G,MATCH("员工",人员表!$B$3:$G$3,0),0)*VLOOKUP($B:$B,人员表!$B:$G,MATCH("护理组",人员表!$B$3:$G$3,0),0),0)</f>
        <v>0</v>
      </c>
      <c r="X72" s="5">
        <f t="shared" si="5"/>
        <v>0</v>
      </c>
      <c r="Y72" s="5">
        <f t="shared" si="6"/>
        <v>0</v>
      </c>
    </row>
    <row r="73" spans="2:25" x14ac:dyDescent="0.25">
      <c r="B73" s="38" t="str">
        <f>科室绩效工资核算1!B73</f>
        <v>总务科</v>
      </c>
      <c r="C73" s="43">
        <f>科室绩效工资核算1!C73</f>
        <v>18476.160000000003</v>
      </c>
      <c r="D73" s="5"/>
      <c r="E73" s="5">
        <f>科室绩效工资核算1!H73-SUMIF(中层绩效!B:B,科室绩效工资核算2!B73,中层绩效!H:H)</f>
        <v>0</v>
      </c>
      <c r="F73" s="5">
        <f>科室绩效工资核算1!I73-SUMIF(中层绩效!B:B,科室绩效工资核算1!B73,中层绩效!I:I)</f>
        <v>0</v>
      </c>
      <c r="G73" s="5">
        <f>科室绩效工资核算1!J73-SUMIF(中层绩效!B:B,科室绩效工资核算1!B73,中层绩效!J:J)</f>
        <v>0</v>
      </c>
      <c r="H73" s="5">
        <f>科室绩效工资核算1!K73-SUMIF(中层绩效!B:B,科室绩效工资核算1!B73,中层绩效!K:K)</f>
        <v>0</v>
      </c>
      <c r="I73" s="5">
        <f>科室绩效工资核算1!L73-SUMIF(中层绩效!B:B,科室绩效工资核算1!B73,中层绩效!L:L)</f>
        <v>0</v>
      </c>
      <c r="J73" s="5">
        <f>科室绩效工资核算1!M73-SUMIF(中层绩效!B:B,科室绩效工资核算1!B73,中层绩效!M:M)</f>
        <v>0</v>
      </c>
      <c r="K73" s="5">
        <f>科室绩效工资核算1!N73-SUMIF(中层绩效!B:B,科室绩效工资核算1!B73,中层绩效!N:N)</f>
        <v>0</v>
      </c>
      <c r="L73" s="5">
        <f>科室绩效工资核算1!O73-SUMIF(中层绩效!B:B,科室绩效工资核算1!B73,中层绩效!O:O)</f>
        <v>0</v>
      </c>
      <c r="M73" s="5">
        <f>科室绩效工资核算1!P73-SUMIF(中层绩效!B:B,科室绩效工资核算1!B73,中层绩效!P:P)</f>
        <v>0</v>
      </c>
      <c r="N73" s="5">
        <f>科室绩效工资核算1!Q73-SUMIF(中层绩效!B:B,科室绩效工资核算1!B73,中层绩效!Q:Q)</f>
        <v>0</v>
      </c>
      <c r="O73" s="5">
        <f>科室绩效工资核算1!R73-SUMIF(中层绩效!B:B,科室绩效工资核算1!B73,中层绩效!R:R)</f>
        <v>0</v>
      </c>
      <c r="P73" s="5">
        <f>科室绩效工资核算1!S73-SUMIF(中层绩效!B:B,科室绩效工资核算1!B73,中层绩效!S:S)</f>
        <v>0</v>
      </c>
      <c r="Q73" s="5">
        <f>科室绩效工资核算1!T73-SUMIF(中层绩效!B:B,科室绩效工资核算1!B73,中层绩效!T:T)</f>
        <v>0</v>
      </c>
      <c r="R73" s="5">
        <f>科室绩效工资核算1!V73</f>
        <v>0</v>
      </c>
      <c r="S73" s="5">
        <f>科室绩效工资核算1!U73</f>
        <v>0</v>
      </c>
      <c r="T73" s="5">
        <f>SUM(科室绩效工资核算1!AI73+科室绩效工资核算1!AH73)</f>
        <v>0</v>
      </c>
      <c r="U73" s="43">
        <f t="shared" si="7"/>
        <v>18476.160000000003</v>
      </c>
      <c r="V73" s="43">
        <f t="shared" si="8"/>
        <v>18476.160000000003</v>
      </c>
      <c r="W73" s="43">
        <f>IFERROR(D73/VLOOKUP($B:$B,人员表!$B:$G,MATCH("员工",人员表!$B$3:$G$3,0),0)*VLOOKUP($B:$B,人员表!$B:$G,MATCH("护理组",人员表!$B$3:$G$3,0),0),0)</f>
        <v>0</v>
      </c>
      <c r="X73" s="5">
        <f t="shared" si="5"/>
        <v>0</v>
      </c>
      <c r="Y73" s="5">
        <f t="shared" si="6"/>
        <v>0</v>
      </c>
    </row>
    <row r="74" spans="2:25" x14ac:dyDescent="0.25">
      <c r="B74" s="38" t="str">
        <f>科室绩效工资核算1!B74</f>
        <v>保卫科</v>
      </c>
      <c r="C74" s="43">
        <f>科室绩效工资核算1!C74</f>
        <v>23403.135999999999</v>
      </c>
      <c r="D74" s="5">
        <f>SUM(科室绩效工资核算1!D74:G74)+SUM(科室绩效工资核算1!W74:AG74)</f>
        <v>0</v>
      </c>
      <c r="E74" s="5">
        <f>科室绩效工资核算1!H74-SUMIF(中层绩效!B:B,科室绩效工资核算2!B74,中层绩效!H:H)</f>
        <v>0</v>
      </c>
      <c r="F74" s="5">
        <f>科室绩效工资核算1!I74-SUMIF(中层绩效!B:B,科室绩效工资核算1!B74,中层绩效!I:I)</f>
        <v>0</v>
      </c>
      <c r="G74" s="5">
        <f>科室绩效工资核算1!J74-SUMIF(中层绩效!B:B,科室绩效工资核算1!B74,中层绩效!J:J)</f>
        <v>0</v>
      </c>
      <c r="H74" s="5">
        <f>科室绩效工资核算1!K74-SUMIF(中层绩效!B:B,科室绩效工资核算1!B74,中层绩效!K:K)</f>
        <v>0</v>
      </c>
      <c r="I74" s="5">
        <f>科室绩效工资核算1!L74-SUMIF(中层绩效!B:B,科室绩效工资核算1!B74,中层绩效!L:L)</f>
        <v>0</v>
      </c>
      <c r="J74" s="5">
        <f>科室绩效工资核算1!M74-SUMIF(中层绩效!B:B,科室绩效工资核算1!B74,中层绩效!M:M)</f>
        <v>0</v>
      </c>
      <c r="K74" s="5">
        <f>科室绩效工资核算1!N74-SUMIF(中层绩效!B:B,科室绩效工资核算1!B74,中层绩效!N:N)</f>
        <v>0</v>
      </c>
      <c r="L74" s="5">
        <f>科室绩效工资核算1!O74-SUMIF(中层绩效!B:B,科室绩效工资核算1!B74,中层绩效!O:O)</f>
        <v>0</v>
      </c>
      <c r="M74" s="5">
        <f>科室绩效工资核算1!P74-SUMIF(中层绩效!B:B,科室绩效工资核算1!B74,中层绩效!P:P)</f>
        <v>0</v>
      </c>
      <c r="N74" s="5">
        <f>科室绩效工资核算1!Q74-SUMIF(中层绩效!B:B,科室绩效工资核算1!B74,中层绩效!Q:Q)</f>
        <v>0</v>
      </c>
      <c r="O74" s="5">
        <f>科室绩效工资核算1!R74-SUMIF(中层绩效!B:B,科室绩效工资核算1!B74,中层绩效!R:R)</f>
        <v>0</v>
      </c>
      <c r="P74" s="5">
        <f>科室绩效工资核算1!S74-SUMIF(中层绩效!B:B,科室绩效工资核算1!B74,中层绩效!S:S)</f>
        <v>0</v>
      </c>
      <c r="Q74" s="5">
        <f>科室绩效工资核算1!T74-SUMIF(中层绩效!B:B,科室绩效工资核算1!B74,中层绩效!T:T)</f>
        <v>0</v>
      </c>
      <c r="R74" s="5">
        <f>科室绩效工资核算1!V74</f>
        <v>0</v>
      </c>
      <c r="S74" s="5">
        <f>科室绩效工资核算1!U74</f>
        <v>0</v>
      </c>
      <c r="T74" s="5">
        <f>SUM(科室绩效工资核算1!AI74+科室绩效工资核算1!AH74)</f>
        <v>0</v>
      </c>
      <c r="U74" s="43">
        <f t="shared" si="7"/>
        <v>23403.135999999999</v>
      </c>
      <c r="V74" s="43">
        <f t="shared" si="8"/>
        <v>23403.135999999999</v>
      </c>
      <c r="W74" s="43">
        <f>IFERROR(D74/VLOOKUP($B:$B,人员表!$B:$G,MATCH("员工",人员表!$B$3:$G$3,0),0)*VLOOKUP($B:$B,人员表!$B:$G,MATCH("护理组",人员表!$B$3:$G$3,0),0),0)</f>
        <v>0</v>
      </c>
      <c r="X74" s="5">
        <f t="shared" si="5"/>
        <v>0</v>
      </c>
      <c r="Y74" s="5">
        <f t="shared" si="6"/>
        <v>0</v>
      </c>
    </row>
    <row r="75" spans="2:25" x14ac:dyDescent="0.25">
      <c r="B75" s="38" t="str">
        <f>科室绩效工资核算1!B75</f>
        <v>病案室</v>
      </c>
      <c r="C75" s="43">
        <f>科室绩效工资核算1!C75</f>
        <v>2886.9</v>
      </c>
      <c r="D75" s="5">
        <f>SUM(科室绩效工资核算1!D75:G75)+SUM(科室绩效工资核算1!W75:AG75)</f>
        <v>0</v>
      </c>
      <c r="E75" s="5">
        <f>科室绩效工资核算1!H75-SUMIF(中层绩效!B:B,科室绩效工资核算2!B75,中层绩效!H:H)</f>
        <v>0</v>
      </c>
      <c r="F75" s="5">
        <f>科室绩效工资核算1!I75-SUMIF(中层绩效!B:B,科室绩效工资核算1!B75,中层绩效!I:I)</f>
        <v>0</v>
      </c>
      <c r="G75" s="5">
        <f>科室绩效工资核算1!J75-SUMIF(中层绩效!B:B,科室绩效工资核算1!B75,中层绩效!J:J)</f>
        <v>0</v>
      </c>
      <c r="H75" s="5">
        <f>科室绩效工资核算1!K75-SUMIF(中层绩效!B:B,科室绩效工资核算1!B75,中层绩效!K:K)</f>
        <v>0</v>
      </c>
      <c r="I75" s="5">
        <f>科室绩效工资核算1!L75-SUMIF(中层绩效!B:B,科室绩效工资核算1!B75,中层绩效!L:L)</f>
        <v>0</v>
      </c>
      <c r="J75" s="5">
        <f>科室绩效工资核算1!M75-SUMIF(中层绩效!B:B,科室绩效工资核算1!B75,中层绩效!M:M)</f>
        <v>0</v>
      </c>
      <c r="K75" s="5">
        <f>科室绩效工资核算1!N75-SUMIF(中层绩效!B:B,科室绩效工资核算1!B75,中层绩效!N:N)</f>
        <v>0</v>
      </c>
      <c r="L75" s="5">
        <f>科室绩效工资核算1!O75-SUMIF(中层绩效!B:B,科室绩效工资核算1!B75,中层绩效!O:O)</f>
        <v>0</v>
      </c>
      <c r="M75" s="5">
        <f>科室绩效工资核算1!P75-SUMIF(中层绩效!B:B,科室绩效工资核算1!B75,中层绩效!P:P)</f>
        <v>0</v>
      </c>
      <c r="N75" s="5">
        <f>科室绩效工资核算1!Q75-SUMIF(中层绩效!B:B,科室绩效工资核算1!B75,中层绩效!Q:Q)</f>
        <v>0</v>
      </c>
      <c r="O75" s="5">
        <f>科室绩效工资核算1!R75-SUMIF(中层绩效!B:B,科室绩效工资核算1!B75,中层绩效!R:R)</f>
        <v>0</v>
      </c>
      <c r="P75" s="5">
        <f>科室绩效工资核算1!S75-SUMIF(中层绩效!B:B,科室绩效工资核算1!B75,中层绩效!S:S)</f>
        <v>0</v>
      </c>
      <c r="Q75" s="5">
        <f>科室绩效工资核算1!T75-SUMIF(中层绩效!B:B,科室绩效工资核算1!B75,中层绩效!T:T)</f>
        <v>0</v>
      </c>
      <c r="R75" s="5">
        <f>科室绩效工资核算1!V75</f>
        <v>0</v>
      </c>
      <c r="S75" s="5">
        <f>科室绩效工资核算1!U75</f>
        <v>0</v>
      </c>
      <c r="T75" s="5">
        <f>SUM(科室绩效工资核算1!AI75+科室绩效工资核算1!AH75)</f>
        <v>0</v>
      </c>
      <c r="U75" s="43">
        <f t="shared" si="7"/>
        <v>2886.9</v>
      </c>
      <c r="V75" s="43">
        <f t="shared" si="8"/>
        <v>2886.9</v>
      </c>
      <c r="W75" s="43">
        <f>IFERROR(D75/VLOOKUP($B:$B,人员表!$B:$G,MATCH("员工",人员表!$B$3:$G$3,0),0)*VLOOKUP($B:$B,人员表!$B:$G,MATCH("护理组",人员表!$B$3:$G$3,0),0),0)</f>
        <v>0</v>
      </c>
      <c r="X75" s="5">
        <f t="shared" si="5"/>
        <v>0</v>
      </c>
      <c r="Y75" s="5">
        <f t="shared" si="6"/>
        <v>0</v>
      </c>
    </row>
    <row r="76" spans="2:25" x14ac:dyDescent="0.25">
      <c r="B76" s="38" t="str">
        <f>科室绩效工资核算1!B76</f>
        <v>医疗发展部</v>
      </c>
      <c r="C76" s="43">
        <f>科室绩效工资核算1!C76</f>
        <v>2463.4880000000003</v>
      </c>
      <c r="D76" s="5">
        <f>SUM(科室绩效工资核算1!D76:G76)+SUM(科室绩效工资核算1!W76:AG76)</f>
        <v>0</v>
      </c>
      <c r="E76" s="5">
        <f>科室绩效工资核算1!H76-SUMIF(中层绩效!B:B,科室绩效工资核算2!B76,中层绩效!H:H)</f>
        <v>0</v>
      </c>
      <c r="F76" s="5">
        <f>科室绩效工资核算1!I76-SUMIF(中层绩效!B:B,科室绩效工资核算1!B76,中层绩效!I:I)</f>
        <v>0</v>
      </c>
      <c r="G76" s="5">
        <f>科室绩效工资核算1!J76-SUMIF(中层绩效!B:B,科室绩效工资核算1!B76,中层绩效!J:J)</f>
        <v>0</v>
      </c>
      <c r="H76" s="5">
        <f>科室绩效工资核算1!K76-SUMIF(中层绩效!B:B,科室绩效工资核算1!B76,中层绩效!K:K)</f>
        <v>0</v>
      </c>
      <c r="I76" s="5">
        <f>科室绩效工资核算1!L76-SUMIF(中层绩效!B:B,科室绩效工资核算1!B76,中层绩效!L:L)</f>
        <v>0</v>
      </c>
      <c r="J76" s="5">
        <f>科室绩效工资核算1!M76-SUMIF(中层绩效!B:B,科室绩效工资核算1!B76,中层绩效!M:M)</f>
        <v>0</v>
      </c>
      <c r="K76" s="5">
        <f>科室绩效工资核算1!N76-SUMIF(中层绩效!B:B,科室绩效工资核算1!B76,中层绩效!N:N)</f>
        <v>0</v>
      </c>
      <c r="L76" s="5">
        <f>科室绩效工资核算1!O76-SUMIF(中层绩效!B:B,科室绩效工资核算1!B76,中层绩效!O:O)</f>
        <v>0</v>
      </c>
      <c r="M76" s="5">
        <f>科室绩效工资核算1!P76-SUMIF(中层绩效!B:B,科室绩效工资核算1!B76,中层绩效!P:P)</f>
        <v>0</v>
      </c>
      <c r="N76" s="5">
        <f>科室绩效工资核算1!Q76-SUMIF(中层绩效!B:B,科室绩效工资核算1!B76,中层绩效!Q:Q)</f>
        <v>0</v>
      </c>
      <c r="O76" s="5">
        <f>科室绩效工资核算1!R76-SUMIF(中层绩效!B:B,科室绩效工资核算1!B76,中层绩效!R:R)</f>
        <v>0</v>
      </c>
      <c r="P76" s="5">
        <f>科室绩效工资核算1!S76-SUMIF(中层绩效!B:B,科室绩效工资核算1!B76,中层绩效!S:S)</f>
        <v>0</v>
      </c>
      <c r="Q76" s="5">
        <f>科室绩效工资核算1!T76-SUMIF(中层绩效!B:B,科室绩效工资核算1!B76,中层绩效!T:T)</f>
        <v>0</v>
      </c>
      <c r="R76" s="5">
        <f>科室绩效工资核算1!V76</f>
        <v>0</v>
      </c>
      <c r="S76" s="5">
        <f>科室绩效工资核算1!U76</f>
        <v>0</v>
      </c>
      <c r="T76" s="5">
        <f>SUM(科室绩效工资核算1!AI76+科室绩效工资核算1!AH76)</f>
        <v>0</v>
      </c>
      <c r="U76" s="43">
        <f t="shared" si="7"/>
        <v>2463.4880000000003</v>
      </c>
      <c r="V76" s="43">
        <f t="shared" si="8"/>
        <v>2463.4880000000003</v>
      </c>
      <c r="W76" s="43">
        <f>IFERROR(D76/VLOOKUP($B:$B,人员表!$B:$G,MATCH("员工",人员表!$B$3:$G$3,0),0)*VLOOKUP($B:$B,人员表!$B:$G,MATCH("护理组",人员表!$B$3:$G$3,0),0),0)</f>
        <v>0</v>
      </c>
      <c r="X76" s="5">
        <f t="shared" si="5"/>
        <v>0</v>
      </c>
      <c r="Y76" s="5">
        <f t="shared" si="6"/>
        <v>0</v>
      </c>
    </row>
    <row r="77" spans="2:25" x14ac:dyDescent="0.25">
      <c r="B77" s="38" t="str">
        <f>科室绩效工资核算1!B77</f>
        <v>调度中心</v>
      </c>
      <c r="C77" s="43">
        <f>科室绩效工资核算1!C77</f>
        <v>8083.3200000000006</v>
      </c>
      <c r="D77" s="5">
        <f>SUM(科室绩效工资核算1!D77:G77)+SUM(科室绩效工资核算1!W77:AG77)</f>
        <v>0</v>
      </c>
      <c r="E77" s="5">
        <f>科室绩效工资核算1!H77-SUMIF(中层绩效!B:B,科室绩效工资核算2!B77,中层绩效!H:H)</f>
        <v>0</v>
      </c>
      <c r="F77" s="5">
        <f>科室绩效工资核算1!I77-SUMIF(中层绩效!B:B,科室绩效工资核算1!B77,中层绩效!I:I)</f>
        <v>0</v>
      </c>
      <c r="G77" s="5">
        <f>科室绩效工资核算1!J77-SUMIF(中层绩效!B:B,科室绩效工资核算1!B77,中层绩效!J:J)</f>
        <v>0</v>
      </c>
      <c r="H77" s="5">
        <f>科室绩效工资核算1!K77-SUMIF(中层绩效!B:B,科室绩效工资核算1!B77,中层绩效!K:K)</f>
        <v>0</v>
      </c>
      <c r="I77" s="5">
        <f>科室绩效工资核算1!L77-SUMIF(中层绩效!B:B,科室绩效工资核算1!B77,中层绩效!L:L)</f>
        <v>0</v>
      </c>
      <c r="J77" s="5">
        <f>科室绩效工资核算1!M77-SUMIF(中层绩效!B:B,科室绩效工资核算1!B77,中层绩效!M:M)</f>
        <v>0</v>
      </c>
      <c r="K77" s="5">
        <f>科室绩效工资核算1!N77-SUMIF(中层绩效!B:B,科室绩效工资核算1!B77,中层绩效!N:N)</f>
        <v>0</v>
      </c>
      <c r="L77" s="5">
        <f>科室绩效工资核算1!O77-SUMIF(中层绩效!B:B,科室绩效工资核算1!B77,中层绩效!O:O)</f>
        <v>0</v>
      </c>
      <c r="M77" s="5">
        <f>科室绩效工资核算1!P77-SUMIF(中层绩效!B:B,科室绩效工资核算1!B77,中层绩效!P:P)</f>
        <v>0</v>
      </c>
      <c r="N77" s="5">
        <f>科室绩效工资核算1!Q77-SUMIF(中层绩效!B:B,科室绩效工资核算1!B77,中层绩效!Q:Q)</f>
        <v>0</v>
      </c>
      <c r="O77" s="5">
        <f>科室绩效工资核算1!R77-SUMIF(中层绩效!B:B,科室绩效工资核算1!B77,中层绩效!R:R)</f>
        <v>0</v>
      </c>
      <c r="P77" s="5">
        <f>科室绩效工资核算1!S77-SUMIF(中层绩效!B:B,科室绩效工资核算1!B77,中层绩效!S:S)</f>
        <v>0</v>
      </c>
      <c r="Q77" s="5">
        <f>科室绩效工资核算1!T77-SUMIF(中层绩效!B:B,科室绩效工资核算1!B77,中层绩效!T:T)</f>
        <v>0</v>
      </c>
      <c r="R77" s="5">
        <f>科室绩效工资核算1!V77</f>
        <v>0</v>
      </c>
      <c r="S77" s="5">
        <f>科室绩效工资核算1!U77</f>
        <v>0</v>
      </c>
      <c r="T77" s="5">
        <f>SUM(科室绩效工资核算1!AI77+科室绩效工资核算1!AH77)</f>
        <v>0</v>
      </c>
      <c r="U77" s="43">
        <f t="shared" si="7"/>
        <v>8083.3200000000006</v>
      </c>
      <c r="V77" s="43">
        <f t="shared" si="8"/>
        <v>8083.3200000000006</v>
      </c>
      <c r="W77" s="43">
        <f>IFERROR(D77/VLOOKUP($B:$B,人员表!$B:$G,MATCH("员工",人员表!$B$3:$G$3,0),0)*VLOOKUP($B:$B,人员表!$B:$G,MATCH("护理组",人员表!$B$3:$G$3,0),0),0)</f>
        <v>0</v>
      </c>
      <c r="X77" s="5">
        <f t="shared" si="5"/>
        <v>0</v>
      </c>
      <c r="Y77" s="5">
        <f t="shared" si="6"/>
        <v>0</v>
      </c>
    </row>
    <row r="78" spans="2:25" x14ac:dyDescent="0.25">
      <c r="B78" s="38" t="str">
        <f>科室绩效工资核算1!B78</f>
        <v>二甲办</v>
      </c>
      <c r="C78" s="43">
        <f>科室绩效工资核算1!C78</f>
        <v>0</v>
      </c>
      <c r="D78" s="5">
        <f>SUM(科室绩效工资核算1!D78:G78)+SUM(科室绩效工资核算1!W78:AG78)</f>
        <v>0</v>
      </c>
      <c r="E78" s="5">
        <f>科室绩效工资核算1!H78-SUMIF(中层绩效!B:B,科室绩效工资核算2!B78,中层绩效!H:H)</f>
        <v>0</v>
      </c>
      <c r="F78" s="5">
        <f>科室绩效工资核算1!I78-SUMIF(中层绩效!B:B,科室绩效工资核算1!B78,中层绩效!I:I)</f>
        <v>0</v>
      </c>
      <c r="G78" s="5">
        <f>科室绩效工资核算1!J78-SUMIF(中层绩效!B:B,科室绩效工资核算1!B78,中层绩效!J:J)</f>
        <v>0</v>
      </c>
      <c r="H78" s="5">
        <f>科室绩效工资核算1!K78-SUMIF(中层绩效!B:B,科室绩效工资核算1!B78,中层绩效!K:K)</f>
        <v>0</v>
      </c>
      <c r="I78" s="5">
        <f>科室绩效工资核算1!L78-SUMIF(中层绩效!B:B,科室绩效工资核算1!B78,中层绩效!L:L)</f>
        <v>0</v>
      </c>
      <c r="J78" s="5">
        <f>科室绩效工资核算1!M78-SUMIF(中层绩效!B:B,科室绩效工资核算1!B78,中层绩效!M:M)</f>
        <v>0</v>
      </c>
      <c r="K78" s="5">
        <f>科室绩效工资核算1!N78-SUMIF(中层绩效!B:B,科室绩效工资核算1!B78,中层绩效!N:N)</f>
        <v>0</v>
      </c>
      <c r="L78" s="5">
        <f>科室绩效工资核算1!O78-SUMIF(中层绩效!B:B,科室绩效工资核算1!B78,中层绩效!O:O)</f>
        <v>0</v>
      </c>
      <c r="M78" s="5">
        <f>科室绩效工资核算1!P78-SUMIF(中层绩效!B:B,科室绩效工资核算1!B78,中层绩效!P:P)</f>
        <v>0</v>
      </c>
      <c r="N78" s="5">
        <f>科室绩效工资核算1!Q78-SUMIF(中层绩效!B:B,科室绩效工资核算1!B78,中层绩效!Q:Q)</f>
        <v>0</v>
      </c>
      <c r="O78" s="5">
        <f>科室绩效工资核算1!R78-SUMIF(中层绩效!B:B,科室绩效工资核算1!B78,中层绩效!R:R)</f>
        <v>0</v>
      </c>
      <c r="P78" s="5">
        <f>科室绩效工资核算1!S78-SUMIF(中层绩效!B:B,科室绩效工资核算1!B78,中层绩效!S:S)</f>
        <v>0</v>
      </c>
      <c r="Q78" s="5">
        <f>科室绩效工资核算1!T78-SUMIF(中层绩效!B:B,科室绩效工资核算1!B78,中层绩效!T:T)</f>
        <v>0</v>
      </c>
      <c r="R78" s="5">
        <f>科室绩效工资核算1!V78</f>
        <v>0</v>
      </c>
      <c r="S78" s="5">
        <f>科室绩效工资核算1!U78</f>
        <v>0</v>
      </c>
      <c r="T78" s="5">
        <f>SUM(科室绩效工资核算1!AI78+科室绩效工资核算1!AH78)</f>
        <v>0</v>
      </c>
      <c r="U78" s="43">
        <f t="shared" si="7"/>
        <v>0</v>
      </c>
      <c r="V78" s="43">
        <f t="shared" si="8"/>
        <v>0</v>
      </c>
      <c r="W78" s="43">
        <f>IFERROR(D78/VLOOKUP($B:$B,人员表!$B:$G,MATCH("员工",人员表!$B$3:$G$3,0),0)*VLOOKUP($B:$B,人员表!$B:$G,MATCH("护理组",人员表!$B$3:$G$3,0),0),0)</f>
        <v>0</v>
      </c>
      <c r="X78" s="5">
        <f t="shared" si="5"/>
        <v>0</v>
      </c>
      <c r="Y78" s="5">
        <f t="shared" si="6"/>
        <v>0</v>
      </c>
    </row>
    <row r="79" spans="2:25" x14ac:dyDescent="0.25">
      <c r="B79" s="38" t="str">
        <f>科室绩效工资核算1!B79</f>
        <v>招标办</v>
      </c>
      <c r="C79" s="43">
        <f>科室绩效工资核算1!C79</f>
        <v>0</v>
      </c>
      <c r="D79" s="5">
        <f>SUM(科室绩效工资核算1!D79:G79)+SUM(科室绩效工资核算1!W79:AG79)</f>
        <v>0</v>
      </c>
      <c r="E79" s="5">
        <f>科室绩效工资核算1!H79-SUMIF(中层绩效!B:B,科室绩效工资核算2!B79,中层绩效!H:H)</f>
        <v>0</v>
      </c>
      <c r="F79" s="5">
        <f>科室绩效工资核算1!I79-SUMIF(中层绩效!B:B,科室绩效工资核算1!B79,中层绩效!I:I)</f>
        <v>0</v>
      </c>
      <c r="G79" s="5">
        <f>科室绩效工资核算1!J79-SUMIF(中层绩效!B:B,科室绩效工资核算1!B79,中层绩效!J:J)</f>
        <v>0</v>
      </c>
      <c r="H79" s="5">
        <f>科室绩效工资核算1!K79-SUMIF(中层绩效!B:B,科室绩效工资核算1!B79,中层绩效!K:K)</f>
        <v>0</v>
      </c>
      <c r="I79" s="5">
        <f>科室绩效工资核算1!L79-SUMIF(中层绩效!B:B,科室绩效工资核算1!B79,中层绩效!L:L)</f>
        <v>0</v>
      </c>
      <c r="J79" s="5">
        <f>科室绩效工资核算1!M79-SUMIF(中层绩效!B:B,科室绩效工资核算1!B79,中层绩效!M:M)</f>
        <v>0</v>
      </c>
      <c r="K79" s="5">
        <f>科室绩效工资核算1!N79-SUMIF(中层绩效!B:B,科室绩效工资核算1!B79,中层绩效!N:N)</f>
        <v>0</v>
      </c>
      <c r="L79" s="5">
        <f>科室绩效工资核算1!O79-SUMIF(中层绩效!B:B,科室绩效工资核算1!B79,中层绩效!O:O)</f>
        <v>0</v>
      </c>
      <c r="M79" s="5">
        <f>科室绩效工资核算1!P79-SUMIF(中层绩效!B:B,科室绩效工资核算1!B79,中层绩效!P:P)</f>
        <v>0</v>
      </c>
      <c r="N79" s="5">
        <f>科室绩效工资核算1!Q79-SUMIF(中层绩效!B:B,科室绩效工资核算1!B79,中层绩效!Q:Q)</f>
        <v>0</v>
      </c>
      <c r="O79" s="5">
        <f>科室绩效工资核算1!R79-SUMIF(中层绩效!B:B,科室绩效工资核算1!B79,中层绩效!R:R)</f>
        <v>0</v>
      </c>
      <c r="P79" s="5">
        <f>科室绩效工资核算1!S79-SUMIF(中层绩效!B:B,科室绩效工资核算1!B79,中层绩效!S:S)</f>
        <v>0</v>
      </c>
      <c r="Q79" s="5">
        <f>科室绩效工资核算1!T79-SUMIF(中层绩效!B:B,科室绩效工资核算1!B79,中层绩效!T:T)</f>
        <v>0</v>
      </c>
      <c r="R79" s="5">
        <f>科室绩效工资核算1!V79</f>
        <v>0</v>
      </c>
      <c r="S79" s="5">
        <f>科室绩效工资核算1!U79</f>
        <v>0</v>
      </c>
      <c r="T79" s="5">
        <f>SUM(科室绩效工资核算1!AI79+科室绩效工资核算1!AH79)</f>
        <v>0</v>
      </c>
      <c r="U79" s="43">
        <f t="shared" si="7"/>
        <v>0</v>
      </c>
      <c r="V79" s="43">
        <f t="shared" si="8"/>
        <v>0</v>
      </c>
      <c r="W79" s="43">
        <f>IFERROR(D79/VLOOKUP($B:$B,人员表!$B:$G,MATCH("员工",人员表!$B$3:$G$3,0),0)*VLOOKUP($B:$B,人员表!$B:$G,MATCH("护理组",人员表!$B$3:$G$3,0),0),0)</f>
        <v>0</v>
      </c>
      <c r="X79" s="5">
        <f t="shared" si="5"/>
        <v>0</v>
      </c>
      <c r="Y79" s="5">
        <f t="shared" si="6"/>
        <v>0</v>
      </c>
    </row>
    <row r="80" spans="2:25" x14ac:dyDescent="0.25">
      <c r="B80" s="38" t="str">
        <f>科室绩效工资核算1!B80</f>
        <v>绩效办</v>
      </c>
      <c r="C80" s="43">
        <f>科室绩效工资核算1!C80</f>
        <v>1231.7440000000001</v>
      </c>
      <c r="D80" s="5">
        <f>SUM(科室绩效工资核算1!D80:G80)+SUM(科室绩效工资核算1!W80:AG80)</f>
        <v>0</v>
      </c>
      <c r="E80" s="5">
        <f>科室绩效工资核算1!H80-SUMIF(中层绩效!B:B,科室绩效工资核算2!B80,中层绩效!H:H)</f>
        <v>0</v>
      </c>
      <c r="F80" s="5">
        <f>科室绩效工资核算1!I80-SUMIF(中层绩效!B:B,科室绩效工资核算1!B80,中层绩效!I:I)</f>
        <v>0</v>
      </c>
      <c r="G80" s="5">
        <f>科室绩效工资核算1!J80-SUMIF(中层绩效!B:B,科室绩效工资核算1!B80,中层绩效!J:J)</f>
        <v>0</v>
      </c>
      <c r="H80" s="5">
        <f>科室绩效工资核算1!K80-SUMIF(中层绩效!B:B,科室绩效工资核算1!B80,中层绩效!K:K)</f>
        <v>0</v>
      </c>
      <c r="I80" s="5">
        <f>科室绩效工资核算1!L80-SUMIF(中层绩效!B:B,科室绩效工资核算1!B80,中层绩效!L:L)</f>
        <v>0</v>
      </c>
      <c r="J80" s="5">
        <f>科室绩效工资核算1!M80-SUMIF(中层绩效!B:B,科室绩效工资核算1!B80,中层绩效!M:M)</f>
        <v>0</v>
      </c>
      <c r="K80" s="5">
        <f>科室绩效工资核算1!N80-SUMIF(中层绩效!B:B,科室绩效工资核算1!B80,中层绩效!N:N)</f>
        <v>0</v>
      </c>
      <c r="L80" s="5">
        <f>科室绩效工资核算1!O80-SUMIF(中层绩效!B:B,科室绩效工资核算1!B80,中层绩效!O:O)</f>
        <v>0</v>
      </c>
      <c r="M80" s="5">
        <f>科室绩效工资核算1!P80-SUMIF(中层绩效!B:B,科室绩效工资核算1!B80,中层绩效!P:P)</f>
        <v>0</v>
      </c>
      <c r="N80" s="5">
        <f>科室绩效工资核算1!Q80-SUMIF(中层绩效!B:B,科室绩效工资核算1!B80,中层绩效!Q:Q)</f>
        <v>0</v>
      </c>
      <c r="O80" s="5">
        <f>科室绩效工资核算1!R80-SUMIF(中层绩效!B:B,科室绩效工资核算1!B80,中层绩效!R:R)</f>
        <v>0</v>
      </c>
      <c r="P80" s="5">
        <f>科室绩效工资核算1!S80-SUMIF(中层绩效!B:B,科室绩效工资核算1!B80,中层绩效!S:S)</f>
        <v>0</v>
      </c>
      <c r="Q80" s="5">
        <f>科室绩效工资核算1!T80-SUMIF(中层绩效!B:B,科室绩效工资核算1!B80,中层绩效!T:T)</f>
        <v>0</v>
      </c>
      <c r="R80" s="5">
        <f>科室绩效工资核算1!V80</f>
        <v>0</v>
      </c>
      <c r="S80" s="5">
        <f>科室绩效工资核算1!U80</f>
        <v>0</v>
      </c>
      <c r="T80" s="5">
        <f>SUM(科室绩效工资核算1!AI80+科室绩效工资核算1!AH80)</f>
        <v>0</v>
      </c>
      <c r="U80" s="43">
        <f t="shared" si="7"/>
        <v>1231.7440000000001</v>
      </c>
      <c r="V80" s="43">
        <f t="shared" si="8"/>
        <v>1231.7440000000001</v>
      </c>
      <c r="W80" s="43">
        <f>IFERROR(D80/VLOOKUP($B:$B,人员表!$B:$G,MATCH("员工",人员表!$B$3:$G$3,0),0)*VLOOKUP($B:$B,人员表!$B:$G,MATCH("护理组",人员表!$B$3:$G$3,0),0),0)</f>
        <v>0</v>
      </c>
      <c r="X80" s="5">
        <f t="shared" si="5"/>
        <v>0</v>
      </c>
      <c r="Y80" s="5">
        <f t="shared" si="6"/>
        <v>0</v>
      </c>
    </row>
    <row r="81" spans="2:25" x14ac:dyDescent="0.25">
      <c r="B81" s="38" t="str">
        <f>科室绩效工资核算1!B81</f>
        <v>司机班</v>
      </c>
      <c r="C81" s="43">
        <f>科室绩效工资核算1!C81</f>
        <v>0</v>
      </c>
      <c r="D81" s="5">
        <f>SUM(科室绩效工资核算1!D81:G81)+SUM(科室绩效工资核算1!W81:AG81)</f>
        <v>13360</v>
      </c>
      <c r="E81" s="5">
        <f>科室绩效工资核算1!H81-SUMIF(中层绩效!B:B,科室绩效工资核算2!B81,中层绩效!H:H)</f>
        <v>0</v>
      </c>
      <c r="F81" s="5">
        <f>科室绩效工资核算1!I81-SUMIF(中层绩效!B:B,科室绩效工资核算1!B81,中层绩效!I:I)</f>
        <v>0</v>
      </c>
      <c r="G81" s="5">
        <f>科室绩效工资核算1!J81-SUMIF(中层绩效!B:B,科室绩效工资核算1!B81,中层绩效!J:J)</f>
        <v>0</v>
      </c>
      <c r="H81" s="5">
        <f>科室绩效工资核算1!K81-SUMIF(中层绩效!B:B,科室绩效工资核算1!B81,中层绩效!K:K)</f>
        <v>0</v>
      </c>
      <c r="I81" s="5">
        <f>科室绩效工资核算1!L81-SUMIF(中层绩效!B:B,科室绩效工资核算1!B81,中层绩效!L:L)</f>
        <v>0</v>
      </c>
      <c r="J81" s="5">
        <f>科室绩效工资核算1!M81-SUMIF(中层绩效!B:B,科室绩效工资核算1!B81,中层绩效!M:M)</f>
        <v>0</v>
      </c>
      <c r="K81" s="5">
        <f>科室绩效工资核算1!N81-SUMIF(中层绩效!B:B,科室绩效工资核算1!B81,中层绩效!N:N)</f>
        <v>0</v>
      </c>
      <c r="L81" s="5">
        <f>科室绩效工资核算1!O81-SUMIF(中层绩效!B:B,科室绩效工资核算1!B81,中层绩效!O:O)</f>
        <v>0</v>
      </c>
      <c r="M81" s="5">
        <f>科室绩效工资核算1!P81-SUMIF(中层绩效!B:B,科室绩效工资核算1!B81,中层绩效!P:P)</f>
        <v>0</v>
      </c>
      <c r="N81" s="5">
        <f>科室绩效工资核算1!Q81-SUMIF(中层绩效!B:B,科室绩效工资核算1!B81,中层绩效!Q:Q)</f>
        <v>0</v>
      </c>
      <c r="O81" s="5">
        <f>科室绩效工资核算1!R81-SUMIF(中层绩效!B:B,科室绩效工资核算1!B81,中层绩效!R:R)</f>
        <v>0</v>
      </c>
      <c r="P81" s="5">
        <f>科室绩效工资核算1!S81-SUMIF(中层绩效!B:B,科室绩效工资核算1!B81,中层绩效!S:S)</f>
        <v>0</v>
      </c>
      <c r="Q81" s="5">
        <f>科室绩效工资核算1!T81-SUMIF(中层绩效!B:B,科室绩效工资核算1!B81,中层绩效!T:T)</f>
        <v>0</v>
      </c>
      <c r="R81" s="5">
        <f>科室绩效工资核算1!V81</f>
        <v>0</v>
      </c>
      <c r="S81" s="5">
        <f>科室绩效工资核算1!U81</f>
        <v>0</v>
      </c>
      <c r="T81" s="5">
        <f>SUM(科室绩效工资核算1!AI81+科室绩效工资核算1!AH81)</f>
        <v>0</v>
      </c>
      <c r="U81" s="43">
        <f t="shared" si="7"/>
        <v>13360</v>
      </c>
      <c r="V81" s="43">
        <f t="shared" si="8"/>
        <v>13360</v>
      </c>
      <c r="W81" s="43">
        <f>IFERROR(D81/VLOOKUP($B:$B,人员表!$B:$G,MATCH("员工",人员表!$B$3:$G$3,0),0)*VLOOKUP($B:$B,人员表!$B:$G,MATCH("护理组",人员表!$B$3:$G$3,0),0),0)</f>
        <v>0</v>
      </c>
      <c r="X81" s="5">
        <f t="shared" si="5"/>
        <v>0</v>
      </c>
      <c r="Y81" s="5">
        <f t="shared" si="6"/>
        <v>0</v>
      </c>
    </row>
    <row r="82" spans="2:25" x14ac:dyDescent="0.25">
      <c r="B82" s="38" t="str">
        <f>科室绩效工资核算1!B82</f>
        <v>司法鉴定</v>
      </c>
      <c r="C82" s="43">
        <f>科室绩效工资核算1!C82</f>
        <v>2463.4880000000003</v>
      </c>
      <c r="D82" s="5">
        <f>SUM(科室绩效工资核算1!D82:G82)+SUM(科室绩效工资核算1!W82:AG82)</f>
        <v>0</v>
      </c>
      <c r="E82" s="5">
        <f>科室绩效工资核算1!H82-SUMIF(中层绩效!B:B,科室绩效工资核算2!B82,中层绩效!H:H)</f>
        <v>0</v>
      </c>
      <c r="F82" s="5">
        <f>科室绩效工资核算1!I82-SUMIF(中层绩效!B:B,科室绩效工资核算1!B82,中层绩效!I:I)</f>
        <v>0</v>
      </c>
      <c r="G82" s="5">
        <f>科室绩效工资核算1!J82-SUMIF(中层绩效!B:B,科室绩效工资核算1!B82,中层绩效!J:J)</f>
        <v>0</v>
      </c>
      <c r="H82" s="5">
        <f>科室绩效工资核算1!K82-SUMIF(中层绩效!B:B,科室绩效工资核算1!B82,中层绩效!K:K)</f>
        <v>0</v>
      </c>
      <c r="I82" s="5">
        <f>科室绩效工资核算1!L82-SUMIF(中层绩效!B:B,科室绩效工资核算1!B82,中层绩效!L:L)</f>
        <v>0</v>
      </c>
      <c r="J82" s="5">
        <f>科室绩效工资核算1!M82-SUMIF(中层绩效!B:B,科室绩效工资核算1!B82,中层绩效!M:M)</f>
        <v>0</v>
      </c>
      <c r="K82" s="5">
        <f>科室绩效工资核算1!N82-SUMIF(中层绩效!B:B,科室绩效工资核算1!B82,中层绩效!N:N)</f>
        <v>0</v>
      </c>
      <c r="L82" s="5">
        <f>科室绩效工资核算1!O82-SUMIF(中层绩效!B:B,科室绩效工资核算1!B82,中层绩效!O:O)</f>
        <v>0</v>
      </c>
      <c r="M82" s="5">
        <f>科室绩效工资核算1!P82-SUMIF(中层绩效!B:B,科室绩效工资核算1!B82,中层绩效!P:P)</f>
        <v>0</v>
      </c>
      <c r="N82" s="5">
        <f>科室绩效工资核算1!Q82-SUMIF(中层绩效!B:B,科室绩效工资核算1!B82,中层绩效!Q:Q)</f>
        <v>0</v>
      </c>
      <c r="O82" s="5">
        <f>科室绩效工资核算1!R82-SUMIF(中层绩效!B:B,科室绩效工资核算1!B82,中层绩效!R:R)</f>
        <v>0</v>
      </c>
      <c r="P82" s="5">
        <f>科室绩效工资核算1!S82-SUMIF(中层绩效!B:B,科室绩效工资核算1!B82,中层绩效!S:S)</f>
        <v>0</v>
      </c>
      <c r="Q82" s="5">
        <f>科室绩效工资核算1!T82-SUMIF(中层绩效!B:B,科室绩效工资核算1!B82,中层绩效!T:T)</f>
        <v>0</v>
      </c>
      <c r="R82" s="5">
        <f>科室绩效工资核算1!V82</f>
        <v>0</v>
      </c>
      <c r="S82" s="5">
        <f>科室绩效工资核算1!U82</f>
        <v>0</v>
      </c>
      <c r="T82" s="5">
        <f>SUM(科室绩效工资核算1!AI82+科室绩效工资核算1!AH82)</f>
        <v>0</v>
      </c>
      <c r="U82" s="43">
        <f t="shared" si="7"/>
        <v>2463.4880000000003</v>
      </c>
      <c r="V82" s="43">
        <f t="shared" si="8"/>
        <v>2463.4880000000003</v>
      </c>
      <c r="W82" s="43">
        <f>IFERROR(D82/VLOOKUP($B:$B,人员表!$B:$G,MATCH("员工",人员表!$B$3:$G$3,0),0)*VLOOKUP($B:$B,人员表!$B:$G,MATCH("护理组",人员表!$B$3:$G$3,0),0),0)</f>
        <v>0</v>
      </c>
      <c r="X82" s="5">
        <f t="shared" si="5"/>
        <v>0</v>
      </c>
      <c r="Y82" s="5">
        <f t="shared" si="6"/>
        <v>0</v>
      </c>
    </row>
    <row r="83" spans="2:25" x14ac:dyDescent="0.25">
      <c r="B83" s="38" t="str">
        <f>科室绩效工资核算1!B83</f>
        <v>下乡</v>
      </c>
      <c r="C83" s="43">
        <f>科室绩效工资核算1!C83</f>
        <v>8499.0336000000025</v>
      </c>
      <c r="D83" s="5">
        <f>SUM(科室绩效工资核算1!D83:G83)+SUM(科室绩效工资核算1!W83:AG83)</f>
        <v>0</v>
      </c>
      <c r="E83" s="5">
        <f>科室绩效工资核算1!H83-SUMIF(中层绩效!B:B,科室绩效工资核算2!B83,中层绩效!H:H)</f>
        <v>0</v>
      </c>
      <c r="F83" s="5">
        <f>科室绩效工资核算1!I83-SUMIF(中层绩效!B:B,科室绩效工资核算1!B83,中层绩效!I:I)</f>
        <v>0</v>
      </c>
      <c r="G83" s="5">
        <f>科室绩效工资核算1!J83-SUMIF(中层绩效!B:B,科室绩效工资核算1!B83,中层绩效!J:J)</f>
        <v>0</v>
      </c>
      <c r="H83" s="5">
        <f>科室绩效工资核算1!K83-SUMIF(中层绩效!B:B,科室绩效工资核算1!B83,中层绩效!K:K)</f>
        <v>0</v>
      </c>
      <c r="I83" s="5">
        <f>科室绩效工资核算1!L83-SUMIF(中层绩效!B:B,科室绩效工资核算1!B83,中层绩效!L:L)</f>
        <v>0</v>
      </c>
      <c r="J83" s="5">
        <f>科室绩效工资核算1!M83-SUMIF(中层绩效!B:B,科室绩效工资核算1!B83,中层绩效!M:M)</f>
        <v>0</v>
      </c>
      <c r="K83" s="5">
        <f>科室绩效工资核算1!N83-SUMIF(中层绩效!B:B,科室绩效工资核算1!B83,中层绩效!N:N)</f>
        <v>0</v>
      </c>
      <c r="L83" s="5">
        <f>科室绩效工资核算1!O83-SUMIF(中层绩效!B:B,科室绩效工资核算1!B83,中层绩效!O:O)</f>
        <v>0</v>
      </c>
      <c r="M83" s="5">
        <f>科室绩效工资核算1!P83-SUMIF(中层绩效!B:B,科室绩效工资核算1!B83,中层绩效!P:P)</f>
        <v>0</v>
      </c>
      <c r="N83" s="5">
        <f>科室绩效工资核算1!Q83-SUMIF(中层绩效!B:B,科室绩效工资核算1!B83,中层绩效!Q:Q)</f>
        <v>0</v>
      </c>
      <c r="O83" s="5">
        <f>科室绩效工资核算1!R83-SUMIF(中层绩效!B:B,科室绩效工资核算1!B83,中层绩效!R:R)</f>
        <v>0</v>
      </c>
      <c r="P83" s="5">
        <f>科室绩效工资核算1!S83-SUMIF(中层绩效!B:B,科室绩效工资核算1!B83,中层绩效!S:S)</f>
        <v>0</v>
      </c>
      <c r="Q83" s="5">
        <f>科室绩效工资核算1!T83-SUMIF(中层绩效!B:B,科室绩效工资核算1!B83,中层绩效!T:T)</f>
        <v>0</v>
      </c>
      <c r="R83" s="5">
        <f>科室绩效工资核算1!V83</f>
        <v>0</v>
      </c>
      <c r="S83" s="5">
        <f>科室绩效工资核算1!U83</f>
        <v>0</v>
      </c>
      <c r="T83" s="5">
        <f>SUM(科室绩效工资核算1!AI83+科室绩效工资核算1!AH83)</f>
        <v>0</v>
      </c>
      <c r="U83" s="43">
        <f t="shared" si="7"/>
        <v>8499.0336000000025</v>
      </c>
      <c r="V83" s="43">
        <f t="shared" si="8"/>
        <v>8499.0336000000025</v>
      </c>
      <c r="W83" s="43">
        <f>IFERROR(D83/VLOOKUP($B:$B,人员表!$B:$G,MATCH("员工",人员表!$B$3:$G$3,0),0)*VLOOKUP($B:$B,人员表!$B:$G,MATCH("护理组",人员表!$B$3:$G$3,0),0),0)</f>
        <v>0</v>
      </c>
      <c r="X83" s="5">
        <f t="shared" si="5"/>
        <v>0</v>
      </c>
      <c r="Y83" s="5">
        <f t="shared" si="6"/>
        <v>0</v>
      </c>
    </row>
    <row r="84" spans="2:25" x14ac:dyDescent="0.25">
      <c r="B84" s="38" t="str">
        <f>科室绩效工资核算1!B84</f>
        <v>进修人员</v>
      </c>
      <c r="C84" s="43">
        <f>科室绩效工资核算1!C84</f>
        <v>20262.1888</v>
      </c>
      <c r="D84" s="5">
        <f>SUM(科室绩效工资核算1!D84:G84)+SUM(科室绩效工资核算1!W84:AG84)</f>
        <v>0</v>
      </c>
      <c r="E84" s="5">
        <f>科室绩效工资核算1!H84-SUMIF(中层绩效!B:B,科室绩效工资核算2!B84,中层绩效!H:H)</f>
        <v>0</v>
      </c>
      <c r="F84" s="5">
        <f>科室绩效工资核算1!I84-SUMIF(中层绩效!B:B,科室绩效工资核算1!B84,中层绩效!I:I)</f>
        <v>0</v>
      </c>
      <c r="G84" s="5">
        <f>科室绩效工资核算1!J84-SUMIF(中层绩效!B:B,科室绩效工资核算1!B84,中层绩效!J:J)</f>
        <v>0</v>
      </c>
      <c r="H84" s="5">
        <f>科室绩效工资核算1!K84-SUMIF(中层绩效!B:B,科室绩效工资核算1!B84,中层绩效!K:K)</f>
        <v>0</v>
      </c>
      <c r="I84" s="5">
        <f>科室绩效工资核算1!L84-SUMIF(中层绩效!B:B,科室绩效工资核算1!B84,中层绩效!L:L)</f>
        <v>0</v>
      </c>
      <c r="J84" s="5">
        <f>科室绩效工资核算1!M84-SUMIF(中层绩效!B:B,科室绩效工资核算1!B84,中层绩效!M:M)</f>
        <v>0</v>
      </c>
      <c r="K84" s="5">
        <f>科室绩效工资核算1!N84-SUMIF(中层绩效!B:B,科室绩效工资核算1!B84,中层绩效!N:N)</f>
        <v>0</v>
      </c>
      <c r="L84" s="5">
        <f>科室绩效工资核算1!O84-SUMIF(中层绩效!B:B,科室绩效工资核算1!B84,中层绩效!O:O)</f>
        <v>0</v>
      </c>
      <c r="M84" s="5">
        <f>科室绩效工资核算1!P84-SUMIF(中层绩效!B:B,科室绩效工资核算1!B84,中层绩效!P:P)</f>
        <v>0</v>
      </c>
      <c r="N84" s="5">
        <f>科室绩效工资核算1!Q84-SUMIF(中层绩效!B:B,科室绩效工资核算1!B84,中层绩效!Q:Q)</f>
        <v>0</v>
      </c>
      <c r="O84" s="5">
        <f>科室绩效工资核算1!R84-SUMIF(中层绩效!B:B,科室绩效工资核算1!B84,中层绩效!R:R)</f>
        <v>0</v>
      </c>
      <c r="P84" s="5">
        <f>科室绩效工资核算1!S84-SUMIF(中层绩效!B:B,科室绩效工资核算1!B84,中层绩效!S:S)</f>
        <v>0</v>
      </c>
      <c r="Q84" s="5">
        <f>科室绩效工资核算1!T84-SUMIF(中层绩效!B:B,科室绩效工资核算1!B84,中层绩效!T:T)</f>
        <v>0</v>
      </c>
      <c r="R84" s="5">
        <f>科室绩效工资核算1!V84</f>
        <v>0</v>
      </c>
      <c r="S84" s="5">
        <f>科室绩效工资核算1!U84</f>
        <v>0</v>
      </c>
      <c r="T84" s="5">
        <f>SUM(科室绩效工资核算1!AI84+科室绩效工资核算1!AH84)</f>
        <v>0</v>
      </c>
      <c r="U84" s="43">
        <f t="shared" si="7"/>
        <v>20262.1888</v>
      </c>
      <c r="V84" s="43">
        <f t="shared" si="8"/>
        <v>20262.1888</v>
      </c>
      <c r="W84" s="43">
        <f>IFERROR(D84/VLOOKUP($B:$B,人员表!$B:$G,MATCH("员工",人员表!$B$3:$G$3,0),0)*VLOOKUP($B:$B,人员表!$B:$G,MATCH("护理组",人员表!$B$3:$G$3,0),0),0)</f>
        <v>0</v>
      </c>
      <c r="X84" s="5">
        <f t="shared" si="5"/>
        <v>0</v>
      </c>
      <c r="Y84" s="5">
        <f t="shared" si="6"/>
        <v>0</v>
      </c>
    </row>
    <row r="85" spans="2:25" x14ac:dyDescent="0.25">
      <c r="B85" s="38" t="str">
        <f>科室绩效工资核算1!B85</f>
        <v>120医护</v>
      </c>
      <c r="C85" s="43">
        <f>科室绩效工资核算1!C85</f>
        <v>0</v>
      </c>
      <c r="D85" s="5">
        <f>SUM(科室绩效工资核算1!D85:G85)+SUM(科室绩效工资核算1!W85:AG85)</f>
        <v>0</v>
      </c>
      <c r="E85" s="5">
        <f>科室绩效工资核算1!H85-SUMIF(中层绩效!B:B,科室绩效工资核算2!B85,中层绩效!H:H)</f>
        <v>0</v>
      </c>
      <c r="F85" s="5">
        <f>科室绩效工资核算1!I85-SUMIF(中层绩效!B:B,科室绩效工资核算1!B85,中层绩效!I:I)</f>
        <v>0</v>
      </c>
      <c r="G85" s="5">
        <f>科室绩效工资核算1!J85-SUMIF(中层绩效!B:B,科室绩效工资核算1!B85,中层绩效!J:J)</f>
        <v>0</v>
      </c>
      <c r="H85" s="5">
        <f>科室绩效工资核算1!K85-SUMIF(中层绩效!B:B,科室绩效工资核算1!B85,中层绩效!K:K)</f>
        <v>0</v>
      </c>
      <c r="I85" s="5">
        <f>科室绩效工资核算1!L85-SUMIF(中层绩效!B:B,科室绩效工资核算1!B85,中层绩效!L:L)</f>
        <v>0</v>
      </c>
      <c r="J85" s="5">
        <f>科室绩效工资核算1!M85-SUMIF(中层绩效!B:B,科室绩效工资核算1!B85,中层绩效!M:M)</f>
        <v>0</v>
      </c>
      <c r="K85" s="5">
        <f>科室绩效工资核算1!N85-SUMIF(中层绩效!B:B,科室绩效工资核算1!B85,中层绩效!N:N)</f>
        <v>0</v>
      </c>
      <c r="L85" s="5">
        <f>科室绩效工资核算1!O85-SUMIF(中层绩效!B:B,科室绩效工资核算1!B85,中层绩效!O:O)</f>
        <v>0</v>
      </c>
      <c r="M85" s="5">
        <f>科室绩效工资核算1!P85-SUMIF(中层绩效!B:B,科室绩效工资核算1!B85,中层绩效!P:P)</f>
        <v>0</v>
      </c>
      <c r="N85" s="5">
        <f>科室绩效工资核算1!Q85-SUMIF(中层绩效!B:B,科室绩效工资核算1!B85,中层绩效!Q:Q)</f>
        <v>0</v>
      </c>
      <c r="O85" s="5">
        <f>科室绩效工资核算1!R85-SUMIF(中层绩效!B:B,科室绩效工资核算1!B85,中层绩效!R:R)</f>
        <v>0</v>
      </c>
      <c r="P85" s="5">
        <f>科室绩效工资核算1!S85-SUMIF(中层绩效!B:B,科室绩效工资核算1!B85,中层绩效!S:S)</f>
        <v>0</v>
      </c>
      <c r="Q85" s="5">
        <f>科室绩效工资核算1!T85-SUMIF(中层绩效!B:B,科室绩效工资核算1!B85,中层绩效!T:T)</f>
        <v>0</v>
      </c>
      <c r="R85" s="5">
        <f>科室绩效工资核算1!V85</f>
        <v>0</v>
      </c>
      <c r="S85" s="5">
        <f>科室绩效工资核算1!U85</f>
        <v>0</v>
      </c>
      <c r="T85" s="5">
        <f>SUM(科室绩效工资核算1!AI85+科室绩效工资核算1!AH85)</f>
        <v>0</v>
      </c>
      <c r="U85" s="43">
        <f t="shared" si="7"/>
        <v>0</v>
      </c>
      <c r="V85" s="43">
        <f t="shared" si="8"/>
        <v>0</v>
      </c>
      <c r="W85" s="43">
        <f>IFERROR(D85/VLOOKUP($B:$B,人员表!$B:$G,MATCH("员工",人员表!$B$3:$G$3,0),0)*VLOOKUP($B:$B,人员表!$B:$G,MATCH("护理组",人员表!$B$3:$G$3,0),0),0)</f>
        <v>0</v>
      </c>
      <c r="X85" s="5">
        <f t="shared" si="5"/>
        <v>0</v>
      </c>
      <c r="Y85" s="5">
        <f t="shared" si="6"/>
        <v>0</v>
      </c>
    </row>
    <row r="86" spans="2:25" x14ac:dyDescent="0.25">
      <c r="B86" s="38" t="str">
        <f>科室绩效工资核算1!B86</f>
        <v>优质护理</v>
      </c>
      <c r="C86" s="43">
        <f>科室绩效工资核算1!C86</f>
        <v>0</v>
      </c>
      <c r="D86" s="5">
        <f>SUM(科室绩效工资核算1!D86:G86)+SUM(科室绩效工资核算1!W86:AG86)</f>
        <v>0</v>
      </c>
      <c r="E86" s="5">
        <f>科室绩效工资核算1!H86-SUMIF(中层绩效!B:B,科室绩效工资核算2!B86,中层绩效!H:H)</f>
        <v>0</v>
      </c>
      <c r="F86" s="5">
        <f>科室绩效工资核算1!I86-SUMIF(中层绩效!B:B,科室绩效工资核算1!B86,中层绩效!I:I)</f>
        <v>0</v>
      </c>
      <c r="G86" s="5">
        <f>科室绩效工资核算1!J86-SUMIF(中层绩效!B:B,科室绩效工资核算1!B86,中层绩效!J:J)</f>
        <v>0</v>
      </c>
      <c r="H86" s="5">
        <f>科室绩效工资核算1!K86-SUMIF(中层绩效!B:B,科室绩效工资核算1!B86,中层绩效!K:K)</f>
        <v>0</v>
      </c>
      <c r="I86" s="5">
        <f>科室绩效工资核算1!L86-SUMIF(中层绩效!B:B,科室绩效工资核算1!B86,中层绩效!L:L)</f>
        <v>0</v>
      </c>
      <c r="J86" s="5">
        <f>科室绩效工资核算1!M86-SUMIF(中层绩效!B:B,科室绩效工资核算1!B86,中层绩效!M:M)</f>
        <v>0</v>
      </c>
      <c r="K86" s="5">
        <f>科室绩效工资核算1!N86-SUMIF(中层绩效!B:B,科室绩效工资核算1!B86,中层绩效!N:N)</f>
        <v>0</v>
      </c>
      <c r="L86" s="5">
        <f>科室绩效工资核算1!O86-SUMIF(中层绩效!B:B,科室绩效工资核算1!B86,中层绩效!O:O)</f>
        <v>0</v>
      </c>
      <c r="M86" s="5">
        <f>科室绩效工资核算1!P86-SUMIF(中层绩效!B:B,科室绩效工资核算1!B86,中层绩效!P:P)</f>
        <v>0</v>
      </c>
      <c r="N86" s="5">
        <f>科室绩效工资核算1!Q86-SUMIF(中层绩效!B:B,科室绩效工资核算1!B86,中层绩效!Q:Q)</f>
        <v>0</v>
      </c>
      <c r="O86" s="5">
        <f>科室绩效工资核算1!R86-SUMIF(中层绩效!B:B,科室绩效工资核算1!B86,中层绩效!R:R)</f>
        <v>0</v>
      </c>
      <c r="P86" s="5">
        <f>科室绩效工资核算1!S86-SUMIF(中层绩效!B:B,科室绩效工资核算1!B86,中层绩效!S:S)</f>
        <v>0</v>
      </c>
      <c r="Q86" s="5">
        <f>科室绩效工资核算1!T86-SUMIF(中层绩效!B:B,科室绩效工资核算1!B86,中层绩效!T:T)</f>
        <v>0</v>
      </c>
      <c r="R86" s="5">
        <f>科室绩效工资核算1!V86</f>
        <v>0</v>
      </c>
      <c r="S86" s="5">
        <f>科室绩效工资核算1!U86</f>
        <v>0</v>
      </c>
      <c r="T86" s="5">
        <f>SUM(科室绩效工资核算1!AI86+科室绩效工资核算1!AH86)</f>
        <v>0</v>
      </c>
      <c r="U86" s="43">
        <f>优质护理!C25</f>
        <v>5854.2480000000005</v>
      </c>
      <c r="V86" s="43">
        <f t="shared" si="8"/>
        <v>0</v>
      </c>
      <c r="W86" s="43">
        <f>IFERROR(D86/VLOOKUP($B:$B,人员表!$B:$G,MATCH("员工",人员表!$B$3:$G$3,0),0)*VLOOKUP($B:$B,人员表!$B:$G,MATCH("护理组",人员表!$B$3:$G$3,0),0),0)</f>
        <v>0</v>
      </c>
      <c r="X86" s="5">
        <f t="shared" si="5"/>
        <v>0</v>
      </c>
      <c r="Y86" s="5">
        <f t="shared" si="6"/>
        <v>0</v>
      </c>
    </row>
    <row r="87" spans="2:25" x14ac:dyDescent="0.25">
      <c r="B87" s="38" t="str">
        <f>科室绩效工资核算1!B87</f>
        <v>洗衣房</v>
      </c>
      <c r="C87" s="43">
        <f>科室绩效工资核算1!C87</f>
        <v>0</v>
      </c>
      <c r="D87" s="5">
        <f>SUM(科室绩效工资核算1!D87:G87)+SUM(科室绩效工资核算1!W87:AG87)</f>
        <v>0</v>
      </c>
      <c r="E87" s="5">
        <f>科室绩效工资核算1!H87-SUMIF(中层绩效!B:B,科室绩效工资核算2!B87,中层绩效!H:H)</f>
        <v>0</v>
      </c>
      <c r="F87" s="5">
        <f>科室绩效工资核算1!I87-SUMIF(中层绩效!B:B,科室绩效工资核算1!B87,中层绩效!I:I)</f>
        <v>0</v>
      </c>
      <c r="G87" s="5">
        <f>科室绩效工资核算1!J87-SUMIF(中层绩效!B:B,科室绩效工资核算1!B87,中层绩效!J:J)</f>
        <v>0</v>
      </c>
      <c r="H87" s="5">
        <f>科室绩效工资核算1!K87-SUMIF(中层绩效!B:B,科室绩效工资核算1!B87,中层绩效!K:K)</f>
        <v>0</v>
      </c>
      <c r="I87" s="5">
        <f>科室绩效工资核算1!L87-SUMIF(中层绩效!B:B,科室绩效工资核算1!B87,中层绩效!L:L)</f>
        <v>0</v>
      </c>
      <c r="J87" s="5">
        <f>科室绩效工资核算1!M87-SUMIF(中层绩效!B:B,科室绩效工资核算1!B87,中层绩效!M:M)</f>
        <v>0</v>
      </c>
      <c r="K87" s="5">
        <f>科室绩效工资核算1!N87-SUMIF(中层绩效!B:B,科室绩效工资核算1!B87,中层绩效!N:N)</f>
        <v>0</v>
      </c>
      <c r="L87" s="5">
        <f>科室绩效工资核算1!O87-SUMIF(中层绩效!B:B,科室绩效工资核算1!B87,中层绩效!O:O)</f>
        <v>0</v>
      </c>
      <c r="M87" s="5">
        <f>科室绩效工资核算1!P87-SUMIF(中层绩效!B:B,科室绩效工资核算1!B87,中层绩效!P:P)</f>
        <v>0</v>
      </c>
      <c r="N87" s="5">
        <f>科室绩效工资核算1!Q87-SUMIF(中层绩效!B:B,科室绩效工资核算1!B87,中层绩效!Q:Q)</f>
        <v>0</v>
      </c>
      <c r="O87" s="5">
        <f>科室绩效工资核算1!R87-SUMIF(中层绩效!B:B,科室绩效工资核算1!B87,中层绩效!R:R)</f>
        <v>0</v>
      </c>
      <c r="P87" s="5">
        <f>科室绩效工资核算1!S87-SUMIF(中层绩效!B:B,科室绩效工资核算1!B87,中层绩效!S:S)</f>
        <v>0</v>
      </c>
      <c r="Q87" s="5">
        <f>科室绩效工资核算1!T87-SUMIF(中层绩效!B:B,科室绩效工资核算1!B87,中层绩效!T:T)</f>
        <v>0</v>
      </c>
      <c r="R87" s="5">
        <f>科室绩效工资核算1!V87</f>
        <v>0</v>
      </c>
      <c r="S87" s="5">
        <f>科室绩效工资核算1!U87</f>
        <v>0</v>
      </c>
      <c r="T87" s="5">
        <f>SUM(科室绩效工资核算1!AI87+科室绩效工资核算1!AH87)</f>
        <v>0</v>
      </c>
      <c r="U87" s="43"/>
      <c r="V87" s="43">
        <f t="shared" si="8"/>
        <v>0</v>
      </c>
      <c r="W87" s="43">
        <f>IFERROR(D87/VLOOKUP($B:$B,人员表!$B:$G,MATCH("员工",人员表!$B$3:$G$3,0),0)*VLOOKUP($B:$B,人员表!$B:$G,MATCH("护理组",人员表!$B$3:$G$3,0),0),0)</f>
        <v>0</v>
      </c>
      <c r="X87" s="5">
        <f t="shared" si="5"/>
        <v>0</v>
      </c>
      <c r="Y87" s="5">
        <f t="shared" si="6"/>
        <v>0</v>
      </c>
    </row>
    <row r="88" spans="2:25" x14ac:dyDescent="0.25">
      <c r="B88" s="38" t="str">
        <f>科室绩效工资核算1!B88</f>
        <v>合计</v>
      </c>
      <c r="C88" s="43">
        <f t="shared" ref="C88:Y88" si="9">SUM(C4:C87)</f>
        <v>368366.61200000008</v>
      </c>
      <c r="D88" s="43">
        <f t="shared" si="9"/>
        <v>908249.59999999998</v>
      </c>
      <c r="E88" s="43">
        <f t="shared" si="9"/>
        <v>39710</v>
      </c>
      <c r="F88" s="43">
        <f t="shared" si="9"/>
        <v>18988</v>
      </c>
      <c r="G88" s="43">
        <f t="shared" si="9"/>
        <v>14547</v>
      </c>
      <c r="H88" s="43">
        <f t="shared" si="9"/>
        <v>3155</v>
      </c>
      <c r="I88" s="43">
        <f t="shared" si="9"/>
        <v>17115</v>
      </c>
      <c r="J88" s="43">
        <f t="shared" si="9"/>
        <v>9924</v>
      </c>
      <c r="K88" s="43">
        <f t="shared" si="9"/>
        <v>28</v>
      </c>
      <c r="L88" s="43">
        <f t="shared" si="9"/>
        <v>3655</v>
      </c>
      <c r="M88" s="43">
        <f t="shared" si="9"/>
        <v>10266</v>
      </c>
      <c r="N88" s="43">
        <f t="shared" si="9"/>
        <v>16324</v>
      </c>
      <c r="O88" s="43">
        <f t="shared" si="9"/>
        <v>24961</v>
      </c>
      <c r="P88" s="43">
        <f t="shared" si="9"/>
        <v>754</v>
      </c>
      <c r="Q88" s="43">
        <f t="shared" si="9"/>
        <v>67529</v>
      </c>
      <c r="R88" s="43">
        <f t="shared" si="9"/>
        <v>1760</v>
      </c>
      <c r="S88" s="43">
        <f t="shared" si="9"/>
        <v>3160</v>
      </c>
      <c r="T88" s="43">
        <f t="shared" si="9"/>
        <v>41990</v>
      </c>
      <c r="U88" s="43">
        <f>SUM(U4:U87)</f>
        <v>1514346.4599999988</v>
      </c>
      <c r="V88" s="43">
        <f t="shared" si="9"/>
        <v>999432.38851223898</v>
      </c>
      <c r="W88" s="43">
        <f t="shared" si="9"/>
        <v>277183.82348776108</v>
      </c>
      <c r="X88" s="43">
        <f t="shared" si="9"/>
        <v>159427</v>
      </c>
      <c r="Y88" s="43">
        <f t="shared" si="9"/>
        <v>67529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3"/>
  <sheetViews>
    <sheetView zoomScaleNormal="100" workbookViewId="0">
      <pane xSplit="6" ySplit="3" topLeftCell="G52" activePane="bottomRight" state="frozen"/>
      <selection pane="topRight" activeCell="G1" sqref="G1"/>
      <selection pane="bottomLeft" activeCell="A4" sqref="A4"/>
      <selection pane="bottomRight" activeCell="H14" sqref="H14"/>
    </sheetView>
  </sheetViews>
  <sheetFormatPr defaultRowHeight="14" x14ac:dyDescent="0.25"/>
  <cols>
    <col min="2" max="2" width="11.36328125" style="52" customWidth="1"/>
    <col min="3" max="3" width="9.26953125" customWidth="1"/>
    <col min="4" max="4" width="10.08984375" customWidth="1"/>
    <col min="5" max="5" width="8.6328125" customWidth="1"/>
    <col min="6" max="6" width="8.36328125" customWidth="1"/>
    <col min="7" max="7" width="9.453125" customWidth="1"/>
    <col min="8" max="8" width="9.81640625" style="37" customWidth="1"/>
    <col min="9" max="9" width="10.453125" customWidth="1"/>
    <col min="10" max="10" width="10" customWidth="1"/>
    <col min="11" max="11" width="9.1796875" customWidth="1"/>
    <col min="17" max="17" width="9" customWidth="1"/>
  </cols>
  <sheetData>
    <row r="3" spans="2:37" s="57" customFormat="1" ht="26.5" customHeight="1" x14ac:dyDescent="0.25">
      <c r="B3" s="53" t="s">
        <v>0</v>
      </c>
      <c r="C3" s="53" t="s">
        <v>260</v>
      </c>
      <c r="D3" s="53" t="s">
        <v>374</v>
      </c>
      <c r="E3" s="53" t="s">
        <v>263</v>
      </c>
      <c r="F3" s="53" t="s">
        <v>264</v>
      </c>
      <c r="G3" s="54" t="s">
        <v>378</v>
      </c>
      <c r="H3" s="55" t="s">
        <v>377</v>
      </c>
      <c r="I3" s="55" t="s">
        <v>434</v>
      </c>
      <c r="J3" s="55" t="s">
        <v>380</v>
      </c>
      <c r="K3" s="55" t="s">
        <v>97</v>
      </c>
      <c r="L3" s="55" t="s">
        <v>381</v>
      </c>
      <c r="M3" s="54" t="s">
        <v>49</v>
      </c>
      <c r="N3" s="54" t="s">
        <v>107</v>
      </c>
      <c r="O3" s="54" t="s">
        <v>382</v>
      </c>
      <c r="P3" s="54" t="s">
        <v>3</v>
      </c>
      <c r="Q3" s="54" t="s">
        <v>383</v>
      </c>
      <c r="R3" s="54" t="s">
        <v>50</v>
      </c>
      <c r="S3" s="54" t="s">
        <v>384</v>
      </c>
      <c r="T3" s="54" t="s">
        <v>385</v>
      </c>
      <c r="U3" s="54" t="s">
        <v>386</v>
      </c>
      <c r="V3" s="54" t="s">
        <v>387</v>
      </c>
      <c r="W3" s="54" t="s">
        <v>388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2:37" x14ac:dyDescent="0.25">
      <c r="B4" s="51" t="str">
        <f>中层系数!B4</f>
        <v>神一科</v>
      </c>
      <c r="C4" s="5" t="str">
        <f>中层系数!C4</f>
        <v>测试1</v>
      </c>
      <c r="D4" s="5" t="str">
        <f>VLOOKUP(C:C,中层系数!C:I,7,0)</f>
        <v>主任</v>
      </c>
      <c r="E4" s="5">
        <f>VLOOKUP(C:C,中层系数!C:I,6,0)</f>
        <v>2</v>
      </c>
      <c r="F4" s="5">
        <f>VLOOKUP(C:C,中层系数!C:I,5,0)</f>
        <v>0</v>
      </c>
      <c r="G4" s="43">
        <f>IF(OR(D4="主任",D4="副主任"),VLOOKUP($B:$B,人员表!$B:$G,MATCH("医生基础人均",人员表!$B$3:$G$3),0)*2.5,VLOOKUP($B:$B,人员表!$B:$G,MATCH("护理基础人均",人员表!$B$3:$G$3,0),0)*E4)</f>
        <v>5062.5</v>
      </c>
      <c r="H4" s="50">
        <f>IFERROR(ROUND(IF($D4="主任",VLOOKUP($B:$B,科室绩效工资核算1!$B:H,MATCH("首诊风险积分", 科室绩效工资核算1!$B$3:$AN$3,0),0)/(中层绩效!$E4+VLOOKUP($B:$B,人员表!$B:$G,MATCH("医疗组",人员表!$B$3:$G$3,0),0))*中层绩效!$E4,0),0),0)</f>
        <v>480</v>
      </c>
      <c r="I4" s="50">
        <f>IFERROR(ROUND(IF($D4="主任",VLOOKUP($B:$B,科室绩效工资核算1!$B:I,MATCH("病历质量积分", 科室绩效工资核算1!$B$3:$AN$3,0),0)/(中层绩效!$E4+VLOOKUP($B:$B,人员表!$B:$G,MATCH("医疗组",人员表!$B$3:$G$3,0),0))*中层绩效!$E4,0),0),0)</f>
        <v>250</v>
      </c>
      <c r="J4" s="50">
        <f>IFERROR(ROUND(IF($D4="主任",VLOOKUP($B:$B,科室绩效工资核算1!$B:J,MATCH("门诊人次积分", 科室绩效工资核算1!$B$3:$AN$3,0),0)/(中层绩效!$E4+VLOOKUP($B:$B,人员表!$B:$G,MATCH("医疗组",人员表!$B$3:$G$3,0),0))*中层绩效!$E4,0),0),0)</f>
        <v>99</v>
      </c>
      <c r="K4" s="50">
        <f>IFERROR(ROUND(IF($D4="主任",VLOOKUP($B:$B,科室绩效工资核算1!$B:K,MATCH("临床路径积分", 科室绩效工资核算1!$B$3:$AN$3,0),0)/(中层绩效!$E4+VLOOKUP($B:$B,人员表!$B:$G,MATCH("医疗组",人员表!$B$3:$G$3,0),0))*中层绩效!$E4,0),0),0)</f>
        <v>30</v>
      </c>
      <c r="L4" s="50">
        <f>IFERROR(ROUND(IF($D4="主任",VLOOKUP($B:$B,科室绩效工资核算1!$B:L,MATCH("麻醉风险积分", 科室绩效工资核算1!$B$3:$AN$3,0),0)/(中层绩效!$E4+VLOOKUP($B:$B,人员表!$B:$G,MATCH("医疗组",人员表!$B$3:$G$3,0),0))*中层绩效!$E4,0),0),0)</f>
        <v>0</v>
      </c>
      <c r="M4" s="50">
        <f>IFERROR(ROUND(IF($D4="主任",VLOOKUP($B:$B,科室绩效工资核算1!$B:M,MATCH("分娩风险积分", 科室绩效工资核算1!$B$3:$AN$3,0),0)/(中层绩效!$E4+VLOOKUP($B:$B,人员表!$B:$G,MATCH("医疗组",人员表!$B$3:$G$3,0),0))*中层绩效!$E4,0),0),0)</f>
        <v>0</v>
      </c>
      <c r="N4" s="50">
        <f>IFERROR(ROUND(IF($D4="主任",VLOOKUP($B:$B,科室绩效工资核算1!$B:N,MATCH("肿瘤支气管镜", 科室绩效工资核算1!$B$3:$AN$3,0),0)/(中层绩效!$E4+VLOOKUP($B:$B,人员表!$B:$G,MATCH("医疗组",人员表!$B$3:$G$3,0),0))*中层绩效!$E4,0),0),0)</f>
        <v>0</v>
      </c>
      <c r="O4" s="50">
        <f>IFERROR(ROUND(IF($D4="主任",VLOOKUP($B:$B,科室绩效工资核算1!$B:O,MATCH("会诊风险积分", 科室绩效工资核算1!$B$3:$AN$3,0),0)/(中层绩效!$E4+VLOOKUP($B:$B,人员表!$B:$G,MATCH("医疗组",人员表!$B$3:$G$3,0),0))*中层绩效!$E4,0),0),0)</f>
        <v>30</v>
      </c>
      <c r="P4" s="50">
        <f>IFERROR(ROUND(IF($D4="主任",VLOOKUP($B:$B,科室绩效工资核算1!$B:P,MATCH("换药风险积分", 科室绩效工资核算1!$B$3:$AN$3,0),0)/(中层绩效!$E4+VLOOKUP($B:$B,人员表!$B:$G,MATCH("医疗组",人员表!$B$3:$G$3,0),0))*中层绩效!$E4,0),0),0)</f>
        <v>0</v>
      </c>
      <c r="Q4" s="50">
        <f>IFERROR(ROUND(IF($D4="主任",VLOOKUP($B:$B,科室绩效工资核算1!$B:Q,MATCH("功能康复积分", 科室绩效工资核算1!$B$3:$AN$3,0),0)/(中层绩效!$E4+VLOOKUP($B:$B,人员表!$B:$G,MATCH("医疗组",人员表!$B$3:$G$3,0),0))*中层绩效!$E4,0),0),0)</f>
        <v>23</v>
      </c>
      <c r="R4" s="50">
        <f>IFERROR(ROUND(IF($D4="主任",VLOOKUP($B:$B,科室绩效工资核算1!$B:R,MATCH("中医外治积分", 科室绩效工资核算1!$B$3:$AN$3,0),0)/(中层绩效!$E4+VLOOKUP($B:$B,人员表!$B:$G,MATCH("医疗组",人员表!$B$3:$G$3,0),0))*中层绩效!$E4,0),0),0)</f>
        <v>6</v>
      </c>
      <c r="S4" s="50">
        <f>IFERROR(ROUND(IF($D4="主任",VLOOKUP($B:$B,科室绩效工资核算1!$B:S,MATCH("中药积分", 科室绩效工资核算1!$B$3:$AN$3,0),0)/(中层绩效!$E4+VLOOKUP($B:$B,人员表!$B:$G,MATCH("医疗组",人员表!$B$3:$G$3,0),0))*中层绩效!$E4,0),0),0)</f>
        <v>1</v>
      </c>
      <c r="T4" s="50">
        <f>IFERROR(ROUND(IF($D4="护士长",VLOOKUP($B:$B,科室绩效工资核算1!$B:T,MATCH("护理风险积分", 科室绩效工资核算1!$B$3:$AN$3,0),0)/(中层绩效!$E4+VLOOKUP($B:$B,人员表!$B:$G,MATCH("护理组",人员表!$B$3:$G$3,0),0))*中层绩效!$E4,0),0),0)</f>
        <v>0</v>
      </c>
      <c r="U4" s="43">
        <f>F4*科室绩效工资核算1!AQ$7</f>
        <v>0</v>
      </c>
      <c r="V4" s="43">
        <f>SUM(G4:U4)</f>
        <v>5981.5</v>
      </c>
      <c r="W4" s="43">
        <f>V4*科室绩效工资核算1!AQ$10</f>
        <v>6434.2995500000006</v>
      </c>
    </row>
    <row r="5" spans="2:37" x14ac:dyDescent="0.25">
      <c r="B5" s="51" t="str">
        <f>中层系数!B5</f>
        <v>神一科</v>
      </c>
      <c r="C5" s="5" t="str">
        <f>中层系数!C5</f>
        <v>测试2</v>
      </c>
      <c r="D5" s="5" t="str">
        <f>VLOOKUP(C:C,中层系数!C:I,7,0)</f>
        <v>护士长</v>
      </c>
      <c r="E5" s="5">
        <f>VLOOKUP(C:C,中层系数!C:I,6,0)</f>
        <v>0.72</v>
      </c>
      <c r="F5" s="5">
        <f>VLOOKUP(C:C,中层系数!C:I,5,0)</f>
        <v>0</v>
      </c>
      <c r="G5" s="43">
        <f>IF(OR(D5="主任",D5="副主任"),VLOOKUP($B:$B,人员表!$B:$G,MATCH("医生基础人均",人员表!$B$3:$G$3),0)*中层绩效!E5,VLOOKUP($B:$B,人员表!$B:$G,MATCH("护理基础人均",人员表!$B$3:$G$3,0),0)*E5)</f>
        <v>890.64</v>
      </c>
      <c r="H5" s="50">
        <f>IFERROR(ROUND(IF(D5="主任",VLOOKUP($B:$B,科室绩效工资核算1!$B:H,MATCH("首诊风险积分", 科室绩效工资核算1!$B$3:$AN$3,0),0)/(中层绩效!$E5+VLOOKUP($B:$B,人员表!$B:$G,MATCH("医疗组",人员表!$B$3:$G$3,0),0))*中层绩效!$E5,0),0),0)</f>
        <v>0</v>
      </c>
      <c r="I5" s="50">
        <f>IFERROR(ROUND(IF($D5="主任",VLOOKUP($B:$B,科室绩效工资核算1!$B:I,MATCH("病历质量积分", 科室绩效工资核算1!$B$3:$AN$3,0),0)/(中层绩效!$E5+VLOOKUP($B:$B,人员表!$B:$G,MATCH("医疗组",人员表!$B$3:$G$3,0),0))*中层绩效!$E5,0),0),0)</f>
        <v>0</v>
      </c>
      <c r="J5" s="50">
        <f>IFERROR(ROUND(IF($D5="主任",VLOOKUP($B:$B,科室绩效工资核算1!$B:J,MATCH("门诊人次积分", 科室绩效工资核算1!$B$3:$AN$3,0),0)/(中层绩效!$E5+VLOOKUP($B:$B,人员表!$B:$G,MATCH("医疗组",人员表!$B$3:$G$3,0),0))*中层绩效!$E5,0),0),0)</f>
        <v>0</v>
      </c>
      <c r="K5" s="50">
        <f>IFERROR(ROUND(IF($D5="主任",VLOOKUP($B:$B,科室绩效工资核算1!$B:K,MATCH("临床路径积分", 科室绩效工资核算1!$B$3:$AN$3,0),0)/(中层绩效!$E5+VLOOKUP($B:$B,人员表!$B:$G,MATCH("医疗组",人员表!$B$3:$G$3,0),0))*中层绩效!$E5,0),0),0)</f>
        <v>0</v>
      </c>
      <c r="L5" s="50">
        <f>IFERROR(ROUND(IF($D5="主任",VLOOKUP($B:$B,科室绩效工资核算1!$B:L,MATCH("麻醉风险积分", 科室绩效工资核算1!$B$3:$AN$3,0),0)/(中层绩效!$E5+VLOOKUP($B:$B,人员表!$B:$G,MATCH("医疗组",人员表!$B$3:$G$3,0),0))*中层绩效!$E5,0),0),0)</f>
        <v>0</v>
      </c>
      <c r="M5" s="50">
        <f>IFERROR(ROUND(IF($D5="主任",VLOOKUP($B:$B,科室绩效工资核算1!$B:M,MATCH("分娩风险积分", 科室绩效工资核算1!$B$3:$AN$3,0),0)/(中层绩效!$E5+VLOOKUP($B:$B,人员表!$B:$G,MATCH("医疗组",人员表!$B$3:$G$3,0),0))*中层绩效!$E5,0),0),0)</f>
        <v>0</v>
      </c>
      <c r="N5" s="50">
        <f>IFERROR(ROUND(IF($D5="主任",VLOOKUP($B:$B,科室绩效工资核算1!$B:N,MATCH("肿瘤支气管镜", 科室绩效工资核算1!$B$3:$AN$3,0),0)/(中层绩效!$E5+VLOOKUP($B:$B,人员表!$B:$G,MATCH("医疗组",人员表!$B$3:$G$3,0),0))*中层绩效!$E5,0),0),0)</f>
        <v>0</v>
      </c>
      <c r="O5" s="50">
        <f>IFERROR(ROUND(IF($D5="主任",VLOOKUP($B:$B,科室绩效工资核算1!$B:O,MATCH("会诊风险积分", 科室绩效工资核算1!$B$3:$AN$3,0),0)/(中层绩效!$E5+VLOOKUP($B:$B,人员表!$B:$G,MATCH("医疗组",人员表!$B$3:$G$3,0),0))*中层绩效!$E5,0),0),0)</f>
        <v>0</v>
      </c>
      <c r="P5" s="50">
        <f>IFERROR(ROUND(IF($D5="主任",VLOOKUP($B:$B,科室绩效工资核算1!$B:P,MATCH("换药风险积分", 科室绩效工资核算1!$B$3:$AN$3,0),0)/(中层绩效!$E5+VLOOKUP($B:$B,人员表!$B:$G,MATCH("医疗组",人员表!$B$3:$G$3,0),0))*中层绩效!$E5,0),0),0)</f>
        <v>0</v>
      </c>
      <c r="Q5" s="50">
        <f>IFERROR(ROUND(IF($D5="主任",VLOOKUP($B:$B,科室绩效工资核算1!$B:Q,MATCH("功能康复积分", 科室绩效工资核算1!$B$3:$AN$3,0),0)/(中层绩效!$E5+VLOOKUP($B:$B,人员表!$B:$G,MATCH("医疗组",人员表!$B$3:$G$3,0),0))*中层绩效!$E5,0),0),0)</f>
        <v>0</v>
      </c>
      <c r="R5" s="50">
        <f>IFERROR(ROUND(IF($D5="主任",VLOOKUP($B:$B,科室绩效工资核算1!$B:R,MATCH("中医外治积分", 科室绩效工资核算1!$B$3:$AN$3,0),0)/(中层绩效!$E5+VLOOKUP($B:$B,人员表!$B:$G,MATCH("医疗组",人员表!$B$3:$G$3,0),0))*中层绩效!$E5,0),0),0)</f>
        <v>0</v>
      </c>
      <c r="S5" s="50">
        <f>IFERROR(ROUND(IF($D5="主任",VLOOKUP($B:$B,科室绩效工资核算1!$B:S,MATCH("中药积分", 科室绩效工资核算1!$B$3:$AN$3,0),0)/(中层绩效!$E5+VLOOKUP($B:$B,人员表!$B:$G,MATCH("医疗组",人员表!$B$3:$G$3,0),0))*中层绩效!$E5,0),0),0)</f>
        <v>0</v>
      </c>
      <c r="T5" s="50">
        <f>IFERROR(ROUND(IF($D5="护士长",VLOOKUP($B:$B,科室绩效工资核算1!$B:T,MATCH("护理风险积分", 科室绩效工资核算1!$B$3:$AN$3,0),0)/(中层绩效!$E5*2+VLOOKUP($B:$B,人员表!$B:$G,MATCH("护理组",人员表!$B$3:$G$3,0),0))*中层绩效!$E5,0),0),0)</f>
        <v>164</v>
      </c>
      <c r="U5" s="43">
        <f>F5*科室绩效工资核算1!AQ$7</f>
        <v>0</v>
      </c>
      <c r="V5" s="43">
        <f t="shared" ref="V5:V68" si="0">SUM(G5:U5)</f>
        <v>1054.6399999999999</v>
      </c>
      <c r="W5" s="43">
        <f>V5*科室绩效工资核算1!AQ$10</f>
        <v>1134.4762479999999</v>
      </c>
    </row>
    <row r="6" spans="2:37" x14ac:dyDescent="0.25">
      <c r="B6" s="51" t="str">
        <f>中层系数!B6</f>
        <v>神一科</v>
      </c>
      <c r="C6" s="5" t="str">
        <f>中层系数!C6</f>
        <v>测试3</v>
      </c>
      <c r="D6" s="5" t="str">
        <f>VLOOKUP(C:C,中层系数!C:I,7,0)</f>
        <v>护士长</v>
      </c>
      <c r="E6" s="5">
        <f>VLOOKUP(C:C,中层系数!C:I,6,0)</f>
        <v>0.72</v>
      </c>
      <c r="F6" s="5">
        <f>VLOOKUP(C:C,中层系数!C:I,5,0)</f>
        <v>0</v>
      </c>
      <c r="G6" s="43">
        <f>IF(OR(D6="主任",D6="副主任"),VLOOKUP($B:$B,人员表!$B:$G,MATCH("医生基础人均",人员表!$B$3:$G$3),0)*中层绩效!E6,VLOOKUP($B:$B,人员表!$B:$G,MATCH("护理基础人均",人员表!$B$3:$G$3,0),0)*E6)</f>
        <v>890.64</v>
      </c>
      <c r="H6" s="50">
        <f>IFERROR(ROUND(IF(D6="主任",VLOOKUP($B:$B,科室绩效工资核算1!$B:H,MATCH("首诊风险积分", 科室绩效工资核算1!$B$3:$AN$3,0),0)/(中层绩效!$E6+VLOOKUP($B:$B,人员表!$B:$G,MATCH("医疗组",人员表!$B$3:$G$3,0),0))*中层绩效!$E6,0),0),0)</f>
        <v>0</v>
      </c>
      <c r="I6" s="50">
        <f>IFERROR(ROUND(IF($D6="主任",VLOOKUP($B:$B,科室绩效工资核算1!$B:I,MATCH("病历质量积分", 科室绩效工资核算1!$B$3:$AN$3,0),0)/(中层绩效!$E6+VLOOKUP($B:$B,人员表!$B:$G,MATCH("医疗组",人员表!$B$3:$G$3,0),0))*中层绩效!$E6,0),0),0)</f>
        <v>0</v>
      </c>
      <c r="J6" s="50">
        <f>IFERROR(ROUND(IF($D6="主任",VLOOKUP($B:$B,科室绩效工资核算1!$B:J,MATCH("门诊人次积分", 科室绩效工资核算1!$B$3:$AN$3,0),0)/(中层绩效!$E6+VLOOKUP($B:$B,人员表!$B:$G,MATCH("医疗组",人员表!$B$3:$G$3,0),0))*中层绩效!$E6,0),0),0)</f>
        <v>0</v>
      </c>
      <c r="K6" s="50">
        <f>IFERROR(ROUND(IF($D6="主任",VLOOKUP($B:$B,科室绩效工资核算1!$B:K,MATCH("临床路径积分", 科室绩效工资核算1!$B$3:$AN$3,0),0)/(中层绩效!$E6+VLOOKUP($B:$B,人员表!$B:$G,MATCH("医疗组",人员表!$B$3:$G$3,0),0))*中层绩效!$E6,0),0),0)</f>
        <v>0</v>
      </c>
      <c r="L6" s="50">
        <f>IFERROR(ROUND(IF($D6="主任",VLOOKUP($B:$B,科室绩效工资核算1!$B:L,MATCH("麻醉风险积分", 科室绩效工资核算1!$B$3:$AN$3,0),0)/(中层绩效!$E6+VLOOKUP($B:$B,人员表!$B:$G,MATCH("医疗组",人员表!$B$3:$G$3,0),0))*中层绩效!$E6,0),0),0)</f>
        <v>0</v>
      </c>
      <c r="M6" s="50">
        <f>IFERROR(ROUND(IF($D6="主任",VLOOKUP($B:$B,科室绩效工资核算1!$B:M,MATCH("分娩风险积分", 科室绩效工资核算1!$B$3:$AN$3,0),0)/(中层绩效!$E6+VLOOKUP($B:$B,人员表!$B:$G,MATCH("医疗组",人员表!$B$3:$G$3,0),0))*中层绩效!$E6,0),0),0)</f>
        <v>0</v>
      </c>
      <c r="N6" s="50">
        <f>IFERROR(ROUND(IF($D6="主任",VLOOKUP($B:$B,科室绩效工资核算1!$B:N,MATCH("肿瘤支气管镜", 科室绩效工资核算1!$B$3:$AN$3,0),0)/(中层绩效!$E6+VLOOKUP($B:$B,人员表!$B:$G,MATCH("医疗组",人员表!$B$3:$G$3,0),0))*中层绩效!$E6,0),0),0)</f>
        <v>0</v>
      </c>
      <c r="O6" s="50">
        <f>IFERROR(ROUND(IF($D6="主任",VLOOKUP($B:$B,科室绩效工资核算1!$B:O,MATCH("会诊风险积分", 科室绩效工资核算1!$B$3:$AN$3,0),0)/(中层绩效!$E6+VLOOKUP($B:$B,人员表!$B:$G,MATCH("医疗组",人员表!$B$3:$G$3,0),0))*中层绩效!$E6,0),0),0)</f>
        <v>0</v>
      </c>
      <c r="P6" s="50">
        <f>IFERROR(ROUND(IF($D6="主任",VLOOKUP($B:$B,科室绩效工资核算1!$B:P,MATCH("换药风险积分", 科室绩效工资核算1!$B$3:$AN$3,0),0)/(中层绩效!$E6+VLOOKUP($B:$B,人员表!$B:$G,MATCH("医疗组",人员表!$B$3:$G$3,0),0))*中层绩效!$E6,0),0),0)</f>
        <v>0</v>
      </c>
      <c r="Q6" s="50">
        <f>IFERROR(ROUND(IF($D6="主任",VLOOKUP($B:$B,科室绩效工资核算1!$B:Q,MATCH("功能康复积分", 科室绩效工资核算1!$B$3:$AN$3,0),0)/(中层绩效!$E6+VLOOKUP($B:$B,人员表!$B:$G,MATCH("医疗组",人员表!$B$3:$G$3,0),0))*中层绩效!$E6,0),0),0)</f>
        <v>0</v>
      </c>
      <c r="R6" s="50">
        <f>IFERROR(ROUND(IF($D6="主任",VLOOKUP($B:$B,科室绩效工资核算1!$B:R,MATCH("中医外治积分", 科室绩效工资核算1!$B$3:$AN$3,0),0)/(中层绩效!$E6+VLOOKUP($B:$B,人员表!$B:$G,MATCH("医疗组",人员表!$B$3:$G$3,0),0))*中层绩效!$E6,0),0),0)</f>
        <v>0</v>
      </c>
      <c r="S6" s="50">
        <f>IFERROR(ROUND(IF($D6="主任",VLOOKUP($B:$B,科室绩效工资核算1!$B:S,MATCH("中药积分", 科室绩效工资核算1!$B$3:$AN$3,0),0)/(中层绩效!$E6+VLOOKUP($B:$B,人员表!$B:$G,MATCH("医疗组",人员表!$B$3:$G$3,0),0))*中层绩效!$E6,0),0),0)</f>
        <v>0</v>
      </c>
      <c r="T6" s="50">
        <f>IFERROR(ROUND(IF($D6="护士长",VLOOKUP($B:$B,科室绩效工资核算1!$B:T,MATCH("护理风险积分", 科室绩效工资核算1!$B$3:$AN$3,0),0)/(中层绩效!$E6*2+VLOOKUP($B:$B,人员表!$B:$G,MATCH("护理组",人员表!$B$3:$G$3,0),0))*中层绩效!$E6,0),0),0)</f>
        <v>164</v>
      </c>
      <c r="U6" s="43">
        <f>F6*科室绩效工资核算1!AQ$7</f>
        <v>0</v>
      </c>
      <c r="V6" s="43">
        <f t="shared" si="0"/>
        <v>1054.6399999999999</v>
      </c>
      <c r="W6" s="43">
        <f>V6*科室绩效工资核算1!AQ$10</f>
        <v>1134.4762479999999</v>
      </c>
    </row>
    <row r="7" spans="2:37" x14ac:dyDescent="0.25">
      <c r="B7" s="51" t="str">
        <f>中层系数!B7</f>
        <v>神二科</v>
      </c>
      <c r="C7" s="5" t="str">
        <f>中层系数!C7</f>
        <v>测试4</v>
      </c>
      <c r="D7" s="5" t="str">
        <f>VLOOKUP(C:C,中层系数!C:I,7,0)</f>
        <v>主任</v>
      </c>
      <c r="E7" s="5">
        <f>VLOOKUP(C:C,中层系数!C:I,6,0)</f>
        <v>2</v>
      </c>
      <c r="F7" s="5">
        <f>VLOOKUP(C:C,中层系数!C:I,5,0)</f>
        <v>0</v>
      </c>
      <c r="G7" s="43">
        <f>IF(OR(D7="主任",D7="副主任"),VLOOKUP($B:$B,人员表!$B:$G,MATCH("医生基础人均",人员表!$B$3:$G$3),0)*中层绩效!E7,VLOOKUP($B:$B,人员表!$B:$G,MATCH("护理基础人均",人员表!$B$3:$G$3,0),0)*E7)</f>
        <v>6292</v>
      </c>
      <c r="H7" s="50">
        <f>IFERROR(ROUND(IF(D7="主任",VLOOKUP($B:$B,科室绩效工资核算1!$B:H,MATCH("首诊风险积分", 科室绩效工资核算1!$B$3:$AN$3,0),0)/(中层绩效!$E7+VLOOKUP($B:$B,人员表!$B:$G,MATCH("医疗组",人员表!$B$3:$G$3,0),0))*中层绩效!$E7,0),0),0)</f>
        <v>594</v>
      </c>
      <c r="I7" s="50">
        <f>IFERROR(ROUND(IF($D7="主任",VLOOKUP($B:$B,科室绩效工资核算1!$B:I,MATCH("病历质量积分", 科室绩效工资核算1!$B$3:$AN$3,0),0)/(中层绩效!$E7+VLOOKUP($B:$B,人员表!$B:$G,MATCH("医疗组",人员表!$B$3:$G$3,0),0))*中层绩效!$E7,0),0),0)</f>
        <v>300</v>
      </c>
      <c r="J7" s="50">
        <f>IFERROR(ROUND(IF($D7="主任",VLOOKUP($B:$B,科室绩效工资核算1!$B:J,MATCH("门诊人次积分", 科室绩效工资核算1!$B$3:$AN$3,0),0)/(中层绩效!$E7+VLOOKUP($B:$B,人员表!$B:$G,MATCH("医疗组",人员表!$B$3:$G$3,0),0))*中层绩效!$E7,0),0),0)</f>
        <v>161</v>
      </c>
      <c r="K7" s="50">
        <f>IFERROR(ROUND(IF($D7="主任",VLOOKUP($B:$B,科室绩效工资核算1!$B:K,MATCH("临床路径积分", 科室绩效工资核算1!$B$3:$AN$3,0),0)/(中层绩效!$E7+VLOOKUP($B:$B,人员表!$B:$G,MATCH("医疗组",人员表!$B$3:$G$3,0),0))*中层绩效!$E7,0),0),0)</f>
        <v>34</v>
      </c>
      <c r="L7" s="50">
        <f>IFERROR(ROUND(IF($D7="主任",VLOOKUP($B:$B,科室绩效工资核算1!$B:L,MATCH("麻醉风险积分", 科室绩效工资核算1!$B$3:$AN$3,0),0)/(中层绩效!$E7+VLOOKUP($B:$B,人员表!$B:$G,MATCH("医疗组",人员表!$B$3:$G$3,0),0))*中层绩效!$E7,0),0),0)</f>
        <v>0</v>
      </c>
      <c r="M7" s="50">
        <f>IFERROR(ROUND(IF($D7="主任",VLOOKUP($B:$B,科室绩效工资核算1!$B:M,MATCH("分娩风险积分", 科室绩效工资核算1!$B$3:$AN$3,0),0)/(中层绩效!$E7+VLOOKUP($B:$B,人员表!$B:$G,MATCH("医疗组",人员表!$B$3:$G$3,0),0))*中层绩效!$E7,0),0),0)</f>
        <v>0</v>
      </c>
      <c r="N7" s="50">
        <f>IFERROR(ROUND(IF($D7="主任",VLOOKUP($B:$B,科室绩效工资核算1!$B:N,MATCH("肿瘤支气管镜", 科室绩效工资核算1!$B$3:$AN$3,0),0)/(中层绩效!$E7+VLOOKUP($B:$B,人员表!$B:$G,MATCH("医疗组",人员表!$B$3:$G$3,0),0))*中层绩效!$E7,0),0),0)</f>
        <v>0</v>
      </c>
      <c r="O7" s="50">
        <f>IFERROR(ROUND(IF($D7="主任",VLOOKUP($B:$B,科室绩效工资核算1!$B:O,MATCH("会诊风险积分", 科室绩效工资核算1!$B$3:$AN$3,0),0)/(中层绩效!$E7+VLOOKUP($B:$B,人员表!$B:$G,MATCH("医疗组",人员表!$B$3:$G$3,0),0))*中层绩效!$E7,0),0),0)</f>
        <v>20</v>
      </c>
      <c r="P7" s="50">
        <f>IFERROR(ROUND(IF($D7="主任",VLOOKUP($B:$B,科室绩效工资核算1!$B:P,MATCH("换药风险积分", 科室绩效工资核算1!$B$3:$AN$3,0),0)/(中层绩效!$E7+VLOOKUP($B:$B,人员表!$B:$G,MATCH("医疗组",人员表!$B$3:$G$3,0),0))*中层绩效!$E7,0),0),0)</f>
        <v>5</v>
      </c>
      <c r="Q7" s="50">
        <f>IFERROR(ROUND(IF($D7="主任",VLOOKUP($B:$B,科室绩效工资核算1!$B:Q,MATCH("功能康复积分", 科室绩效工资核算1!$B$3:$AN$3,0),0)/(中层绩效!$E7+VLOOKUP($B:$B,人员表!$B:$G,MATCH("医疗组",人员表!$B$3:$G$3,0),0))*中层绩效!$E7,0),0),0)</f>
        <v>407</v>
      </c>
      <c r="R7" s="50">
        <f>IFERROR(ROUND(IF($D7="主任",VLOOKUP($B:$B,科室绩效工资核算1!$B:R,MATCH("中医外治积分", 科室绩效工资核算1!$B$3:$AN$3,0),0)/(中层绩效!$E7+VLOOKUP($B:$B,人员表!$B:$G,MATCH("医疗组",人员表!$B$3:$G$3,0),0))*中层绩效!$E7,0),0),0)</f>
        <v>329</v>
      </c>
      <c r="S7" s="50">
        <f>IFERROR(ROUND(IF($D7="主任",VLOOKUP($B:$B,科室绩效工资核算1!$B:S,MATCH("中药积分", 科室绩效工资核算1!$B$3:$AN$3,0),0)/(中层绩效!$E7+VLOOKUP($B:$B,人员表!$B:$G,MATCH("医疗组",人员表!$B$3:$G$3,0),0))*中层绩效!$E7,0),0),0)</f>
        <v>0</v>
      </c>
      <c r="T7" s="50">
        <f>IFERROR(ROUND(IF($D7="护士长",VLOOKUP($B:$B,科室绩效工资核算1!$B:T,MATCH("护理风险积分", 科室绩效工资核算1!$B$3:$AN$3,0),0)/(中层绩效!$E7+VLOOKUP($B:$B,人员表!$B:$G,MATCH("护理组",人员表!$B$3:$G$3,0),0))*中层绩效!$E7,0),0),0)</f>
        <v>0</v>
      </c>
      <c r="U7" s="43">
        <f>F7*科室绩效工资核算1!AQ$7</f>
        <v>0</v>
      </c>
      <c r="V7" s="43">
        <f t="shared" si="0"/>
        <v>8142</v>
      </c>
      <c r="W7" s="43">
        <f>V7*科室绩效工资核算1!AQ$10</f>
        <v>8758.349400000001</v>
      </c>
    </row>
    <row r="8" spans="2:37" x14ac:dyDescent="0.25">
      <c r="B8" s="51" t="str">
        <f>中层系数!B8</f>
        <v>神二科</v>
      </c>
      <c r="C8" s="5" t="str">
        <f>中层系数!C8</f>
        <v>测试5</v>
      </c>
      <c r="D8" s="5" t="str">
        <f>VLOOKUP(C:C,中层系数!C:I,7,0)</f>
        <v>护士长</v>
      </c>
      <c r="E8" s="5">
        <f>VLOOKUP(C:C,中层系数!C:I,6,0)</f>
        <v>0.72</v>
      </c>
      <c r="F8" s="5">
        <f>VLOOKUP(C:C,中层系数!C:I,5,0)</f>
        <v>0</v>
      </c>
      <c r="G8" s="43">
        <f>IF(OR(D8="主任",D8="副主任"),VLOOKUP($B:$B,人员表!$B:$G,MATCH("医生基础人均",人员表!$B$3:$G$3),0)*中层绩效!E8,VLOOKUP($B:$B,人员表!$B:$G,MATCH("护理基础人均",人员表!$B$3:$G$3,0),0)*E8)</f>
        <v>1118.1599999999999</v>
      </c>
      <c r="H8" s="50">
        <f>IFERROR(ROUND(IF(D8="主任",VLOOKUP($B:$B,科室绩效工资核算1!$B:H,MATCH("首诊风险积分", 科室绩效工资核算1!$B$3:$AN$3,0),0)/(中层绩效!$E8+VLOOKUP($B:$B,人员表!$B:$G,MATCH("医疗组",人员表!$B$3:$G$3,0),0))*中层绩效!$E8,0),0),0)</f>
        <v>0</v>
      </c>
      <c r="I8" s="50">
        <f>IFERROR(ROUND(IF($D8="主任",VLOOKUP($B:$B,科室绩效工资核算1!$B:I,MATCH("病历质量积分", 科室绩效工资核算1!$B$3:$AN$3,0),0)/(中层绩效!$E8+VLOOKUP($B:$B,人员表!$B:$G,MATCH("医疗组",人员表!$B$3:$G$3,0),0))*中层绩效!$E8,0),0),0)</f>
        <v>0</v>
      </c>
      <c r="J8" s="50">
        <f>IFERROR(ROUND(IF($D8="主任",VLOOKUP($B:$B,科室绩效工资核算1!$B:J,MATCH("门诊人次积分", 科室绩效工资核算1!$B$3:$AN$3,0),0)/(中层绩效!$E8+VLOOKUP($B:$B,人员表!$B:$G,MATCH("医疗组",人员表!$B$3:$G$3,0),0))*中层绩效!$E8,0),0),0)</f>
        <v>0</v>
      </c>
      <c r="K8" s="50">
        <f>IFERROR(ROUND(IF($D8="主任",VLOOKUP($B:$B,科室绩效工资核算1!$B:K,MATCH("临床路径积分", 科室绩效工资核算1!$B$3:$AN$3,0),0)/(中层绩效!$E8+VLOOKUP($B:$B,人员表!$B:$G,MATCH("医疗组",人员表!$B$3:$G$3,0),0))*中层绩效!$E8,0),0),0)</f>
        <v>0</v>
      </c>
      <c r="L8" s="50">
        <f>IFERROR(ROUND(IF($D8="主任",VLOOKUP($B:$B,科室绩效工资核算1!$B:L,MATCH("麻醉风险积分", 科室绩效工资核算1!$B$3:$AN$3,0),0)/(中层绩效!$E8+VLOOKUP($B:$B,人员表!$B:$G,MATCH("医疗组",人员表!$B$3:$G$3,0),0))*中层绩效!$E8,0),0),0)</f>
        <v>0</v>
      </c>
      <c r="M8" s="50">
        <f>IFERROR(ROUND(IF($D8="主任",VLOOKUP($B:$B,科室绩效工资核算1!$B:M,MATCH("分娩风险积分", 科室绩效工资核算1!$B$3:$AN$3,0),0)/(中层绩效!$E8+VLOOKUP($B:$B,人员表!$B:$G,MATCH("医疗组",人员表!$B$3:$G$3,0),0))*中层绩效!$E8,0),0),0)</f>
        <v>0</v>
      </c>
      <c r="N8" s="50">
        <f>IFERROR(ROUND(IF($D8="主任",VLOOKUP($B:$B,科室绩效工资核算1!$B:N,MATCH("肿瘤支气管镜", 科室绩效工资核算1!$B$3:$AN$3,0),0)/(中层绩效!$E8+VLOOKUP($B:$B,人员表!$B:$G,MATCH("医疗组",人员表!$B$3:$G$3,0),0))*中层绩效!$E8,0),0),0)</f>
        <v>0</v>
      </c>
      <c r="O8" s="50">
        <f>IFERROR(ROUND(IF($D8="主任",VLOOKUP($B:$B,科室绩效工资核算1!$B:O,MATCH("会诊风险积分", 科室绩效工资核算1!$B$3:$AN$3,0),0)/(中层绩效!$E8+VLOOKUP($B:$B,人员表!$B:$G,MATCH("医疗组",人员表!$B$3:$G$3,0),0))*中层绩效!$E8,0),0),0)</f>
        <v>0</v>
      </c>
      <c r="P8" s="50">
        <f>IFERROR(ROUND(IF($D8="主任",VLOOKUP($B:$B,科室绩效工资核算1!$B:P,MATCH("换药风险积分", 科室绩效工资核算1!$B$3:$AN$3,0),0)/(中层绩效!$E8+VLOOKUP($B:$B,人员表!$B:$G,MATCH("医疗组",人员表!$B$3:$G$3,0),0))*中层绩效!$E8,0),0),0)</f>
        <v>0</v>
      </c>
      <c r="Q8" s="50">
        <f>IFERROR(ROUND(IF($D8="主任",VLOOKUP($B:$B,科室绩效工资核算1!$B:Q,MATCH("功能康复积分", 科室绩效工资核算1!$B$3:$AN$3,0),0)/(中层绩效!$E8+VLOOKUP($B:$B,人员表!$B:$G,MATCH("医疗组",人员表!$B$3:$G$3,0),0))*中层绩效!$E8,0),0),0)</f>
        <v>0</v>
      </c>
      <c r="R8" s="50">
        <f>IFERROR(ROUND(IF($D8="主任",VLOOKUP($B:$B,科室绩效工资核算1!$B:R,MATCH("中医外治积分", 科室绩效工资核算1!$B$3:$AN$3,0),0)/(中层绩效!$E8+VLOOKUP($B:$B,人员表!$B:$G,MATCH("医疗组",人员表!$B$3:$G$3,0),0))*中层绩效!$E8,0),0),0)</f>
        <v>0</v>
      </c>
      <c r="S8" s="50">
        <f>IFERROR(ROUND(IF($D8="主任",VLOOKUP($B:$B,科室绩效工资核算1!$B:S,MATCH("中药积分", 科室绩效工资核算1!$B$3:$AN$3,0),0)/(中层绩效!$E8+VLOOKUP($B:$B,人员表!$B:$G,MATCH("医疗组",人员表!$B$3:$G$3,0),0))*中层绩效!$E8,0),0),0)</f>
        <v>0</v>
      </c>
      <c r="T8" s="50">
        <f>IFERROR(ROUND(IF($D8="护士长",VLOOKUP($B:$B,科室绩效工资核算1!$B:T,MATCH("护理风险积分", 科室绩效工资核算1!$B$3:$AN$3,0),0)/(中层绩效!$E8*2+VLOOKUP($B:$B,人员表!$B:$G,MATCH("护理组",人员表!$B$3:$G$3,0),0))*中层绩效!$E8,0),0),0)</f>
        <v>169</v>
      </c>
      <c r="U8" s="43">
        <f>F8*科室绩效工资核算1!AQ$7</f>
        <v>0</v>
      </c>
      <c r="V8" s="43">
        <f t="shared" si="0"/>
        <v>1287.1599999999999</v>
      </c>
      <c r="W8" s="43">
        <f>V8*科室绩效工资核算1!AQ$10</f>
        <v>1384.5980119999999</v>
      </c>
    </row>
    <row r="9" spans="2:37" x14ac:dyDescent="0.25">
      <c r="B9" s="51" t="str">
        <f>中层系数!B9</f>
        <v>神二科</v>
      </c>
      <c r="C9" s="5" t="str">
        <f>中层系数!C9</f>
        <v>测试6</v>
      </c>
      <c r="D9" s="5" t="str">
        <f>VLOOKUP(C:C,中层系数!C:I,7,0)</f>
        <v>护士长</v>
      </c>
      <c r="E9" s="5">
        <f>VLOOKUP(C:C,中层系数!C:I,6,0)</f>
        <v>0.72</v>
      </c>
      <c r="F9" s="5">
        <f>VLOOKUP(C:C,中层系数!C:I,5,0)</f>
        <v>0</v>
      </c>
      <c r="G9" s="43">
        <f>IF(OR(D9="主任",D9="副主任"),VLOOKUP($B:$B,人员表!$B:$G,MATCH("医生基础人均",人员表!$B$3:$G$3),0)*中层绩效!E9,VLOOKUP($B:$B,人员表!$B:$G,MATCH("护理基础人均",人员表!$B$3:$G$3,0),0)*E9)</f>
        <v>1118.1599999999999</v>
      </c>
      <c r="H9" s="50">
        <f>IFERROR(ROUND(IF(D9="主任",VLOOKUP($B:$B,科室绩效工资核算1!$B:H,MATCH("首诊风险积分", 科室绩效工资核算1!$B$3:$AN$3,0),0)/(中层绩效!$E9+VLOOKUP($B:$B,人员表!$B:$G,MATCH("医疗组",人员表!$B$3:$G$3,0),0))*中层绩效!$E9,0),0),0)</f>
        <v>0</v>
      </c>
      <c r="I9" s="50">
        <f>IFERROR(ROUND(IF($D9="主任",VLOOKUP($B:$B,科室绩效工资核算1!$B:I,MATCH("病历质量积分", 科室绩效工资核算1!$B$3:$AN$3,0),0)/(中层绩效!$E9+VLOOKUP($B:$B,人员表!$B:$G,MATCH("医疗组",人员表!$B$3:$G$3,0),0))*中层绩效!$E9,0),0),0)</f>
        <v>0</v>
      </c>
      <c r="J9" s="50">
        <f>IFERROR(ROUND(IF($D9="主任",VLOOKUP($B:$B,科室绩效工资核算1!$B:J,MATCH("门诊人次积分", 科室绩效工资核算1!$B$3:$AN$3,0),0)/(中层绩效!$E9+VLOOKUP($B:$B,人员表!$B:$G,MATCH("医疗组",人员表!$B$3:$G$3,0),0))*中层绩效!$E9,0),0),0)</f>
        <v>0</v>
      </c>
      <c r="K9" s="50">
        <f>IFERROR(ROUND(IF($D9="主任",VLOOKUP($B:$B,科室绩效工资核算1!$B:K,MATCH("临床路径积分", 科室绩效工资核算1!$B$3:$AN$3,0),0)/(中层绩效!$E9+VLOOKUP($B:$B,人员表!$B:$G,MATCH("医疗组",人员表!$B$3:$G$3,0),0))*中层绩效!$E9,0),0),0)</f>
        <v>0</v>
      </c>
      <c r="L9" s="50">
        <f>IFERROR(ROUND(IF($D9="主任",VLOOKUP($B:$B,科室绩效工资核算1!$B:L,MATCH("麻醉风险积分", 科室绩效工资核算1!$B$3:$AN$3,0),0)/(中层绩效!$E9+VLOOKUP($B:$B,人员表!$B:$G,MATCH("医疗组",人员表!$B$3:$G$3,0),0))*中层绩效!$E9,0),0),0)</f>
        <v>0</v>
      </c>
      <c r="M9" s="50">
        <f>IFERROR(ROUND(IF($D9="主任",VLOOKUP($B:$B,科室绩效工资核算1!$B:M,MATCH("分娩风险积分", 科室绩效工资核算1!$B$3:$AN$3,0),0)/(中层绩效!$E9+VLOOKUP($B:$B,人员表!$B:$G,MATCH("医疗组",人员表!$B$3:$G$3,0),0))*中层绩效!$E9,0),0),0)</f>
        <v>0</v>
      </c>
      <c r="N9" s="50">
        <f>IFERROR(ROUND(IF($D9="主任",VLOOKUP($B:$B,科室绩效工资核算1!$B:N,MATCH("肿瘤支气管镜", 科室绩效工资核算1!$B$3:$AN$3,0),0)/(中层绩效!$E9+VLOOKUP($B:$B,人员表!$B:$G,MATCH("医疗组",人员表!$B$3:$G$3,0),0))*中层绩效!$E9,0),0),0)</f>
        <v>0</v>
      </c>
      <c r="O9" s="50">
        <f>IFERROR(ROUND(IF($D9="主任",VLOOKUP($B:$B,科室绩效工资核算1!$B:O,MATCH("会诊风险积分", 科室绩效工资核算1!$B$3:$AN$3,0),0)/(中层绩效!$E9+VLOOKUP($B:$B,人员表!$B:$G,MATCH("医疗组",人员表!$B$3:$G$3,0),0))*中层绩效!$E9,0),0),0)</f>
        <v>0</v>
      </c>
      <c r="P9" s="50">
        <f>IFERROR(ROUND(IF($D9="主任",VLOOKUP($B:$B,科室绩效工资核算1!$B:P,MATCH("换药风险积分", 科室绩效工资核算1!$B$3:$AN$3,0),0)/(中层绩效!$E9+VLOOKUP($B:$B,人员表!$B:$G,MATCH("医疗组",人员表!$B$3:$G$3,0),0))*中层绩效!$E9,0),0),0)</f>
        <v>0</v>
      </c>
      <c r="Q9" s="50">
        <f>IFERROR(ROUND(IF($D9="主任",VLOOKUP($B:$B,科室绩效工资核算1!$B:Q,MATCH("功能康复积分", 科室绩效工资核算1!$B$3:$AN$3,0),0)/(中层绩效!$E9+VLOOKUP($B:$B,人员表!$B:$G,MATCH("医疗组",人员表!$B$3:$G$3,0),0))*中层绩效!$E9,0),0),0)</f>
        <v>0</v>
      </c>
      <c r="R9" s="50">
        <f>IFERROR(ROUND(IF($D9="主任",VLOOKUP($B:$B,科室绩效工资核算1!$B:R,MATCH("中医外治积分", 科室绩效工资核算1!$B$3:$AN$3,0),0)/(中层绩效!$E9+VLOOKUP($B:$B,人员表!$B:$G,MATCH("医疗组",人员表!$B$3:$G$3,0),0))*中层绩效!$E9,0),0),0)</f>
        <v>0</v>
      </c>
      <c r="S9" s="50">
        <f>IFERROR(ROUND(IF($D9="主任",VLOOKUP($B:$B,科室绩效工资核算1!$B:S,MATCH("中药积分", 科室绩效工资核算1!$B$3:$AN$3,0),0)/(中层绩效!$E9+VLOOKUP($B:$B,人员表!$B:$G,MATCH("医疗组",人员表!$B$3:$G$3,0),0))*中层绩效!$E9,0),0),0)</f>
        <v>0</v>
      </c>
      <c r="T9" s="50">
        <f>IFERROR(ROUND(IF($D9="护士长",VLOOKUP($B:$B,科室绩效工资核算1!$B:T,MATCH("护理风险积分", 科室绩效工资核算1!$B$3:$AN$3,0),0)/(中层绩效!$E9*2+VLOOKUP($B:$B,人员表!$B:$G,MATCH("护理组",人员表!$B$3:$G$3,0),0))*中层绩效!$E9,0),0),0)</f>
        <v>169</v>
      </c>
      <c r="U9" s="43">
        <f>F9*科室绩效工资核算1!AQ$7</f>
        <v>0</v>
      </c>
      <c r="V9" s="43">
        <f t="shared" si="0"/>
        <v>1287.1599999999999</v>
      </c>
      <c r="W9" s="43">
        <f>V9*科室绩效工资核算1!AQ$10</f>
        <v>1384.5980119999999</v>
      </c>
    </row>
    <row r="10" spans="2:37" x14ac:dyDescent="0.25">
      <c r="B10" s="51" t="str">
        <f>中层系数!B10</f>
        <v>神三科</v>
      </c>
      <c r="C10" s="5" t="str">
        <f>中层系数!C10</f>
        <v>测试7</v>
      </c>
      <c r="D10" s="5" t="str">
        <f>VLOOKUP(C:C,中层系数!C:I,7,0)</f>
        <v>主任</v>
      </c>
      <c r="E10" s="5">
        <f>VLOOKUP(C:C,中层系数!C:I,6,0)</f>
        <v>2</v>
      </c>
      <c r="F10" s="5">
        <f>VLOOKUP(C:C,中层系数!C:I,5,0)</f>
        <v>0</v>
      </c>
      <c r="G10" s="43">
        <f>IF(OR(D10="主任",D10="副主任"),VLOOKUP($B:$B,人员表!$B:$G,MATCH("医生基础人均",人员表!$B$3:$G$3),0)*中层绩效!E10,VLOOKUP($B:$B,人员表!$B:$G,MATCH("护理基础人均",人员表!$B$3:$G$3,0),0)*E10)</f>
        <v>4256</v>
      </c>
      <c r="H10" s="50">
        <f>IFERROR(ROUND(IF(D10="主任",VLOOKUP($B:$B,科室绩效工资核算1!$B:H,MATCH("首诊风险积分", 科室绩效工资核算1!$B$3:$AN$3,0),0)/(中层绩效!$E10+VLOOKUP($B:$B,人员表!$B:$G,MATCH("医疗组",人员表!$B$3:$G$3,0),0))*中层绩效!$E10,0),0),0)</f>
        <v>768</v>
      </c>
      <c r="I10" s="50">
        <f>IFERROR(ROUND(IF($D10="主任",VLOOKUP($B:$B,科室绩效工资核算1!$B:I,MATCH("病历质量积分", 科室绩效工资核算1!$B$3:$AN$3,0),0)/(中层绩效!$E10+VLOOKUP($B:$B,人员表!$B:$G,MATCH("医疗组",人员表!$B$3:$G$3,0),0))*中层绩效!$E10,0),0),0)</f>
        <v>269</v>
      </c>
      <c r="J10" s="50">
        <f>IFERROR(ROUND(IF($D10="主任",VLOOKUP($B:$B,科室绩效工资核算1!$B:J,MATCH("门诊人次积分", 科室绩效工资核算1!$B$3:$AN$3,0),0)/(中层绩效!$E10+VLOOKUP($B:$B,人员表!$B:$G,MATCH("医疗组",人员表!$B$3:$G$3,0),0))*中层绩效!$E10,0),0),0)</f>
        <v>122</v>
      </c>
      <c r="K10" s="50">
        <f>IFERROR(ROUND(IF($D10="主任",VLOOKUP($B:$B,科室绩效工资核算1!$B:K,MATCH("临床路径积分", 科室绩效工资核算1!$B$3:$AN$3,0),0)/(中层绩效!$E10+VLOOKUP($B:$B,人员表!$B:$G,MATCH("医疗组",人员表!$B$3:$G$3,0),0))*中层绩效!$E10,0),0),0)</f>
        <v>0</v>
      </c>
      <c r="L10" s="50">
        <f>IFERROR(ROUND(IF($D10="主任",VLOOKUP($B:$B,科室绩效工资核算1!$B:L,MATCH("麻醉风险积分", 科室绩效工资核算1!$B$3:$AN$3,0),0)/(中层绩效!$E10+VLOOKUP($B:$B,人员表!$B:$G,MATCH("医疗组",人员表!$B$3:$G$3,0),0))*中层绩效!$E10,0),0),0)</f>
        <v>0</v>
      </c>
      <c r="M10" s="50">
        <f>IFERROR(ROUND(IF($D10="主任",VLOOKUP($B:$B,科室绩效工资核算1!$B:M,MATCH("分娩风险积分", 科室绩效工资核算1!$B$3:$AN$3,0),0)/(中层绩效!$E10+VLOOKUP($B:$B,人员表!$B:$G,MATCH("医疗组",人员表!$B$3:$G$3,0),0))*中层绩效!$E10,0),0),0)</f>
        <v>0</v>
      </c>
      <c r="N10" s="50">
        <f>IFERROR(ROUND(IF($D10="主任",VLOOKUP($B:$B,科室绩效工资核算1!$B:N,MATCH("肿瘤支气管镜", 科室绩效工资核算1!$B$3:$AN$3,0),0)/(中层绩效!$E10+VLOOKUP($B:$B,人员表!$B:$G,MATCH("医疗组",人员表!$B$3:$G$3,0),0))*中层绩效!$E10,0),0),0)</f>
        <v>0</v>
      </c>
      <c r="O10" s="50">
        <f>IFERROR(ROUND(IF($D10="主任",VLOOKUP($B:$B,科室绩效工资核算1!$B:O,MATCH("会诊风险积分", 科室绩效工资核算1!$B$3:$AN$3,0),0)/(中层绩效!$E10+VLOOKUP($B:$B,人员表!$B:$G,MATCH("医疗组",人员表!$B$3:$G$3,0),0))*中层绩效!$E10,0),0),0)</f>
        <v>40</v>
      </c>
      <c r="P10" s="50">
        <f>IFERROR(ROUND(IF($D10="主任",VLOOKUP($B:$B,科室绩效工资核算1!$B:P,MATCH("换药风险积分", 科室绩效工资核算1!$B$3:$AN$3,0),0)/(中层绩效!$E10+VLOOKUP($B:$B,人员表!$B:$G,MATCH("医疗组",人员表!$B$3:$G$3,0),0))*中层绩效!$E10,0),0),0)</f>
        <v>0</v>
      </c>
      <c r="Q10" s="50">
        <f>IFERROR(ROUND(IF($D10="主任",VLOOKUP($B:$B,科室绩效工资核算1!$B:Q,MATCH("功能康复积分", 科室绩效工资核算1!$B$3:$AN$3,0),0)/(中层绩效!$E10+VLOOKUP($B:$B,人员表!$B:$G,MATCH("医疗组",人员表!$B$3:$G$3,0),0))*中层绩效!$E10,0),0),0)</f>
        <v>71</v>
      </c>
      <c r="R10" s="50">
        <f>IFERROR(ROUND(IF($D10="主任",VLOOKUP($B:$B,科室绩效工资核算1!$B:R,MATCH("中医外治积分", 科室绩效工资核算1!$B$3:$AN$3,0),0)/(中层绩效!$E10+VLOOKUP($B:$B,人员表!$B:$G,MATCH("医疗组",人员表!$B$3:$G$3,0),0))*中层绩效!$E10,0),0),0)</f>
        <v>34</v>
      </c>
      <c r="S10" s="50">
        <f>IFERROR(ROUND(IF($D10="主任",VLOOKUP($B:$B,科室绩效工资核算1!$B:S,MATCH("中药积分", 科室绩效工资核算1!$B$3:$AN$3,0),0)/(中层绩效!$E10+VLOOKUP($B:$B,人员表!$B:$G,MATCH("医疗组",人员表!$B$3:$G$3,0),0))*中层绩效!$E10,0),0),0)</f>
        <v>44</v>
      </c>
      <c r="T10" s="50">
        <f>IFERROR(ROUND(IF($D10="护士长",VLOOKUP($B:$B,科室绩效工资核算1!$B:T,MATCH("护理风险积分", 科室绩效工资核算1!$B$3:$AN$3,0),0)/(中层绩效!$E10+VLOOKUP($B:$B,人员表!$B:$G,MATCH("护理组",人员表!$B$3:$G$3,0),0))*中层绩效!$E10,0),0),0)</f>
        <v>0</v>
      </c>
      <c r="U10" s="43">
        <f>F10*科室绩效工资核算1!AQ$7</f>
        <v>0</v>
      </c>
      <c r="V10" s="43">
        <f t="shared" si="0"/>
        <v>5604</v>
      </c>
      <c r="W10" s="43">
        <f>V10*科室绩效工资核算1!AQ$10</f>
        <v>6028.2228000000005</v>
      </c>
    </row>
    <row r="11" spans="2:37" x14ac:dyDescent="0.25">
      <c r="B11" s="51" t="str">
        <f>中层系数!B11</f>
        <v>神三科</v>
      </c>
      <c r="C11" s="5" t="str">
        <f>中层系数!C11</f>
        <v>测试8</v>
      </c>
      <c r="D11" s="5" t="str">
        <f>VLOOKUP(C:C,中层系数!C:I,7,0)</f>
        <v>护士长</v>
      </c>
      <c r="E11" s="5">
        <f>VLOOKUP(C:C,中层系数!C:I,6,0)</f>
        <v>1.44</v>
      </c>
      <c r="F11" s="5">
        <f>VLOOKUP(C:C,中层系数!C:I,5,0)</f>
        <v>0</v>
      </c>
      <c r="G11" s="43">
        <f>IF(OR(D11="主任",D11="副主任"),VLOOKUP($B:$B,人员表!$B:$G,MATCH("医生基础人均",人员表!$B$3:$G$3),0)*中层绩效!E11,VLOOKUP($B:$B,人员表!$B:$G,MATCH("护理基础人均",人员表!$B$3:$G$3,0),0)*E11)</f>
        <v>1962.72</v>
      </c>
      <c r="H11" s="50">
        <f>IFERROR(ROUND(IF(D11="主任",VLOOKUP($B:$B,科室绩效工资核算1!$B:H,MATCH("首诊风险积分", 科室绩效工资核算1!$B$3:$AN$3,0),0)/(中层绩效!$E11+VLOOKUP($B:$B,人员表!$B:$G,MATCH("医疗组",人员表!$B$3:$G$3,0),0))*中层绩效!$E11,0),0),0)</f>
        <v>0</v>
      </c>
      <c r="I11" s="50">
        <f>IFERROR(ROUND(IF($D11="主任",VLOOKUP($B:$B,科室绩效工资核算1!$B:I,MATCH("病历质量积分", 科室绩效工资核算1!$B$3:$AN$3,0),0)/(中层绩效!$E11+VLOOKUP($B:$B,人员表!$B:$G,MATCH("医疗组",人员表!$B$3:$G$3,0),0))*中层绩效!$E11,0),0),0)</f>
        <v>0</v>
      </c>
      <c r="J11" s="50">
        <f>IFERROR(ROUND(IF($D11="主任",VLOOKUP($B:$B,科室绩效工资核算1!$B:J,MATCH("门诊人次积分", 科室绩效工资核算1!$B$3:$AN$3,0),0)/(中层绩效!$E11+VLOOKUP($B:$B,人员表!$B:$G,MATCH("医疗组",人员表!$B$3:$G$3,0),0))*中层绩效!$E11,0),0),0)</f>
        <v>0</v>
      </c>
      <c r="K11" s="50">
        <f>IFERROR(ROUND(IF($D11="主任",VLOOKUP($B:$B,科室绩效工资核算1!$B:K,MATCH("临床路径积分", 科室绩效工资核算1!$B$3:$AN$3,0),0)/(中层绩效!$E11+VLOOKUP($B:$B,人员表!$B:$G,MATCH("医疗组",人员表!$B$3:$G$3,0),0))*中层绩效!$E11,0),0),0)</f>
        <v>0</v>
      </c>
      <c r="L11" s="50">
        <f>IFERROR(ROUND(IF($D11="主任",VLOOKUP($B:$B,科室绩效工资核算1!$B:L,MATCH("麻醉风险积分", 科室绩效工资核算1!$B$3:$AN$3,0),0)/(中层绩效!$E11+VLOOKUP($B:$B,人员表!$B:$G,MATCH("医疗组",人员表!$B$3:$G$3,0),0))*中层绩效!$E11,0),0),0)</f>
        <v>0</v>
      </c>
      <c r="M11" s="50">
        <f>IFERROR(ROUND(IF($D11="主任",VLOOKUP($B:$B,科室绩效工资核算1!$B:M,MATCH("分娩风险积分", 科室绩效工资核算1!$B$3:$AN$3,0),0)/(中层绩效!$E11+VLOOKUP($B:$B,人员表!$B:$G,MATCH("医疗组",人员表!$B$3:$G$3,0),0))*中层绩效!$E11,0),0),0)</f>
        <v>0</v>
      </c>
      <c r="N11" s="50">
        <f>IFERROR(ROUND(IF($D11="主任",VLOOKUP($B:$B,科室绩效工资核算1!$B:N,MATCH("肿瘤支气管镜", 科室绩效工资核算1!$B$3:$AN$3,0),0)/(中层绩效!$E11+VLOOKUP($B:$B,人员表!$B:$G,MATCH("医疗组",人员表!$B$3:$G$3,0),0))*中层绩效!$E11,0),0),0)</f>
        <v>0</v>
      </c>
      <c r="O11" s="50">
        <f>IFERROR(ROUND(IF($D11="主任",VLOOKUP($B:$B,科室绩效工资核算1!$B:O,MATCH("会诊风险积分", 科室绩效工资核算1!$B$3:$AN$3,0),0)/(中层绩效!$E11+VLOOKUP($B:$B,人员表!$B:$G,MATCH("医疗组",人员表!$B$3:$G$3,0),0))*中层绩效!$E11,0),0),0)</f>
        <v>0</v>
      </c>
      <c r="P11" s="50">
        <f>IFERROR(ROUND(IF($D11="主任",VLOOKUP($B:$B,科室绩效工资核算1!$B:P,MATCH("换药风险积分", 科室绩效工资核算1!$B$3:$AN$3,0),0)/(中层绩效!$E11+VLOOKUP($B:$B,人员表!$B:$G,MATCH("医疗组",人员表!$B$3:$G$3,0),0))*中层绩效!$E11,0),0),0)</f>
        <v>0</v>
      </c>
      <c r="Q11" s="50">
        <f>IFERROR(ROUND(IF($D11="主任",VLOOKUP($B:$B,科室绩效工资核算1!$B:Q,MATCH("功能康复积分", 科室绩效工资核算1!$B$3:$AN$3,0),0)/(中层绩效!$E11+VLOOKUP($B:$B,人员表!$B:$G,MATCH("医疗组",人员表!$B$3:$G$3,0),0))*中层绩效!$E11,0),0),0)</f>
        <v>0</v>
      </c>
      <c r="R11" s="50">
        <f>IFERROR(ROUND(IF($D11="主任",VLOOKUP($B:$B,科室绩效工资核算1!$B:R,MATCH("中医外治积分", 科室绩效工资核算1!$B$3:$AN$3,0),0)/(中层绩效!$E11+VLOOKUP($B:$B,人员表!$B:$G,MATCH("医疗组",人员表!$B$3:$G$3,0),0))*中层绩效!$E11,0),0),0)</f>
        <v>0</v>
      </c>
      <c r="S11" s="50">
        <f>IFERROR(ROUND(IF($D11="主任",VLOOKUP($B:$B,科室绩效工资核算1!$B:S,MATCH("中药积分", 科室绩效工资核算1!$B$3:$AN$3,0),0)/(中层绩效!$E11+VLOOKUP($B:$B,人员表!$B:$G,MATCH("医疗组",人员表!$B$3:$G$3,0),0))*中层绩效!$E11,0),0),0)</f>
        <v>0</v>
      </c>
      <c r="T11" s="50">
        <f>IFERROR(ROUND(IF($D11="护士长",VLOOKUP($B:$B,科室绩效工资核算1!$B:T,MATCH("护理风险积分", 科室绩效工资核算1!$B$3:$AN$3,0),0)/(中层绩效!$E11+VLOOKUP($B:$B,人员表!$B:$G,MATCH("护理组",人员表!$B$3:$G$3,0),0))*中层绩效!$E11,0),0),0)</f>
        <v>417</v>
      </c>
      <c r="U11" s="43">
        <f>F11*科室绩效工资核算1!AQ$7</f>
        <v>0</v>
      </c>
      <c r="V11" s="43">
        <f t="shared" si="0"/>
        <v>2379.7200000000003</v>
      </c>
      <c r="W11" s="43">
        <f>V11*科室绩效工资核算1!AQ$10</f>
        <v>2559.8648040000007</v>
      </c>
    </row>
    <row r="12" spans="2:37" x14ac:dyDescent="0.25">
      <c r="B12" s="51" t="str">
        <f>中层系数!B12</f>
        <v>心内科</v>
      </c>
      <c r="C12" s="5" t="str">
        <f>中层系数!C12</f>
        <v>测试9</v>
      </c>
      <c r="D12" s="5" t="str">
        <f>VLOOKUP(C:C,中层系数!C:I,7,0)</f>
        <v>主任</v>
      </c>
      <c r="E12" s="5">
        <f>VLOOKUP(C:C,中层系数!C:I,6,0)</f>
        <v>2</v>
      </c>
      <c r="F12" s="5">
        <f>VLOOKUP(C:C,中层系数!C:I,5,0)</f>
        <v>0.3</v>
      </c>
      <c r="G12" s="43">
        <f>IF(OR(D12="主任",D12="副主任"),VLOOKUP($B:$B,人员表!$B:$G,MATCH("医生基础人均",人员表!$B$3:$G$3),0)*5,VLOOKUP($B:$B,人员表!$B:$G,MATCH("护理基础人均",人员表!$B$3:$G$3,0),0)*E12)</f>
        <v>15980</v>
      </c>
      <c r="H12" s="50">
        <f>IFERROR(ROUND(IF(D12="主任",VLOOKUP($B:$B,科室绩效工资核算1!$B:H,MATCH("首诊风险积分", 科室绩效工资核算1!$B$3:$AN$3,0),0)/(中层绩效!$E12+VLOOKUP($B:$B,人员表!$B:$G,MATCH("医疗组",人员表!$B$3:$G$3,0),0))*中层绩效!$E12,0),0),0)</f>
        <v>868</v>
      </c>
      <c r="I12" s="50">
        <f>IFERROR(ROUND(IF($D12="主任",VLOOKUP($B:$B,科室绩效工资核算1!$B:I,MATCH("病历质量积分", 科室绩效工资核算1!$B$3:$AN$3,0),0)/(中层绩效!$E12+VLOOKUP($B:$B,人员表!$B:$G,MATCH("医疗组",人员表!$B$3:$G$3,0),0))*中层绩效!$E12,0),0),0)</f>
        <v>437</v>
      </c>
      <c r="J12" s="50">
        <f>IFERROR(ROUND(IF($D12="主任",VLOOKUP($B:$B,科室绩效工资核算1!$B:J,MATCH("门诊人次积分", 科室绩效工资核算1!$B$3:$AN$3,0),0)/(中层绩效!$E12+VLOOKUP($B:$B,人员表!$B:$G,MATCH("医疗组",人员表!$B$3:$G$3,0),0))*中层绩效!$E12,0),0),0)</f>
        <v>128</v>
      </c>
      <c r="K12" s="50">
        <f>IFERROR(ROUND(IF($D12="主任",VLOOKUP($B:$B,科室绩效工资核算1!$B:K,MATCH("临床路径积分", 科室绩效工资核算1!$B$3:$AN$3,0),0)/(中层绩效!$E12+VLOOKUP($B:$B,人员表!$B:$G,MATCH("医疗组",人员表!$B$3:$G$3,0),0))*中层绩效!$E12,0),0),0)</f>
        <v>0</v>
      </c>
      <c r="L12" s="50">
        <f>IFERROR(ROUND(IF($D12="主任",VLOOKUP($B:$B,科室绩效工资核算1!$B:L,MATCH("麻醉风险积分", 科室绩效工资核算1!$B$3:$AN$3,0),0)/(中层绩效!$E12+VLOOKUP($B:$B,人员表!$B:$G,MATCH("医疗组",人员表!$B$3:$G$3,0),0))*中层绩效!$E12,0),0),0)</f>
        <v>0</v>
      </c>
      <c r="M12" s="50">
        <f>IFERROR(ROUND(IF($D12="主任",VLOOKUP($B:$B,科室绩效工资核算1!$B:M,MATCH("分娩风险积分", 科室绩效工资核算1!$B$3:$AN$3,0),0)/(中层绩效!$E12+VLOOKUP($B:$B,人员表!$B:$G,MATCH("医疗组",人员表!$B$3:$G$3,0),0))*中层绩效!$E12,0),0),0)</f>
        <v>0</v>
      </c>
      <c r="N12" s="50">
        <f>IFERROR(ROUND(IF($D12="主任",VLOOKUP($B:$B,科室绩效工资核算1!$B:N,MATCH("肿瘤支气管镜", 科室绩效工资核算1!$B$3:$AN$3,0),0)/(中层绩效!$E12+VLOOKUP($B:$B,人员表!$B:$G,MATCH("医疗组",人员表!$B$3:$G$3,0),0))*中层绩效!$E12,0),0),0)</f>
        <v>0</v>
      </c>
      <c r="O12" s="50">
        <f>IFERROR(ROUND(IF($D12="主任",VLOOKUP($B:$B,科室绩效工资核算1!$B:O,MATCH("会诊风险积分", 科室绩效工资核算1!$B$3:$AN$3,0),0)/(中层绩效!$E12+VLOOKUP($B:$B,人员表!$B:$G,MATCH("医疗组",人员表!$B$3:$G$3,0),0))*中层绩效!$E12,0),0),0)</f>
        <v>87</v>
      </c>
      <c r="P12" s="50">
        <f>IFERROR(ROUND(IF($D12="主任",VLOOKUP($B:$B,科室绩效工资核算1!$B:P,MATCH("换药风险积分", 科室绩效工资核算1!$B$3:$AN$3,0),0)/(中层绩效!$E12+VLOOKUP($B:$B,人员表!$B:$G,MATCH("医疗组",人员表!$B$3:$G$3,0),0))*中层绩效!$E12,0),0),0)</f>
        <v>0</v>
      </c>
      <c r="Q12" s="50">
        <f>IFERROR(ROUND(IF($D12="主任",VLOOKUP($B:$B,科室绩效工资核算1!$B:Q,MATCH("功能康复积分", 科室绩效工资核算1!$B$3:$AN$3,0),0)/(中层绩效!$E12+VLOOKUP($B:$B,人员表!$B:$G,MATCH("医疗组",人员表!$B$3:$G$3,0),0))*中层绩效!$E12,0),0),0)</f>
        <v>0</v>
      </c>
      <c r="R12" s="50">
        <f>IFERROR(ROUND(IF($D12="主任",VLOOKUP($B:$B,科室绩效工资核算1!$B:R,MATCH("中医外治积分", 科室绩效工资核算1!$B$3:$AN$3,0),0)/(中层绩效!$E12+VLOOKUP($B:$B,人员表!$B:$G,MATCH("医疗组",人员表!$B$3:$G$3,0),0))*中层绩效!$E12,0),0),0)</f>
        <v>0</v>
      </c>
      <c r="S12" s="50">
        <f>IFERROR(ROUND(IF($D12="主任",VLOOKUP($B:$B,科室绩效工资核算1!$B:S,MATCH("中药积分", 科室绩效工资核算1!$B$3:$AN$3,0),0)/(中层绩效!$E12+VLOOKUP($B:$B,人员表!$B:$G,MATCH("医疗组",人员表!$B$3:$G$3,0),0))*中层绩效!$E12,0),0),0)</f>
        <v>2</v>
      </c>
      <c r="T12" s="50">
        <f>IFERROR(ROUND(IF($D12="护士长",VLOOKUP($B:$B,科室绩效工资核算1!$B:T,MATCH("护理风险积分", 科室绩效工资核算1!$B$3:$AN$3,0),0)/(中层绩效!$E12+VLOOKUP($B:$B,人员表!$B:$G,MATCH("护理组",人员表!$B$3:$G$3,0),0))*中层绩效!$E12,0),0),0)</f>
        <v>0</v>
      </c>
      <c r="U12" s="43">
        <f>F12*科室绩效工资核算1!AQ$7</f>
        <v>461.904</v>
      </c>
      <c r="V12" s="43">
        <f t="shared" si="0"/>
        <v>17963.903999999999</v>
      </c>
      <c r="W12" s="43">
        <f>V12*科室绩效工资核算1!AQ$10</f>
        <v>19323.771532800001</v>
      </c>
    </row>
    <row r="13" spans="2:37" x14ac:dyDescent="0.25">
      <c r="B13" s="51" t="str">
        <f>中层系数!B13</f>
        <v>心内科</v>
      </c>
      <c r="C13" s="70" t="str">
        <f>中层系数!C13</f>
        <v>测试10</v>
      </c>
      <c r="D13" s="5" t="str">
        <f>VLOOKUP(C:C,中层系数!C:I,7,0)</f>
        <v>护士长</v>
      </c>
      <c r="E13" s="5">
        <f>VLOOKUP(C:C,中层系数!C:I,6,0)</f>
        <v>1.44</v>
      </c>
      <c r="F13" s="5">
        <f>VLOOKUP(C:C,中层系数!C:I,5,0)</f>
        <v>0</v>
      </c>
      <c r="G13" s="43">
        <f>IF(OR(D13="主任",D13="副主任"),VLOOKUP($B:$B,人员表!$B:$G,MATCH("医生基础人均",人员表!$B$3:$G$3),0)*中层绩效!E13,VLOOKUP($B:$B,人员表!$B:$G,MATCH("护理基础人均",人员表!$B$3:$G$3,0),0)*E13)</f>
        <v>3772.7999999999997</v>
      </c>
      <c r="H13" s="50">
        <f>IFERROR(ROUND(IF(D13="主任",VLOOKUP($B:$B,科室绩效工资核算1!$B:H,MATCH("首诊风险积分", 科室绩效工资核算1!$B$3:$AN$3,0),0)/(中层绩效!$E13+VLOOKUP($B:$B,人员表!$B:$G,MATCH("医疗组",人员表!$B$3:$G$3,0),0))*中层绩效!$E13,0),0),0)</f>
        <v>0</v>
      </c>
      <c r="I13" s="50">
        <f>IFERROR(ROUND(IF($D13="主任",VLOOKUP($B:$B,科室绩效工资核算1!$B:I,MATCH("病历质量积分", 科室绩效工资核算1!$B$3:$AN$3,0),0)/(中层绩效!$E13+VLOOKUP($B:$B,人员表!$B:$G,MATCH("医疗组",人员表!$B$3:$G$3,0),0))*中层绩效!$E13,0),0),0)</f>
        <v>0</v>
      </c>
      <c r="J13" s="50">
        <f>IFERROR(ROUND(IF($D13="主任",VLOOKUP($B:$B,科室绩效工资核算1!$B:J,MATCH("门诊人次积分", 科室绩效工资核算1!$B$3:$AN$3,0),0)/(中层绩效!$E13+VLOOKUP($B:$B,人员表!$B:$G,MATCH("医疗组",人员表!$B$3:$G$3,0),0))*中层绩效!$E13,0),0),0)</f>
        <v>0</v>
      </c>
      <c r="K13" s="50">
        <f>IFERROR(ROUND(IF($D13="主任",VLOOKUP($B:$B,科室绩效工资核算1!$B:K,MATCH("临床路径积分", 科室绩效工资核算1!$B$3:$AN$3,0),0)/(中层绩效!$E13+VLOOKUP($B:$B,人员表!$B:$G,MATCH("医疗组",人员表!$B$3:$G$3,0),0))*中层绩效!$E13,0),0),0)</f>
        <v>0</v>
      </c>
      <c r="L13" s="50">
        <f>IFERROR(ROUND(IF($D13="主任",VLOOKUP($B:$B,科室绩效工资核算1!$B:L,MATCH("麻醉风险积分", 科室绩效工资核算1!$B$3:$AN$3,0),0)/(中层绩效!$E13+VLOOKUP($B:$B,人员表!$B:$G,MATCH("医疗组",人员表!$B$3:$G$3,0),0))*中层绩效!$E13,0),0),0)</f>
        <v>0</v>
      </c>
      <c r="M13" s="50">
        <f>IFERROR(ROUND(IF($D13="主任",VLOOKUP($B:$B,科室绩效工资核算1!$B:M,MATCH("分娩风险积分", 科室绩效工资核算1!$B$3:$AN$3,0),0)/(中层绩效!$E13+VLOOKUP($B:$B,人员表!$B:$G,MATCH("医疗组",人员表!$B$3:$G$3,0),0))*中层绩效!$E13,0),0),0)</f>
        <v>0</v>
      </c>
      <c r="N13" s="50">
        <f>IFERROR(ROUND(IF($D13="主任",VLOOKUP($B:$B,科室绩效工资核算1!$B:N,MATCH("肿瘤支气管镜", 科室绩效工资核算1!$B$3:$AN$3,0),0)/(中层绩效!$E13+VLOOKUP($B:$B,人员表!$B:$G,MATCH("医疗组",人员表!$B$3:$G$3,0),0))*中层绩效!$E13,0),0),0)</f>
        <v>0</v>
      </c>
      <c r="O13" s="50">
        <f>IFERROR(ROUND(IF($D13="主任",VLOOKUP($B:$B,科室绩效工资核算1!$B:O,MATCH("会诊风险积分", 科室绩效工资核算1!$B$3:$AN$3,0),0)/(中层绩效!$E13+VLOOKUP($B:$B,人员表!$B:$G,MATCH("医疗组",人员表!$B$3:$G$3,0),0))*中层绩效!$E13,0),0),0)</f>
        <v>0</v>
      </c>
      <c r="P13" s="50">
        <f>IFERROR(ROUND(IF($D13="主任",VLOOKUP($B:$B,科室绩效工资核算1!$B:P,MATCH("换药风险积分", 科室绩效工资核算1!$B$3:$AN$3,0),0)/(中层绩效!$E13+VLOOKUP($B:$B,人员表!$B:$G,MATCH("医疗组",人员表!$B$3:$G$3,0),0))*中层绩效!$E13,0),0),0)</f>
        <v>0</v>
      </c>
      <c r="Q13" s="50">
        <f>IFERROR(ROUND(IF($D13="主任",VLOOKUP($B:$B,科室绩效工资核算1!$B:Q,MATCH("功能康复积分", 科室绩效工资核算1!$B$3:$AN$3,0),0)/(中层绩效!$E13+VLOOKUP($B:$B,人员表!$B:$G,MATCH("医疗组",人员表!$B$3:$G$3,0),0))*中层绩效!$E13,0),0),0)</f>
        <v>0</v>
      </c>
      <c r="R13" s="50">
        <f>IFERROR(ROUND(IF($D13="主任",VLOOKUP($B:$B,科室绩效工资核算1!$B:R,MATCH("中医外治积分", 科室绩效工资核算1!$B$3:$AN$3,0),0)/(中层绩效!$E13+VLOOKUP($B:$B,人员表!$B:$G,MATCH("医疗组",人员表!$B$3:$G$3,0),0))*中层绩效!$E13,0),0),0)</f>
        <v>0</v>
      </c>
      <c r="S13" s="50">
        <f>IFERROR(ROUND(IF($D13="主任",VLOOKUP($B:$B,科室绩效工资核算1!$B:S,MATCH("中药积分", 科室绩效工资核算1!$B$3:$AN$3,0),0)/(中层绩效!$E13+VLOOKUP($B:$B,人员表!$B:$G,MATCH("医疗组",人员表!$B$3:$G$3,0),0))*中层绩效!$E13,0),0),0)</f>
        <v>0</v>
      </c>
      <c r="T13" s="50">
        <f>IFERROR(ROUND(IF($D13="护士长",VLOOKUP($B:$B,科室绩效工资核算1!$B:T,MATCH("护理风险积分", 科室绩效工资核算1!$B$3:$AN$3,0),0)/((中层绩效!$E13+VLOOKUP($B:$B,人员表!$B:$G,MATCH("护理组",人员表!$B$3:$G$3,0),0))+E14)*中层绩效!$E13,0),0),0)</f>
        <v>1447</v>
      </c>
      <c r="U13" s="43">
        <f>F13*科室绩效工资核算1!AQ$7</f>
        <v>0</v>
      </c>
      <c r="V13" s="43">
        <f t="shared" si="0"/>
        <v>5219.7999999999993</v>
      </c>
      <c r="W13" s="43">
        <f>V13*科室绩效工资核算1!AQ$10</f>
        <v>5614.9388599999993</v>
      </c>
    </row>
    <row r="14" spans="2:37" x14ac:dyDescent="0.25">
      <c r="B14" s="51" t="str">
        <f>中层系数!B14</f>
        <v>心内科</v>
      </c>
      <c r="C14" s="70" t="str">
        <f>中层系数!C14</f>
        <v>测试11</v>
      </c>
      <c r="D14" s="5" t="str">
        <f>VLOOKUP(C:C,中层系数!C:I,7,0)</f>
        <v>护士长</v>
      </c>
      <c r="E14" s="5">
        <f>VLOOKUP(C:C,中层系数!C:I,6,0)</f>
        <v>1.17</v>
      </c>
      <c r="F14" s="5">
        <f>VLOOKUP(C:C,中层系数!C:I,5,0)</f>
        <v>0</v>
      </c>
      <c r="G14" s="43">
        <f>IF(OR(D14="主任",D14="副主任"),VLOOKUP($B:$B,人员表!$B:$G,MATCH("医生基础人均",人员表!$B$3:$G$3),0)*中层绩效!E14,VLOOKUP($B:$B,人员表!$B:$G,MATCH("护理基础人均",人员表!$B$3:$G$3,0),0)*E14)</f>
        <v>3065.3999999999996</v>
      </c>
      <c r="H14" s="50">
        <f>IFERROR(ROUND(IF(D14="主任",VLOOKUP($B:$B,科室绩效工资核算1!$B:H,MATCH("首诊风险积分", 科室绩效工资核算1!$B$3:$AN$3,0),0)/(中层绩效!$E14+VLOOKUP($B:$B,人员表!$B:$G,MATCH("医疗组",人员表!$B$3:$G$3,0),0))*中层绩效!$E14,0),0),0)</f>
        <v>0</v>
      </c>
      <c r="I14" s="50">
        <f>IFERROR(ROUND(IF($D14="主任",VLOOKUP($B:$B,科室绩效工资核算1!$B:I,MATCH("病历质量积分", 科室绩效工资核算1!$B$3:$AN$3,0),0)/(中层绩效!$E14+VLOOKUP($B:$B,人员表!$B:$G,MATCH("医疗组",人员表!$B$3:$G$3,0),0))*中层绩效!$E14,0),0),0)</f>
        <v>0</v>
      </c>
      <c r="J14" s="50">
        <f>IFERROR(ROUND(IF($D14="主任",VLOOKUP($B:$B,科室绩效工资核算1!$B:J,MATCH("门诊人次积分", 科室绩效工资核算1!$B$3:$AN$3,0),0)/(中层绩效!$E14+VLOOKUP($B:$B,人员表!$B:$G,MATCH("医疗组",人员表!$B$3:$G$3,0),0))*中层绩效!$E14,0),0),0)</f>
        <v>0</v>
      </c>
      <c r="K14" s="50">
        <f>IFERROR(ROUND(IF($D14="主任",VLOOKUP($B:$B,科室绩效工资核算1!$B:K,MATCH("临床路径积分", 科室绩效工资核算1!$B$3:$AN$3,0),0)/(中层绩效!$E14+VLOOKUP($B:$B,人员表!$B:$G,MATCH("医疗组",人员表!$B$3:$G$3,0),0))*中层绩效!$E14,0),0),0)</f>
        <v>0</v>
      </c>
      <c r="L14" s="50">
        <f>IFERROR(ROUND(IF($D14="主任",VLOOKUP($B:$B,科室绩效工资核算1!$B:L,MATCH("麻醉风险积分", 科室绩效工资核算1!$B$3:$AN$3,0),0)/(中层绩效!$E14+VLOOKUP($B:$B,人员表!$B:$G,MATCH("医疗组",人员表!$B$3:$G$3,0),0))*中层绩效!$E14,0),0),0)</f>
        <v>0</v>
      </c>
      <c r="M14" s="50">
        <f>IFERROR(ROUND(IF($D14="主任",VLOOKUP($B:$B,科室绩效工资核算1!$B:M,MATCH("分娩风险积分", 科室绩效工资核算1!$B$3:$AN$3,0),0)/(中层绩效!$E14+VLOOKUP($B:$B,人员表!$B:$G,MATCH("医疗组",人员表!$B$3:$G$3,0),0))*中层绩效!$E14,0),0),0)</f>
        <v>0</v>
      </c>
      <c r="N14" s="50">
        <f>IFERROR(ROUND(IF($D14="主任",VLOOKUP($B:$B,科室绩效工资核算1!$B:N,MATCH("肿瘤支气管镜", 科室绩效工资核算1!$B$3:$AN$3,0),0)/(中层绩效!$E14+VLOOKUP($B:$B,人员表!$B:$G,MATCH("医疗组",人员表!$B$3:$G$3,0),0))*中层绩效!$E14,0),0),0)</f>
        <v>0</v>
      </c>
      <c r="O14" s="50">
        <f>IFERROR(ROUND(IF($D14="主任",VLOOKUP($B:$B,科室绩效工资核算1!$B:O,MATCH("会诊风险积分", 科室绩效工资核算1!$B$3:$AN$3,0),0)/(中层绩效!$E14+VLOOKUP($B:$B,人员表!$B:$G,MATCH("医疗组",人员表!$B$3:$G$3,0),0))*中层绩效!$E14,0),0),0)</f>
        <v>0</v>
      </c>
      <c r="P14" s="50">
        <f>IFERROR(ROUND(IF($D14="主任",VLOOKUP($B:$B,科室绩效工资核算1!$B:P,MATCH("换药风险积分", 科室绩效工资核算1!$B$3:$AN$3,0),0)/(中层绩效!$E14+VLOOKUP($B:$B,人员表!$B:$G,MATCH("医疗组",人员表!$B$3:$G$3,0),0))*中层绩效!$E14,0),0),0)</f>
        <v>0</v>
      </c>
      <c r="Q14" s="50">
        <f>IFERROR(ROUND(IF($D14="主任",VLOOKUP($B:$B,科室绩效工资核算1!$B:Q,MATCH("功能康复积分", 科室绩效工资核算1!$B$3:$AN$3,0),0)/(中层绩效!$E14+VLOOKUP($B:$B,人员表!$B:$G,MATCH("医疗组",人员表!$B$3:$G$3,0),0))*中层绩效!$E14,0),0),0)</f>
        <v>0</v>
      </c>
      <c r="R14" s="50">
        <f>IFERROR(ROUND(IF($D14="主任",VLOOKUP($B:$B,科室绩效工资核算1!$B:R,MATCH("中医外治积分", 科室绩效工资核算1!$B$3:$AN$3,0),0)/(中层绩效!$E14+VLOOKUP($B:$B,人员表!$B:$G,MATCH("医疗组",人员表!$B$3:$G$3,0),0))*中层绩效!$E14,0),0),0)</f>
        <v>0</v>
      </c>
      <c r="S14" s="50">
        <f>IFERROR(ROUND(IF($D14="主任",VLOOKUP($B:$B,科室绩效工资核算1!$B:S,MATCH("中药积分", 科室绩效工资核算1!$B$3:$AN$3,0),0)/(中层绩效!$E14+VLOOKUP($B:$B,人员表!$B:$G,MATCH("医疗组",人员表!$B$3:$G$3,0),0))*中层绩效!$E14,0),0),0)</f>
        <v>0</v>
      </c>
      <c r="T14" s="50">
        <f>IFERROR(ROUND(IF($D14="护士长",VLOOKUP($B:$B,科室绩效工资核算1!$B:T,MATCH("护理风险积分", 科室绩效工资核算1!$B$3:$AN$3,0),0)/((中层绩效!$E14+VLOOKUP($B:$B,人员表!$B:$G,MATCH("护理组",人员表!$B$3:$G$3,0),0))+E13)*中层绩效!$E14,0),0),0)</f>
        <v>1176</v>
      </c>
      <c r="U14" s="43">
        <f>F14*科室绩效工资核算1!AQ$7</f>
        <v>0</v>
      </c>
      <c r="V14" s="43">
        <f t="shared" si="0"/>
        <v>4241.3999999999996</v>
      </c>
      <c r="W14" s="43">
        <f>V14*科室绩效工资核算1!AQ$10</f>
        <v>4562.4739799999998</v>
      </c>
    </row>
    <row r="15" spans="2:37" x14ac:dyDescent="0.25">
      <c r="B15" s="51" t="str">
        <f>中层系数!B15</f>
        <v>呼吸内科</v>
      </c>
      <c r="C15" s="5" t="str">
        <f>中层系数!C15</f>
        <v>测试12</v>
      </c>
      <c r="D15" s="5" t="str">
        <f>VLOOKUP(C:C,中层系数!C:I,7,0)</f>
        <v>护士长</v>
      </c>
      <c r="E15" s="5">
        <f>VLOOKUP(C:C,中层系数!C:I,6,0)</f>
        <v>1.17</v>
      </c>
      <c r="F15" s="5">
        <f>VLOOKUP(C:C,中层系数!C:I,5,0)</f>
        <v>0</v>
      </c>
      <c r="G15" s="43">
        <f>IF(OR(D15="主任",D15="副主任"),VLOOKUP($B:$B,人员表!$B:$G,MATCH("医生基础人均",人员表!$B$3:$G$3),0)*中层绩效!E15,VLOOKUP($B:$B,人员表!$B:$G,MATCH("护理基础人均",人员表!$B$3:$G$3,0),0)*E15)</f>
        <v>2267.46</v>
      </c>
      <c r="H15" s="50">
        <f>IFERROR(ROUND(IF(D15="主任",VLOOKUP($B:$B,科室绩效工资核算1!$B:H,MATCH("首诊风险积分", 科室绩效工资核算1!$B$3:$AN$3,0),0)/(中层绩效!$E15+VLOOKUP($B:$B,人员表!$B:$G,MATCH("医疗组",人员表!$B$3:$G$3,0),0))*中层绩效!$E15,0),0),0)</f>
        <v>0</v>
      </c>
      <c r="I15" s="50">
        <f>IFERROR(ROUND(IF($D15="主任",VLOOKUP($B:$B,科室绩效工资核算1!$B:I,MATCH("病历质量积分", 科室绩效工资核算1!$B$3:$AN$3,0),0)/(中层绩效!$E15+VLOOKUP($B:$B,人员表!$B:$G,MATCH("医疗组",人员表!$B$3:$G$3,0),0))*中层绩效!$E15,0),0),0)</f>
        <v>0</v>
      </c>
      <c r="J15" s="50">
        <f>IFERROR(ROUND(IF($D15="主任",VLOOKUP($B:$B,科室绩效工资核算1!$B:J,MATCH("门诊人次积分", 科室绩效工资核算1!$B$3:$AN$3,0),0)/(中层绩效!$E15+VLOOKUP($B:$B,人员表!$B:$G,MATCH("医疗组",人员表!$B$3:$G$3,0),0))*中层绩效!$E15,0),0),0)</f>
        <v>0</v>
      </c>
      <c r="K15" s="50">
        <f>IFERROR(ROUND(IF($D15="主任",VLOOKUP($B:$B,科室绩效工资核算1!$B:K,MATCH("临床路径积分", 科室绩效工资核算1!$B$3:$AN$3,0),0)/(中层绩效!$E15+VLOOKUP($B:$B,人员表!$B:$G,MATCH("医疗组",人员表!$B$3:$G$3,0),0))*中层绩效!$E15,0),0),0)</f>
        <v>0</v>
      </c>
      <c r="L15" s="50">
        <f>IFERROR(ROUND(IF($D15="主任",VLOOKUP($B:$B,科室绩效工资核算1!$B:L,MATCH("麻醉风险积分", 科室绩效工资核算1!$B$3:$AN$3,0),0)/(中层绩效!$E15+VLOOKUP($B:$B,人员表!$B:$G,MATCH("医疗组",人员表!$B$3:$G$3,0),0))*中层绩效!$E15,0),0),0)</f>
        <v>0</v>
      </c>
      <c r="M15" s="50">
        <f>IFERROR(ROUND(IF($D15="主任",VLOOKUP($B:$B,科室绩效工资核算1!$B:M,MATCH("分娩风险积分", 科室绩效工资核算1!$B$3:$AN$3,0),0)/(中层绩效!$E15+VLOOKUP($B:$B,人员表!$B:$G,MATCH("医疗组",人员表!$B$3:$G$3,0),0))*中层绩效!$E15,0),0),0)</f>
        <v>0</v>
      </c>
      <c r="N15" s="50">
        <f>IFERROR(ROUND(IF($D15="主任",VLOOKUP($B:$B,科室绩效工资核算1!$B:N,MATCH("肿瘤支气管镜", 科室绩效工资核算1!$B$3:$AN$3,0),0)/(中层绩效!$E15+VLOOKUP($B:$B,人员表!$B:$G,MATCH("医疗组",人员表!$B$3:$G$3,0),0))*中层绩效!$E15,0),0),0)</f>
        <v>0</v>
      </c>
      <c r="O15" s="50">
        <f>IFERROR(ROUND(IF($D15="主任",VLOOKUP($B:$B,科室绩效工资核算1!$B:O,MATCH("会诊风险积分", 科室绩效工资核算1!$B$3:$AN$3,0),0)/(中层绩效!$E15+VLOOKUP($B:$B,人员表!$B:$G,MATCH("医疗组",人员表!$B$3:$G$3,0),0))*中层绩效!$E15,0),0),0)</f>
        <v>0</v>
      </c>
      <c r="P15" s="50">
        <f>IFERROR(ROUND(IF($D15="主任",VLOOKUP($B:$B,科室绩效工资核算1!$B:P,MATCH("换药风险积分", 科室绩效工资核算1!$B$3:$AN$3,0),0)/(中层绩效!$E15+VLOOKUP($B:$B,人员表!$B:$G,MATCH("医疗组",人员表!$B$3:$G$3,0),0))*中层绩效!$E15,0),0),0)</f>
        <v>0</v>
      </c>
      <c r="Q15" s="50">
        <f>IFERROR(ROUND(IF($D15="主任",VLOOKUP($B:$B,科室绩效工资核算1!$B:Q,MATCH("功能康复积分", 科室绩效工资核算1!$B$3:$AN$3,0),0)/(中层绩效!$E15+VLOOKUP($B:$B,人员表!$B:$G,MATCH("医疗组",人员表!$B$3:$G$3,0),0))*中层绩效!$E15,0),0),0)</f>
        <v>0</v>
      </c>
      <c r="R15" s="50">
        <f>IFERROR(ROUND(IF($D15="主任",VLOOKUP($B:$B,科室绩效工资核算1!$B:R,MATCH("中医外治积分", 科室绩效工资核算1!$B$3:$AN$3,0),0)/(中层绩效!$E15+VLOOKUP($B:$B,人员表!$B:$G,MATCH("医疗组",人员表!$B$3:$G$3,0),0))*中层绩效!$E15,0),0),0)</f>
        <v>0</v>
      </c>
      <c r="S15" s="50">
        <f>IFERROR(ROUND(IF($D15="主任",VLOOKUP($B:$B,科室绩效工资核算1!$B:S,MATCH("中药积分", 科室绩效工资核算1!$B$3:$AN$3,0),0)/(中层绩效!$E15+VLOOKUP($B:$B,人员表!$B:$G,MATCH("医疗组",人员表!$B$3:$G$3,0),0))*中层绩效!$E15,0),0),0)</f>
        <v>0</v>
      </c>
      <c r="T15" s="50">
        <f>IFERROR(ROUND(IF($D15="护士长",VLOOKUP($B:$B,科室绩效工资核算1!$B:T,MATCH("护理风险积分", 科室绩效工资核算1!$B$3:$AN$3,0),0)/(中层绩效!$E15+VLOOKUP($B:$B,人员表!$B:$G,MATCH("护理组",人员表!$B$3:$G$3,0),0))*中层绩效!$E15,0),0),0)</f>
        <v>397</v>
      </c>
      <c r="U15" s="43">
        <f>F15*科室绩效工资核算1!AQ$7</f>
        <v>0</v>
      </c>
      <c r="V15" s="43">
        <f t="shared" si="0"/>
        <v>2664.46</v>
      </c>
      <c r="W15" s="43">
        <f>V15*科室绩效工资核算1!AQ$10</f>
        <v>2866.1596220000001</v>
      </c>
    </row>
    <row r="16" spans="2:37" x14ac:dyDescent="0.25">
      <c r="B16" s="51" t="str">
        <f>中层系数!B16</f>
        <v>呼吸内科</v>
      </c>
      <c r="C16" s="5" t="str">
        <f>中层系数!C16</f>
        <v>测试13</v>
      </c>
      <c r="D16" s="5" t="str">
        <f>VLOOKUP(C:C,中层系数!C:I,7,0)</f>
        <v>主任</v>
      </c>
      <c r="E16" s="5">
        <f>VLOOKUP(C:C,中层系数!C:I,6,0)</f>
        <v>2</v>
      </c>
      <c r="F16" s="5">
        <f>VLOOKUP(C:C,中层系数!C:I,5,0)</f>
        <v>0</v>
      </c>
      <c r="G16" s="43">
        <f>IF(OR(D16="主任",D16="副主任"),VLOOKUP($B:$B,人员表!$B:$G,MATCH("医生基础人均",人员表!$B$3:$G$3),0)*中层绩效!E16,VLOOKUP($B:$B,人员表!$B:$G,MATCH("护理基础人均",人员表!$B$3:$G$3,0),0)*E16)</f>
        <v>8556</v>
      </c>
      <c r="H16" s="50">
        <f>IFERROR(ROUND(IF(D16="主任",VLOOKUP($B:$B,科室绩效工资核算1!$B:H,MATCH("首诊风险积分", 科室绩效工资核算1!$B$3:$AN$3,0),0)/(中层绩效!$E16+VLOOKUP($B:$B,人员表!$B:$G,MATCH("医疗组",人员表!$B$3:$G$3,0),0))*中层绩效!$E16,0),0),0)</f>
        <v>987</v>
      </c>
      <c r="I16" s="50">
        <f>IFERROR(ROUND(IF($D16="主任",VLOOKUP($B:$B,科室绩效工资核算1!$B:I,MATCH("病历质量积分", 科室绩效工资核算1!$B$3:$AN$3,0),0)/(中层绩效!$E16+VLOOKUP($B:$B,人员表!$B:$G,MATCH("医疗组",人员表!$B$3:$G$3,0),0))*中层绩效!$E16,0),0),0)</f>
        <v>410</v>
      </c>
      <c r="J16" s="50">
        <f>IFERROR(ROUND(IF($D16="主任",VLOOKUP($B:$B,科室绩效工资核算1!$B:J,MATCH("门诊人次积分", 科室绩效工资核算1!$B$3:$AN$3,0),0)/(中层绩效!$E16+VLOOKUP($B:$B,人员表!$B:$G,MATCH("医疗组",人员表!$B$3:$G$3,0),0))*中层绩效!$E16,0),0),0)</f>
        <v>584</v>
      </c>
      <c r="K16" s="50">
        <f>IFERROR(ROUND(IF($D16="主任",VLOOKUP($B:$B,科室绩效工资核算1!$B:K,MATCH("临床路径积分", 科室绩效工资核算1!$B$3:$AN$3,0),0)/(中层绩效!$E16+VLOOKUP($B:$B,人员表!$B:$G,MATCH("医疗组",人员表!$B$3:$G$3,0),0))*中层绩效!$E16,0),0),0)</f>
        <v>0</v>
      </c>
      <c r="L16" s="50">
        <f>IFERROR(ROUND(IF($D16="主任",VLOOKUP($B:$B,科室绩效工资核算1!$B:L,MATCH("麻醉风险积分", 科室绩效工资核算1!$B$3:$AN$3,0),0)/(中层绩效!$E16+VLOOKUP($B:$B,人员表!$B:$G,MATCH("医疗组",人员表!$B$3:$G$3,0),0))*中层绩效!$E16,0),0),0)</f>
        <v>0</v>
      </c>
      <c r="M16" s="50">
        <f>IFERROR(ROUND(IF($D16="主任",VLOOKUP($B:$B,科室绩效工资核算1!$B:M,MATCH("分娩风险积分", 科室绩效工资核算1!$B$3:$AN$3,0),0)/(中层绩效!$E16+VLOOKUP($B:$B,人员表!$B:$G,MATCH("医疗组",人员表!$B$3:$G$3,0),0))*中层绩效!$E16,0),0),0)</f>
        <v>0</v>
      </c>
      <c r="N16" s="50">
        <f>IFERROR(ROUND(IF($D16="主任",VLOOKUP($B:$B,科室绩效工资核算1!$B:N,MATCH("肿瘤支气管镜", 科室绩效工资核算1!$B$3:$AN$3,0),0)/(中层绩效!$E16+VLOOKUP($B:$B,人员表!$B:$G,MATCH("医疗组",人员表!$B$3:$G$3,0),0))*中层绩效!$E16,0),0),0)</f>
        <v>0</v>
      </c>
      <c r="O16" s="50">
        <f>IFERROR(ROUND(IF($D16="主任",VLOOKUP($B:$B,科室绩效工资核算1!$B:O,MATCH("会诊风险积分", 科室绩效工资核算1!$B$3:$AN$3,0),0)/(中层绩效!$E16+VLOOKUP($B:$B,人员表!$B:$G,MATCH("医疗组",人员表!$B$3:$G$3,0),0))*中层绩效!$E16,0),0),0)</f>
        <v>73</v>
      </c>
      <c r="P16" s="50">
        <f>IFERROR(ROUND(IF($D16="主任",VLOOKUP($B:$B,科室绩效工资核算1!$B:P,MATCH("换药风险积分", 科室绩效工资核算1!$B$3:$AN$3,0),0)/(中层绩效!$E16+VLOOKUP($B:$B,人员表!$B:$G,MATCH("医疗组",人员表!$B$3:$G$3,0),0))*中层绩效!$E16,0),0),0)</f>
        <v>0</v>
      </c>
      <c r="Q16" s="50">
        <f>IFERROR(ROUND(IF($D16="主任",VLOOKUP($B:$B,科室绩效工资核算1!$B:Q,MATCH("功能康复积分", 科室绩效工资核算1!$B$3:$AN$3,0),0)/(中层绩效!$E16+VLOOKUP($B:$B,人员表!$B:$G,MATCH("医疗组",人员表!$B$3:$G$3,0),0))*中层绩效!$E16,0),0),0)</f>
        <v>0</v>
      </c>
      <c r="R16" s="50">
        <f>IFERROR(ROUND(IF($D16="主任",VLOOKUP($B:$B,科室绩效工资核算1!$B:R,MATCH("中医外治积分", 科室绩效工资核算1!$B$3:$AN$3,0),0)/(中层绩效!$E16+VLOOKUP($B:$B,人员表!$B:$G,MATCH("医疗组",人员表!$B$3:$G$3,0),0))*中层绩效!$E16,0),0),0)</f>
        <v>0</v>
      </c>
      <c r="S16" s="50">
        <f>IFERROR(ROUND(IF($D16="主任",VLOOKUP($B:$B,科室绩效工资核算1!$B:S,MATCH("中药积分", 科室绩效工资核算1!$B$3:$AN$3,0),0)/(中层绩效!$E16+VLOOKUP($B:$B,人员表!$B:$G,MATCH("医疗组",人员表!$B$3:$G$3,0),0))*中层绩效!$E16,0),0),0)</f>
        <v>2</v>
      </c>
      <c r="T16" s="50">
        <f>IFERROR(ROUND(IF($D16="护士长",VLOOKUP($B:$B,科室绩效工资核算1!$B:T,MATCH("护理风险积分", 科室绩效工资核算1!$B$3:$AN$3,0),0)/(中层绩效!$E16+VLOOKUP($B:$B,人员表!$B:$G,MATCH("护理组",人员表!$B$3:$G$3,0),0))*中层绩效!$E16,0),0),0)</f>
        <v>0</v>
      </c>
      <c r="U16" s="43">
        <f>F16*科室绩效工资核算1!AQ$7</f>
        <v>0</v>
      </c>
      <c r="V16" s="43">
        <f t="shared" si="0"/>
        <v>10612</v>
      </c>
      <c r="W16" s="43">
        <f>V16*科室绩效工资核算1!AQ$10</f>
        <v>11415.3284</v>
      </c>
    </row>
    <row r="17" spans="2:23" x14ac:dyDescent="0.25">
      <c r="B17" s="51" t="str">
        <f>中层系数!B17</f>
        <v>消化内科</v>
      </c>
      <c r="C17" s="5" t="str">
        <f>中层系数!C17</f>
        <v>测试14</v>
      </c>
      <c r="D17" s="5" t="str">
        <f>VLOOKUP(C:C,中层系数!C:I,7,0)</f>
        <v>护士长</v>
      </c>
      <c r="E17" s="5">
        <f>VLOOKUP(C:C,中层系数!C:I,6,0)</f>
        <v>1.44</v>
      </c>
      <c r="F17" s="5">
        <f>VLOOKUP(C:C,中层系数!C:I,5,0)</f>
        <v>0</v>
      </c>
      <c r="G17" s="43">
        <f>IF(OR(D17="主任",D17="副主任"),VLOOKUP($B:$B,人员表!$B:$G,MATCH("医生基础人均",人员表!$B$3:$G$3),0)*中层绩效!E17,VLOOKUP($B:$B,人员表!$B:$G,MATCH("护理基础人均",人员表!$B$3:$G$3,0),0)*E17)</f>
        <v>2354.4</v>
      </c>
      <c r="H17" s="50">
        <f>IFERROR(ROUND(IF(D17="主任",VLOOKUP($B:$B,科室绩效工资核算1!$B:H,MATCH("首诊风险积分", 科室绩效工资核算1!$B$3:$AN$3,0),0)/(中层绩效!$E17+VLOOKUP($B:$B,人员表!$B:$G,MATCH("医疗组",人员表!$B$3:$G$3,0),0))*中层绩效!$E17,0),0),0)</f>
        <v>0</v>
      </c>
      <c r="I17" s="50">
        <f>IFERROR(ROUND(IF($D17="主任",VLOOKUP($B:$B,科室绩效工资核算1!$B:I,MATCH("病历质量积分", 科室绩效工资核算1!$B$3:$AN$3,0),0)/(中层绩效!$E17+VLOOKUP($B:$B,人员表!$B:$G,MATCH("医疗组",人员表!$B$3:$G$3,0),0))*中层绩效!$E17,0),0),0)</f>
        <v>0</v>
      </c>
      <c r="J17" s="50">
        <f>IFERROR(ROUND(IF($D17="主任",VLOOKUP($B:$B,科室绩效工资核算1!$B:J,MATCH("门诊人次积分", 科室绩效工资核算1!$B$3:$AN$3,0),0)/(中层绩效!$E17+VLOOKUP($B:$B,人员表!$B:$G,MATCH("医疗组",人员表!$B$3:$G$3,0),0))*中层绩效!$E17,0),0),0)</f>
        <v>0</v>
      </c>
      <c r="K17" s="50">
        <f>IFERROR(ROUND(IF($D17="主任",VLOOKUP($B:$B,科室绩效工资核算1!$B:K,MATCH("临床路径积分", 科室绩效工资核算1!$B$3:$AN$3,0),0)/(中层绩效!$E17+VLOOKUP($B:$B,人员表!$B:$G,MATCH("医疗组",人员表!$B$3:$G$3,0),0))*中层绩效!$E17,0),0),0)</f>
        <v>0</v>
      </c>
      <c r="L17" s="50">
        <f>IFERROR(ROUND(IF($D17="主任",VLOOKUP($B:$B,科室绩效工资核算1!$B:L,MATCH("麻醉风险积分", 科室绩效工资核算1!$B$3:$AN$3,0),0)/(中层绩效!$E17+VLOOKUP($B:$B,人员表!$B:$G,MATCH("医疗组",人员表!$B$3:$G$3,0),0))*中层绩效!$E17,0),0),0)</f>
        <v>0</v>
      </c>
      <c r="M17" s="50">
        <f>IFERROR(ROUND(IF($D17="主任",VLOOKUP($B:$B,科室绩效工资核算1!$B:M,MATCH("分娩风险积分", 科室绩效工资核算1!$B$3:$AN$3,0),0)/(中层绩效!$E17+VLOOKUP($B:$B,人员表!$B:$G,MATCH("医疗组",人员表!$B$3:$G$3,0),0))*中层绩效!$E17,0),0),0)</f>
        <v>0</v>
      </c>
      <c r="N17" s="50">
        <f>IFERROR(ROUND(IF($D17="主任",VLOOKUP($B:$B,科室绩效工资核算1!$B:N,MATCH("肿瘤支气管镜", 科室绩效工资核算1!$B$3:$AN$3,0),0)/(中层绩效!$E17+VLOOKUP($B:$B,人员表!$B:$G,MATCH("医疗组",人员表!$B$3:$G$3,0),0))*中层绩效!$E17,0),0),0)</f>
        <v>0</v>
      </c>
      <c r="O17" s="50">
        <f>IFERROR(ROUND(IF($D17="主任",VLOOKUP($B:$B,科室绩效工资核算1!$B:O,MATCH("会诊风险积分", 科室绩效工资核算1!$B$3:$AN$3,0),0)/(中层绩效!$E17+VLOOKUP($B:$B,人员表!$B:$G,MATCH("医疗组",人员表!$B$3:$G$3,0),0))*中层绩效!$E17,0),0),0)</f>
        <v>0</v>
      </c>
      <c r="P17" s="50">
        <f>IFERROR(ROUND(IF($D17="主任",VLOOKUP($B:$B,科室绩效工资核算1!$B:P,MATCH("换药风险积分", 科室绩效工资核算1!$B$3:$AN$3,0),0)/(中层绩效!$E17+VLOOKUP($B:$B,人员表!$B:$G,MATCH("医疗组",人员表!$B$3:$G$3,0),0))*中层绩效!$E17,0),0),0)</f>
        <v>0</v>
      </c>
      <c r="Q17" s="50">
        <f>IFERROR(ROUND(IF($D17="主任",VLOOKUP($B:$B,科室绩效工资核算1!$B:Q,MATCH("功能康复积分", 科室绩效工资核算1!$B$3:$AN$3,0),0)/(中层绩效!$E17+VLOOKUP($B:$B,人员表!$B:$G,MATCH("医疗组",人员表!$B$3:$G$3,0),0))*中层绩效!$E17,0),0),0)</f>
        <v>0</v>
      </c>
      <c r="R17" s="50">
        <f>IFERROR(ROUND(IF($D17="主任",VLOOKUP($B:$B,科室绩效工资核算1!$B:R,MATCH("中医外治积分", 科室绩效工资核算1!$B$3:$AN$3,0),0)/(中层绩效!$E17+VLOOKUP($B:$B,人员表!$B:$G,MATCH("医疗组",人员表!$B$3:$G$3,0),0))*中层绩效!$E17,0),0),0)</f>
        <v>0</v>
      </c>
      <c r="S17" s="50">
        <f>IFERROR(ROUND(IF($D17="主任",VLOOKUP($B:$B,科室绩效工资核算1!$B:S,MATCH("中药积分", 科室绩效工资核算1!$B$3:$AN$3,0),0)/(中层绩效!$E17+VLOOKUP($B:$B,人员表!$B:$G,MATCH("医疗组",人员表!$B$3:$G$3,0),0))*中层绩效!$E17,0),0),0)</f>
        <v>0</v>
      </c>
      <c r="T17" s="50">
        <f>IFERROR(ROUND(IF($D17="护士长",VLOOKUP($B:$B,科室绩效工资核算1!$B:T,MATCH("护理风险积分", 科室绩效工资核算1!$B$3:$AN$3,0),0)/(中层绩效!$E17+VLOOKUP($B:$B,人员表!$B:$G,MATCH("护理组",人员表!$B$3:$G$3,0),0))*中层绩效!$E17,0),0),0)</f>
        <v>304</v>
      </c>
      <c r="U17" s="43">
        <f>F17*科室绩效工资核算1!AQ$7</f>
        <v>0</v>
      </c>
      <c r="V17" s="43">
        <f t="shared" si="0"/>
        <v>2658.4</v>
      </c>
      <c r="W17" s="43">
        <f>V17*科室绩效工资核算1!AQ$10</f>
        <v>2859.6408800000004</v>
      </c>
    </row>
    <row r="18" spans="2:23" x14ac:dyDescent="0.25">
      <c r="B18" s="51" t="str">
        <f>中层系数!B18</f>
        <v>消化内科</v>
      </c>
      <c r="C18" s="5" t="str">
        <f>中层系数!C18</f>
        <v>测试15</v>
      </c>
      <c r="D18" s="5" t="str">
        <f>VLOOKUP(C:C,中层系数!C:I,7,0)</f>
        <v>主任</v>
      </c>
      <c r="E18" s="5">
        <f>VLOOKUP(C:C,中层系数!C:I,6,0)</f>
        <v>2</v>
      </c>
      <c r="F18" s="5">
        <f>VLOOKUP(C:C,中层系数!C:I,5,0)</f>
        <v>0</v>
      </c>
      <c r="G18" s="43">
        <f>IF(OR(D18="主任",D18="副主任"),VLOOKUP($B:$B,人员表!$B:$G,MATCH("医生基础人均",人员表!$B$3:$G$3),0)*中层绩效!E18,VLOOKUP($B:$B,人员表!$B:$G,MATCH("护理基础人均",人员表!$B$3:$G$3,0),0)*E18)</f>
        <v>6576</v>
      </c>
      <c r="H18" s="50">
        <f>IFERROR(ROUND(IF(D18="主任",VLOOKUP($B:$B,科室绩效工资核算1!$B:H,MATCH("首诊风险积分", 科室绩效工资核算1!$B$3:$AN$3,0),0)/(中层绩效!$E18+VLOOKUP($B:$B,人员表!$B:$G,MATCH("医疗组",人员表!$B$3:$G$3,0),0))*中层绩效!$E18,0),0),0)</f>
        <v>697</v>
      </c>
      <c r="I18" s="50">
        <f>IFERROR(ROUND(IF($D18="主任",VLOOKUP($B:$B,科室绩效工资核算1!$B:I,MATCH("病历质量积分", 科室绩效工资核算1!$B$3:$AN$3,0),0)/(中层绩效!$E18+VLOOKUP($B:$B,人员表!$B:$G,MATCH("医疗组",人员表!$B$3:$G$3,0),0))*中层绩效!$E18,0),0),0)</f>
        <v>297</v>
      </c>
      <c r="J18" s="50">
        <f>IFERROR(ROUND(IF($D18="主任",VLOOKUP($B:$B,科室绩效工资核算1!$B:J,MATCH("门诊人次积分", 科室绩效工资核算1!$B$3:$AN$3,0),0)/(中层绩效!$E18+VLOOKUP($B:$B,人员表!$B:$G,MATCH("医疗组",人员表!$B$3:$G$3,0),0))*中层绩效!$E18,0),0),0)</f>
        <v>283</v>
      </c>
      <c r="K18" s="50">
        <f>IFERROR(ROUND(IF($D18="主任",VLOOKUP($B:$B,科室绩效工资核算1!$B:K,MATCH("临床路径积分", 科室绩效工资核算1!$B$3:$AN$3,0),0)/(中层绩效!$E18+VLOOKUP($B:$B,人员表!$B:$G,MATCH("医疗组",人员表!$B$3:$G$3,0),0))*中层绩效!$E18,0),0),0)</f>
        <v>0</v>
      </c>
      <c r="L18" s="50">
        <f>IFERROR(ROUND(IF($D18="主任",VLOOKUP($B:$B,科室绩效工资核算1!$B:L,MATCH("麻醉风险积分", 科室绩效工资核算1!$B$3:$AN$3,0),0)/(中层绩效!$E18+VLOOKUP($B:$B,人员表!$B:$G,MATCH("医疗组",人员表!$B$3:$G$3,0),0))*中层绩效!$E18,0),0),0)</f>
        <v>0</v>
      </c>
      <c r="M18" s="50">
        <f>IFERROR(ROUND(IF($D18="主任",VLOOKUP($B:$B,科室绩效工资核算1!$B:M,MATCH("分娩风险积分", 科室绩效工资核算1!$B$3:$AN$3,0),0)/(中层绩效!$E18+VLOOKUP($B:$B,人员表!$B:$G,MATCH("医疗组",人员表!$B$3:$G$3,0),0))*中层绩效!$E18,0),0),0)</f>
        <v>0</v>
      </c>
      <c r="N18" s="50">
        <f>IFERROR(ROUND(IF($D18="主任",VLOOKUP($B:$B,科室绩效工资核算1!$B:N,MATCH("肿瘤支气管镜", 科室绩效工资核算1!$B$3:$AN$3,0),0)/(中层绩效!$E18+VLOOKUP($B:$B,人员表!$B:$G,MATCH("医疗组",人员表!$B$3:$G$3,0),0))*中层绩效!$E18,0),0),0)</f>
        <v>0</v>
      </c>
      <c r="O18" s="50">
        <f>IFERROR(ROUND(IF($D18="主任",VLOOKUP($B:$B,科室绩效工资核算1!$B:O,MATCH("会诊风险积分", 科室绩效工资核算1!$B$3:$AN$3,0),0)/(中层绩效!$E18+VLOOKUP($B:$B,人员表!$B:$G,MATCH("医疗组",人员表!$B$3:$G$3,0),0))*中层绩效!$E18,0),0),0)</f>
        <v>73</v>
      </c>
      <c r="P18" s="50">
        <f>IFERROR(ROUND(IF($D18="主任",VLOOKUP($B:$B,科室绩效工资核算1!$B:P,MATCH("换药风险积分", 科室绩效工资核算1!$B$3:$AN$3,0),0)/(中层绩效!$E18+VLOOKUP($B:$B,人员表!$B:$G,MATCH("医疗组",人员表!$B$3:$G$3,0),0))*中层绩效!$E18,0),0),0)</f>
        <v>0</v>
      </c>
      <c r="Q18" s="50">
        <f>IFERROR(ROUND(IF($D18="主任",VLOOKUP($B:$B,科室绩效工资核算1!$B:Q,MATCH("功能康复积分", 科室绩效工资核算1!$B$3:$AN$3,0),0)/(中层绩效!$E18+VLOOKUP($B:$B,人员表!$B:$G,MATCH("医疗组",人员表!$B$3:$G$3,0),0))*中层绩效!$E18,0),0),0)</f>
        <v>0</v>
      </c>
      <c r="R18" s="50">
        <f>IFERROR(ROUND(IF($D18="主任",VLOOKUP($B:$B,科室绩效工资核算1!$B:R,MATCH("中医外治积分", 科室绩效工资核算1!$B$3:$AN$3,0),0)/(中层绩效!$E18+VLOOKUP($B:$B,人员表!$B:$G,MATCH("医疗组",人员表!$B$3:$G$3,0),0))*中层绩效!$E18,0),0),0)</f>
        <v>0</v>
      </c>
      <c r="S18" s="50">
        <f>IFERROR(ROUND(IF($D18="主任",VLOOKUP($B:$B,科室绩效工资核算1!$B:S,MATCH("中药积分", 科室绩效工资核算1!$B$3:$AN$3,0),0)/(中层绩效!$E18+VLOOKUP($B:$B,人员表!$B:$G,MATCH("医疗组",人员表!$B$3:$G$3,0),0))*中层绩效!$E18,0),0),0)</f>
        <v>0</v>
      </c>
      <c r="T18" s="50">
        <f>IFERROR(ROUND(IF($D18="护士长",VLOOKUP($B:$B,科室绩效工资核算1!$B:T,MATCH("护理风险积分", 科室绩效工资核算1!$B$3:$AN$3,0),0)/(中层绩效!$E18+VLOOKUP($B:$B,人员表!$B:$G,MATCH("护理组",人员表!$B$3:$G$3,0),0))*中层绩效!$E18,0),0),0)</f>
        <v>0</v>
      </c>
      <c r="U18" s="43">
        <f>F18*科室绩效工资核算1!AQ$7</f>
        <v>0</v>
      </c>
      <c r="V18" s="43">
        <f t="shared" si="0"/>
        <v>7926</v>
      </c>
      <c r="W18" s="43">
        <f>V18*科室绩效工资核算1!AQ$10</f>
        <v>8525.9982</v>
      </c>
    </row>
    <row r="19" spans="2:23" x14ac:dyDescent="0.25">
      <c r="B19" s="51" t="str">
        <f>中层系数!B19</f>
        <v>内分泌科</v>
      </c>
      <c r="C19" s="5" t="str">
        <f>中层系数!C19</f>
        <v>测试16</v>
      </c>
      <c r="D19" s="5" t="str">
        <f>VLOOKUP(C:C,中层系数!C:I,7,0)</f>
        <v>护士长</v>
      </c>
      <c r="E19" s="5">
        <f>VLOOKUP(C:C,中层系数!C:I,6,0)</f>
        <v>1.44</v>
      </c>
      <c r="F19" s="5">
        <f>VLOOKUP(C:C,中层系数!C:I,5,0)</f>
        <v>0</v>
      </c>
      <c r="G19" s="43">
        <f>IF(OR(D19="主任",D19="副主任"),VLOOKUP($B:$B,人员表!$B:$G,MATCH("医生基础人均",人员表!$B$3:$G$3),0)*中层绩效!E19,VLOOKUP($B:$B,人员表!$B:$G,MATCH("护理基础人均",人员表!$B$3:$G$3,0),0)*E19)</f>
        <v>1762.56</v>
      </c>
      <c r="H19" s="50">
        <f>IFERROR(ROUND(IF(D19="主任",VLOOKUP($B:$B,科室绩效工资核算1!$B:H,MATCH("首诊风险积分", 科室绩效工资核算1!$B$3:$AN$3,0),0)/(中层绩效!$E19+VLOOKUP($B:$B,人员表!$B:$G,MATCH("医疗组",人员表!$B$3:$G$3,0),0))*中层绩效!$E19,0),0),0)</f>
        <v>0</v>
      </c>
      <c r="I19" s="50">
        <f>IFERROR(ROUND(IF($D19="主任",VLOOKUP($B:$B,科室绩效工资核算1!$B:I,MATCH("病历质量积分", 科室绩效工资核算1!$B$3:$AN$3,0),0)/(中层绩效!$E19+VLOOKUP($B:$B,人员表!$B:$G,MATCH("医疗组",人员表!$B$3:$G$3,0),0))*中层绩效!$E19,0),0),0)</f>
        <v>0</v>
      </c>
      <c r="J19" s="50">
        <f>IFERROR(ROUND(IF($D19="主任",VLOOKUP($B:$B,科室绩效工资核算1!$B:J,MATCH("门诊人次积分", 科室绩效工资核算1!$B$3:$AN$3,0),0)/(中层绩效!$E19+VLOOKUP($B:$B,人员表!$B:$G,MATCH("医疗组",人员表!$B$3:$G$3,0),0))*中层绩效!$E19,0),0),0)</f>
        <v>0</v>
      </c>
      <c r="K19" s="50">
        <f>IFERROR(ROUND(IF($D19="主任",VLOOKUP($B:$B,科室绩效工资核算1!$B:K,MATCH("临床路径积分", 科室绩效工资核算1!$B$3:$AN$3,0),0)/(中层绩效!$E19+VLOOKUP($B:$B,人员表!$B:$G,MATCH("医疗组",人员表!$B$3:$G$3,0),0))*中层绩效!$E19,0),0),0)</f>
        <v>0</v>
      </c>
      <c r="L19" s="50">
        <f>IFERROR(ROUND(IF($D19="主任",VLOOKUP($B:$B,科室绩效工资核算1!$B:L,MATCH("麻醉风险积分", 科室绩效工资核算1!$B$3:$AN$3,0),0)/(中层绩效!$E19+VLOOKUP($B:$B,人员表!$B:$G,MATCH("医疗组",人员表!$B$3:$G$3,0),0))*中层绩效!$E19,0),0),0)</f>
        <v>0</v>
      </c>
      <c r="M19" s="50">
        <f>IFERROR(ROUND(IF($D19="主任",VLOOKUP($B:$B,科室绩效工资核算1!$B:M,MATCH("分娩风险积分", 科室绩效工资核算1!$B$3:$AN$3,0),0)/(中层绩效!$E19+VLOOKUP($B:$B,人员表!$B:$G,MATCH("医疗组",人员表!$B$3:$G$3,0),0))*中层绩效!$E19,0),0),0)</f>
        <v>0</v>
      </c>
      <c r="N19" s="50">
        <f>IFERROR(ROUND(IF($D19="主任",VLOOKUP($B:$B,科室绩效工资核算1!$B:N,MATCH("肿瘤支气管镜", 科室绩效工资核算1!$B$3:$AN$3,0),0)/(中层绩效!$E19+VLOOKUP($B:$B,人员表!$B:$G,MATCH("医疗组",人员表!$B$3:$G$3,0),0))*中层绩效!$E19,0),0),0)</f>
        <v>0</v>
      </c>
      <c r="O19" s="50">
        <f>IFERROR(ROUND(IF($D19="主任",VLOOKUP($B:$B,科室绩效工资核算1!$B:O,MATCH("会诊风险积分", 科室绩效工资核算1!$B$3:$AN$3,0),0)/(中层绩效!$E19+VLOOKUP($B:$B,人员表!$B:$G,MATCH("医疗组",人员表!$B$3:$G$3,0),0))*中层绩效!$E19,0),0),0)</f>
        <v>0</v>
      </c>
      <c r="P19" s="50">
        <f>IFERROR(ROUND(IF($D19="主任",VLOOKUP($B:$B,科室绩效工资核算1!$B:P,MATCH("换药风险积分", 科室绩效工资核算1!$B$3:$AN$3,0),0)/(中层绩效!$E19+VLOOKUP($B:$B,人员表!$B:$G,MATCH("医疗组",人员表!$B$3:$G$3,0),0))*中层绩效!$E19,0),0),0)</f>
        <v>0</v>
      </c>
      <c r="Q19" s="50">
        <f>IFERROR(ROUND(IF($D19="主任",VLOOKUP($B:$B,科室绩效工资核算1!$B:Q,MATCH("功能康复积分", 科室绩效工资核算1!$B$3:$AN$3,0),0)/(中层绩效!$E19+VLOOKUP($B:$B,人员表!$B:$G,MATCH("医疗组",人员表!$B$3:$G$3,0),0))*中层绩效!$E19,0),0),0)</f>
        <v>0</v>
      </c>
      <c r="R19" s="50">
        <f>IFERROR(ROUND(IF($D19="主任",VLOOKUP($B:$B,科室绩效工资核算1!$B:R,MATCH("中医外治积分", 科室绩效工资核算1!$B$3:$AN$3,0),0)/(中层绩效!$E19+VLOOKUP($B:$B,人员表!$B:$G,MATCH("医疗组",人员表!$B$3:$G$3,0),0))*中层绩效!$E19,0),0),0)</f>
        <v>0</v>
      </c>
      <c r="S19" s="50">
        <f>IFERROR(ROUND(IF($D19="主任",VLOOKUP($B:$B,科室绩效工资核算1!$B:S,MATCH("中药积分", 科室绩效工资核算1!$B$3:$AN$3,0),0)/(中层绩效!$E19+VLOOKUP($B:$B,人员表!$B:$G,MATCH("医疗组",人员表!$B$3:$G$3,0),0))*中层绩效!$E19,0),0),0)</f>
        <v>0</v>
      </c>
      <c r="T19" s="50">
        <f>IFERROR(ROUND(IF($D19="护士长",VLOOKUP($B:$B,科室绩效工资核算1!$B:T,MATCH("护理风险积分", 科室绩效工资核算1!$B$3:$AN$3,0),0)/(中层绩效!$E19+VLOOKUP($B:$B,人员表!$B:$G,MATCH("护理组",人员表!$B$3:$G$3,0),0))*中层绩效!$E19,0),0),0)</f>
        <v>348</v>
      </c>
      <c r="U19" s="43">
        <f>F19*科室绩效工资核算1!AQ$7</f>
        <v>0</v>
      </c>
      <c r="V19" s="43">
        <f t="shared" si="0"/>
        <v>2110.56</v>
      </c>
      <c r="W19" s="43">
        <f>V19*科室绩效工资核算1!AQ$10</f>
        <v>2270.3293920000001</v>
      </c>
    </row>
    <row r="20" spans="2:23" x14ac:dyDescent="0.25">
      <c r="B20" s="51" t="str">
        <f>中层系数!B20</f>
        <v>内分泌科</v>
      </c>
      <c r="C20" s="5" t="str">
        <f>中层系数!C20</f>
        <v>测试17</v>
      </c>
      <c r="D20" s="5" t="str">
        <f>VLOOKUP(C:C,中层系数!C:I,7,0)</f>
        <v>主任</v>
      </c>
      <c r="E20" s="5">
        <f>VLOOKUP(C:C,中层系数!C:I,6,0)</f>
        <v>2</v>
      </c>
      <c r="F20" s="5">
        <f>VLOOKUP(C:C,中层系数!C:I,5,0)</f>
        <v>0</v>
      </c>
      <c r="G20" s="43">
        <f>IF(OR(D20="主任",D20="副主任"),VLOOKUP($B:$B,人员表!$B:$G,MATCH("医生基础人均",人员表!$B$3:$G$3),0)*中层绩效!E20,VLOOKUP($B:$B,人员表!$B:$G,MATCH("护理基础人均",人员表!$B$3:$G$3,0),0)*E20)</f>
        <v>3798</v>
      </c>
      <c r="H20" s="50">
        <f>IFERROR(ROUND(IF(D20="主任",VLOOKUP($B:$B,科室绩效工资核算1!$B:H,MATCH("首诊风险积分", 科室绩效工资核算1!$B$3:$AN$3,0),0)/(中层绩效!$E20+VLOOKUP($B:$B,人员表!$B:$G,MATCH("医疗组",人员表!$B$3:$G$3,0),0))*中层绩效!$E20,0),0),0)</f>
        <v>530</v>
      </c>
      <c r="I20" s="50">
        <f>IFERROR(ROUND(IF($D20="主任",VLOOKUP($B:$B,科室绩效工资核算1!$B:I,MATCH("病历质量积分", 科室绩效工资核算1!$B$3:$AN$3,0),0)/(中层绩效!$E20+VLOOKUP($B:$B,人员表!$B:$G,MATCH("医疗组",人员表!$B$3:$G$3,0),0))*中层绩效!$E20,0),0),0)</f>
        <v>235</v>
      </c>
      <c r="J20" s="50">
        <f>IFERROR(ROUND(IF($D20="主任",VLOOKUP($B:$B,科室绩效工资核算1!$B:J,MATCH("门诊人次积分", 科室绩效工资核算1!$B$3:$AN$3,0),0)/(中层绩效!$E20+VLOOKUP($B:$B,人员表!$B:$G,MATCH("医疗组",人员表!$B$3:$G$3,0),0))*中层绩效!$E20,0),0),0)</f>
        <v>96</v>
      </c>
      <c r="K20" s="50">
        <f>IFERROR(ROUND(IF($D20="主任",VLOOKUP($B:$B,科室绩效工资核算1!$B:K,MATCH("临床路径积分", 科室绩效工资核算1!$B$3:$AN$3,0),0)/(中层绩效!$E20+VLOOKUP($B:$B,人员表!$B:$G,MATCH("医疗组",人员表!$B$3:$G$3,0),0))*中层绩效!$E20,0),0),0)</f>
        <v>0</v>
      </c>
      <c r="L20" s="50">
        <f>IFERROR(ROUND(IF($D20="主任",VLOOKUP($B:$B,科室绩效工资核算1!$B:L,MATCH("麻醉风险积分", 科室绩效工资核算1!$B$3:$AN$3,0),0)/(中层绩效!$E20+VLOOKUP($B:$B,人员表!$B:$G,MATCH("医疗组",人员表!$B$3:$G$3,0),0))*中层绩效!$E20,0),0),0)</f>
        <v>0</v>
      </c>
      <c r="M20" s="50">
        <f>IFERROR(ROUND(IF($D20="主任",VLOOKUP($B:$B,科室绩效工资核算1!$B:M,MATCH("分娩风险积分", 科室绩效工资核算1!$B$3:$AN$3,0),0)/(中层绩效!$E20+VLOOKUP($B:$B,人员表!$B:$G,MATCH("医疗组",人员表!$B$3:$G$3,0),0))*中层绩效!$E20,0),0),0)</f>
        <v>0</v>
      </c>
      <c r="N20" s="50">
        <f>IFERROR(ROUND(IF($D20="主任",VLOOKUP($B:$B,科室绩效工资核算1!$B:N,MATCH("肿瘤支气管镜", 科室绩效工资核算1!$B$3:$AN$3,0),0)/(中层绩效!$E20+VLOOKUP($B:$B,人员表!$B:$G,MATCH("医疗组",人员表!$B$3:$G$3,0),0))*中层绩效!$E20,0),0),0)</f>
        <v>0</v>
      </c>
      <c r="O20" s="50">
        <f>IFERROR(ROUND(IF($D20="主任",VLOOKUP($B:$B,科室绩效工资核算1!$B:O,MATCH("会诊风险积分", 科室绩效工资核算1!$B$3:$AN$3,0),0)/(中层绩效!$E20+VLOOKUP($B:$B,人员表!$B:$G,MATCH("医疗组",人员表!$B$3:$G$3,0),0))*中层绩效!$E20,0),0),0)</f>
        <v>52</v>
      </c>
      <c r="P20" s="50">
        <f>IFERROR(ROUND(IF($D20="主任",VLOOKUP($B:$B,科室绩效工资核算1!$B:P,MATCH("换药风险积分", 科室绩效工资核算1!$B$3:$AN$3,0),0)/(中层绩效!$E20+VLOOKUP($B:$B,人员表!$B:$G,MATCH("医疗组",人员表!$B$3:$G$3,0),0))*中层绩效!$E20,0),0),0)</f>
        <v>0</v>
      </c>
      <c r="Q20" s="50">
        <f>IFERROR(ROUND(IF($D20="主任",VLOOKUP($B:$B,科室绩效工资核算1!$B:Q,MATCH("功能康复积分", 科室绩效工资核算1!$B$3:$AN$3,0),0)/(中层绩效!$E20+VLOOKUP($B:$B,人员表!$B:$G,MATCH("医疗组",人员表!$B$3:$G$3,0),0))*中层绩效!$E20,0),0),0)</f>
        <v>0</v>
      </c>
      <c r="R20" s="50">
        <f>IFERROR(ROUND(IF($D20="主任",VLOOKUP($B:$B,科室绩效工资核算1!$B:R,MATCH("中医外治积分", 科室绩效工资核算1!$B$3:$AN$3,0),0)/(中层绩效!$E20+VLOOKUP($B:$B,人员表!$B:$G,MATCH("医疗组",人员表!$B$3:$G$3,0),0))*中层绩效!$E20,0),0),0)</f>
        <v>0</v>
      </c>
      <c r="S20" s="50">
        <f>IFERROR(ROUND(IF($D20="主任",VLOOKUP($B:$B,科室绩效工资核算1!$B:S,MATCH("中药积分", 科室绩效工资核算1!$B$3:$AN$3,0),0)/(中层绩效!$E20+VLOOKUP($B:$B,人员表!$B:$G,MATCH("医疗组",人员表!$B$3:$G$3,0),0))*中层绩效!$E20,0),0),0)</f>
        <v>0</v>
      </c>
      <c r="T20" s="50">
        <f>IFERROR(ROUND(IF($D20="护士长",VLOOKUP($B:$B,科室绩效工资核算1!$B:T,MATCH("护理风险积分", 科室绩效工资核算1!$B$3:$AN$3,0),0)/(中层绩效!$E20+VLOOKUP($B:$B,人员表!$B:$G,MATCH("护理组",人员表!$B$3:$G$3,0),0))*中层绩效!$E20,0),0),0)</f>
        <v>0</v>
      </c>
      <c r="U20" s="43">
        <f>F20*科室绩效工资核算1!AQ$7</f>
        <v>0</v>
      </c>
      <c r="V20" s="43">
        <f t="shared" si="0"/>
        <v>4711</v>
      </c>
      <c r="W20" s="43">
        <f>V20*科室绩效工资核算1!AQ$10</f>
        <v>5067.6227000000008</v>
      </c>
    </row>
    <row r="21" spans="2:23" x14ac:dyDescent="0.25">
      <c r="B21" s="51" t="str">
        <f>中层系数!B21</f>
        <v>儿一科</v>
      </c>
      <c r="C21" s="5" t="str">
        <f>中层系数!C21</f>
        <v>测试18</v>
      </c>
      <c r="D21" s="5" t="str">
        <f>VLOOKUP(C:C,中层系数!C:I,7,0)</f>
        <v>主任</v>
      </c>
      <c r="E21" s="5">
        <f>VLOOKUP(C:C,中层系数!C:I,6,0)</f>
        <v>2</v>
      </c>
      <c r="F21" s="5">
        <f>VLOOKUP(C:C,中层系数!C:I,5,0)</f>
        <v>0</v>
      </c>
      <c r="G21" s="43">
        <f>IF(OR(D21="主任",D21="副主任"),VLOOKUP($B:$B,人员表!$B:$G,MATCH("医生基础人均",人员表!$B$3:$G$3),0)*中层绩效!E21,VLOOKUP($B:$B,人员表!$B:$G,MATCH("护理基础人均",人员表!$B$3:$G$3,0),0)*E21)</f>
        <v>5334</v>
      </c>
      <c r="H21" s="50">
        <f>IFERROR(ROUND(IF(D21="主任",VLOOKUP($B:$B,科室绩效工资核算1!$B:H,MATCH("首诊风险积分", 科室绩效工资核算1!$B$3:$AN$3,0),0)/(中层绩效!$E21+VLOOKUP($B:$B,人员表!$B:$G,MATCH("医疗组",人员表!$B$3:$G$3,0),0))*中层绩效!$E21,0),0),0)</f>
        <v>1218</v>
      </c>
      <c r="I21" s="50">
        <f>IFERROR(ROUND(IF($D21="主任",VLOOKUP($B:$B,科室绩效工资核算1!$B:I,MATCH("病历质量积分", 科室绩效工资核算1!$B$3:$AN$3,0),0)/(中层绩效!$E21+VLOOKUP($B:$B,人员表!$B:$G,MATCH("医疗组",人员表!$B$3:$G$3,0),0))*中层绩效!$E21,0),0),0)</f>
        <v>727</v>
      </c>
      <c r="J21" s="50">
        <f>IFERROR(ROUND(IF($D21="主任",VLOOKUP($B:$B,科室绩效工资核算1!$B:J,MATCH("门诊人次积分", 科室绩效工资核算1!$B$3:$AN$3,0),0)/(中层绩效!$E21+VLOOKUP($B:$B,人员表!$B:$G,MATCH("医疗组",人员表!$B$3:$G$3,0),0))*中层绩效!$E21,0),0),0)</f>
        <v>139</v>
      </c>
      <c r="K21" s="50">
        <f>IFERROR(ROUND(IF($D21="主任",VLOOKUP($B:$B,科室绩效工资核算1!$B:K,MATCH("临床路径积分", 科室绩效工资核算1!$B$3:$AN$3,0),0)/(中层绩效!$E21+VLOOKUP($B:$B,人员表!$B:$G,MATCH("医疗组",人员表!$B$3:$G$3,0),0))*中层绩效!$E21,0),0),0)</f>
        <v>0</v>
      </c>
      <c r="L21" s="50">
        <f>IFERROR(ROUND(IF($D21="主任",VLOOKUP($B:$B,科室绩效工资核算1!$B:L,MATCH("麻醉风险积分", 科室绩效工资核算1!$B$3:$AN$3,0),0)/(中层绩效!$E21+VLOOKUP($B:$B,人员表!$B:$G,MATCH("医疗组",人员表!$B$3:$G$3,0),0))*中层绩效!$E21,0),0),0)</f>
        <v>0</v>
      </c>
      <c r="M21" s="50">
        <f>IFERROR(ROUND(IF($D21="主任",VLOOKUP($B:$B,科室绩效工资核算1!$B:M,MATCH("分娩风险积分", 科室绩效工资核算1!$B$3:$AN$3,0),0)/(中层绩效!$E21+VLOOKUP($B:$B,人员表!$B:$G,MATCH("医疗组",人员表!$B$3:$G$3,0),0))*中层绩效!$E21,0),0),0)</f>
        <v>0</v>
      </c>
      <c r="N21" s="50">
        <f>IFERROR(ROUND(IF($D21="主任",VLOOKUP($B:$B,科室绩效工资核算1!$B:N,MATCH("肿瘤支气管镜", 科室绩效工资核算1!$B$3:$AN$3,0),0)/(中层绩效!$E21+VLOOKUP($B:$B,人员表!$B:$G,MATCH("医疗组",人员表!$B$3:$G$3,0),0))*中层绩效!$E21,0),0),0)</f>
        <v>0</v>
      </c>
      <c r="O21" s="50">
        <f>IFERROR(ROUND(IF($D21="主任",VLOOKUP($B:$B,科室绩效工资核算1!$B:O,MATCH("会诊风险积分", 科室绩效工资核算1!$B$3:$AN$3,0),0)/(中层绩效!$E21+VLOOKUP($B:$B,人员表!$B:$G,MATCH("医疗组",人员表!$B$3:$G$3,0),0))*中层绩效!$E21,0),0),0)</f>
        <v>3</v>
      </c>
      <c r="P21" s="50">
        <f>IFERROR(ROUND(IF($D21="主任",VLOOKUP($B:$B,科室绩效工资核算1!$B:P,MATCH("换药风险积分", 科室绩效工资核算1!$B$3:$AN$3,0),0)/(中层绩效!$E21+VLOOKUP($B:$B,人员表!$B:$G,MATCH("医疗组",人员表!$B$3:$G$3,0),0))*中层绩效!$E21,0),0),0)</f>
        <v>0</v>
      </c>
      <c r="Q21" s="50"/>
      <c r="R21" s="50">
        <f>IFERROR(ROUND(IF($D21="主任",VLOOKUP($B:$B,科室绩效工资核算1!$B:R,MATCH("中医外治积分", 科室绩效工资核算1!$B$3:$AN$3,0),0)/(中层绩效!$E21+VLOOKUP($B:$B,人员表!$B:$G,MATCH("医疗组",人员表!$B$3:$G$3,0),0))*中层绩效!$E21,0),0),0)</f>
        <v>1879</v>
      </c>
      <c r="S21" s="50">
        <f>IFERROR(ROUND(IF($D21="主任",VLOOKUP($B:$B,科室绩效工资核算1!$B:S,MATCH("中药积分", 科室绩效工资核算1!$B$3:$AN$3,0),0)/(中层绩效!$E21+VLOOKUP($B:$B,人员表!$B:$G,MATCH("医疗组",人员表!$B$3:$G$3,0),0))*中层绩效!$E21,0),0),0)</f>
        <v>0</v>
      </c>
      <c r="T21" s="50">
        <f>IFERROR(ROUND(IF($D21="护士长",VLOOKUP($B:$B,科室绩效工资核算1!$B:T,MATCH("护理风险积分", 科室绩效工资核算1!$B$3:$AN$3,0),0)/(中层绩效!$E21+VLOOKUP($B:$B,人员表!$B:$G,MATCH("护理组",人员表!$B$3:$G$3,0),0))*中层绩效!$E21,0),0),0)</f>
        <v>0</v>
      </c>
      <c r="U21" s="43">
        <f>F21*科室绩效工资核算1!AQ$7</f>
        <v>0</v>
      </c>
      <c r="V21" s="43">
        <f t="shared" si="0"/>
        <v>9300</v>
      </c>
      <c r="W21" s="43">
        <f>V21*科室绩效工资核算1!AQ$10</f>
        <v>10004.01</v>
      </c>
    </row>
    <row r="22" spans="2:23" x14ac:dyDescent="0.25">
      <c r="B22" s="51" t="str">
        <f>中层系数!B22</f>
        <v>儿一科</v>
      </c>
      <c r="C22" s="5" t="str">
        <f>中层系数!C22</f>
        <v>测试19</v>
      </c>
      <c r="D22" s="5" t="str">
        <f>VLOOKUP(C:C,中层系数!C:I,7,0)</f>
        <v>护士长</v>
      </c>
      <c r="E22" s="5">
        <f>VLOOKUP(C:C,中层系数!C:I,6,0)</f>
        <v>1.44</v>
      </c>
      <c r="F22" s="5">
        <f>VLOOKUP(C:C,中层系数!C:I,5,0)</f>
        <v>0</v>
      </c>
      <c r="G22" s="43">
        <f>IF(OR(D22="主任",D22="副主任"),VLOOKUP($B:$B,人员表!$B:$G,MATCH("医生基础人均",人员表!$B$3:$G$3),0)*中层绩效!E22,VLOOKUP($B:$B,人员表!$B:$G,MATCH("护理基础人均",人员表!$B$3:$G$3,0),0)*E22)</f>
        <v>2702.88</v>
      </c>
      <c r="H22" s="50">
        <f>IFERROR(ROUND(IF(D22="主任",VLOOKUP($B:$B,科室绩效工资核算1!$B:H,MATCH("首诊风险积分", 科室绩效工资核算1!$B$3:$AN$3,0),0)/(中层绩效!$E22+VLOOKUP($B:$B,人员表!$B:$G,MATCH("医疗组",人员表!$B$3:$G$3,0),0))*中层绩效!$E22,0),0),0)</f>
        <v>0</v>
      </c>
      <c r="I22" s="50">
        <f>IFERROR(ROUND(IF($D22="主任",VLOOKUP($B:$B,科室绩效工资核算1!$B:I,MATCH("病历质量积分", 科室绩效工资核算1!$B$3:$AN$3,0),0)/(中层绩效!$E22+VLOOKUP($B:$B,人员表!$B:$G,MATCH("医疗组",人员表!$B$3:$G$3,0),0))*中层绩效!$E22,0),0),0)</f>
        <v>0</v>
      </c>
      <c r="J22" s="50">
        <f>IFERROR(ROUND(IF($D22="主任",VLOOKUP($B:$B,科室绩效工资核算1!$B:J,MATCH("门诊人次积分", 科室绩效工资核算1!$B$3:$AN$3,0),0)/(中层绩效!$E22+VLOOKUP($B:$B,人员表!$B:$G,MATCH("医疗组",人员表!$B$3:$G$3,0),0))*中层绩效!$E22,0),0),0)</f>
        <v>0</v>
      </c>
      <c r="K22" s="50">
        <f>IFERROR(ROUND(IF($D22="主任",VLOOKUP($B:$B,科室绩效工资核算1!$B:K,MATCH("临床路径积分", 科室绩效工资核算1!$B$3:$AN$3,0),0)/(中层绩效!$E22+VLOOKUP($B:$B,人员表!$B:$G,MATCH("医疗组",人员表!$B$3:$G$3,0),0))*中层绩效!$E22,0),0),0)</f>
        <v>0</v>
      </c>
      <c r="L22" s="50">
        <f>IFERROR(ROUND(IF($D22="主任",VLOOKUP($B:$B,科室绩效工资核算1!$B:L,MATCH("麻醉风险积分", 科室绩效工资核算1!$B$3:$AN$3,0),0)/(中层绩效!$E22+VLOOKUP($B:$B,人员表!$B:$G,MATCH("医疗组",人员表!$B$3:$G$3,0),0))*中层绩效!$E22,0),0),0)</f>
        <v>0</v>
      </c>
      <c r="M22" s="50">
        <f>IFERROR(ROUND(IF($D22="主任",VLOOKUP($B:$B,科室绩效工资核算1!$B:M,MATCH("分娩风险积分", 科室绩效工资核算1!$B$3:$AN$3,0),0)/(中层绩效!$E22+VLOOKUP($B:$B,人员表!$B:$G,MATCH("医疗组",人员表!$B$3:$G$3,0),0))*中层绩效!$E22,0),0),0)</f>
        <v>0</v>
      </c>
      <c r="N22" s="50">
        <f>IFERROR(ROUND(IF($D22="主任",VLOOKUP($B:$B,科室绩效工资核算1!$B:N,MATCH("肿瘤支气管镜", 科室绩效工资核算1!$B$3:$AN$3,0),0)/(中层绩效!$E22+VLOOKUP($B:$B,人员表!$B:$G,MATCH("医疗组",人员表!$B$3:$G$3,0),0))*中层绩效!$E22,0),0),0)</f>
        <v>0</v>
      </c>
      <c r="O22" s="50">
        <f>IFERROR(ROUND(IF($D22="主任",VLOOKUP($B:$B,科室绩效工资核算1!$B:O,MATCH("会诊风险积分", 科室绩效工资核算1!$B$3:$AN$3,0),0)/(中层绩效!$E22+VLOOKUP($B:$B,人员表!$B:$G,MATCH("医疗组",人员表!$B$3:$G$3,0),0))*中层绩效!$E22,0),0),0)</f>
        <v>0</v>
      </c>
      <c r="P22" s="50">
        <f>IFERROR(ROUND(IF($D22="主任",VLOOKUP($B:$B,科室绩效工资核算1!$B:P,MATCH("换药风险积分", 科室绩效工资核算1!$B$3:$AN$3,0),0)/(中层绩效!$E22+VLOOKUP($B:$B,人员表!$B:$G,MATCH("医疗组",人员表!$B$3:$G$3,0),0))*中层绩效!$E22,0),0),0)</f>
        <v>0</v>
      </c>
      <c r="Q22" s="50">
        <f>IFERROR(ROUND(IF($D22="主任",VLOOKUP($B:$B,科室绩效工资核算1!$B:Q,MATCH("功能康复积分", 科室绩效工资核算1!$B$3:$AN$3,0),0)/(中层绩效!$E22+VLOOKUP($B:$B,人员表!$B:$G,MATCH("医疗组",人员表!$B$3:$G$3,0),0))*中层绩效!$E22,0),0),0)</f>
        <v>0</v>
      </c>
      <c r="R22" s="50">
        <f>IFERROR(ROUND(IF($D22="主任",VLOOKUP($B:$B,科室绩效工资核算1!$B:R,MATCH("中医外治积分", 科室绩效工资核算1!$B$3:$AN$3,0),0)/(中层绩效!$E22+VLOOKUP($B:$B,人员表!$B:$G,MATCH("医疗组",人员表!$B$3:$G$3,0),0))*中层绩效!$E22,0),0),0)</f>
        <v>0</v>
      </c>
      <c r="S22" s="50">
        <f>IFERROR(ROUND(IF($D22="主任",VLOOKUP($B:$B,科室绩效工资核算1!$B:S,MATCH("中药积分", 科室绩效工资核算1!$B$3:$AN$3,0),0)/(中层绩效!$E22+VLOOKUP($B:$B,人员表!$B:$G,MATCH("医疗组",人员表!$B$3:$G$3,0),0))*中层绩效!$E22,0),0),0)</f>
        <v>0</v>
      </c>
      <c r="T22" s="50">
        <f>IFERROR(ROUND(IF($D22="护士长",VLOOKUP($B:$B,科室绩效工资核算1!$B:T,MATCH("护理风险积分", 科室绩效工资核算1!$B$3:$AN$3,0),0)/(中层绩效!$E22+VLOOKUP($B:$B,人员表!$B:$G,MATCH("护理组",人员表!$B$3:$G$3,0),0))*中层绩效!$E22,0),0),0)</f>
        <v>606</v>
      </c>
      <c r="U22" s="43">
        <f>F22*科室绩效工资核算1!AQ$7</f>
        <v>0</v>
      </c>
      <c r="V22" s="43">
        <f t="shared" si="0"/>
        <v>3308.88</v>
      </c>
      <c r="W22" s="43">
        <f>V22*科室绩效工资核算1!AQ$10</f>
        <v>3559.3622160000004</v>
      </c>
    </row>
    <row r="23" spans="2:23" x14ac:dyDescent="0.25">
      <c r="B23" s="51" t="str">
        <f>中层系数!B23</f>
        <v>儿二科</v>
      </c>
      <c r="C23" s="5" t="str">
        <f>中层系数!C23</f>
        <v>测试20</v>
      </c>
      <c r="D23" s="5" t="str">
        <f>VLOOKUP(C:C,中层系数!C:I,7,0)</f>
        <v>护士长</v>
      </c>
      <c r="E23" s="5">
        <f>VLOOKUP(C:C,中层系数!C:I,6,0)</f>
        <v>1.44</v>
      </c>
      <c r="F23" s="5">
        <f>VLOOKUP(C:C,中层系数!C:I,5,0)</f>
        <v>0</v>
      </c>
      <c r="G23" s="43">
        <f>IF(OR(D23="主任",D23="副主任"),VLOOKUP($B:$B,人员表!$B:$G,MATCH("医生基础人均",人员表!$B$3:$G$3),0)*中层绩效!E23,VLOOKUP($B:$B,人员表!$B:$G,MATCH("护理基础人均",人员表!$B$3:$G$3,0),0)*E23)</f>
        <v>1896.48</v>
      </c>
      <c r="H23" s="50">
        <f>IFERROR(ROUND(IF(D23="主任",VLOOKUP($B:$B,科室绩效工资核算1!$B:H,MATCH("首诊风险积分", 科室绩效工资核算1!$B$3:$AN$3,0),0)/(中层绩效!$E23+VLOOKUP($B:$B,人员表!$B:$G,MATCH("医疗组",人员表!$B$3:$G$3,0),0))*中层绩效!$E23,0),0),0)</f>
        <v>0</v>
      </c>
      <c r="I23" s="50">
        <f>IFERROR(ROUND(IF($D23="主任",VLOOKUP($B:$B,科室绩效工资核算1!$B:I,MATCH("病历质量积分", 科室绩效工资核算1!$B$3:$AN$3,0),0)/(中层绩效!$E23+VLOOKUP($B:$B,人员表!$B:$G,MATCH("医疗组",人员表!$B$3:$G$3,0),0))*中层绩效!$E23,0),0),0)</f>
        <v>0</v>
      </c>
      <c r="J23" s="50">
        <f>IFERROR(ROUND(IF($D23="主任",VLOOKUP($B:$B,科室绩效工资核算1!$B:J,MATCH("门诊人次积分", 科室绩效工资核算1!$B$3:$AN$3,0),0)/(中层绩效!$E23+VLOOKUP($B:$B,人员表!$B:$G,MATCH("医疗组",人员表!$B$3:$G$3,0),0))*中层绩效!$E23,0),0),0)</f>
        <v>0</v>
      </c>
      <c r="K23" s="50">
        <f>IFERROR(ROUND(IF($D23="主任",VLOOKUP($B:$B,科室绩效工资核算1!$B:K,MATCH("临床路径积分", 科室绩效工资核算1!$B$3:$AN$3,0),0)/(中层绩效!$E23+VLOOKUP($B:$B,人员表!$B:$G,MATCH("医疗组",人员表!$B$3:$G$3,0),0))*中层绩效!$E23,0),0),0)</f>
        <v>0</v>
      </c>
      <c r="L23" s="50">
        <f>IFERROR(ROUND(IF($D23="主任",VLOOKUP($B:$B,科室绩效工资核算1!$B:L,MATCH("麻醉风险积分", 科室绩效工资核算1!$B$3:$AN$3,0),0)/(中层绩效!$E23+VLOOKUP($B:$B,人员表!$B:$G,MATCH("医疗组",人员表!$B$3:$G$3,0),0))*中层绩效!$E23,0),0),0)</f>
        <v>0</v>
      </c>
      <c r="M23" s="50">
        <f>IFERROR(ROUND(IF($D23="主任",VLOOKUP($B:$B,科室绩效工资核算1!$B:M,MATCH("分娩风险积分", 科室绩效工资核算1!$B$3:$AN$3,0),0)/(中层绩效!$E23+VLOOKUP($B:$B,人员表!$B:$G,MATCH("医疗组",人员表!$B$3:$G$3,0),0))*中层绩效!$E23,0),0),0)</f>
        <v>0</v>
      </c>
      <c r="N23" s="50">
        <f>IFERROR(ROUND(IF($D23="主任",VLOOKUP($B:$B,科室绩效工资核算1!$B:N,MATCH("肿瘤支气管镜", 科室绩效工资核算1!$B$3:$AN$3,0),0)/(中层绩效!$E23+VLOOKUP($B:$B,人员表!$B:$G,MATCH("医疗组",人员表!$B$3:$G$3,0),0))*中层绩效!$E23,0),0),0)</f>
        <v>0</v>
      </c>
      <c r="O23" s="50">
        <f>IFERROR(ROUND(IF($D23="主任",VLOOKUP($B:$B,科室绩效工资核算1!$B:O,MATCH("会诊风险积分", 科室绩效工资核算1!$B$3:$AN$3,0),0)/(中层绩效!$E23+VLOOKUP($B:$B,人员表!$B:$G,MATCH("医疗组",人员表!$B$3:$G$3,0),0))*中层绩效!$E23,0),0),0)</f>
        <v>0</v>
      </c>
      <c r="P23" s="50">
        <f>IFERROR(ROUND(IF($D23="主任",VLOOKUP($B:$B,科室绩效工资核算1!$B:P,MATCH("换药风险积分", 科室绩效工资核算1!$B$3:$AN$3,0),0)/(中层绩效!$E23+VLOOKUP($B:$B,人员表!$B:$G,MATCH("医疗组",人员表!$B$3:$G$3,0),0))*中层绩效!$E23,0),0),0)</f>
        <v>0</v>
      </c>
      <c r="Q23" s="50">
        <f>IFERROR(ROUND(IF($D23="主任",VLOOKUP($B:$B,科室绩效工资核算1!$B:Q,MATCH("功能康复积分", 科室绩效工资核算1!$B$3:$AN$3,0),0)/(中层绩效!$E23+VLOOKUP($B:$B,人员表!$B:$G,MATCH("医疗组",人员表!$B$3:$G$3,0),0))*中层绩效!$E23,0),0),0)</f>
        <v>0</v>
      </c>
      <c r="R23" s="50">
        <f>IFERROR(ROUND(IF($D23="主任",VLOOKUP($B:$B,科室绩效工资核算1!$B:R,MATCH("中医外治积分", 科室绩效工资核算1!$B$3:$AN$3,0),0)/(中层绩效!$E23+VLOOKUP($B:$B,人员表!$B:$G,MATCH("医疗组",人员表!$B$3:$G$3,0),0))*中层绩效!$E23,0),0),0)</f>
        <v>0</v>
      </c>
      <c r="S23" s="50">
        <f>IFERROR(ROUND(IF($D23="主任",VLOOKUP($B:$B,科室绩效工资核算1!$B:S,MATCH("中药积分", 科室绩效工资核算1!$B$3:$AN$3,0),0)/(中层绩效!$E23+VLOOKUP($B:$B,人员表!$B:$G,MATCH("医疗组",人员表!$B$3:$G$3,0),0))*中层绩效!$E23,0),0),0)</f>
        <v>0</v>
      </c>
      <c r="T23" s="50">
        <f>IFERROR(ROUND(IF($D23="护士长",VLOOKUP($B:$B,科室绩效工资核算1!$B:T,MATCH("护理风险积分", 科室绩效工资核算1!$B$3:$AN$3,0),0)/(中层绩效!$E23+VLOOKUP($B:$B,人员表!$B:$G,MATCH("护理组",人员表!$B$3:$G$3,0),0))*中层绩效!$E23,0),0),0)</f>
        <v>502</v>
      </c>
      <c r="U23" s="43">
        <f>F23*科室绩效工资核算1!AQ$7</f>
        <v>0</v>
      </c>
      <c r="V23" s="43">
        <f t="shared" si="0"/>
        <v>2398.48</v>
      </c>
      <c r="W23" s="43">
        <f>V23*科室绩效工资核算1!AQ$10</f>
        <v>2580.0449360000002</v>
      </c>
    </row>
    <row r="24" spans="2:23" x14ac:dyDescent="0.25">
      <c r="B24" s="51" t="str">
        <f>中层系数!B24</f>
        <v>儿二科</v>
      </c>
      <c r="C24" s="5" t="str">
        <f>中层系数!C24</f>
        <v>测试21</v>
      </c>
      <c r="D24" s="5" t="str">
        <f>VLOOKUP(C:C,中层系数!C:I,7,0)</f>
        <v>主任</v>
      </c>
      <c r="E24" s="5">
        <f>VLOOKUP(C:C,中层系数!C:I,6,0)</f>
        <v>2</v>
      </c>
      <c r="F24" s="5">
        <f>VLOOKUP(C:C,中层系数!C:I,5,0)</f>
        <v>0</v>
      </c>
      <c r="G24" s="43">
        <f>IF(OR(D24="主任",D24="副主任"),VLOOKUP($B:$B,人员表!$B:$G,MATCH("医生基础人均",人员表!$B$3:$G$3),0)*中层绩效!E24,VLOOKUP($B:$B,人员表!$B:$G,MATCH("护理基础人均",人员表!$B$3:$G$3,0),0)*E24)</f>
        <v>3612</v>
      </c>
      <c r="H24" s="50">
        <f>IFERROR(ROUND(IF(D24="主任",VLOOKUP($B:$B,科室绩效工资核算1!$B:H,MATCH("首诊风险积分", 科室绩效工资核算1!$B$3:$AN$3,0),0)/(中层绩效!$E24+VLOOKUP($B:$B,人员表!$B:$G,MATCH("医疗组",人员表!$B$3:$G$3,0),0))*中层绩效!$E24,0),0),0)</f>
        <v>936</v>
      </c>
      <c r="I24" s="50">
        <f>IFERROR(ROUND(IF($D24="主任",VLOOKUP($B:$B,科室绩效工资核算1!$B:I,MATCH("病历质量积分", 科室绩效工资核算1!$B$3:$AN$3,0),0)/(中层绩效!$E24+VLOOKUP($B:$B,人员表!$B:$G,MATCH("医疗组",人员表!$B$3:$G$3,0),0))*中层绩效!$E24,0),0),0)</f>
        <v>570</v>
      </c>
      <c r="J24" s="50">
        <f>IFERROR(ROUND(IF($D24="主任",VLOOKUP($B:$B,科室绩效工资核算1!$B:J,MATCH("门诊人次积分", 科室绩效工资核算1!$B$3:$AN$3,0),0)/(中层绩效!$E24+VLOOKUP($B:$B,人员表!$B:$G,MATCH("医疗组",人员表!$B$3:$G$3,0),0))*中层绩效!$E24,0),0),0)</f>
        <v>90</v>
      </c>
      <c r="K24" s="50">
        <f>IFERROR(ROUND(IF($D24="主任",VLOOKUP($B:$B,科室绩效工资核算1!$B:K,MATCH("临床路径积分", 科室绩效工资核算1!$B$3:$AN$3,0),0)/(中层绩效!$E24+VLOOKUP($B:$B,人员表!$B:$G,MATCH("医疗组",人员表!$B$3:$G$3,0),0))*中层绩效!$E24,0),0),0)</f>
        <v>0</v>
      </c>
      <c r="L24" s="50">
        <f>IFERROR(ROUND(IF($D24="主任",VLOOKUP($B:$B,科室绩效工资核算1!$B:L,MATCH("麻醉风险积分", 科室绩效工资核算1!$B$3:$AN$3,0),0)/(中层绩效!$E24+VLOOKUP($B:$B,人员表!$B:$G,MATCH("医疗组",人员表!$B$3:$G$3,0),0))*中层绩效!$E24,0),0),0)</f>
        <v>0</v>
      </c>
      <c r="M24" s="50">
        <f>IFERROR(ROUND(IF($D24="主任",VLOOKUP($B:$B,科室绩效工资核算1!$B:M,MATCH("分娩风险积分", 科室绩效工资核算1!$B$3:$AN$3,0),0)/(中层绩效!$E24+VLOOKUP($B:$B,人员表!$B:$G,MATCH("医疗组",人员表!$B$3:$G$3,0),0))*中层绩效!$E24,0),0),0)</f>
        <v>0</v>
      </c>
      <c r="N24" s="50">
        <f>IFERROR(ROUND(IF($D24="主任",VLOOKUP($B:$B,科室绩效工资核算1!$B:N,MATCH("肿瘤支气管镜", 科室绩效工资核算1!$B$3:$AN$3,0),0)/(中层绩效!$E24+VLOOKUP($B:$B,人员表!$B:$G,MATCH("医疗组",人员表!$B$3:$G$3,0),0))*中层绩效!$E24,0),0),0)</f>
        <v>0</v>
      </c>
      <c r="O24" s="50">
        <f>IFERROR(ROUND(IF($D24="主任",VLOOKUP($B:$B,科室绩效工资核算1!$B:O,MATCH("会诊风险积分", 科室绩效工资核算1!$B$3:$AN$3,0),0)/(中层绩效!$E24+VLOOKUP($B:$B,人员表!$B:$G,MATCH("医疗组",人员表!$B$3:$G$3,0),0))*中层绩效!$E24,0),0),0)</f>
        <v>0</v>
      </c>
      <c r="P24" s="50">
        <f>IFERROR(ROUND(IF($D24="主任",VLOOKUP($B:$B,科室绩效工资核算1!$B:P,MATCH("换药风险积分", 科室绩效工资核算1!$B$3:$AN$3,0),0)/(中层绩效!$E24+VLOOKUP($B:$B,人员表!$B:$G,MATCH("医疗组",人员表!$B$3:$G$3,0),0))*中层绩效!$E24,0),0),0)</f>
        <v>0</v>
      </c>
      <c r="Q24" s="50">
        <f>IFERROR(ROUND(IF($D24="主任",VLOOKUP($B:$B,科室绩效工资核算1!$B:Q,MATCH("功能康复积分", 科室绩效工资核算1!$B$3:$AN$3,0),0)/(中层绩效!$E24+VLOOKUP($B:$B,人员表!$B:$G,MATCH("医疗组",人员表!$B$3:$G$3,0),0))*中层绩效!$E24,0),0),0)</f>
        <v>0</v>
      </c>
      <c r="R24" s="50">
        <f>IFERROR(ROUND(IF($D24="主任",VLOOKUP($B:$B,科室绩效工资核算1!$B:R,MATCH("中医外治积分", 科室绩效工资核算1!$B$3:$AN$3,0),0)/(中层绩效!$E24+VLOOKUP($B:$B,人员表!$B:$G,MATCH("医疗组",人员表!$B$3:$G$3,0),0))*中层绩效!$E24,0),0),0)</f>
        <v>1163</v>
      </c>
      <c r="S24" s="50">
        <f>IFERROR(ROUND(IF($D24="主任",VLOOKUP($B:$B,科室绩效工资核算1!$B:S,MATCH("中药积分", 科室绩效工资核算1!$B$3:$AN$3,0),0)/(中层绩效!$E24+VLOOKUP($B:$B,人员表!$B:$G,MATCH("医疗组",人员表!$B$3:$G$3,0),0))*中层绩效!$E24,0),0),0)</f>
        <v>0</v>
      </c>
      <c r="T24" s="50">
        <f>IFERROR(ROUND(IF($D24="护士长",VLOOKUP($B:$B,科室绩效工资核算1!$B:T,MATCH("护理风险积分", 科室绩效工资核算1!$B$3:$AN$3,0),0)/(中层绩效!$E24+VLOOKUP($B:$B,人员表!$B:$G,MATCH("护理组",人员表!$B$3:$G$3,0),0))*中层绩效!$E24,0),0),0)</f>
        <v>0</v>
      </c>
      <c r="U24" s="43">
        <f>F24*科室绩效工资核算1!AQ$7</f>
        <v>0</v>
      </c>
      <c r="V24" s="43">
        <f t="shared" si="0"/>
        <v>6371</v>
      </c>
      <c r="W24" s="43">
        <f>V24*科室绩效工资核算1!AQ$10</f>
        <v>6853.2847000000011</v>
      </c>
    </row>
    <row r="25" spans="2:23" x14ac:dyDescent="0.25">
      <c r="B25" s="51" t="str">
        <f>中层系数!B25</f>
        <v>新生儿科</v>
      </c>
      <c r="C25" s="5" t="str">
        <f>中层系数!C25</f>
        <v>测试22</v>
      </c>
      <c r="D25" s="5" t="str">
        <f>VLOOKUP(C:C,中层系数!C:I,7,0)</f>
        <v>主任</v>
      </c>
      <c r="E25" s="5">
        <f>VLOOKUP(C:C,中层系数!C:I,6,0)</f>
        <v>2</v>
      </c>
      <c r="F25" s="5">
        <f>VLOOKUP(C:C,中层系数!C:I,5,0)</f>
        <v>0</v>
      </c>
      <c r="G25" s="43">
        <f>IF(OR(D25="主任",D25="副主任"),VLOOKUP($B:$B,人员表!$B:$G,MATCH("医生基础人均",人员表!$B$3:$G$3),0)*中层绩效!E25,VLOOKUP($B:$B,人员表!$B:$G,MATCH("护理基础人均",人员表!$B$3:$G$3,0),0)*E25)</f>
        <v>1872</v>
      </c>
      <c r="H25" s="50">
        <f>IFERROR(ROUND(IF(D25="主任",VLOOKUP($B:$B,科室绩效工资核算1!$B:H,MATCH("首诊风险积分", 科室绩效工资核算1!$B$3:$AN$3,0),0)/(中层绩效!$E25+VLOOKUP($B:$B,人员表!$B:$G,MATCH("医疗组",人员表!$B$3:$G$3,0),0))*中层绩效!$E25,0),0),0)</f>
        <v>375</v>
      </c>
      <c r="I25" s="50">
        <f>IFERROR(ROUND(IF($D25="主任",VLOOKUP($B:$B,科室绩效工资核算1!$B:I,MATCH("病历质量积分", 科室绩效工资核算1!$B$3:$AN$3,0),0)/(中层绩效!$E25+VLOOKUP($B:$B,人员表!$B:$G,MATCH("医疗组",人员表!$B$3:$G$3,0),0))*中层绩效!$E25,0),0),0)</f>
        <v>364</v>
      </c>
      <c r="J25" s="50">
        <f>IFERROR(ROUND(IF($D25="主任",VLOOKUP($B:$B,科室绩效工资核算1!$B:J,MATCH("门诊人次积分", 科室绩效工资核算1!$B$3:$AN$3,0),0)/(中层绩效!$E25+VLOOKUP($B:$B,人员表!$B:$G,MATCH("医疗组",人员表!$B$3:$G$3,0),0))*中层绩效!$E25,0),0),0)</f>
        <v>52</v>
      </c>
      <c r="K25" s="50">
        <f>IFERROR(ROUND(IF($D25="主任",VLOOKUP($B:$B,科室绩效工资核算1!$B:K,MATCH("临床路径积分", 科室绩效工资核算1!$B$3:$AN$3,0),0)/(中层绩效!$E25+VLOOKUP($B:$B,人员表!$B:$G,MATCH("医疗组",人员表!$B$3:$G$3,0),0))*中层绩效!$E25,0),0),0)</f>
        <v>0</v>
      </c>
      <c r="L25" s="50">
        <f>IFERROR(ROUND(IF($D25="主任",VLOOKUP($B:$B,科室绩效工资核算1!$B:L,MATCH("麻醉风险积分", 科室绩效工资核算1!$B$3:$AN$3,0),0)/(中层绩效!$E25+VLOOKUP($B:$B,人员表!$B:$G,MATCH("医疗组",人员表!$B$3:$G$3,0),0))*中层绩效!$E25,0),0),0)</f>
        <v>0</v>
      </c>
      <c r="M25" s="50">
        <f>IFERROR(ROUND(IF($D25="主任",VLOOKUP($B:$B,科室绩效工资核算1!$B:M,MATCH("分娩风险积分", 科室绩效工资核算1!$B$3:$AN$3,0),0)/(中层绩效!$E25+VLOOKUP($B:$B,人员表!$B:$G,MATCH("医疗组",人员表!$B$3:$G$3,0),0))*中层绩效!$E25,0),0),0)</f>
        <v>0</v>
      </c>
      <c r="N25" s="50">
        <f>IFERROR(ROUND(IF($D25="主任",VLOOKUP($B:$B,科室绩效工资核算1!$B:N,MATCH("肿瘤支气管镜", 科室绩效工资核算1!$B$3:$AN$3,0),0)/(中层绩效!$E25+VLOOKUP($B:$B,人员表!$B:$G,MATCH("医疗组",人员表!$B$3:$G$3,0),0))*中层绩效!$E25,0),0),0)</f>
        <v>0</v>
      </c>
      <c r="O25" s="50">
        <f>IFERROR(ROUND(IF($D25="主任",VLOOKUP($B:$B,科室绩效工资核算1!$B:O,MATCH("会诊风险积分", 科室绩效工资核算1!$B$3:$AN$3,0),0)/(中层绩效!$E25+VLOOKUP($B:$B,人员表!$B:$G,MATCH("医疗组",人员表!$B$3:$G$3,0),0))*中层绩效!$E25,0),0),0)</f>
        <v>0</v>
      </c>
      <c r="P25" s="50">
        <f>IFERROR(ROUND(IF($D25="主任",VLOOKUP($B:$B,科室绩效工资核算1!$B:P,MATCH("换药风险积分", 科室绩效工资核算1!$B$3:$AN$3,0),0)/(中层绩效!$E25+VLOOKUP($B:$B,人员表!$B:$G,MATCH("医疗组",人员表!$B$3:$G$3,0),0))*中层绩效!$E25,0),0),0)</f>
        <v>0</v>
      </c>
      <c r="Q25" s="50">
        <f>IFERROR(ROUND(IF($D25="主任",VLOOKUP($B:$B,科室绩效工资核算1!$B:Q,MATCH("功能康复积分", 科室绩效工资核算1!$B$3:$AN$3,0),0)/(中层绩效!$E25+VLOOKUP($B:$B,人员表!$B:$G,MATCH("医疗组",人员表!$B$3:$G$3,0),0))*中层绩效!$E25,0),0),0)</f>
        <v>395</v>
      </c>
      <c r="R25" s="50">
        <f>IFERROR(ROUND(IF($D25="主任",VLOOKUP($B:$B,科室绩效工资核算1!$B:R,MATCH("中医外治积分", 科室绩效工资核算1!$B$3:$AN$3,0),0)/(中层绩效!$E25+VLOOKUP($B:$B,人员表!$B:$G,MATCH("医疗组",人员表!$B$3:$G$3,0),0))*中层绩效!$E25,0),0),0)</f>
        <v>0</v>
      </c>
      <c r="S25" s="50">
        <f>IFERROR(ROUND(IF($D25="主任",VLOOKUP($B:$B,科室绩效工资核算1!$B:S,MATCH("中药积分", 科室绩效工资核算1!$B$3:$AN$3,0),0)/(中层绩效!$E25+VLOOKUP($B:$B,人员表!$B:$G,MATCH("医疗组",人员表!$B$3:$G$3,0),0))*中层绩效!$E25,0),0),0)</f>
        <v>0</v>
      </c>
      <c r="T25" s="50">
        <f>IFERROR(ROUND(IF($D25="护士长",VLOOKUP($B:$B,科室绩效工资核算1!$B:T,MATCH("护理风险积分", 科室绩效工资核算1!$B$3:$AN$3,0),0)/(中层绩效!$E25+VLOOKUP($B:$B,人员表!$B:$G,MATCH("护理组",人员表!$B$3:$G$3,0),0))*中层绩效!$E25,0),0),0)</f>
        <v>0</v>
      </c>
      <c r="U25" s="43">
        <f>F25*科室绩效工资核算1!AQ$7</f>
        <v>0</v>
      </c>
      <c r="V25" s="43">
        <f t="shared" si="0"/>
        <v>3058</v>
      </c>
      <c r="W25" s="43">
        <f>V25*科室绩效工资核算1!AQ$10</f>
        <v>3289.4906000000001</v>
      </c>
    </row>
    <row r="26" spans="2:23" x14ac:dyDescent="0.25">
      <c r="B26" s="51" t="str">
        <f>中层系数!B26</f>
        <v>新生儿科</v>
      </c>
      <c r="C26" s="5" t="str">
        <f>中层系数!C26</f>
        <v>测试23</v>
      </c>
      <c r="D26" s="5" t="str">
        <f>VLOOKUP(C:C,中层系数!C:I,7,0)</f>
        <v>护士长</v>
      </c>
      <c r="E26" s="5">
        <f>VLOOKUP(C:C,中层系数!C:I,6,0)</f>
        <v>1.44</v>
      </c>
      <c r="F26" s="5">
        <f>VLOOKUP(C:C,中层系数!C:I,5,0)</f>
        <v>0</v>
      </c>
      <c r="G26" s="43">
        <f>IF(OR(D26="主任",D26="副主任"),VLOOKUP($B:$B,人员表!$B:$G,MATCH("医生基础人均",人员表!$B$3:$G$3),0)*中层绩效!E26,VLOOKUP($B:$B,人员表!$B:$G,MATCH("护理基础人均",人员表!$B$3:$G$3,0),0)*E26)</f>
        <v>1018.0799999999999</v>
      </c>
      <c r="H26" s="50">
        <f>IFERROR(ROUND(IF(D26="主任",VLOOKUP($B:$B,科室绩效工资核算1!$B:H,MATCH("首诊风险积分", 科室绩效工资核算1!$B$3:$AN$3,0),0)/(中层绩效!$E26+VLOOKUP($B:$B,人员表!$B:$G,MATCH("医疗组",人员表!$B$3:$G$3,0),0))*中层绩效!$E26,0),0),0)</f>
        <v>0</v>
      </c>
      <c r="I26" s="50">
        <f>IFERROR(ROUND(IF($D26="主任",VLOOKUP($B:$B,科室绩效工资核算1!$B:I,MATCH("病历质量积分", 科室绩效工资核算1!$B$3:$AN$3,0),0)/(中层绩效!$E26+VLOOKUP($B:$B,人员表!$B:$G,MATCH("医疗组",人员表!$B$3:$G$3,0),0))*中层绩效!$E26,0),0),0)</f>
        <v>0</v>
      </c>
      <c r="J26" s="50">
        <f>IFERROR(ROUND(IF($D26="主任",VLOOKUP($B:$B,科室绩效工资核算1!$B:J,MATCH("门诊人次积分", 科室绩效工资核算1!$B$3:$AN$3,0),0)/(中层绩效!$E26+VLOOKUP($B:$B,人员表!$B:$G,MATCH("医疗组",人员表!$B$3:$G$3,0),0))*中层绩效!$E26,0),0),0)</f>
        <v>0</v>
      </c>
      <c r="K26" s="50">
        <f>IFERROR(ROUND(IF($D26="主任",VLOOKUP($B:$B,科室绩效工资核算1!$B:K,MATCH("临床路径积分", 科室绩效工资核算1!$B$3:$AN$3,0),0)/(中层绩效!$E26+VLOOKUP($B:$B,人员表!$B:$G,MATCH("医疗组",人员表!$B$3:$G$3,0),0))*中层绩效!$E26,0),0),0)</f>
        <v>0</v>
      </c>
      <c r="L26" s="50">
        <f>IFERROR(ROUND(IF($D26="主任",VLOOKUP($B:$B,科室绩效工资核算1!$B:L,MATCH("麻醉风险积分", 科室绩效工资核算1!$B$3:$AN$3,0),0)/(中层绩效!$E26+VLOOKUP($B:$B,人员表!$B:$G,MATCH("医疗组",人员表!$B$3:$G$3,0),0))*中层绩效!$E26,0),0),0)</f>
        <v>0</v>
      </c>
      <c r="M26" s="50">
        <f>IFERROR(ROUND(IF($D26="主任",VLOOKUP($B:$B,科室绩效工资核算1!$B:M,MATCH("分娩风险积分", 科室绩效工资核算1!$B$3:$AN$3,0),0)/(中层绩效!$E26+VLOOKUP($B:$B,人员表!$B:$G,MATCH("医疗组",人员表!$B$3:$G$3,0),0))*中层绩效!$E26,0),0),0)</f>
        <v>0</v>
      </c>
      <c r="N26" s="50">
        <f>IFERROR(ROUND(IF($D26="主任",VLOOKUP($B:$B,科室绩效工资核算1!$B:N,MATCH("肿瘤支气管镜", 科室绩效工资核算1!$B$3:$AN$3,0),0)/(中层绩效!$E26+VLOOKUP($B:$B,人员表!$B:$G,MATCH("医疗组",人员表!$B$3:$G$3,0),0))*中层绩效!$E26,0),0),0)</f>
        <v>0</v>
      </c>
      <c r="O26" s="50">
        <f>IFERROR(ROUND(IF($D26="主任",VLOOKUP($B:$B,科室绩效工资核算1!$B:O,MATCH("会诊风险积分", 科室绩效工资核算1!$B$3:$AN$3,0),0)/(中层绩效!$E26+VLOOKUP($B:$B,人员表!$B:$G,MATCH("医疗组",人员表!$B$3:$G$3,0),0))*中层绩效!$E26,0),0),0)</f>
        <v>0</v>
      </c>
      <c r="P26" s="50">
        <f>IFERROR(ROUND(IF($D26="主任",VLOOKUP($B:$B,科室绩效工资核算1!$B:P,MATCH("换药风险积分", 科室绩效工资核算1!$B$3:$AN$3,0),0)/(中层绩效!$E26+VLOOKUP($B:$B,人员表!$B:$G,MATCH("医疗组",人员表!$B$3:$G$3,0),0))*中层绩效!$E26,0),0),0)</f>
        <v>0</v>
      </c>
      <c r="Q26" s="50">
        <f>IFERROR(ROUND(IF($D26="主任",VLOOKUP($B:$B,科室绩效工资核算1!$B:Q,MATCH("功能康复积分", 科室绩效工资核算1!$B$3:$AN$3,0),0)/(中层绩效!$E26+VLOOKUP($B:$B,人员表!$B:$G,MATCH("医疗组",人员表!$B$3:$G$3,0),0))*中层绩效!$E26,0),0),0)</f>
        <v>0</v>
      </c>
      <c r="R26" s="50">
        <f>IFERROR(ROUND(IF($D26="主任",VLOOKUP($B:$B,科室绩效工资核算1!$B:R,MATCH("中医外治积分", 科室绩效工资核算1!$B$3:$AN$3,0),0)/(中层绩效!$E26+VLOOKUP($B:$B,人员表!$B:$G,MATCH("医疗组",人员表!$B$3:$G$3,0),0))*中层绩效!$E26,0),0),0)</f>
        <v>0</v>
      </c>
      <c r="S26" s="50">
        <f>IFERROR(ROUND(IF($D26="主任",VLOOKUP($B:$B,科室绩效工资核算1!$B:S,MATCH("中药积分", 科室绩效工资核算1!$B$3:$AN$3,0),0)/(中层绩效!$E26+VLOOKUP($B:$B,人员表!$B:$G,MATCH("医疗组",人员表!$B$3:$G$3,0),0))*中层绩效!$E26,0),0),0)</f>
        <v>0</v>
      </c>
      <c r="T26" s="50">
        <f>IFERROR(ROUND(IF($D26="护士长",VLOOKUP($B:$B,科室绩效工资核算1!$B:T,MATCH("护理风险积分", 科室绩效工资核算1!$B$3:$AN$3,0),0)/(中层绩效!$E26+VLOOKUP($B:$B,人员表!$B:$G,MATCH("护理组",人员表!$B$3:$G$3,0),0))*中层绩效!$E26,0),0),0)</f>
        <v>654</v>
      </c>
      <c r="U26" s="43">
        <f>F26*科室绩效工资核算1!AQ$7</f>
        <v>0</v>
      </c>
      <c r="V26" s="43">
        <f t="shared" si="0"/>
        <v>1672.08</v>
      </c>
      <c r="W26" s="43">
        <f>V26*科室绩效工资核算1!AQ$10</f>
        <v>1798.6564560000002</v>
      </c>
    </row>
    <row r="27" spans="2:23" x14ac:dyDescent="0.25">
      <c r="B27" s="51" t="str">
        <f>中层系数!B27</f>
        <v>康复科</v>
      </c>
      <c r="C27" s="5" t="str">
        <f>中层系数!C27</f>
        <v>测试24</v>
      </c>
      <c r="D27" s="5" t="str">
        <f>VLOOKUP(C:C,中层系数!C:I,7,0)</f>
        <v>主任</v>
      </c>
      <c r="E27" s="5">
        <f>VLOOKUP(C:C,中层系数!C:I,6,0)</f>
        <v>2</v>
      </c>
      <c r="F27" s="5">
        <f>VLOOKUP(C:C,中层系数!C:I,5,0)</f>
        <v>0</v>
      </c>
      <c r="G27" s="43">
        <f>IF(OR(D27="主任",D27="副主任"),VLOOKUP($B:$B,人员表!$B:$G,MATCH("医生基础人均",人员表!$B$3:$G$3),0)*中层绩效!E27,VLOOKUP($B:$B,人员表!$B:$G,MATCH("护理基础人均",人员表!$B$3:$G$3,0),0)*E27)</f>
        <v>2324</v>
      </c>
      <c r="H27" s="50">
        <f>IFERROR(ROUND(IF(D27="主任",VLOOKUP($B:$B,科室绩效工资核算1!$B:H,MATCH("首诊风险积分", 科室绩效工资核算1!$B$3:$AN$3,0),0)/(中层绩效!$E27+VLOOKUP($B:$B,人员表!$B:$G,MATCH("医疗组",人员表!$B$3:$G$3,0),0))*中层绩效!$E27,0),0),0)</f>
        <v>80</v>
      </c>
      <c r="I27" s="50">
        <f>IFERROR(ROUND(IF($D27="主任",VLOOKUP($B:$B,科室绩效工资核算1!$B:I,MATCH("病历质量积分", 科室绩效工资核算1!$B$3:$AN$3,0),0)/(中层绩效!$E27+VLOOKUP($B:$B,人员表!$B:$G,MATCH("医疗组",人员表!$B$3:$G$3,0),0))*中层绩效!$E27,0),0),0)</f>
        <v>48</v>
      </c>
      <c r="J27" s="50">
        <f>IFERROR(ROUND(IF($D27="主任",VLOOKUP($B:$B,科室绩效工资核算1!$B:J,MATCH("门诊人次积分", 科室绩效工资核算1!$B$3:$AN$3,0),0)/(中层绩效!$E27+VLOOKUP($B:$B,人员表!$B:$G,MATCH("医疗组",人员表!$B$3:$G$3,0),0))*中层绩效!$E27,0),0),0)</f>
        <v>23</v>
      </c>
      <c r="K27" s="50">
        <f>IFERROR(ROUND(IF($D27="主任",VLOOKUP($B:$B,科室绩效工资核算1!$B:K,MATCH("临床路径积分", 科室绩效工资核算1!$B$3:$AN$3,0),0)/(中层绩效!$E27+VLOOKUP($B:$B,人员表!$B:$G,MATCH("医疗组",人员表!$B$3:$G$3,0),0))*中层绩效!$E27,0),0),0)</f>
        <v>0</v>
      </c>
      <c r="L27" s="50">
        <f>IFERROR(ROUND(IF($D27="主任",VLOOKUP($B:$B,科室绩效工资核算1!$B:L,MATCH("麻醉风险积分", 科室绩效工资核算1!$B$3:$AN$3,0),0)/(中层绩效!$E27+VLOOKUP($B:$B,人员表!$B:$G,MATCH("医疗组",人员表!$B$3:$G$3,0),0))*中层绩效!$E27,0),0),0)</f>
        <v>0</v>
      </c>
      <c r="M27" s="50">
        <f>IFERROR(ROUND(IF($D27="主任",VLOOKUP($B:$B,科室绩效工资核算1!$B:M,MATCH("分娩风险积分", 科室绩效工资核算1!$B$3:$AN$3,0),0)/(中层绩效!$E27+VLOOKUP($B:$B,人员表!$B:$G,MATCH("医疗组",人员表!$B$3:$G$3,0),0))*中层绩效!$E27,0),0),0)</f>
        <v>0</v>
      </c>
      <c r="N27" s="50">
        <f>IFERROR(ROUND(IF($D27="主任",VLOOKUP($B:$B,科室绩效工资核算1!$B:N,MATCH("肿瘤支气管镜", 科室绩效工资核算1!$B$3:$AN$3,0),0)/(中层绩效!$E27+VLOOKUP($B:$B,人员表!$B:$G,MATCH("医疗组",人员表!$B$3:$G$3,0),0))*中层绩效!$E27,0),0),0)</f>
        <v>0</v>
      </c>
      <c r="O27" s="50">
        <f>IFERROR(ROUND(IF($D27="主任",VLOOKUP($B:$B,科室绩效工资核算1!$B:O,MATCH("会诊风险积分", 科室绩效工资核算1!$B$3:$AN$3,0),0)/(中层绩效!$E27+VLOOKUP($B:$B,人员表!$B:$G,MATCH("医疗组",人员表!$B$3:$G$3,0),0))*中层绩效!$E27,0),0),0)</f>
        <v>9</v>
      </c>
      <c r="P27" s="50">
        <f>IFERROR(ROUND(IF($D27="主任",VLOOKUP($B:$B,科室绩效工资核算1!$B:P,MATCH("换药风险积分", 科室绩效工资核算1!$B$3:$AN$3,0),0)/(中层绩效!$E27+VLOOKUP($B:$B,人员表!$B:$G,MATCH("医疗组",人员表!$B$3:$G$3,0),0))*中层绩效!$E27,0),0),0)</f>
        <v>0</v>
      </c>
      <c r="Q27" s="50">
        <f>IFERROR(ROUND(IF($D27="主任",VLOOKUP($B:$B,科室绩效工资核算1!$B:Q,MATCH("功能康复积分", 科室绩效工资核算1!$B$3:$AN$3,0),0)/(中层绩效!$E27+VLOOKUP($B:$B,人员表!$B:$G,MATCH("医疗组",人员表!$B$3:$G$3,0),0))*中层绩效!$E27,0),0),0)</f>
        <v>995</v>
      </c>
      <c r="R27" s="50">
        <f>IFERROR(ROUND(IF($D27="主任",VLOOKUP($B:$B,科室绩效工资核算1!$B:R,MATCH("中医外治积分", 科室绩效工资核算1!$B$3:$AN$3,0),0)/(中层绩效!$E27+VLOOKUP($B:$B,人员表!$B:$G,MATCH("医疗组",人员表!$B$3:$G$3,0),0))*中层绩效!$E27,0),0),0)</f>
        <v>2190</v>
      </c>
      <c r="S27" s="50">
        <f>IFERROR(ROUND(IF($D27="主任",VLOOKUP($B:$B,科室绩效工资核算1!$B:S,MATCH("中药积分", 科室绩效工资核算1!$B$3:$AN$3,0),0)/(中层绩效!$E27+VLOOKUP($B:$B,人员表!$B:$G,MATCH("医疗组",人员表!$B$3:$G$3,0),0))*中层绩效!$E27,0),0),0)</f>
        <v>8</v>
      </c>
      <c r="T27" s="50">
        <f>IFERROR(ROUND(IF($D27="护士长",VLOOKUP($B:$B,科室绩效工资核算1!$B:T,MATCH("护理风险积分", 科室绩效工资核算1!$B$3:$AN$3,0),0)/(中层绩效!$E27+VLOOKUP($B:$B,人员表!$B:$G,MATCH("护理组",人员表!$B$3:$G$3,0),0))*中层绩效!$E27,0),0),0)</f>
        <v>0</v>
      </c>
      <c r="U27" s="43">
        <f>F27*科室绩效工资核算1!AQ$7</f>
        <v>0</v>
      </c>
      <c r="V27" s="43">
        <f t="shared" si="0"/>
        <v>5677</v>
      </c>
      <c r="W27" s="43">
        <f>V27*科室绩效工资核算1!AQ$10</f>
        <v>6106.7489000000005</v>
      </c>
    </row>
    <row r="28" spans="2:23" x14ac:dyDescent="0.25">
      <c r="B28" s="51" t="str">
        <f>中层系数!B28</f>
        <v>康复科</v>
      </c>
      <c r="C28" s="5" t="str">
        <f>中层系数!C28</f>
        <v>测试25</v>
      </c>
      <c r="D28" s="5" t="str">
        <f>VLOOKUP(C:C,中层系数!C:I,7,0)</f>
        <v>护士长</v>
      </c>
      <c r="E28" s="5">
        <f>VLOOKUP(C:C,中层系数!C:I,6,0)</f>
        <v>1.44</v>
      </c>
      <c r="F28" s="5">
        <f>VLOOKUP(C:C,中层系数!C:I,5,0)</f>
        <v>0</v>
      </c>
      <c r="G28" s="43">
        <f>IF(OR(D28="主任",D28="副主任"),VLOOKUP($B:$B,人员表!$B:$G,MATCH("医生基础人均",人员表!$B$3:$G$3),0)*中层绩效!E28,VLOOKUP($B:$B,人员表!$B:$G,MATCH("护理基础人均",人员表!$B$3:$G$3,0),0)*E28)</f>
        <v>931.68</v>
      </c>
      <c r="H28" s="50">
        <f>IFERROR(ROUND(IF(D28="主任",VLOOKUP($B:$B,科室绩效工资核算1!$B:H,MATCH("首诊风险积分", 科室绩效工资核算1!$B$3:$AN$3,0),0)/(中层绩效!$E28+VLOOKUP($B:$B,人员表!$B:$G,MATCH("医疗组",人员表!$B$3:$G$3,0),0))*中层绩效!$E28,0),0),0)</f>
        <v>0</v>
      </c>
      <c r="I28" s="50">
        <f>IFERROR(ROUND(IF($D28="主任",VLOOKUP($B:$B,科室绩效工资核算1!$B:I,MATCH("病历质量积分", 科室绩效工资核算1!$B$3:$AN$3,0),0)/(中层绩效!$E28+VLOOKUP($B:$B,人员表!$B:$G,MATCH("医疗组",人员表!$B$3:$G$3,0),0))*中层绩效!$E28,0),0),0)</f>
        <v>0</v>
      </c>
      <c r="J28" s="50">
        <f>IFERROR(ROUND(IF($D28="主任",VLOOKUP($B:$B,科室绩效工资核算1!$B:J,MATCH("门诊人次积分", 科室绩效工资核算1!$B$3:$AN$3,0),0)/(中层绩效!$E28+VLOOKUP($B:$B,人员表!$B:$G,MATCH("医疗组",人员表!$B$3:$G$3,0),0))*中层绩效!$E28,0),0),0)</f>
        <v>0</v>
      </c>
      <c r="K28" s="50">
        <f>IFERROR(ROUND(IF($D28="主任",VLOOKUP($B:$B,科室绩效工资核算1!$B:K,MATCH("临床路径积分", 科室绩效工资核算1!$B$3:$AN$3,0),0)/(中层绩效!$E28+VLOOKUP($B:$B,人员表!$B:$G,MATCH("医疗组",人员表!$B$3:$G$3,0),0))*中层绩效!$E28,0),0),0)</f>
        <v>0</v>
      </c>
      <c r="L28" s="50">
        <f>IFERROR(ROUND(IF($D28="主任",VLOOKUP($B:$B,科室绩效工资核算1!$B:L,MATCH("麻醉风险积分", 科室绩效工资核算1!$B$3:$AN$3,0),0)/(中层绩效!$E28+VLOOKUP($B:$B,人员表!$B:$G,MATCH("医疗组",人员表!$B$3:$G$3,0),0))*中层绩效!$E28,0),0),0)</f>
        <v>0</v>
      </c>
      <c r="M28" s="50">
        <f>IFERROR(ROUND(IF($D28="主任",VLOOKUP($B:$B,科室绩效工资核算1!$B:M,MATCH("分娩风险积分", 科室绩效工资核算1!$B$3:$AN$3,0),0)/(中层绩效!$E28+VLOOKUP($B:$B,人员表!$B:$G,MATCH("医疗组",人员表!$B$3:$G$3,0),0))*中层绩效!$E28,0),0),0)</f>
        <v>0</v>
      </c>
      <c r="N28" s="50">
        <f>IFERROR(ROUND(IF($D28="主任",VLOOKUP($B:$B,科室绩效工资核算1!$B:N,MATCH("肿瘤支气管镜", 科室绩效工资核算1!$B$3:$AN$3,0),0)/(中层绩效!$E28+VLOOKUP($B:$B,人员表!$B:$G,MATCH("医疗组",人员表!$B$3:$G$3,0),0))*中层绩效!$E28,0),0),0)</f>
        <v>0</v>
      </c>
      <c r="O28" s="50">
        <f>IFERROR(ROUND(IF($D28="主任",VLOOKUP($B:$B,科室绩效工资核算1!$B:O,MATCH("会诊风险积分", 科室绩效工资核算1!$B$3:$AN$3,0),0)/(中层绩效!$E28+VLOOKUP($B:$B,人员表!$B:$G,MATCH("医疗组",人员表!$B$3:$G$3,0),0))*中层绩效!$E28,0),0),0)</f>
        <v>0</v>
      </c>
      <c r="P28" s="50">
        <f>IFERROR(ROUND(IF($D28="主任",VLOOKUP($B:$B,科室绩效工资核算1!$B:P,MATCH("换药风险积分", 科室绩效工资核算1!$B$3:$AN$3,0),0)/(中层绩效!$E28+VLOOKUP($B:$B,人员表!$B:$G,MATCH("医疗组",人员表!$B$3:$G$3,0),0))*中层绩效!$E28,0),0),0)</f>
        <v>0</v>
      </c>
      <c r="Q28" s="50">
        <f>IFERROR(ROUND(IF($D28="主任",VLOOKUP($B:$B,科室绩效工资核算1!$B:Q,MATCH("功能康复积分", 科室绩效工资核算1!$B$3:$AN$3,0),0)/(中层绩效!$E28+VLOOKUP($B:$B,人员表!$B:$G,MATCH("医疗组",人员表!$B$3:$G$3,0),0))*中层绩效!$E28,0),0),0)</f>
        <v>0</v>
      </c>
      <c r="R28" s="50">
        <f>IFERROR(ROUND(IF($D28="主任",VLOOKUP($B:$B,科室绩效工资核算1!$B:R,MATCH("中医外治积分", 科室绩效工资核算1!$B$3:$AN$3,0),0)/(中层绩效!$E28+VLOOKUP($B:$B,人员表!$B:$G,MATCH("医疗组",人员表!$B$3:$G$3,0),0))*中层绩效!$E28,0),0),0)</f>
        <v>0</v>
      </c>
      <c r="S28" s="50">
        <f>IFERROR(ROUND(IF($D28="主任",VLOOKUP($B:$B,科室绩效工资核算1!$B:S,MATCH("中药积分", 科室绩效工资核算1!$B$3:$AN$3,0),0)/(中层绩效!$E28+VLOOKUP($B:$B,人员表!$B:$G,MATCH("医疗组",人员表!$B$3:$G$3,0),0))*中层绩效!$E28,0),0),0)</f>
        <v>0</v>
      </c>
      <c r="T28" s="50">
        <f>IFERROR(ROUND(IF($D28="护士长",VLOOKUP($B:$B,科室绩效工资核算1!$B:T,MATCH("护理风险积分", 科室绩效工资核算1!$B$3:$AN$3,0),0)/(中层绩效!$E28+VLOOKUP($B:$B,人员表!$B:$G,MATCH("护理组",人员表!$B$3:$G$3,0),0))*中层绩效!$E28,0),0),0)</f>
        <v>185</v>
      </c>
      <c r="U28" s="43">
        <f>F28*科室绩效工资核算1!AQ$7</f>
        <v>0</v>
      </c>
      <c r="V28" s="43">
        <f t="shared" si="0"/>
        <v>1116.6799999999998</v>
      </c>
      <c r="W28" s="43">
        <f>V28*科室绩效工资核算1!AQ$10</f>
        <v>1201.2126759999999</v>
      </c>
    </row>
    <row r="29" spans="2:23" x14ac:dyDescent="0.25">
      <c r="B29" s="51" t="str">
        <f>中层系数!B29</f>
        <v>中医科</v>
      </c>
      <c r="C29" s="5" t="str">
        <f>中层系数!C29</f>
        <v>测试26</v>
      </c>
      <c r="D29" s="5" t="str">
        <f>VLOOKUP(C:C,中层系数!C:I,7,0)</f>
        <v>护士长</v>
      </c>
      <c r="E29" s="5">
        <f>VLOOKUP(C:C,中层系数!C:I,6,0)</f>
        <v>1.44</v>
      </c>
      <c r="F29" s="5">
        <f>VLOOKUP(C:C,中层系数!C:I,5,0)</f>
        <v>0</v>
      </c>
      <c r="G29" s="43">
        <f>IF(OR(D29="主任",D29="副主任"),VLOOKUP($B:$B,人员表!$B:$G,MATCH("医生基础人均",人员表!$B$3:$G$3),0)*中层绩效!E29,VLOOKUP($B:$B,人员表!$B:$G,MATCH("护理基础人均",人员表!$B$3:$G$3,0),0)*E29)</f>
        <v>554.4</v>
      </c>
      <c r="H29" s="50">
        <f>IFERROR(ROUND(IF(D29="主任",VLOOKUP($B:$B,科室绩效工资核算1!$B:H,MATCH("首诊风险积分", 科室绩效工资核算1!$B$3:$AN$3,0),0)/(中层绩效!$E29+VLOOKUP($B:$B,人员表!$B:$G,MATCH("医疗组",人员表!$B$3:$G$3,0),0))*中层绩效!$E29,0),0),0)</f>
        <v>0</v>
      </c>
      <c r="I29" s="50">
        <f>IFERROR(ROUND(IF($D29="主任",VLOOKUP($B:$B,科室绩效工资核算1!$B:I,MATCH("病历质量积分", 科室绩效工资核算1!$B$3:$AN$3,0),0)/(中层绩效!$E29+VLOOKUP($B:$B,人员表!$B:$G,MATCH("医疗组",人员表!$B$3:$G$3,0),0))*中层绩效!$E29,0),0),0)</f>
        <v>0</v>
      </c>
      <c r="J29" s="50">
        <f>IFERROR(ROUND(IF($D29="主任",VLOOKUP($B:$B,科室绩效工资核算1!$B:J,MATCH("门诊人次积分", 科室绩效工资核算1!$B$3:$AN$3,0),0)/(中层绩效!$E29+VLOOKUP($B:$B,人员表!$B:$G,MATCH("医疗组",人员表!$B$3:$G$3,0),0))*中层绩效!$E29,0),0),0)</f>
        <v>0</v>
      </c>
      <c r="K29" s="50">
        <f>IFERROR(ROUND(IF($D29="主任",VLOOKUP($B:$B,科室绩效工资核算1!$B:K,MATCH("临床路径积分", 科室绩效工资核算1!$B$3:$AN$3,0),0)/(中层绩效!$E29+VLOOKUP($B:$B,人员表!$B:$G,MATCH("医疗组",人员表!$B$3:$G$3,0),0))*中层绩效!$E29,0),0),0)</f>
        <v>0</v>
      </c>
      <c r="L29" s="50">
        <f>IFERROR(ROUND(IF($D29="主任",VLOOKUP($B:$B,科室绩效工资核算1!$B:L,MATCH("麻醉风险积分", 科室绩效工资核算1!$B$3:$AN$3,0),0)/(中层绩效!$E29+VLOOKUP($B:$B,人员表!$B:$G,MATCH("医疗组",人员表!$B$3:$G$3,0),0))*中层绩效!$E29,0),0),0)</f>
        <v>0</v>
      </c>
      <c r="M29" s="50">
        <f>IFERROR(ROUND(IF($D29="主任",VLOOKUP($B:$B,科室绩效工资核算1!$B:M,MATCH("分娩风险积分", 科室绩效工资核算1!$B$3:$AN$3,0),0)/(中层绩效!$E29+VLOOKUP($B:$B,人员表!$B:$G,MATCH("医疗组",人员表!$B$3:$G$3,0),0))*中层绩效!$E29,0),0),0)</f>
        <v>0</v>
      </c>
      <c r="N29" s="50">
        <f>IFERROR(ROUND(IF($D29="主任",VLOOKUP($B:$B,科室绩效工资核算1!$B:N,MATCH("肿瘤支气管镜", 科室绩效工资核算1!$B$3:$AN$3,0),0)/(中层绩效!$E29+VLOOKUP($B:$B,人员表!$B:$G,MATCH("医疗组",人员表!$B$3:$G$3,0),0))*中层绩效!$E29,0),0),0)</f>
        <v>0</v>
      </c>
      <c r="O29" s="50">
        <f>IFERROR(ROUND(IF($D29="主任",VLOOKUP($B:$B,科室绩效工资核算1!$B:O,MATCH("会诊风险积分", 科室绩效工资核算1!$B$3:$AN$3,0),0)/(中层绩效!$E29+VLOOKUP($B:$B,人员表!$B:$G,MATCH("医疗组",人员表!$B$3:$G$3,0),0))*中层绩效!$E29,0),0),0)</f>
        <v>0</v>
      </c>
      <c r="P29" s="50">
        <f>IFERROR(ROUND(IF($D29="主任",VLOOKUP($B:$B,科室绩效工资核算1!$B:P,MATCH("换药风险积分", 科室绩效工资核算1!$B$3:$AN$3,0),0)/(中层绩效!$E29+VLOOKUP($B:$B,人员表!$B:$G,MATCH("医疗组",人员表!$B$3:$G$3,0),0))*中层绩效!$E29,0),0),0)</f>
        <v>0</v>
      </c>
      <c r="Q29" s="50">
        <f>IFERROR(ROUND(IF($D29="主任",VLOOKUP($B:$B,科室绩效工资核算1!$B:Q,MATCH("功能康复积分", 科室绩效工资核算1!$B$3:$AN$3,0),0)/(中层绩效!$E29+VLOOKUP($B:$B,人员表!$B:$G,MATCH("医疗组",人员表!$B$3:$G$3,0),0))*中层绩效!$E29,0),0),0)</f>
        <v>0</v>
      </c>
      <c r="R29" s="50">
        <f>IFERROR(ROUND(IF($D29="主任",VLOOKUP($B:$B,科室绩效工资核算1!$B:R,MATCH("中医外治积分", 科室绩效工资核算1!$B$3:$AN$3,0),0)/(中层绩效!$E29+VLOOKUP($B:$B,人员表!$B:$G,MATCH("医疗组",人员表!$B$3:$G$3,0),0))*中层绩效!$E29,0),0),0)</f>
        <v>0</v>
      </c>
      <c r="S29" s="50">
        <f>IFERROR(ROUND(IF($D29="主任",VLOOKUP($B:$B,科室绩效工资核算1!$B:S,MATCH("中药积分", 科室绩效工资核算1!$B$3:$AN$3,0),0)/(中层绩效!$E29+VLOOKUP($B:$B,人员表!$B:$G,MATCH("医疗组",人员表!$B$3:$G$3,0),0))*中层绩效!$E29,0),0),0)</f>
        <v>0</v>
      </c>
      <c r="T29" s="50">
        <f>IFERROR(ROUND(IF($D29="护士长",VLOOKUP($B:$B,科室绩效工资核算1!$B:T,MATCH("护理风险积分", 科室绩效工资核算1!$B$3:$AN$3,0),0)/(中层绩效!$E29+VLOOKUP($B:$B,人员表!$B:$G,MATCH("护理组",人员表!$B$3:$G$3,0),0))*中层绩效!$E29,0),0),0)</f>
        <v>106</v>
      </c>
      <c r="U29" s="43">
        <f>F29*科室绩效工资核算1!AQ$7</f>
        <v>0</v>
      </c>
      <c r="V29" s="43">
        <f t="shared" si="0"/>
        <v>660.4</v>
      </c>
      <c r="W29" s="43">
        <f>V29*科室绩效工资核算1!AQ$10</f>
        <v>710.39228000000003</v>
      </c>
    </row>
    <row r="30" spans="2:23" x14ac:dyDescent="0.25">
      <c r="B30" s="51" t="str">
        <f>中层系数!B30</f>
        <v>中医科</v>
      </c>
      <c r="C30" s="5" t="str">
        <f>中层系数!C30</f>
        <v>测试27</v>
      </c>
      <c r="D30" s="5" t="str">
        <f>VLOOKUP(C:C,中层系数!C:I,7,0)</f>
        <v>主任</v>
      </c>
      <c r="E30" s="5">
        <f>VLOOKUP(C:C,中层系数!C:I,6,0)</f>
        <v>2</v>
      </c>
      <c r="F30" s="5">
        <f>VLOOKUP(C:C,中层系数!C:I,5,0)</f>
        <v>0</v>
      </c>
      <c r="G30" s="43">
        <f>IF(OR(D30="主任",D30="副主任"),VLOOKUP($B:$B,人员表!$B:$G,MATCH("医生基础人均",人员表!$B$3:$G$3),0)*中层绩效!E30,VLOOKUP($B:$B,人员表!$B:$G,MATCH("护理基础人均",人员表!$B$3:$G$3,0),0)*E30)</f>
        <v>3032</v>
      </c>
      <c r="H30" s="50">
        <f>IFERROR(ROUND(IF(D30="主任",VLOOKUP($B:$B,科室绩效工资核算1!$B:H,MATCH("首诊风险积分", 科室绩效工资核算1!$B$3:$AN$3,0),0)/(中层绩效!$E30+VLOOKUP($B:$B,人员表!$B:$G,MATCH("医疗组",人员表!$B$3:$G$3,0),0))*中层绩效!$E30,0),0),0)</f>
        <v>288</v>
      </c>
      <c r="I30" s="50">
        <f>IFERROR(ROUND(IF($D30="主任",VLOOKUP($B:$B,科室绩效工资核算1!$B:I,MATCH("病历质量积分", 科室绩效工资核算1!$B$3:$AN$3,0),0)/(中层绩效!$E30+VLOOKUP($B:$B,人员表!$B:$G,MATCH("医疗组",人员表!$B$3:$G$3,0),0))*中层绩效!$E30,0),0),0)</f>
        <v>108</v>
      </c>
      <c r="J30" s="50">
        <f>IFERROR(ROUND(IF($D30="主任",VLOOKUP($B:$B,科室绩效工资核算1!$B:J,MATCH("门诊人次积分", 科室绩效工资核算1!$B$3:$AN$3,0),0)/(中层绩效!$E30+VLOOKUP($B:$B,人员表!$B:$G,MATCH("医疗组",人员表!$B$3:$G$3,0),0))*中层绩效!$E30,0),0),0)</f>
        <v>121</v>
      </c>
      <c r="K30" s="50">
        <f>IFERROR(ROUND(IF($D30="主任",VLOOKUP($B:$B,科室绩效工资核算1!$B:K,MATCH("临床路径积分", 科室绩效工资核算1!$B$3:$AN$3,0),0)/(中层绩效!$E30+VLOOKUP($B:$B,人员表!$B:$G,MATCH("医疗组",人员表!$B$3:$G$3,0),0))*中层绩效!$E30,0),0),0)</f>
        <v>0</v>
      </c>
      <c r="L30" s="50">
        <f>IFERROR(ROUND(IF($D30="主任",VLOOKUP($B:$B,科室绩效工资核算1!$B:L,MATCH("麻醉风险积分", 科室绩效工资核算1!$B$3:$AN$3,0),0)/(中层绩效!$E30+VLOOKUP($B:$B,人员表!$B:$G,MATCH("医疗组",人员表!$B$3:$G$3,0),0))*中层绩效!$E30,0),0),0)</f>
        <v>0</v>
      </c>
      <c r="M30" s="50">
        <f>IFERROR(ROUND(IF($D30="主任",VLOOKUP($B:$B,科室绩效工资核算1!$B:M,MATCH("分娩风险积分", 科室绩效工资核算1!$B$3:$AN$3,0),0)/(中层绩效!$E30+VLOOKUP($B:$B,人员表!$B:$G,MATCH("医疗组",人员表!$B$3:$G$3,0),0))*中层绩效!$E30,0),0),0)</f>
        <v>0</v>
      </c>
      <c r="N30" s="50">
        <f>IFERROR(ROUND(IF($D30="主任",VLOOKUP($B:$B,科室绩效工资核算1!$B:N,MATCH("肿瘤支气管镜", 科室绩效工资核算1!$B$3:$AN$3,0),0)/(中层绩效!$E30+VLOOKUP($B:$B,人员表!$B:$G,MATCH("医疗组",人员表!$B$3:$G$3,0),0))*中层绩效!$E30,0),0),0)</f>
        <v>0</v>
      </c>
      <c r="O30" s="50">
        <f>IFERROR(ROUND(IF($D30="主任",VLOOKUP($B:$B,科室绩效工资核算1!$B:O,MATCH("会诊风险积分", 科室绩效工资核算1!$B$3:$AN$3,0),0)/(中层绩效!$E30+VLOOKUP($B:$B,人员表!$B:$G,MATCH("医疗组",人员表!$B$3:$G$3,0),0))*中层绩效!$E30,0),0),0)</f>
        <v>0</v>
      </c>
      <c r="P30" s="50">
        <f>IFERROR(ROUND(IF($D30="主任",VLOOKUP($B:$B,科室绩效工资核算1!$B:P,MATCH("换药风险积分", 科室绩效工资核算1!$B$3:$AN$3,0),0)/(中层绩效!$E30+VLOOKUP($B:$B,人员表!$B:$G,MATCH("医疗组",人员表!$B$3:$G$3,0),0))*中层绩效!$E30,0),0),0)</f>
        <v>0</v>
      </c>
      <c r="Q30" s="50">
        <f>IFERROR(ROUND(IF($D30="主任",VLOOKUP($B:$B,科室绩效工资核算1!$B:Q,MATCH("功能康复积分", 科室绩效工资核算1!$B$3:$AN$3,0),0)/(中层绩效!$E30+VLOOKUP($B:$B,人员表!$B:$G,MATCH("医疗组",人员表!$B$3:$G$3,0),0))*中层绩效!$E30,0),0),0)</f>
        <v>0</v>
      </c>
      <c r="R30" s="50">
        <f>IFERROR(ROUND(IF($D30="主任",VLOOKUP($B:$B,科室绩效工资核算1!$B:R,MATCH("中医外治积分", 科室绩效工资核算1!$B$3:$AN$3,0),0)/(中层绩效!$E30+VLOOKUP($B:$B,人员表!$B:$G,MATCH("医疗组",人员表!$B$3:$G$3,0),0))*中层绩效!$E30,0),0),0)</f>
        <v>368</v>
      </c>
      <c r="S30" s="50">
        <f>IFERROR(ROUND(IF($D30="主任",VLOOKUP($B:$B,科室绩效工资核算1!$B:S,MATCH("中药积分", 科室绩效工资核算1!$B$3:$AN$3,0),0)/(中层绩效!$E30+VLOOKUP($B:$B,人员表!$B:$G,MATCH("医疗组",人员表!$B$3:$G$3,0),0))*中层绩效!$E30,0),0),0)</f>
        <v>179</v>
      </c>
      <c r="T30" s="50">
        <f>IFERROR(ROUND(IF($D30="护士长",VLOOKUP($B:$B,科室绩效工资核算1!$B:T,MATCH("护理风险积分", 科室绩效工资核算1!$B$3:$AN$3,0),0)/(中层绩效!$E30+VLOOKUP($B:$B,人员表!$B:$G,MATCH("护理组",人员表!$B$3:$G$3,0),0))*中层绩效!$E30,0),0),0)</f>
        <v>0</v>
      </c>
      <c r="U30" s="43">
        <f>F30*科室绩效工资核算1!AQ$7</f>
        <v>0</v>
      </c>
      <c r="V30" s="43">
        <f t="shared" si="0"/>
        <v>4096</v>
      </c>
      <c r="W30" s="43">
        <f>V30*科室绩效工资核算1!AQ$10</f>
        <v>4406.0672000000004</v>
      </c>
    </row>
    <row r="31" spans="2:23" x14ac:dyDescent="0.25">
      <c r="B31" s="51" t="str">
        <f>中层系数!B31</f>
        <v>普外一科</v>
      </c>
      <c r="C31" s="5" t="str">
        <f>中层系数!C31</f>
        <v>测试28</v>
      </c>
      <c r="D31" s="5" t="str">
        <f>VLOOKUP(C:C,中层系数!C:I,7,0)</f>
        <v>主任</v>
      </c>
      <c r="E31" s="5">
        <f>VLOOKUP(C:C,中层系数!C:I,6,0)</f>
        <v>2</v>
      </c>
      <c r="F31" s="5">
        <f>VLOOKUP(C:C,中层系数!C:I,5,0)</f>
        <v>0</v>
      </c>
      <c r="G31" s="43">
        <f>IF(OR(D31="主任",D31="副主任"),VLOOKUP($B:$B,人员表!$B:$G,MATCH("医生基础人均",人员表!$B$3:$G$3),0)*中层绩效!E31,VLOOKUP($B:$B,人员表!$B:$G,MATCH("护理基础人均",人员表!$B$3:$G$3,0),0)*E31)</f>
        <v>3632</v>
      </c>
      <c r="H31" s="50">
        <f>IFERROR(ROUND(IF(D31="主任",VLOOKUP($B:$B,科室绩效工资核算1!$B:H,MATCH("首诊风险积分", 科室绩效工资核算1!$B$3:$AN$3,0),0)/(中层绩效!$E31+VLOOKUP($B:$B,人员表!$B:$G,MATCH("医疗组",人员表!$B$3:$G$3,0),0))*中层绩效!$E31,0),0),0)</f>
        <v>348</v>
      </c>
      <c r="I31" s="50">
        <f>IFERROR(ROUND(IF($D31="主任",VLOOKUP($B:$B,科室绩效工资核算1!$B:I,MATCH("病历质量积分", 科室绩效工资核算1!$B$3:$AN$3,0),0)/(中层绩效!$E31+VLOOKUP($B:$B,人员表!$B:$G,MATCH("医疗组",人员表!$B$3:$G$3,0),0))*中层绩效!$E31,0),0),0)</f>
        <v>157</v>
      </c>
      <c r="J31" s="50">
        <f>IFERROR(ROUND(IF($D31="主任",VLOOKUP($B:$B,科室绩效工资核算1!$B:J,MATCH("门诊人次积分", 科室绩效工资核算1!$B$3:$AN$3,0),0)/(中层绩效!$E31+VLOOKUP($B:$B,人员表!$B:$G,MATCH("医疗组",人员表!$B$3:$G$3,0),0))*中层绩效!$E31,0),0),0)</f>
        <v>88</v>
      </c>
      <c r="K31" s="50">
        <f>IFERROR(ROUND(IF($D31="主任",VLOOKUP($B:$B,科室绩效工资核算1!$B:K,MATCH("临床路径积分", 科室绩效工资核算1!$B$3:$AN$3,0),0)/(中层绩效!$E31+VLOOKUP($B:$B,人员表!$B:$G,MATCH("医疗组",人员表!$B$3:$G$3,0),0))*中层绩效!$E31,0),0),0)</f>
        <v>50</v>
      </c>
      <c r="L31" s="50">
        <f>IFERROR(ROUND(IF($D31="主任",VLOOKUP($B:$B,科室绩效工资核算1!$B:L,MATCH("麻醉风险积分", 科室绩效工资核算1!$B$3:$AN$3,0),0)/(中层绩效!$E31+VLOOKUP($B:$B,人员表!$B:$G,MATCH("医疗组",人员表!$B$3:$G$3,0),0))*中层绩效!$E31,0),0),0)</f>
        <v>0</v>
      </c>
      <c r="M31" s="50">
        <f>IFERROR(ROUND(IF($D31="主任",VLOOKUP($B:$B,科室绩效工资核算1!$B:M,MATCH("分娩风险积分", 科室绩效工资核算1!$B$3:$AN$3,0),0)/(中层绩效!$E31+VLOOKUP($B:$B,人员表!$B:$G,MATCH("医疗组",人员表!$B$3:$G$3,0),0))*中层绩效!$E31,0),0),0)</f>
        <v>0</v>
      </c>
      <c r="N31" s="50">
        <f>IFERROR(ROUND(IF($D31="主任",VLOOKUP($B:$B,科室绩效工资核算1!$B:N,MATCH("肿瘤支气管镜", 科室绩效工资核算1!$B$3:$AN$3,0),0)/(中层绩效!$E31+VLOOKUP($B:$B,人员表!$B:$G,MATCH("医疗组",人员表!$B$3:$G$3,0),0))*中层绩效!$E31,0),0),0)</f>
        <v>0</v>
      </c>
      <c r="O31" s="50">
        <f>IFERROR(ROUND(IF($D31="主任",VLOOKUP($B:$B,科室绩效工资核算1!$B:O,MATCH("会诊风险积分", 科室绩效工资核算1!$B$3:$AN$3,0),0)/(中层绩效!$E31+VLOOKUP($B:$B,人员表!$B:$G,MATCH("医疗组",人员表!$B$3:$G$3,0),0))*中层绩效!$E31,0),0),0)</f>
        <v>61</v>
      </c>
      <c r="P31" s="50">
        <f>IFERROR(ROUND(IF($D31="主任",VLOOKUP($B:$B,科室绩效工资核算1!$B:P,MATCH("换药风险积分", 科室绩效工资核算1!$B$3:$AN$3,0),0)/(中层绩效!$E31+VLOOKUP($B:$B,人员表!$B:$G,MATCH("医疗组",人员表!$B$3:$G$3,0),0))*中层绩效!$E31,0),0),0)</f>
        <v>109</v>
      </c>
      <c r="Q31" s="50">
        <f>IFERROR(ROUND(IF($D31="主任",VLOOKUP($B:$B,科室绩效工资核算1!$B:Q,MATCH("功能康复积分", 科室绩效工资核算1!$B$3:$AN$3,0),0)/(中层绩效!$E31+VLOOKUP($B:$B,人员表!$B:$G,MATCH("医疗组",人员表!$B$3:$G$3,0),0))*中层绩效!$E31,0),0),0)</f>
        <v>177</v>
      </c>
      <c r="R31" s="50">
        <f>IFERROR(ROUND(IF($D31="主任",VLOOKUP($B:$B,科室绩效工资核算1!$B:R,MATCH("中医外治积分", 科室绩效工资核算1!$B$3:$AN$3,0),0)/(中层绩效!$E31+VLOOKUP($B:$B,人员表!$B:$G,MATCH("医疗组",人员表!$B$3:$G$3,0),0))*中层绩效!$E31,0),0),0)</f>
        <v>0</v>
      </c>
      <c r="S31" s="50">
        <f>IFERROR(ROUND(IF($D31="主任",VLOOKUP($B:$B,科室绩效工资核算1!$B:S,MATCH("中药积分", 科室绩效工资核算1!$B$3:$AN$3,0),0)/(中层绩效!$E31+VLOOKUP($B:$B,人员表!$B:$G,MATCH("医疗组",人员表!$B$3:$G$3,0),0))*中层绩效!$E31,0),0),0)</f>
        <v>0</v>
      </c>
      <c r="T31" s="50">
        <f>IFERROR(ROUND(IF($D31="护士长",VLOOKUP($B:$B,科室绩效工资核算1!$B:T,MATCH("护理风险积分", 科室绩效工资核算1!$B$3:$AN$3,0),0)/(中层绩效!$E31+VLOOKUP($B:$B,人员表!$B:$G,MATCH("护理组",人员表!$B$3:$G$3,0),0))*中层绩效!$E31,0),0),0)</f>
        <v>0</v>
      </c>
      <c r="U31" s="43">
        <f>F31*科室绩效工资核算1!AQ$7</f>
        <v>0</v>
      </c>
      <c r="V31" s="43">
        <f t="shared" si="0"/>
        <v>4622</v>
      </c>
      <c r="W31" s="43">
        <f>V31*科室绩效工资核算1!AQ$10</f>
        <v>4971.8854000000001</v>
      </c>
    </row>
    <row r="32" spans="2:23" x14ac:dyDescent="0.25">
      <c r="B32" s="51" t="str">
        <f>中层系数!B32</f>
        <v>普外一科</v>
      </c>
      <c r="C32" s="5" t="str">
        <f>中层系数!C32</f>
        <v>测试29</v>
      </c>
      <c r="D32" s="5" t="str">
        <f>VLOOKUP(C:C,中层系数!C:I,7,0)</f>
        <v>护士长</v>
      </c>
      <c r="E32" s="5">
        <f>VLOOKUP(C:C,中层系数!C:I,6,0)</f>
        <v>0.72</v>
      </c>
      <c r="F32" s="5">
        <f>VLOOKUP(C:C,中层系数!C:I,5,0)</f>
        <v>0</v>
      </c>
      <c r="G32" s="43">
        <f>IF(OR(D32="主任",D32="副主任"),VLOOKUP($B:$B,人员表!$B:$G,MATCH("医生基础人均",人员表!$B$3:$G$3),0)*中层绩效!E32,VLOOKUP($B:$B,人员表!$B:$G,MATCH("护理基础人均",人员表!$B$3:$G$3,0),0)*E32)</f>
        <v>984.24</v>
      </c>
      <c r="H32" s="50">
        <f>IFERROR(ROUND(IF(D32="主任",VLOOKUP($B:$B,科室绩效工资核算1!$B:H,MATCH("首诊风险积分", 科室绩效工资核算1!$B$3:$AN$3,0),0)/(中层绩效!$E32+VLOOKUP($B:$B,人员表!$B:$G,MATCH("医疗组",人员表!$B$3:$G$3,0),0))*中层绩效!$E32,0),0),0)</f>
        <v>0</v>
      </c>
      <c r="I32" s="50">
        <f>IFERROR(ROUND(IF($D32="主任",VLOOKUP($B:$B,科室绩效工资核算1!$B:I,MATCH("病历质量积分", 科室绩效工资核算1!$B$3:$AN$3,0),0)/(中层绩效!$E32+VLOOKUP($B:$B,人员表!$B:$G,MATCH("医疗组",人员表!$B$3:$G$3,0),0))*中层绩效!$E32,0),0),0)</f>
        <v>0</v>
      </c>
      <c r="J32" s="50">
        <f>IFERROR(ROUND(IF($D32="主任",VLOOKUP($B:$B,科室绩效工资核算1!$B:J,MATCH("门诊人次积分", 科室绩效工资核算1!$B$3:$AN$3,0),0)/(中层绩效!$E32+VLOOKUP($B:$B,人员表!$B:$G,MATCH("医疗组",人员表!$B$3:$G$3,0),0))*中层绩效!$E32,0),0),0)</f>
        <v>0</v>
      </c>
      <c r="K32" s="50">
        <f>IFERROR(ROUND(IF($D32="主任",VLOOKUP($B:$B,科室绩效工资核算1!$B:K,MATCH("临床路径积分", 科室绩效工资核算1!$B$3:$AN$3,0),0)/(中层绩效!$E32+VLOOKUP($B:$B,人员表!$B:$G,MATCH("医疗组",人员表!$B$3:$G$3,0),0))*中层绩效!$E32,0),0),0)</f>
        <v>0</v>
      </c>
      <c r="L32" s="50">
        <f>IFERROR(ROUND(IF($D32="主任",VLOOKUP($B:$B,科室绩效工资核算1!$B:L,MATCH("麻醉风险积分", 科室绩效工资核算1!$B$3:$AN$3,0),0)/(中层绩效!$E32+VLOOKUP($B:$B,人员表!$B:$G,MATCH("医疗组",人员表!$B$3:$G$3,0),0))*中层绩效!$E32,0),0),0)</f>
        <v>0</v>
      </c>
      <c r="M32" s="50">
        <f>IFERROR(ROUND(IF($D32="主任",VLOOKUP($B:$B,科室绩效工资核算1!$B:M,MATCH("分娩风险积分", 科室绩效工资核算1!$B$3:$AN$3,0),0)/(中层绩效!$E32+VLOOKUP($B:$B,人员表!$B:$G,MATCH("医疗组",人员表!$B$3:$G$3,0),0))*中层绩效!$E32,0),0),0)</f>
        <v>0</v>
      </c>
      <c r="N32" s="50">
        <f>IFERROR(ROUND(IF($D32="主任",VLOOKUP($B:$B,科室绩效工资核算1!$B:N,MATCH("肿瘤支气管镜", 科室绩效工资核算1!$B$3:$AN$3,0),0)/(中层绩效!$E32+VLOOKUP($B:$B,人员表!$B:$G,MATCH("医疗组",人员表!$B$3:$G$3,0),0))*中层绩效!$E32,0),0),0)</f>
        <v>0</v>
      </c>
      <c r="O32" s="50">
        <f>IFERROR(ROUND(IF($D32="主任",VLOOKUP($B:$B,科室绩效工资核算1!$B:O,MATCH("会诊风险积分", 科室绩效工资核算1!$B$3:$AN$3,0),0)/(中层绩效!$E32+VLOOKUP($B:$B,人员表!$B:$G,MATCH("医疗组",人员表!$B$3:$G$3,0),0))*中层绩效!$E32,0),0),0)</f>
        <v>0</v>
      </c>
      <c r="P32" s="50">
        <f>IFERROR(ROUND(IF($D32="主任",VLOOKUP($B:$B,科室绩效工资核算1!$B:P,MATCH("换药风险积分", 科室绩效工资核算1!$B$3:$AN$3,0),0)/(中层绩效!$E32+VLOOKUP($B:$B,人员表!$B:$G,MATCH("医疗组",人员表!$B$3:$G$3,0),0))*中层绩效!$E32,0),0),0)</f>
        <v>0</v>
      </c>
      <c r="Q32" s="50">
        <f>IFERROR(ROUND(IF($D32="主任",VLOOKUP($B:$B,科室绩效工资核算1!$B:Q,MATCH("功能康复积分", 科室绩效工资核算1!$B$3:$AN$3,0),0)/(中层绩效!$E32+VLOOKUP($B:$B,人员表!$B:$G,MATCH("医疗组",人员表!$B$3:$G$3,0),0))*中层绩效!$E32,0),0),0)</f>
        <v>0</v>
      </c>
      <c r="R32" s="50">
        <f>IFERROR(ROUND(IF($D32="主任",VLOOKUP($B:$B,科室绩效工资核算1!$B:R,MATCH("中医外治积分", 科室绩效工资核算1!$B$3:$AN$3,0),0)/(中层绩效!$E32+VLOOKUP($B:$B,人员表!$B:$G,MATCH("医疗组",人员表!$B$3:$G$3,0),0))*中层绩效!$E32,0),0),0)</f>
        <v>0</v>
      </c>
      <c r="S32" s="50">
        <f>IFERROR(ROUND(IF($D32="主任",VLOOKUP($B:$B,科室绩效工资核算1!$B:S,MATCH("中药积分", 科室绩效工资核算1!$B$3:$AN$3,0),0)/(中层绩效!$E32+VLOOKUP($B:$B,人员表!$B:$G,MATCH("医疗组",人员表!$B$3:$G$3,0),0))*中层绩效!$E32,0),0),0)</f>
        <v>0</v>
      </c>
      <c r="T32" s="50">
        <f>IFERROR(ROUND(IF($D32="护士长",VLOOKUP($B:$B,科室绩效工资核算1!$B:T,MATCH("护理风险积分", 科室绩效工资核算1!$B$3:$AN$3,0),0)/(中层绩效!$E32+VLOOKUP($B:$B,人员表!$B:$G,MATCH("护理组",人员表!$B$3:$G$3,0),0))*中层绩效!$E32,0),0),0)</f>
        <v>177</v>
      </c>
      <c r="U32" s="43">
        <f>F32*科室绩效工资核算1!AQ$7</f>
        <v>0</v>
      </c>
      <c r="V32" s="43">
        <f t="shared" si="0"/>
        <v>1161.24</v>
      </c>
      <c r="W32" s="43">
        <f>V32*科室绩效工资核算1!AQ$10</f>
        <v>1249.1458680000001</v>
      </c>
    </row>
    <row r="33" spans="2:23" x14ac:dyDescent="0.25">
      <c r="B33" s="51" t="str">
        <f>中层系数!B33</f>
        <v>神经外科</v>
      </c>
      <c r="C33" s="5" t="str">
        <f>中层系数!C33</f>
        <v>测试30</v>
      </c>
      <c r="D33" s="5" t="str">
        <f>VLOOKUP(C:C,中层系数!C:I,7,0)</f>
        <v>主任</v>
      </c>
      <c r="E33" s="5">
        <f>VLOOKUP(C:C,中层系数!C:I,6,0)</f>
        <v>2</v>
      </c>
      <c r="F33" s="5">
        <f>VLOOKUP(C:C,中层系数!C:I,5,0)</f>
        <v>0</v>
      </c>
      <c r="G33" s="43">
        <f>IF(OR(D33="主任",D33="副主任"),VLOOKUP($B:$B,人员表!$B:$G,MATCH("医生基础人均",人员表!$B$3:$G$3),0)*中层绩效!E33,VLOOKUP($B:$B,人员表!$B:$G,MATCH("护理基础人均",人员表!$B$3:$G$3,0),0)*E33)</f>
        <v>8010</v>
      </c>
      <c r="H33" s="50">
        <f>IFERROR(ROUND(IF(D33="主任",VLOOKUP($B:$B,科室绩效工资核算1!$B:H,MATCH("首诊风险积分", 科室绩效工资核算1!$B$3:$AN$3,0),0)/(中层绩效!$E33+VLOOKUP($B:$B,人员表!$B:$G,MATCH("医疗组",人员表!$B$3:$G$3,0),0))*中层绩效!$E33,0),0),0)</f>
        <v>436</v>
      </c>
      <c r="I33" s="50">
        <f>IFERROR(ROUND(IF($D33="主任",VLOOKUP($B:$B,科室绩效工资核算1!$B:I,MATCH("病历质量积分", 科室绩效工资核算1!$B$3:$AN$3,0),0)/(中层绩效!$E33+VLOOKUP($B:$B,人员表!$B:$G,MATCH("医疗组",人员表!$B$3:$G$3,0),0))*中层绩效!$E33,0),0),0)</f>
        <v>180</v>
      </c>
      <c r="J33" s="50">
        <f>IFERROR(ROUND(IF($D33="主任",VLOOKUP($B:$B,科室绩效工资核算1!$B:J,MATCH("门诊人次积分", 科室绩效工资核算1!$B$3:$AN$3,0),0)/(中层绩效!$E33+VLOOKUP($B:$B,人员表!$B:$G,MATCH("医疗组",人员表!$B$3:$G$3,0),0))*中层绩效!$E33,0),0),0)</f>
        <v>47</v>
      </c>
      <c r="K33" s="50">
        <f>IFERROR(ROUND(IF($D33="主任",VLOOKUP($B:$B,科室绩效工资核算1!$B:K,MATCH("临床路径积分", 科室绩效工资核算1!$B$3:$AN$3,0),0)/(中层绩效!$E33+VLOOKUP($B:$B,人员表!$B:$G,MATCH("医疗组",人员表!$B$3:$G$3,0),0))*中层绩效!$E33,0),0),0)</f>
        <v>0</v>
      </c>
      <c r="L33" s="50">
        <f>IFERROR(ROUND(IF($D33="主任",VLOOKUP($B:$B,科室绩效工资核算1!$B:L,MATCH("麻醉风险积分", 科室绩效工资核算1!$B$3:$AN$3,0),0)/(中层绩效!$E33+VLOOKUP($B:$B,人员表!$B:$G,MATCH("医疗组",人员表!$B$3:$G$3,0),0))*中层绩效!$E33,0),0),0)</f>
        <v>0</v>
      </c>
      <c r="M33" s="50">
        <f>IFERROR(ROUND(IF($D33="主任",VLOOKUP($B:$B,科室绩效工资核算1!$B:M,MATCH("分娩风险积分", 科室绩效工资核算1!$B$3:$AN$3,0),0)/(中层绩效!$E33+VLOOKUP($B:$B,人员表!$B:$G,MATCH("医疗组",人员表!$B$3:$G$3,0),0))*中层绩效!$E33,0),0),0)</f>
        <v>0</v>
      </c>
      <c r="N33" s="50">
        <f>IFERROR(ROUND(IF($D33="主任",VLOOKUP($B:$B,科室绩效工资核算1!$B:N,MATCH("肿瘤支气管镜", 科室绩效工资核算1!$B$3:$AN$3,0),0)/(中层绩效!$E33+VLOOKUP($B:$B,人员表!$B:$G,MATCH("医疗组",人员表!$B$3:$G$3,0),0))*中层绩效!$E33,0),0),0)</f>
        <v>0</v>
      </c>
      <c r="O33" s="50">
        <f>IFERROR(ROUND(IF($D33="主任",VLOOKUP($B:$B,科室绩效工资核算1!$B:O,MATCH("会诊风险积分", 科室绩效工资核算1!$B$3:$AN$3,0),0)/(中层绩效!$E33+VLOOKUP($B:$B,人员表!$B:$G,MATCH("医疗组",人员表!$B$3:$G$3,0),0))*中层绩效!$E33,0),0),0)</f>
        <v>36</v>
      </c>
      <c r="P33" s="50">
        <f>IFERROR(ROUND(IF($D33="主任",VLOOKUP($B:$B,科室绩效工资核算1!$B:P,MATCH("换药风险积分", 科室绩效工资核算1!$B$3:$AN$3,0),0)/(中层绩效!$E33+VLOOKUP($B:$B,人员表!$B:$G,MATCH("医疗组",人员表!$B$3:$G$3,0),0))*中层绩效!$E33,0),0),0)</f>
        <v>144</v>
      </c>
      <c r="Q33" s="50">
        <f>IFERROR(ROUND(IF($D33="主任",VLOOKUP($B:$B,科室绩效工资核算1!$B:Q,MATCH("功能康复积分", 科室绩效工资核算1!$B$3:$AN$3,0),0)/(中层绩效!$E33+VLOOKUP($B:$B,人员表!$B:$G,MATCH("医疗组",人员表!$B$3:$G$3,0),0))*中层绩效!$E33,0),0),0)</f>
        <v>700</v>
      </c>
      <c r="R33" s="50">
        <f>IFERROR(ROUND(IF($D33="主任",VLOOKUP($B:$B,科室绩效工资核算1!$B:R,MATCH("中医外治积分", 科室绩效工资核算1!$B$3:$AN$3,0),0)/(中层绩效!$E33+VLOOKUP($B:$B,人员表!$B:$G,MATCH("医疗组",人员表!$B$3:$G$3,0),0))*中层绩效!$E33,0),0),0)</f>
        <v>0</v>
      </c>
      <c r="S33" s="50">
        <f>IFERROR(ROUND(IF($D33="主任",VLOOKUP($B:$B,科室绩效工资核算1!$B:S,MATCH("中药积分", 科室绩效工资核算1!$B$3:$AN$3,0),0)/(中层绩效!$E33+VLOOKUP($B:$B,人员表!$B:$G,MATCH("医疗组",人员表!$B$3:$G$3,0),0))*中层绩效!$E33,0),0),0)</f>
        <v>0</v>
      </c>
      <c r="T33" s="50">
        <f>IFERROR(ROUND(IF($D33="护士长",VLOOKUP($B:$B,科室绩效工资核算1!$B:T,MATCH("护理风险积分", 科室绩效工资核算1!$B$3:$AN$3,0),0)/(中层绩效!$E33+VLOOKUP($B:$B,人员表!$B:$G,MATCH("护理组",人员表!$B$3:$G$3,0),0))*中层绩效!$E33,0),0),0)</f>
        <v>0</v>
      </c>
      <c r="U33" s="43">
        <f>F33*科室绩效工资核算1!AQ$7</f>
        <v>0</v>
      </c>
      <c r="V33" s="43">
        <f t="shared" si="0"/>
        <v>9553</v>
      </c>
      <c r="W33" s="43">
        <f>V33*科室绩效工资核算1!AQ$10</f>
        <v>10276.162100000001</v>
      </c>
    </row>
    <row r="34" spans="2:23" x14ac:dyDescent="0.25">
      <c r="B34" s="51" t="str">
        <f>中层系数!B34</f>
        <v>神经外科</v>
      </c>
      <c r="C34" s="5" t="str">
        <f>中层系数!C34</f>
        <v>测试31</v>
      </c>
      <c r="D34" s="5" t="str">
        <f>VLOOKUP(C:C,中层系数!C:I,7,0)</f>
        <v>护士长</v>
      </c>
      <c r="E34" s="5">
        <f>VLOOKUP(C:C,中层系数!C:I,6,0)</f>
        <v>1.44</v>
      </c>
      <c r="F34" s="5">
        <f>VLOOKUP(C:C,中层系数!C:I,5,0)</f>
        <v>0</v>
      </c>
      <c r="G34" s="43">
        <f>IF(OR(D34="主任",D34="副主任"),VLOOKUP($B:$B,人员表!$B:$G,MATCH("医生基础人均",人员表!$B$3:$G$3),0)*中层绩效!E34,VLOOKUP($B:$B,人员表!$B:$G,MATCH("护理基础人均",人员表!$B$3:$G$3,0),0)*E34)</f>
        <v>5323.6799999999994</v>
      </c>
      <c r="H34" s="50">
        <f>IFERROR(ROUND(IF(D34="主任",VLOOKUP($B:$B,科室绩效工资核算1!$B:H,MATCH("首诊风险积分", 科室绩效工资核算1!$B$3:$AN$3,0),0)/(中层绩效!$E34+VLOOKUP($B:$B,人员表!$B:$G,MATCH("医疗组",人员表!$B$3:$G$3,0),0))*中层绩效!$E34,0),0),0)</f>
        <v>0</v>
      </c>
      <c r="I34" s="50">
        <f>IFERROR(ROUND(IF($D34="主任",VLOOKUP($B:$B,科室绩效工资核算1!$B:I,MATCH("病历质量积分", 科室绩效工资核算1!$B$3:$AN$3,0),0)/(中层绩效!$E34+VLOOKUP($B:$B,人员表!$B:$G,MATCH("医疗组",人员表!$B$3:$G$3,0),0))*中层绩效!$E34,0),0),0)</f>
        <v>0</v>
      </c>
      <c r="J34" s="50">
        <f>IFERROR(ROUND(IF($D34="主任",VLOOKUP($B:$B,科室绩效工资核算1!$B:J,MATCH("门诊人次积分", 科室绩效工资核算1!$B$3:$AN$3,0),0)/(中层绩效!$E34+VLOOKUP($B:$B,人员表!$B:$G,MATCH("医疗组",人员表!$B$3:$G$3,0),0))*中层绩效!$E34,0),0),0)</f>
        <v>0</v>
      </c>
      <c r="K34" s="50">
        <f>IFERROR(ROUND(IF($D34="主任",VLOOKUP($B:$B,科室绩效工资核算1!$B:K,MATCH("临床路径积分", 科室绩效工资核算1!$B$3:$AN$3,0),0)/(中层绩效!$E34+VLOOKUP($B:$B,人员表!$B:$G,MATCH("医疗组",人员表!$B$3:$G$3,0),0))*中层绩效!$E34,0),0),0)</f>
        <v>0</v>
      </c>
      <c r="L34" s="50">
        <f>IFERROR(ROUND(IF($D34="主任",VLOOKUP($B:$B,科室绩效工资核算1!$B:L,MATCH("麻醉风险积分", 科室绩效工资核算1!$B$3:$AN$3,0),0)/(中层绩效!$E34+VLOOKUP($B:$B,人员表!$B:$G,MATCH("医疗组",人员表!$B$3:$G$3,0),0))*中层绩效!$E34,0),0),0)</f>
        <v>0</v>
      </c>
      <c r="M34" s="50">
        <f>IFERROR(ROUND(IF($D34="主任",VLOOKUP($B:$B,科室绩效工资核算1!$B:M,MATCH("分娩风险积分", 科室绩效工资核算1!$B$3:$AN$3,0),0)/(中层绩效!$E34+VLOOKUP($B:$B,人员表!$B:$G,MATCH("医疗组",人员表!$B$3:$G$3,0),0))*中层绩效!$E34,0),0),0)</f>
        <v>0</v>
      </c>
      <c r="N34" s="50">
        <f>IFERROR(ROUND(IF($D34="主任",VLOOKUP($B:$B,科室绩效工资核算1!$B:N,MATCH("肿瘤支气管镜", 科室绩效工资核算1!$B$3:$AN$3,0),0)/(中层绩效!$E34+VLOOKUP($B:$B,人员表!$B:$G,MATCH("医疗组",人员表!$B$3:$G$3,0),0))*中层绩效!$E34,0),0),0)</f>
        <v>0</v>
      </c>
      <c r="O34" s="50">
        <f>IFERROR(ROUND(IF($D34="主任",VLOOKUP($B:$B,科室绩效工资核算1!$B:O,MATCH("会诊风险积分", 科室绩效工资核算1!$B$3:$AN$3,0),0)/(中层绩效!$E34+VLOOKUP($B:$B,人员表!$B:$G,MATCH("医疗组",人员表!$B$3:$G$3,0),0))*中层绩效!$E34,0),0),0)</f>
        <v>0</v>
      </c>
      <c r="P34" s="50">
        <f>IFERROR(ROUND(IF($D34="主任",VLOOKUP($B:$B,科室绩效工资核算1!$B:P,MATCH("换药风险积分", 科室绩效工资核算1!$B$3:$AN$3,0),0)/(中层绩效!$E34+VLOOKUP($B:$B,人员表!$B:$G,MATCH("医疗组",人员表!$B$3:$G$3,0),0))*中层绩效!$E34,0),0),0)</f>
        <v>0</v>
      </c>
      <c r="Q34" s="50">
        <f>IFERROR(ROUND(IF($D34="主任",VLOOKUP($B:$B,科室绩效工资核算1!$B:Q,MATCH("功能康复积分", 科室绩效工资核算1!$B$3:$AN$3,0),0)/(中层绩效!$E34+VLOOKUP($B:$B,人员表!$B:$G,MATCH("医疗组",人员表!$B$3:$G$3,0),0))*中层绩效!$E34,0),0),0)</f>
        <v>0</v>
      </c>
      <c r="R34" s="50">
        <f>IFERROR(ROUND(IF($D34="主任",VLOOKUP($B:$B,科室绩效工资核算1!$B:R,MATCH("中医外治积分", 科室绩效工资核算1!$B$3:$AN$3,0),0)/(中层绩效!$E34+VLOOKUP($B:$B,人员表!$B:$G,MATCH("医疗组",人员表!$B$3:$G$3,0),0))*中层绩效!$E34,0),0),0)</f>
        <v>0</v>
      </c>
      <c r="S34" s="50">
        <f>IFERROR(ROUND(IF($D34="主任",VLOOKUP($B:$B,科室绩效工资核算1!$B:S,MATCH("中药积分", 科室绩效工资核算1!$B$3:$AN$3,0),0)/(中层绩效!$E34+VLOOKUP($B:$B,人员表!$B:$G,MATCH("医疗组",人员表!$B$3:$G$3,0),0))*中层绩效!$E34,0),0),0)</f>
        <v>0</v>
      </c>
      <c r="T34" s="50">
        <f>IFERROR(ROUND(IF($D34="护士长",VLOOKUP($B:$B,科室绩效工资核算1!$B:T,MATCH("护理风险积分", 科室绩效工资核算1!$B$3:$AN$3,0),0)/(中层绩效!$E34+VLOOKUP($B:$B,人员表!$B:$G,MATCH("护理组",人员表!$B$3:$G$3,0),0))*中层绩效!$E34,0),0),0)</f>
        <v>1422</v>
      </c>
      <c r="U34" s="43">
        <f>F34*科室绩效工资核算1!AQ$7</f>
        <v>0</v>
      </c>
      <c r="V34" s="43">
        <f t="shared" si="0"/>
        <v>6745.6799999999994</v>
      </c>
      <c r="W34" s="43">
        <f>V34*科室绩效工资核算1!AQ$10</f>
        <v>7256.3279759999996</v>
      </c>
    </row>
    <row r="35" spans="2:23" x14ac:dyDescent="0.25">
      <c r="B35" s="51" t="str">
        <f>中层系数!B35</f>
        <v>胸泌尿外科</v>
      </c>
      <c r="C35" s="5" t="str">
        <f>中层系数!C35</f>
        <v>测试32</v>
      </c>
      <c r="D35" s="5" t="str">
        <f>VLOOKUP(C:C,中层系数!C:I,7,0)</f>
        <v>护士长</v>
      </c>
      <c r="E35" s="5">
        <f>VLOOKUP(C:C,中层系数!C:I,6,0)</f>
        <v>1.44</v>
      </c>
      <c r="F35" s="5">
        <f>VLOOKUP(C:C,中层系数!C:I,5,0)</f>
        <v>0</v>
      </c>
      <c r="G35" s="43">
        <f>IF(OR(D35="主任",D35="副主任"),VLOOKUP($B:$B,人员表!$B:$G,MATCH("医生基础人均",人员表!$B$3:$G$3),0)*中层绩效!E35,VLOOKUP($B:$B,人员表!$B:$G,MATCH("护理基础人均",人员表!$B$3:$G$3,0),0)*E35)</f>
        <v>3402.72</v>
      </c>
      <c r="H35" s="50">
        <f>IFERROR(ROUND(IF(D35="主任",VLOOKUP($B:$B,科室绩效工资核算1!$B:H,MATCH("首诊风险积分", 科室绩效工资核算1!$B$3:$AN$3,0),0)/(中层绩效!$E35+VLOOKUP($B:$B,人员表!$B:$G,MATCH("医疗组",人员表!$B$3:$G$3,0),0))*中层绩效!$E35,0),0),0)</f>
        <v>0</v>
      </c>
      <c r="I35" s="50">
        <f>IFERROR(ROUND(IF($D35="主任",VLOOKUP($B:$B,科室绩效工资核算1!$B:I,MATCH("病历质量积分", 科室绩效工资核算1!$B$3:$AN$3,0),0)/(中层绩效!$E35+VLOOKUP($B:$B,人员表!$B:$G,MATCH("医疗组",人员表!$B$3:$G$3,0),0))*中层绩效!$E35,0),0),0)</f>
        <v>0</v>
      </c>
      <c r="J35" s="50">
        <f>IFERROR(ROUND(IF($D35="主任",VLOOKUP($B:$B,科室绩效工资核算1!$B:J,MATCH("门诊人次积分", 科室绩效工资核算1!$B$3:$AN$3,0),0)/(中层绩效!$E35+VLOOKUP($B:$B,人员表!$B:$G,MATCH("医疗组",人员表!$B$3:$G$3,0),0))*中层绩效!$E35,0),0),0)</f>
        <v>0</v>
      </c>
      <c r="K35" s="50">
        <f>IFERROR(ROUND(IF($D35="主任",VLOOKUP($B:$B,科室绩效工资核算1!$B:K,MATCH("临床路径积分", 科室绩效工资核算1!$B$3:$AN$3,0),0)/(中层绩效!$E35+VLOOKUP($B:$B,人员表!$B:$G,MATCH("医疗组",人员表!$B$3:$G$3,0),0))*中层绩效!$E35,0),0),0)</f>
        <v>0</v>
      </c>
      <c r="L35" s="50">
        <f>IFERROR(ROUND(IF($D35="主任",VLOOKUP($B:$B,科室绩效工资核算1!$B:L,MATCH("麻醉风险积分", 科室绩效工资核算1!$B$3:$AN$3,0),0)/(中层绩效!$E35+VLOOKUP($B:$B,人员表!$B:$G,MATCH("医疗组",人员表!$B$3:$G$3,0),0))*中层绩效!$E35,0),0),0)</f>
        <v>0</v>
      </c>
      <c r="M35" s="50">
        <f>IFERROR(ROUND(IF($D35="主任",VLOOKUP($B:$B,科室绩效工资核算1!$B:M,MATCH("分娩风险积分", 科室绩效工资核算1!$B$3:$AN$3,0),0)/(中层绩效!$E35+VLOOKUP($B:$B,人员表!$B:$G,MATCH("医疗组",人员表!$B$3:$G$3,0),0))*中层绩效!$E35,0),0),0)</f>
        <v>0</v>
      </c>
      <c r="N35" s="50">
        <f>IFERROR(ROUND(IF($D35="主任",VLOOKUP($B:$B,科室绩效工资核算1!$B:N,MATCH("肿瘤支气管镜", 科室绩效工资核算1!$B$3:$AN$3,0),0)/(中层绩效!$E35+VLOOKUP($B:$B,人员表!$B:$G,MATCH("医疗组",人员表!$B$3:$G$3,0),0))*中层绩效!$E35,0),0),0)</f>
        <v>0</v>
      </c>
      <c r="O35" s="50">
        <f>IFERROR(ROUND(IF($D35="主任",VLOOKUP($B:$B,科室绩效工资核算1!$B:O,MATCH("会诊风险积分", 科室绩效工资核算1!$B$3:$AN$3,0),0)/(中层绩效!$E35+VLOOKUP($B:$B,人员表!$B:$G,MATCH("医疗组",人员表!$B$3:$G$3,0),0))*中层绩效!$E35,0),0),0)</f>
        <v>0</v>
      </c>
      <c r="P35" s="50">
        <f>IFERROR(ROUND(IF($D35="主任",VLOOKUP($B:$B,科室绩效工资核算1!$B:P,MATCH("换药风险积分", 科室绩效工资核算1!$B$3:$AN$3,0),0)/(中层绩效!$E35+VLOOKUP($B:$B,人员表!$B:$G,MATCH("医疗组",人员表!$B$3:$G$3,0),0))*中层绩效!$E35,0),0),0)</f>
        <v>0</v>
      </c>
      <c r="Q35" s="50">
        <f>IFERROR(ROUND(IF($D35="主任",VLOOKUP($B:$B,科室绩效工资核算1!$B:Q,MATCH("功能康复积分", 科室绩效工资核算1!$B$3:$AN$3,0),0)/(中层绩效!$E35+VLOOKUP($B:$B,人员表!$B:$G,MATCH("医疗组",人员表!$B$3:$G$3,0),0))*中层绩效!$E35,0),0),0)</f>
        <v>0</v>
      </c>
      <c r="R35" s="50">
        <f>IFERROR(ROUND(IF($D35="主任",VLOOKUP($B:$B,科室绩效工资核算1!$B:R,MATCH("中医外治积分", 科室绩效工资核算1!$B$3:$AN$3,0),0)/(中层绩效!$E35+VLOOKUP($B:$B,人员表!$B:$G,MATCH("医疗组",人员表!$B$3:$G$3,0),0))*中层绩效!$E35,0),0),0)</f>
        <v>0</v>
      </c>
      <c r="S35" s="50">
        <f>IFERROR(ROUND(IF($D35="主任",VLOOKUP($B:$B,科室绩效工资核算1!$B:S,MATCH("中药积分", 科室绩效工资核算1!$B$3:$AN$3,0),0)/(中层绩效!$E35+VLOOKUP($B:$B,人员表!$B:$G,MATCH("医疗组",人员表!$B$3:$G$3,0),0))*中层绩效!$E35,0),0),0)</f>
        <v>0</v>
      </c>
      <c r="T35" s="50">
        <f>IFERROR(ROUND(IF($D35="护士长",VLOOKUP($B:$B,科室绩效工资核算1!$B:T,MATCH("护理风险积分", 科室绩效工资核算1!$B$3:$AN$3,0),0)/(中层绩效!$E35+VLOOKUP($B:$B,人员表!$B:$G,MATCH("护理组",人员表!$B$3:$G$3,0),0))*中层绩效!$E35,0),0),0)</f>
        <v>274</v>
      </c>
      <c r="U35" s="43">
        <f>F35*科室绩效工资核算1!AQ$7</f>
        <v>0</v>
      </c>
      <c r="V35" s="43">
        <f t="shared" si="0"/>
        <v>3676.72</v>
      </c>
      <c r="W35" s="43">
        <f>V35*科室绩效工资核算1!AQ$10</f>
        <v>3955.0477040000001</v>
      </c>
    </row>
    <row r="36" spans="2:23" x14ac:dyDescent="0.25">
      <c r="B36" s="51" t="str">
        <f>中层系数!B36</f>
        <v>胸泌尿外科</v>
      </c>
      <c r="C36" s="5" t="str">
        <f>中层系数!C36</f>
        <v>测试33</v>
      </c>
      <c r="D36" s="5" t="str">
        <f>VLOOKUP(C:C,中层系数!C:I,7,0)</f>
        <v>主任</v>
      </c>
      <c r="E36" s="5">
        <f>VLOOKUP(C:C,中层系数!C:I,6,0)</f>
        <v>2</v>
      </c>
      <c r="F36" s="5">
        <f>VLOOKUP(C:C,中层系数!C:I,5,0)</f>
        <v>0</v>
      </c>
      <c r="G36" s="43">
        <f>IF(OR(D36="主任",D36="副主任"),VLOOKUP($B:$B,人员表!$B:$G,MATCH("医生基础人均",人员表!$B$3:$G$3),0)*中层绩效!E36,VLOOKUP($B:$B,人员表!$B:$G,MATCH("护理基础人均",人员表!$B$3:$G$3,0),0)*E36)</f>
        <v>4204</v>
      </c>
      <c r="H36" s="50">
        <f>IFERROR(ROUND(IF(D36="主任",VLOOKUP($B:$B,科室绩效工资核算1!$B:H,MATCH("首诊风险积分", 科室绩效工资核算1!$B$3:$AN$3,0),0)/(中层绩效!$E36+VLOOKUP($B:$B,人员表!$B:$G,MATCH("医疗组",人员表!$B$3:$G$3,0),0))*中层绩效!$E36,0),0),0)</f>
        <v>329</v>
      </c>
      <c r="I36" s="50">
        <f>IFERROR(ROUND(IF($D36="主任",VLOOKUP($B:$B,科室绩效工资核算1!$B:I,MATCH("病历质量积分", 科室绩效工资核算1!$B$3:$AN$3,0),0)/(中层绩效!$E36+VLOOKUP($B:$B,人员表!$B:$G,MATCH("医疗组",人员表!$B$3:$G$3,0),0))*中层绩效!$E36,0),0),0)</f>
        <v>115</v>
      </c>
      <c r="J36" s="50">
        <f>IFERROR(ROUND(IF($D36="主任",VLOOKUP($B:$B,科室绩效工资核算1!$B:J,MATCH("门诊人次积分", 科室绩效工资核算1!$B$3:$AN$3,0),0)/(中层绩效!$E36+VLOOKUP($B:$B,人员表!$B:$G,MATCH("医疗组",人员表!$B$3:$G$3,0),0))*中层绩效!$E36,0),0),0)</f>
        <v>91</v>
      </c>
      <c r="K36" s="50">
        <f>IFERROR(ROUND(IF($D36="主任",VLOOKUP($B:$B,科室绩效工资核算1!$B:K,MATCH("临床路径积分", 科室绩效工资核算1!$B$3:$AN$3,0),0)/(中层绩效!$E36+VLOOKUP($B:$B,人员表!$B:$G,MATCH("医疗组",人员表!$B$3:$G$3,0),0))*中层绩效!$E36,0),0),0)</f>
        <v>0</v>
      </c>
      <c r="L36" s="50">
        <f>IFERROR(ROUND(IF($D36="主任",VLOOKUP($B:$B,科室绩效工资核算1!$B:L,MATCH("麻醉风险积分", 科室绩效工资核算1!$B$3:$AN$3,0),0)/(中层绩效!$E36+VLOOKUP($B:$B,人员表!$B:$G,MATCH("医疗组",人员表!$B$3:$G$3,0),0))*中层绩效!$E36,0),0),0)</f>
        <v>343</v>
      </c>
      <c r="M36" s="50">
        <f>IFERROR(ROUND(IF($D36="主任",VLOOKUP($B:$B,科室绩效工资核算1!$B:M,MATCH("分娩风险积分", 科室绩效工资核算1!$B$3:$AN$3,0),0)/(中层绩效!$E36+VLOOKUP($B:$B,人员表!$B:$G,MATCH("医疗组",人员表!$B$3:$G$3,0),0))*中层绩效!$E36,0),0),0)</f>
        <v>1116</v>
      </c>
      <c r="N36" s="50">
        <f>IFERROR(ROUND(IF($D36="主任",VLOOKUP($B:$B,科室绩效工资核算1!$B:N,MATCH("肿瘤支气管镜", 科室绩效工资核算1!$B$3:$AN$3,0),0)/(中层绩效!$E36+VLOOKUP($B:$B,人员表!$B:$G,MATCH("医疗组",人员表!$B$3:$G$3,0),0))*中层绩效!$E36,0),0),0)</f>
        <v>0</v>
      </c>
      <c r="O36" s="50">
        <f>IFERROR(ROUND(IF($D36="主任",VLOOKUP($B:$B,科室绩效工资核算1!$B:O,MATCH("会诊风险积分", 科室绩效工资核算1!$B$3:$AN$3,0),0)/(中层绩效!$E36+VLOOKUP($B:$B,人员表!$B:$G,MATCH("医疗组",人员表!$B$3:$G$3,0),0))*中层绩效!$E36,0),0),0)</f>
        <v>68</v>
      </c>
      <c r="P36" s="50">
        <f>IFERROR(ROUND(IF($D36="主任",VLOOKUP($B:$B,科室绩效工资核算1!$B:P,MATCH("换药风险积分", 科室绩效工资核算1!$B$3:$AN$3,0),0)/(中层绩效!$E36+VLOOKUP($B:$B,人员表!$B:$G,MATCH("医疗组",人员表!$B$3:$G$3,0),0))*中层绩效!$E36,0),0),0)</f>
        <v>305</v>
      </c>
      <c r="Q36" s="50">
        <f>IFERROR(ROUND(IF($D36="主任",VLOOKUP($B:$B,科室绩效工资核算1!$B:Q,MATCH("功能康复积分", 科室绩效工资核算1!$B$3:$AN$3,0),0)/(中层绩效!$E36+VLOOKUP($B:$B,人员表!$B:$G,MATCH("医疗组",人员表!$B$3:$G$3,0),0))*中层绩效!$E36,0),0),0)</f>
        <v>0</v>
      </c>
      <c r="R36" s="50">
        <f>IFERROR(ROUND(IF($D36="主任",VLOOKUP($B:$B,科室绩效工资核算1!$B:R,MATCH("中医外治积分", 科室绩效工资核算1!$B$3:$AN$3,0),0)/(中层绩效!$E36+VLOOKUP($B:$B,人员表!$B:$G,MATCH("医疗组",人员表!$B$3:$G$3,0),0))*中层绩效!$E36,0),0),0)</f>
        <v>19</v>
      </c>
      <c r="S36" s="50">
        <f>IFERROR(ROUND(IF($D36="主任",VLOOKUP($B:$B,科室绩效工资核算1!$B:S,MATCH("中药积分", 科室绩效工资核算1!$B$3:$AN$3,0),0)/(中层绩效!$E36+VLOOKUP($B:$B,人员表!$B:$G,MATCH("医疗组",人员表!$B$3:$G$3,0),0))*中层绩效!$E36,0),0),0)</f>
        <v>0</v>
      </c>
      <c r="T36" s="50">
        <f>IFERROR(ROUND(IF($D36="护士长",VLOOKUP($B:$B,科室绩效工资核算1!$B:T,MATCH("护理风险积分", 科室绩效工资核算1!$B$3:$AN$3,0),0)/(中层绩效!$E36+VLOOKUP($B:$B,人员表!$B:$G,MATCH("护理组",人员表!$B$3:$G$3,0),0))*中层绩效!$E36,0),0),0)</f>
        <v>0</v>
      </c>
      <c r="U36" s="43">
        <f>F36*科室绩效工资核算1!AQ$7</f>
        <v>0</v>
      </c>
      <c r="V36" s="43">
        <f t="shared" si="0"/>
        <v>6590</v>
      </c>
      <c r="W36" s="43">
        <f>V36*科室绩效工资核算1!AQ$10</f>
        <v>7088.8630000000003</v>
      </c>
    </row>
    <row r="37" spans="2:23" x14ac:dyDescent="0.25">
      <c r="B37" s="51" t="str">
        <f>中层系数!B37</f>
        <v>骨一科</v>
      </c>
      <c r="C37" s="5" t="str">
        <f>中层系数!C37</f>
        <v>测试34</v>
      </c>
      <c r="D37" s="5" t="str">
        <f>VLOOKUP(C:C,中层系数!C:I,7,0)</f>
        <v>主任</v>
      </c>
      <c r="E37" s="5">
        <f>VLOOKUP(C:C,中层系数!C:I,6,0)</f>
        <v>2</v>
      </c>
      <c r="F37" s="5">
        <f>VLOOKUP(C:C,中层系数!C:I,5,0)</f>
        <v>0</v>
      </c>
      <c r="G37" s="43">
        <f>IF(OR(D37="主任",D37="副主任"),VLOOKUP($B:$B,人员表!$B:$G,MATCH("医生基础人均",人员表!$B$3:$G$3),0)*中层绩效!E37,VLOOKUP($B:$B,人员表!$B:$G,MATCH("护理基础人均",人员表!$B$3:$G$3,0),0)*E37)</f>
        <v>5348</v>
      </c>
      <c r="H37" s="50">
        <f>IFERROR(ROUND(IF(D37="主任",VLOOKUP($B:$B,科室绩效工资核算1!$B:H,MATCH("首诊风险积分", 科室绩效工资核算1!$B$3:$AN$3,0),0)/(中层绩效!$E37+VLOOKUP($B:$B,人员表!$B:$G,MATCH("医疗组",人员表!$B$3:$G$3,0),0))*中层绩效!$E37,0),0),0)</f>
        <v>387</v>
      </c>
      <c r="I37" s="50">
        <f>IFERROR(ROUND(IF($D37="主任",VLOOKUP($B:$B,科室绩效工资核算1!$B:I,MATCH("病历质量积分", 科室绩效工资核算1!$B$3:$AN$3,0),0)/(中层绩效!$E37+VLOOKUP($B:$B,人员表!$B:$G,MATCH("医疗组",人员表!$B$3:$G$3,0),0))*中层绩效!$E37,0),0),0)</f>
        <v>183</v>
      </c>
      <c r="J37" s="50">
        <f>IFERROR(ROUND(IF($D37="主任",VLOOKUP($B:$B,科室绩效工资核算1!$B:J,MATCH("门诊人次积分", 科室绩效工资核算1!$B$3:$AN$3,0),0)/(中层绩效!$E37+VLOOKUP($B:$B,人员表!$B:$G,MATCH("医疗组",人员表!$B$3:$G$3,0),0))*中层绩效!$E37,0),0),0)</f>
        <v>89</v>
      </c>
      <c r="K37" s="50">
        <f>IFERROR(ROUND(IF($D37="主任",VLOOKUP($B:$B,科室绩效工资核算1!$B:K,MATCH("临床路径积分", 科室绩效工资核算1!$B$3:$AN$3,0),0)/(中层绩效!$E37+VLOOKUP($B:$B,人员表!$B:$G,MATCH("医疗组",人员表!$B$3:$G$3,0),0))*中层绩效!$E37,0),0),0)</f>
        <v>0</v>
      </c>
      <c r="L37" s="50">
        <f>IFERROR(ROUND(IF($D37="主任",VLOOKUP($B:$B,科室绩效工资核算1!$B:L,MATCH("麻醉风险积分", 科室绩效工资核算1!$B$3:$AN$3,0),0)/(中层绩效!$E37+VLOOKUP($B:$B,人员表!$B:$G,MATCH("医疗组",人员表!$B$3:$G$3,0),0))*中层绩效!$E37,0),0),0)</f>
        <v>0</v>
      </c>
      <c r="M37" s="50">
        <f>IFERROR(ROUND(IF($D37="主任",VLOOKUP($B:$B,科室绩效工资核算1!$B:M,MATCH("分娩风险积分", 科室绩效工资核算1!$B$3:$AN$3,0),0)/(中层绩效!$E37+VLOOKUP($B:$B,人员表!$B:$G,MATCH("医疗组",人员表!$B$3:$G$3,0),0))*中层绩效!$E37,0),0),0)</f>
        <v>0</v>
      </c>
      <c r="N37" s="50">
        <f>IFERROR(ROUND(IF($D37="主任",VLOOKUP($B:$B,科室绩效工资核算1!$B:N,MATCH("肿瘤支气管镜", 科室绩效工资核算1!$B$3:$AN$3,0),0)/(中层绩效!$E37+VLOOKUP($B:$B,人员表!$B:$G,MATCH("医疗组",人员表!$B$3:$G$3,0),0))*中层绩效!$E37,0),0),0)</f>
        <v>0</v>
      </c>
      <c r="O37" s="50">
        <f>IFERROR(ROUND(IF($D37="主任",VLOOKUP($B:$B,科室绩效工资核算1!$B:O,MATCH("会诊风险积分", 科室绩效工资核算1!$B$3:$AN$3,0),0)/(中层绩效!$E37+VLOOKUP($B:$B,人员表!$B:$G,MATCH("医疗组",人员表!$B$3:$G$3,0),0))*中层绩效!$E37,0),0),0)</f>
        <v>41</v>
      </c>
      <c r="P37" s="50">
        <f>IFERROR(ROUND(IF($D37="主任",VLOOKUP($B:$B,科室绩效工资核算1!$B:P,MATCH("换药风险积分", 科室绩效工资核算1!$B$3:$AN$3,0),0)/(中层绩效!$E37+VLOOKUP($B:$B,人员表!$B:$G,MATCH("医疗组",人员表!$B$3:$G$3,0),0))*中层绩效!$E37,0),0),0)</f>
        <v>417</v>
      </c>
      <c r="Q37" s="50">
        <f>IFERROR(ROUND(IF($D37="主任",VLOOKUP($B:$B,科室绩效工资核算1!$B:Q,MATCH("功能康复积分", 科室绩效工资核算1!$B$3:$AN$3,0),0)/(中层绩效!$E37+VLOOKUP($B:$B,人员表!$B:$G,MATCH("医疗组",人员表!$B$3:$G$3,0),0))*中层绩效!$E37,0),0),0)</f>
        <v>0</v>
      </c>
      <c r="R37" s="50">
        <f>IFERROR(ROUND(IF($D37="主任",VLOOKUP($B:$B,科室绩效工资核算1!$B:R,MATCH("中医外治积分", 科室绩效工资核算1!$B$3:$AN$3,0),0)/(中层绩效!$E37+VLOOKUP($B:$B,人员表!$B:$G,MATCH("医疗组",人员表!$B$3:$G$3,0),0))*中层绩效!$E37,0),0),0)</f>
        <v>55</v>
      </c>
      <c r="S37" s="50">
        <f>IFERROR(ROUND(IF($D37="主任",VLOOKUP($B:$B,科室绩效工资核算1!$B:S,MATCH("中药积分", 科室绩效工资核算1!$B$3:$AN$3,0),0)/(中层绩效!$E37+VLOOKUP($B:$B,人员表!$B:$G,MATCH("医疗组",人员表!$B$3:$G$3,0),0))*中层绩效!$E37,0),0),0)</f>
        <v>0</v>
      </c>
      <c r="T37" s="50">
        <f>IFERROR(ROUND(IF($D37="护士长",VLOOKUP($B:$B,科室绩效工资核算1!$B:T,MATCH("护理风险积分", 科室绩效工资核算1!$B$3:$AN$3,0),0)/(中层绩效!$E37+VLOOKUP($B:$B,人员表!$B:$G,MATCH("护理组",人员表!$B$3:$G$3,0),0))*中层绩效!$E37,0),0),0)</f>
        <v>0</v>
      </c>
      <c r="U37" s="43">
        <f>F37*科室绩效工资核算1!AQ$7</f>
        <v>0</v>
      </c>
      <c r="V37" s="43">
        <f t="shared" si="0"/>
        <v>6520</v>
      </c>
      <c r="W37" s="43">
        <f>V37*科室绩效工资核算1!AQ$10</f>
        <v>7013.5640000000003</v>
      </c>
    </row>
    <row r="38" spans="2:23" x14ac:dyDescent="0.25">
      <c r="B38" s="51" t="str">
        <f>中层系数!B38</f>
        <v>骨一科</v>
      </c>
      <c r="C38" s="5" t="str">
        <f>中层系数!C38</f>
        <v>测试35</v>
      </c>
      <c r="D38" s="5" t="str">
        <f>VLOOKUP(C:C,中层系数!C:I,7,0)</f>
        <v>护士长</v>
      </c>
      <c r="E38" s="5">
        <f>VLOOKUP(C:C,中层系数!C:I,6,0)</f>
        <v>0.80640000000000001</v>
      </c>
      <c r="F38" s="5">
        <f>VLOOKUP(C:C,中层系数!C:I,5,0)</f>
        <v>0</v>
      </c>
      <c r="G38" s="43">
        <f>IF(OR(D38="主任",D38="副主任"),VLOOKUP($B:$B,人员表!$B:$G,MATCH("医生基础人均",人员表!$B$3:$G$3),0)*中层绩效!E38,VLOOKUP($B:$B,人员表!$B:$G,MATCH("护理基础人均",人员表!$B$3:$G$3,0),0)*E38)*0.56</f>
        <v>885.55622400000016</v>
      </c>
      <c r="H38" s="50">
        <f>IFERROR(ROUND(IF(D38="主任",VLOOKUP($B:$B,科室绩效工资核算1!$B:H,MATCH("首诊风险积分", 科室绩效工资核算1!$B$3:$AN$3,0),0)/(中层绩效!$E38+VLOOKUP($B:$B,人员表!$B:$G,MATCH("医疗组",人员表!$B$3:$G$3,0),0))*中层绩效!$E38,0),0),0)</f>
        <v>0</v>
      </c>
      <c r="I38" s="50">
        <f>IFERROR(ROUND(IF($D38="主任",VLOOKUP($B:$B,科室绩效工资核算1!$B:I,MATCH("病历质量积分", 科室绩效工资核算1!$B$3:$AN$3,0),0)/(中层绩效!$E38+VLOOKUP($B:$B,人员表!$B:$G,MATCH("医疗组",人员表!$B$3:$G$3,0),0))*中层绩效!$E38,0),0),0)</f>
        <v>0</v>
      </c>
      <c r="J38" s="50">
        <f>IFERROR(ROUND(IF($D38="主任",VLOOKUP($B:$B,科室绩效工资核算1!$B:J,MATCH("门诊人次积分", 科室绩效工资核算1!$B$3:$AN$3,0),0)/(中层绩效!$E38+VLOOKUP($B:$B,人员表!$B:$G,MATCH("医疗组",人员表!$B$3:$G$3,0),0))*中层绩效!$E38,0),0),0)</f>
        <v>0</v>
      </c>
      <c r="K38" s="50">
        <f>IFERROR(ROUND(IF($D38="主任",VLOOKUP($B:$B,科室绩效工资核算1!$B:K,MATCH("临床路径积分", 科室绩效工资核算1!$B$3:$AN$3,0),0)/(中层绩效!$E38+VLOOKUP($B:$B,人员表!$B:$G,MATCH("医疗组",人员表!$B$3:$G$3,0),0))*中层绩效!$E38,0),0),0)</f>
        <v>0</v>
      </c>
      <c r="L38" s="50">
        <f>IFERROR(ROUND(IF($D38="主任",VLOOKUP($B:$B,科室绩效工资核算1!$B:L,MATCH("麻醉风险积分", 科室绩效工资核算1!$B$3:$AN$3,0),0)/(中层绩效!$E38+VLOOKUP($B:$B,人员表!$B:$G,MATCH("医疗组",人员表!$B$3:$G$3,0),0))*中层绩效!$E38,0),0),0)</f>
        <v>0</v>
      </c>
      <c r="M38" s="50">
        <f>IFERROR(ROUND(IF($D38="主任",VLOOKUP($B:$B,科室绩效工资核算1!$B:M,MATCH("分娩风险积分", 科室绩效工资核算1!$B$3:$AN$3,0),0)/(中层绩效!$E38+VLOOKUP($B:$B,人员表!$B:$G,MATCH("医疗组",人员表!$B$3:$G$3,0),0))*中层绩效!$E38,0),0),0)</f>
        <v>0</v>
      </c>
      <c r="N38" s="50">
        <f>IFERROR(ROUND(IF($D38="主任",VLOOKUP($B:$B,科室绩效工资核算1!$B:N,MATCH("肿瘤支气管镜", 科室绩效工资核算1!$B$3:$AN$3,0),0)/(中层绩效!$E38+VLOOKUP($B:$B,人员表!$B:$G,MATCH("医疗组",人员表!$B$3:$G$3,0),0))*中层绩效!$E38,0),0),0)</f>
        <v>0</v>
      </c>
      <c r="O38" s="50">
        <f>IFERROR(ROUND(IF($D38="主任",VLOOKUP($B:$B,科室绩效工资核算1!$B:O,MATCH("会诊风险积分", 科室绩效工资核算1!$B$3:$AN$3,0),0)/(中层绩效!$E38+VLOOKUP($B:$B,人员表!$B:$G,MATCH("医疗组",人员表!$B$3:$G$3,0),0))*中层绩效!$E38,0),0),0)</f>
        <v>0</v>
      </c>
      <c r="P38" s="50">
        <f>IFERROR(ROUND(IF($D38="主任",VLOOKUP($B:$B,科室绩效工资核算1!$B:P,MATCH("换药风险积分", 科室绩效工资核算1!$B$3:$AN$3,0),0)/(中层绩效!$E38+VLOOKUP($B:$B,人员表!$B:$G,MATCH("医疗组",人员表!$B$3:$G$3,0),0))*中层绩效!$E38,0),0),0)</f>
        <v>0</v>
      </c>
      <c r="Q38" s="50">
        <f>IFERROR(ROUND(IF($D38="主任",VLOOKUP($B:$B,科室绩效工资核算1!$B:Q,MATCH("功能康复积分", 科室绩效工资核算1!$B$3:$AN$3,0),0)/(中层绩效!$E38+VLOOKUP($B:$B,人员表!$B:$G,MATCH("医疗组",人员表!$B$3:$G$3,0),0))*中层绩效!$E38,0),0),0)</f>
        <v>0</v>
      </c>
      <c r="R38" s="50">
        <f>IFERROR(ROUND(IF($D38="主任",VLOOKUP($B:$B,科室绩效工资核算1!$B:R,MATCH("中医外治积分", 科室绩效工资核算1!$B$3:$AN$3,0),0)/(中层绩效!$E38+VLOOKUP($B:$B,人员表!$B:$G,MATCH("医疗组",人员表!$B$3:$G$3,0),0))*中层绩效!$E38,0),0),0)</f>
        <v>0</v>
      </c>
      <c r="S38" s="50">
        <f>IFERROR(ROUND(IF($D38="主任",VLOOKUP($B:$B,科室绩效工资核算1!$B:S,MATCH("中药积分", 科室绩效工资核算1!$B$3:$AN$3,0),0)/(中层绩效!$E38+VLOOKUP($B:$B,人员表!$B:$G,MATCH("医疗组",人员表!$B$3:$G$3,0),0))*中层绩效!$E38,0),0),0)</f>
        <v>0</v>
      </c>
      <c r="T38" s="50">
        <f>IFERROR(ROUND(IF($D38="护士长",VLOOKUP($B:$B,科室绩效工资核算1!$B:T,MATCH("护理风险积分", 科室绩效工资核算1!$B$3:$AN$3,0),0)/(中层绩效!$E38*0.56+VLOOKUP($B:$B,人员表!$B:$G,MATCH("护理组",人员表!$B$3:$G$3,0),0))*中层绩效!$E38,0)*0.56,0),0)</f>
        <v>202</v>
      </c>
      <c r="U38" s="43">
        <f>F38*科室绩效工资核算1!AQ$7</f>
        <v>0</v>
      </c>
      <c r="V38" s="43">
        <f t="shared" si="0"/>
        <v>1087.5562240000002</v>
      </c>
      <c r="W38" s="43">
        <f>V38*科室绩效工资核算1!AQ$10</f>
        <v>1169.8842301568002</v>
      </c>
    </row>
    <row r="39" spans="2:23" x14ac:dyDescent="0.25">
      <c r="B39" s="51" t="str">
        <f>中层系数!B39</f>
        <v>骨二科</v>
      </c>
      <c r="C39" s="5" t="str">
        <f>中层系数!C39</f>
        <v>测试36</v>
      </c>
      <c r="D39" s="5" t="str">
        <f>VLOOKUP(C:C,中层系数!C:I,7,0)</f>
        <v>护士长</v>
      </c>
      <c r="E39" s="5">
        <f>VLOOKUP(C:C,中层系数!C:I,6,0)</f>
        <v>1.44</v>
      </c>
      <c r="F39" s="5">
        <f>VLOOKUP(C:C,中层系数!C:I,5,0)</f>
        <v>0</v>
      </c>
      <c r="G39" s="43">
        <f>IF(OR(D39="主任",D39="副主任"),VLOOKUP($B:$B,人员表!$B:$G,MATCH("医生基础人均",人员表!$B$3:$G$3),0)*中层绩效!E39,VLOOKUP($B:$B,人员表!$B:$G,MATCH("护理基础人均",人员表!$B$3:$G$3,0),0)*E39)</f>
        <v>2465.2799999999997</v>
      </c>
      <c r="H39" s="50">
        <f>IFERROR(ROUND(IF(D39="主任",VLOOKUP($B:$B,科室绩效工资核算1!$B:H,MATCH("首诊风险积分", 科室绩效工资核算1!$B$3:$AN$3,0),0)/(中层绩效!$E39+VLOOKUP($B:$B,人员表!$B:$G,MATCH("医疗组",人员表!$B$3:$G$3,0),0))*中层绩效!$E39,0),0),0)</f>
        <v>0</v>
      </c>
      <c r="I39" s="50">
        <f>IFERROR(ROUND(IF($D39="主任",VLOOKUP($B:$B,科室绩效工资核算1!$B:I,MATCH("病历质量积分", 科室绩效工资核算1!$B$3:$AN$3,0),0)/(中层绩效!$E39+VLOOKUP($B:$B,人员表!$B:$G,MATCH("医疗组",人员表!$B$3:$G$3,0),0))*中层绩效!$E39,0),0),0)</f>
        <v>0</v>
      </c>
      <c r="J39" s="50">
        <f>IFERROR(ROUND(IF($D39="主任",VLOOKUP($B:$B,科室绩效工资核算1!$B:J,MATCH("门诊人次积分", 科室绩效工资核算1!$B$3:$AN$3,0),0)/(中层绩效!$E39+VLOOKUP($B:$B,人员表!$B:$G,MATCH("医疗组",人员表!$B$3:$G$3,0),0))*中层绩效!$E39,0),0),0)</f>
        <v>0</v>
      </c>
      <c r="K39" s="50">
        <f>IFERROR(ROUND(IF($D39="主任",VLOOKUP($B:$B,科室绩效工资核算1!$B:K,MATCH("临床路径积分", 科室绩效工资核算1!$B$3:$AN$3,0),0)/(中层绩效!$E39+VLOOKUP($B:$B,人员表!$B:$G,MATCH("医疗组",人员表!$B$3:$G$3,0),0))*中层绩效!$E39,0),0),0)</f>
        <v>0</v>
      </c>
      <c r="L39" s="50">
        <f>IFERROR(ROUND(IF($D39="主任",VLOOKUP($B:$B,科室绩效工资核算1!$B:L,MATCH("麻醉风险积分", 科室绩效工资核算1!$B$3:$AN$3,0),0)/(中层绩效!$E39+VLOOKUP($B:$B,人员表!$B:$G,MATCH("医疗组",人员表!$B$3:$G$3,0),0))*中层绩效!$E39,0),0),0)</f>
        <v>0</v>
      </c>
      <c r="M39" s="50">
        <f>IFERROR(ROUND(IF($D39="主任",VLOOKUP($B:$B,科室绩效工资核算1!$B:M,MATCH("分娩风险积分", 科室绩效工资核算1!$B$3:$AN$3,0),0)/(中层绩效!$E39+VLOOKUP($B:$B,人员表!$B:$G,MATCH("医疗组",人员表!$B$3:$G$3,0),0))*中层绩效!$E39,0),0),0)</f>
        <v>0</v>
      </c>
      <c r="N39" s="50">
        <f>IFERROR(ROUND(IF($D39="主任",VLOOKUP($B:$B,科室绩效工资核算1!$B:N,MATCH("肿瘤支气管镜", 科室绩效工资核算1!$B$3:$AN$3,0),0)/(中层绩效!$E39+VLOOKUP($B:$B,人员表!$B:$G,MATCH("医疗组",人员表!$B$3:$G$3,0),0))*中层绩效!$E39,0),0),0)</f>
        <v>0</v>
      </c>
      <c r="O39" s="50">
        <f>IFERROR(ROUND(IF($D39="主任",VLOOKUP($B:$B,科室绩效工资核算1!$B:O,MATCH("会诊风险积分", 科室绩效工资核算1!$B$3:$AN$3,0),0)/(中层绩效!$E39+VLOOKUP($B:$B,人员表!$B:$G,MATCH("医疗组",人员表!$B$3:$G$3,0),0))*中层绩效!$E39,0),0),0)</f>
        <v>0</v>
      </c>
      <c r="P39" s="50">
        <f>IFERROR(ROUND(IF($D39="主任",VLOOKUP($B:$B,科室绩效工资核算1!$B:P,MATCH("换药风险积分", 科室绩效工资核算1!$B$3:$AN$3,0),0)/(中层绩效!$E39+VLOOKUP($B:$B,人员表!$B:$G,MATCH("医疗组",人员表!$B$3:$G$3,0),0))*中层绩效!$E39,0),0),0)</f>
        <v>0</v>
      </c>
      <c r="Q39" s="50">
        <f>IFERROR(ROUND(IF($D39="主任",VLOOKUP($B:$B,科室绩效工资核算1!$B:Q,MATCH("功能康复积分", 科室绩效工资核算1!$B$3:$AN$3,0),0)/(中层绩效!$E39+VLOOKUP($B:$B,人员表!$B:$G,MATCH("医疗组",人员表!$B$3:$G$3,0),0))*中层绩效!$E39,0),0),0)</f>
        <v>0</v>
      </c>
      <c r="R39" s="50">
        <f>IFERROR(ROUND(IF($D39="主任",VLOOKUP($B:$B,科室绩效工资核算1!$B:R,MATCH("中医外治积分", 科室绩效工资核算1!$B$3:$AN$3,0),0)/(中层绩效!$E39+VLOOKUP($B:$B,人员表!$B:$G,MATCH("医疗组",人员表!$B$3:$G$3,0),0))*中层绩效!$E39,0),0),0)</f>
        <v>0</v>
      </c>
      <c r="S39" s="50">
        <f>IFERROR(ROUND(IF($D39="主任",VLOOKUP($B:$B,科室绩效工资核算1!$B:S,MATCH("中药积分", 科室绩效工资核算1!$B$3:$AN$3,0),0)/(中层绩效!$E39+VLOOKUP($B:$B,人员表!$B:$G,MATCH("医疗组",人员表!$B$3:$G$3,0),0))*中层绩效!$E39,0),0),0)</f>
        <v>0</v>
      </c>
      <c r="T39" s="50">
        <f>IFERROR(ROUND(IF($D39="护士长",VLOOKUP($B:$B,科室绩效工资核算1!$B:T,MATCH("护理风险积分", 科室绩效工资核算1!$B$3:$AN$3,0),0)/(中层绩效!$E39+VLOOKUP($B:$B,人员表!$B:$G,MATCH("护理组",人员表!$B$3:$G$3,0),0))*中层绩效!$E39,0),0),0)</f>
        <v>289</v>
      </c>
      <c r="U39" s="43">
        <f>F39*科室绩效工资核算1!AQ$7</f>
        <v>0</v>
      </c>
      <c r="V39" s="43">
        <f t="shared" si="0"/>
        <v>2754.2799999999997</v>
      </c>
      <c r="W39" s="43">
        <f>V39*科室绩效工资核算1!AQ$10</f>
        <v>2962.778996</v>
      </c>
    </row>
    <row r="40" spans="2:23" x14ac:dyDescent="0.25">
      <c r="B40" s="51" t="str">
        <f>中层系数!B40</f>
        <v>骨二科</v>
      </c>
      <c r="C40" s="5" t="str">
        <f>中层系数!C40</f>
        <v>测试37</v>
      </c>
      <c r="D40" s="5" t="str">
        <f>VLOOKUP(C:C,中层系数!C:I,7,0)</f>
        <v>主任</v>
      </c>
      <c r="E40" s="5">
        <f>VLOOKUP(C:C,中层系数!C:I,6,0)</f>
        <v>2</v>
      </c>
      <c r="F40" s="5">
        <f>VLOOKUP(C:C,中层系数!C:I,5,0)</f>
        <v>0</v>
      </c>
      <c r="G40" s="43">
        <f>IF(OR(D40="主任",D40="副主任"),VLOOKUP($B:$B,人员表!$B:$G,MATCH("医生基础人均",人员表!$B$3:$G$3),0)*中层绩效!E40,VLOOKUP($B:$B,人员表!$B:$G,MATCH("护理基础人均",人员表!$B$3:$G$3,0),0)*E40)</f>
        <v>5774</v>
      </c>
      <c r="H40" s="50">
        <f>IFERROR(ROUND(IF(D40="主任",VLOOKUP($B:$B,科室绩效工资核算1!$B:H,MATCH("首诊风险积分", 科室绩效工资核算1!$B$3:$AN$3,0),0)/(中层绩效!$E40+VLOOKUP($B:$B,人员表!$B:$G,MATCH("医疗组",人员表!$B$3:$G$3,0),0))*中层绩效!$E40,0),0),0)</f>
        <v>473</v>
      </c>
      <c r="I40" s="50">
        <f>IFERROR(ROUND(IF($D40="主任",VLOOKUP($B:$B,科室绩效工资核算1!$B:I,MATCH("病历质量积分", 科室绩效工资核算1!$B$3:$AN$3,0),0)/(中层绩效!$E40+VLOOKUP($B:$B,人员表!$B:$G,MATCH("医疗组",人员表!$B$3:$G$3,0),0))*中层绩效!$E40,0),0),0)</f>
        <v>236</v>
      </c>
      <c r="J40" s="50">
        <f>IFERROR(ROUND(IF($D40="主任",VLOOKUP($B:$B,科室绩效工资核算1!$B:J,MATCH("门诊人次积分", 科室绩效工资核算1!$B$3:$AN$3,0),0)/(中层绩效!$E40+VLOOKUP($B:$B,人员表!$B:$G,MATCH("医疗组",人员表!$B$3:$G$3,0),0))*中层绩效!$E40,0),0),0)</f>
        <v>96</v>
      </c>
      <c r="K40" s="50">
        <f>IFERROR(ROUND(IF($D40="主任",VLOOKUP($B:$B,科室绩效工资核算1!$B:K,MATCH("临床路径积分", 科室绩效工资核算1!$B$3:$AN$3,0),0)/(中层绩效!$E40+VLOOKUP($B:$B,人员表!$B:$G,MATCH("医疗组",人员表!$B$3:$G$3,0),0))*中层绩效!$E40,0),0),0)</f>
        <v>0</v>
      </c>
      <c r="L40" s="50">
        <f>IFERROR(ROUND(IF($D40="主任",VLOOKUP($B:$B,科室绩效工资核算1!$B:L,MATCH("麻醉风险积分", 科室绩效工资核算1!$B$3:$AN$3,0),0)/(中层绩效!$E40+VLOOKUP($B:$B,人员表!$B:$G,MATCH("医疗组",人员表!$B$3:$G$3,0),0))*中层绩效!$E40,0),0),0)</f>
        <v>68</v>
      </c>
      <c r="M40" s="50">
        <f>IFERROR(ROUND(IF($D40="主任",VLOOKUP($B:$B,科室绩效工资核算1!$B:M,MATCH("分娩风险积分", 科室绩效工资核算1!$B$3:$AN$3,0),0)/(中层绩效!$E40+VLOOKUP($B:$B,人员表!$B:$G,MATCH("医疗组",人员表!$B$3:$G$3,0),0))*中层绩效!$E40,0),0),0)</f>
        <v>0</v>
      </c>
      <c r="N40" s="50">
        <f>IFERROR(ROUND(IF($D40="主任",VLOOKUP($B:$B,科室绩效工资核算1!$B:N,MATCH("肿瘤支气管镜", 科室绩效工资核算1!$B$3:$AN$3,0),0)/(中层绩效!$E40+VLOOKUP($B:$B,人员表!$B:$G,MATCH("医疗组",人员表!$B$3:$G$3,0),0))*中层绩效!$E40,0),0),0)</f>
        <v>0</v>
      </c>
      <c r="O40" s="50">
        <f>IFERROR(ROUND(IF($D40="主任",VLOOKUP($B:$B,科室绩效工资核算1!$B:O,MATCH("会诊风险积分", 科室绩效工资核算1!$B$3:$AN$3,0),0)/(中层绩效!$E40+VLOOKUP($B:$B,人员表!$B:$G,MATCH("医疗组",人员表!$B$3:$G$3,0),0))*中层绩效!$E40,0),0),0)</f>
        <v>84</v>
      </c>
      <c r="P40" s="50">
        <f>IFERROR(ROUND(IF($D40="主任",VLOOKUP($B:$B,科室绩效工资核算1!$B:P,MATCH("换药风险积分", 科室绩效工资核算1!$B$3:$AN$3,0),0)/(中层绩效!$E40+VLOOKUP($B:$B,人员表!$B:$G,MATCH("医疗组",人员表!$B$3:$G$3,0),0))*中层绩效!$E40,0),0),0)</f>
        <v>706</v>
      </c>
      <c r="Q40" s="50">
        <f>IFERROR(ROUND(IF($D40="主任",VLOOKUP($B:$B,科室绩效工资核算1!$B:Q,MATCH("功能康复积分", 科室绩效工资核算1!$B$3:$AN$3,0),0)/(中层绩效!$E40+VLOOKUP($B:$B,人员表!$B:$G,MATCH("医疗组",人员表!$B$3:$G$3,0),0))*中层绩效!$E40,0),0),0)</f>
        <v>127</v>
      </c>
      <c r="R40" s="50">
        <f>IFERROR(ROUND(IF($D40="主任",VLOOKUP($B:$B,科室绩效工资核算1!$B:R,MATCH("中医外治积分", 科室绩效工资核算1!$B$3:$AN$3,0),0)/(中层绩效!$E40+VLOOKUP($B:$B,人员表!$B:$G,MATCH("医疗组",人员表!$B$3:$G$3,0),0))*中层绩效!$E40,0),0),0)</f>
        <v>81</v>
      </c>
      <c r="S40" s="50">
        <f>IFERROR(ROUND(IF($D40="主任",VLOOKUP($B:$B,科室绩效工资核算1!$B:S,MATCH("中药积分", 科室绩效工资核算1!$B$3:$AN$3,0),0)/(中层绩效!$E40+VLOOKUP($B:$B,人员表!$B:$G,MATCH("医疗组",人员表!$B$3:$G$3,0),0))*中层绩效!$E40,0),0),0)</f>
        <v>0</v>
      </c>
      <c r="T40" s="50">
        <f>IFERROR(ROUND(IF($D40="护士长",VLOOKUP($B:$B,科室绩效工资核算1!$B:T,MATCH("护理风险积分", 科室绩效工资核算1!$B$3:$AN$3,0),0)/(中层绩效!$E40+VLOOKUP($B:$B,人员表!$B:$G,MATCH("护理组",人员表!$B$3:$G$3,0),0))*中层绩效!$E40,0),0),0)</f>
        <v>0</v>
      </c>
      <c r="U40" s="43">
        <f>F40*科室绩效工资核算1!AQ$7</f>
        <v>0</v>
      </c>
      <c r="V40" s="43">
        <f t="shared" si="0"/>
        <v>7645</v>
      </c>
      <c r="W40" s="43">
        <f>V40*科室绩效工资核算1!AQ$10</f>
        <v>8223.7265000000007</v>
      </c>
    </row>
    <row r="41" spans="2:23" x14ac:dyDescent="0.25">
      <c r="B41" s="51" t="str">
        <f>中层系数!B41</f>
        <v>妇产科</v>
      </c>
      <c r="C41" s="5" t="str">
        <f>中层系数!C41</f>
        <v>测试38</v>
      </c>
      <c r="D41" s="5" t="str">
        <f>VLOOKUP(C:C,中层系数!C:I,7,0)</f>
        <v>主任</v>
      </c>
      <c r="E41" s="5">
        <f>VLOOKUP(C:C,中层系数!C:I,6,0)</f>
        <v>2</v>
      </c>
      <c r="F41" s="5">
        <f>VLOOKUP(C:C,中层系数!C:I,5,0)</f>
        <v>0</v>
      </c>
      <c r="G41" s="43">
        <f>IF(OR(D41="主任",D41="副主任"),VLOOKUP($B:$B,人员表!$B:$G,MATCH("医生基础人均",人员表!$B$3:$G$3),0)*中层绩效!E41,VLOOKUP($B:$B,人员表!$B:$G,MATCH("护理基础人均",人员表!$B$3:$G$3,0),0)*E41)</f>
        <v>5114</v>
      </c>
      <c r="H41" s="50">
        <f>IFERROR(ROUND(IF(D41="主任",VLOOKUP($B:$B,科室绩效工资核算1!$B:H,MATCH("首诊风险积分", 科室绩效工资核算1!$B$3:$AN$3,0),0)/(中层绩效!$E41+VLOOKUP($B:$B,人员表!$B:$G,MATCH("医疗组",人员表!$B$3:$G$3,0),0))*中层绩效!$E41,0),0),0)</f>
        <v>1058</v>
      </c>
      <c r="I41" s="50">
        <f>IFERROR(ROUND(IF($D41="主任",VLOOKUP($B:$B,科室绩效工资核算1!$B:I,MATCH("病历质量积分", 科室绩效工资核算1!$B$3:$AN$3,0),0)/(中层绩效!$E41+VLOOKUP($B:$B,人员表!$B:$G,MATCH("医疗组",人员表!$B$3:$G$3,0),0))*中层绩效!$E41,0),0),0)</f>
        <v>465</v>
      </c>
      <c r="J41" s="50">
        <f>IFERROR(ROUND(IF($D41="主任",VLOOKUP($B:$B,科室绩效工资核算1!$B:J,MATCH("门诊人次积分", 科室绩效工资核算1!$B$3:$AN$3,0),0)/(中层绩效!$E41+VLOOKUP($B:$B,人员表!$B:$G,MATCH("医疗组",人员表!$B$3:$G$3,0),0))*中层绩效!$E41,0),0),0)</f>
        <v>70</v>
      </c>
      <c r="K41" s="50">
        <f>IFERROR(ROUND(IF($D41="主任",VLOOKUP($B:$B,科室绩效工资核算1!$B:K,MATCH("临床路径积分", 科室绩效工资核算1!$B$3:$AN$3,0),0)/(中层绩效!$E41+VLOOKUP($B:$B,人员表!$B:$G,MATCH("医疗组",人员表!$B$3:$G$3,0),0))*中层绩效!$E41,0),0),0)</f>
        <v>1209</v>
      </c>
      <c r="L41" s="50">
        <f>IFERROR(ROUND(IF($D41="主任",VLOOKUP($B:$B,科室绩效工资核算1!$B:L,MATCH("麻醉风险积分", 科室绩效工资核算1!$B$3:$AN$3,0),0)/(中层绩效!$E41+VLOOKUP($B:$B,人员表!$B:$G,MATCH("医疗组",人员表!$B$3:$G$3,0),0))*中层绩效!$E41,0),0),0)</f>
        <v>928</v>
      </c>
      <c r="M41" s="50"/>
      <c r="N41" s="50">
        <f>IFERROR(ROUND(IF($D41="主任",VLOOKUP($B:$B,科室绩效工资核算1!$B:N,MATCH("肿瘤支气管镜", 科室绩效工资核算1!$B$3:$AN$3,0),0)/(中层绩效!$E41+VLOOKUP($B:$B,人员表!$B:$G,MATCH("医疗组",人员表!$B$3:$G$3,0),0))*中层绩效!$E41,0),0),0)</f>
        <v>0</v>
      </c>
      <c r="O41" s="50">
        <f>IFERROR(ROUND(IF($D41="主任",VLOOKUP($B:$B,科室绩效工资核算1!$B:O,MATCH("会诊风险积分", 科室绩效工资核算1!$B$3:$AN$3,0),0)/(中层绩效!$E41+VLOOKUP($B:$B,人员表!$B:$G,MATCH("医疗组",人员表!$B$3:$G$3,0),0))*中层绩效!$E41,0),0),0)</f>
        <v>24</v>
      </c>
      <c r="P41" s="50">
        <f>IFERROR(ROUND(IF($D41="主任",VLOOKUP($B:$B,科室绩效工资核算1!$B:P,MATCH("换药风险积分", 科室绩效工资核算1!$B$3:$AN$3,0),0)/(中层绩效!$E41+VLOOKUP($B:$B,人员表!$B:$G,MATCH("医疗组",人员表!$B$3:$G$3,0),0))*中层绩效!$E41,0),0),0)</f>
        <v>553</v>
      </c>
      <c r="Q41" s="50">
        <f>IFERROR(ROUND(IF($D41="主任",VLOOKUP($B:$B,科室绩效工资核算1!$B:Q,MATCH("功能康复积分", 科室绩效工资核算1!$B$3:$AN$3,0),0)/(中层绩效!$E41+VLOOKUP($B:$B,人员表!$B:$G,MATCH("医疗组",人员表!$B$3:$G$3,0),0))*中层绩效!$E41,0),0),0)</f>
        <v>0</v>
      </c>
      <c r="R41" s="50">
        <f>IFERROR(ROUND(IF($D41="主任",VLOOKUP($B:$B,科室绩效工资核算1!$B:R,MATCH("中医外治积分", 科室绩效工资核算1!$B$3:$AN$3,0),0)/(中层绩效!$E41+VLOOKUP($B:$B,人员表!$B:$G,MATCH("医疗组",人员表!$B$3:$G$3,0),0))*中层绩效!$E41,0),0),0)</f>
        <v>0</v>
      </c>
      <c r="S41" s="50">
        <f>IFERROR(ROUND(IF($D41="主任",VLOOKUP($B:$B,科室绩效工资核算1!$B:S,MATCH("中药积分", 科室绩效工资核算1!$B$3:$AN$3,0),0)/(中层绩效!$E41+VLOOKUP($B:$B,人员表!$B:$G,MATCH("医疗组",人员表!$B$3:$G$3,0),0))*中层绩效!$E41,0),0),0)</f>
        <v>0</v>
      </c>
      <c r="T41" s="50">
        <f>IFERROR(ROUND(IF($D41="护士长",VLOOKUP($B:$B,科室绩效工资核算1!$B:T,MATCH("护理风险积分", 科室绩效工资核算1!$B$3:$AN$3,0),0)/(中层绩效!$E41+VLOOKUP($B:$B,人员表!$B:$G,MATCH("护理组",人员表!$B$3:$G$3,0),0))*中层绩效!$E41,0),0),0)</f>
        <v>0</v>
      </c>
      <c r="U41" s="43">
        <f>F41*科室绩效工资核算1!AQ$7</f>
        <v>0</v>
      </c>
      <c r="V41" s="43">
        <f t="shared" si="0"/>
        <v>9421</v>
      </c>
      <c r="W41" s="43">
        <f>V41*科室绩效工资核算1!AQ$10</f>
        <v>10134.1697</v>
      </c>
    </row>
    <row r="42" spans="2:23" x14ac:dyDescent="0.25">
      <c r="B42" s="51" t="str">
        <f>中层系数!B42</f>
        <v>妇产科</v>
      </c>
      <c r="C42" s="5" t="str">
        <f>中层系数!C42</f>
        <v>测试39</v>
      </c>
      <c r="D42" s="5" t="str">
        <f>VLOOKUP(C:C,中层系数!C:I,7,0)</f>
        <v>护士长</v>
      </c>
      <c r="E42" s="5">
        <f>VLOOKUP(C:C,中层系数!C:I,6,0)</f>
        <v>1.44</v>
      </c>
      <c r="F42" s="5">
        <f>VLOOKUP(C:C,中层系数!C:I,5,0)</f>
        <v>0</v>
      </c>
      <c r="G42" s="43">
        <f>IF(OR(D42="主任",D42="副主任"),VLOOKUP($B:$B,人员表!$B:$G,MATCH("医生基础人均",人员表!$B$3:$G$3),0)*中层绩效!E42,VLOOKUP($B:$B,人员表!$B:$G,MATCH("护理基础人均",人员表!$B$3:$G$3,0),0)*E42)</f>
        <v>2583.36</v>
      </c>
      <c r="H42" s="50">
        <f>IFERROR(ROUND(IF(D42="主任",VLOOKUP($B:$B,科室绩效工资核算1!$B:H,MATCH("首诊风险积分", 科室绩效工资核算1!$B$3:$AN$3,0),0)/(中层绩效!$E42+VLOOKUP($B:$B,人员表!$B:$G,MATCH("医疗组",人员表!$B$3:$G$3,0),0))*中层绩效!$E42,0),0),0)</f>
        <v>0</v>
      </c>
      <c r="I42" s="50">
        <f>IFERROR(ROUND(IF($D42="主任",VLOOKUP($B:$B,科室绩效工资核算1!$B:I,MATCH("病历质量积分", 科室绩效工资核算1!$B$3:$AN$3,0),0)/(中层绩效!$E42+VLOOKUP($B:$B,人员表!$B:$G,MATCH("医疗组",人员表!$B$3:$G$3,0),0))*中层绩效!$E42,0),0),0)</f>
        <v>0</v>
      </c>
      <c r="J42" s="50">
        <f>IFERROR(ROUND(IF($D42="主任",VLOOKUP($B:$B,科室绩效工资核算1!$B:J,MATCH("门诊人次积分", 科室绩效工资核算1!$B$3:$AN$3,0),0)/(中层绩效!$E42+VLOOKUP($B:$B,人员表!$B:$G,MATCH("医疗组",人员表!$B$3:$G$3,0),0))*中层绩效!$E42,0),0),0)</f>
        <v>0</v>
      </c>
      <c r="K42" s="50">
        <f>IFERROR(ROUND(IF($D42="主任",VLOOKUP($B:$B,科室绩效工资核算1!$B:K,MATCH("临床路径积分", 科室绩效工资核算1!$B$3:$AN$3,0),0)/(中层绩效!$E42+VLOOKUP($B:$B,人员表!$B:$G,MATCH("医疗组",人员表!$B$3:$G$3,0),0))*中层绩效!$E42,0),0),0)</f>
        <v>0</v>
      </c>
      <c r="L42" s="50">
        <f>IFERROR(ROUND(IF($D42="主任",VLOOKUP($B:$B,科室绩效工资核算1!$B:L,MATCH("麻醉风险积分", 科室绩效工资核算1!$B$3:$AN$3,0),0)/(中层绩效!$E42+VLOOKUP($B:$B,人员表!$B:$G,MATCH("医疗组",人员表!$B$3:$G$3,0),0))*中层绩效!$E42,0),0),0)</f>
        <v>0</v>
      </c>
      <c r="M42" s="50">
        <f>IFERROR(ROUND(IF($D42="主任",VLOOKUP($B:$B,科室绩效工资核算1!$B:M,MATCH("分娩风险积分", 科室绩效工资核算1!$B$3:$AN$3,0),0)/(中层绩效!$E42+VLOOKUP($B:$B,人员表!$B:$G,MATCH("医疗组",人员表!$B$3:$G$3,0),0))*中层绩效!$E42,0),0),0)</f>
        <v>0</v>
      </c>
      <c r="N42" s="50">
        <f>IFERROR(ROUND(IF($D42="主任",VLOOKUP($B:$B,科室绩效工资核算1!$B:N,MATCH("肿瘤支气管镜", 科室绩效工资核算1!$B$3:$AN$3,0),0)/(中层绩效!$E42+VLOOKUP($B:$B,人员表!$B:$G,MATCH("医疗组",人员表!$B$3:$G$3,0),0))*中层绩效!$E42,0),0),0)</f>
        <v>0</v>
      </c>
      <c r="O42" s="50">
        <f>IFERROR(ROUND(IF($D42="主任",VLOOKUP($B:$B,科室绩效工资核算1!$B:O,MATCH("会诊风险积分", 科室绩效工资核算1!$B$3:$AN$3,0),0)/(中层绩效!$E42+VLOOKUP($B:$B,人员表!$B:$G,MATCH("医疗组",人员表!$B$3:$G$3,0),0))*中层绩效!$E42,0),0),0)</f>
        <v>0</v>
      </c>
      <c r="P42" s="50">
        <f>IFERROR(ROUND(IF($D42="主任",VLOOKUP($B:$B,科室绩效工资核算1!$B:P,MATCH("换药风险积分", 科室绩效工资核算1!$B$3:$AN$3,0),0)/(中层绩效!$E42+VLOOKUP($B:$B,人员表!$B:$G,MATCH("医疗组",人员表!$B$3:$G$3,0),0))*中层绩效!$E42,0),0),0)</f>
        <v>0</v>
      </c>
      <c r="Q42" s="50">
        <f>IFERROR(ROUND(IF($D42="主任",VLOOKUP($B:$B,科室绩效工资核算1!$B:Q,MATCH("功能康复积分", 科室绩效工资核算1!$B$3:$AN$3,0),0)/(中层绩效!$E42+VLOOKUP($B:$B,人员表!$B:$G,MATCH("医疗组",人员表!$B$3:$G$3,0),0))*中层绩效!$E42,0),0),0)</f>
        <v>0</v>
      </c>
      <c r="R42" s="50">
        <f>IFERROR(ROUND(IF($D42="主任",VLOOKUP($B:$B,科室绩效工资核算1!$B:R,MATCH("中医外治积分", 科室绩效工资核算1!$B$3:$AN$3,0),0)/(中层绩效!$E42+VLOOKUP($B:$B,人员表!$B:$G,MATCH("医疗组",人员表!$B$3:$G$3,0),0))*中层绩效!$E42,0),0),0)</f>
        <v>0</v>
      </c>
      <c r="S42" s="50">
        <f>IFERROR(ROUND(IF($D42="主任",VLOOKUP($B:$B,科室绩效工资核算1!$B:S,MATCH("中药积分", 科室绩效工资核算1!$B$3:$AN$3,0),0)/(中层绩效!$E42+VLOOKUP($B:$B,人员表!$B:$G,MATCH("医疗组",人员表!$B$3:$G$3,0),0))*中层绩效!$E42,0),0),0)</f>
        <v>0</v>
      </c>
      <c r="T42" s="50">
        <f>IFERROR(ROUND(IF($D42="护士长",VLOOKUP($B:$B,科室绩效工资核算1!$B:T,MATCH("护理风险积分", 科室绩效工资核算1!$B$3:$AN$3,0),0)/(中层绩效!$E42+VLOOKUP($B:$B,人员表!$B:$G,MATCH("护理组",人员表!$B$3:$G$3,0),0))*中层绩效!$E42,0),0),0)</f>
        <v>135</v>
      </c>
      <c r="U42" s="43">
        <f>F42*科室绩效工资核算1!AQ$7</f>
        <v>0</v>
      </c>
      <c r="V42" s="43">
        <f t="shared" si="0"/>
        <v>2718.36</v>
      </c>
      <c r="W42" s="43">
        <f>V42*科室绩效工资核算1!AQ$10</f>
        <v>2924.1398520000002</v>
      </c>
    </row>
    <row r="43" spans="2:23" x14ac:dyDescent="0.25">
      <c r="B43" s="51" t="str">
        <f>中层系数!B43</f>
        <v>烧伤肛肠科</v>
      </c>
      <c r="C43" s="5" t="str">
        <f>中层系数!C43</f>
        <v>测试40</v>
      </c>
      <c r="D43" s="5" t="str">
        <f>VLOOKUP(C:C,中层系数!C:I,7,0)</f>
        <v>护士长</v>
      </c>
      <c r="E43" s="5">
        <f>VLOOKUP(C:C,中层系数!C:I,6,0)</f>
        <v>0.63360000000000005</v>
      </c>
      <c r="F43" s="5">
        <f>VLOOKUP(C:C,中层系数!C:I,5,0)</f>
        <v>0</v>
      </c>
      <c r="G43" s="43">
        <f>IF(OR(D43="主任",D43="副主任"),VLOOKUP($B:$B,人员表!$B:$G,MATCH("医生基础人均",人员表!$B$3:$G$3),0)*中层绩效!E43,VLOOKUP($B:$B,人员表!$B:$G,MATCH("护理基础人均",人员表!$B$3:$G$3,0),0)*E43)*0.44</f>
        <v>418.45478400000002</v>
      </c>
      <c r="H43" s="50">
        <f>IFERROR(ROUND(IF(D43="主任",VLOOKUP($B:$B,科室绩效工资核算1!$B:H,MATCH("首诊风险积分", 科室绩效工资核算1!$B$3:$AN$3,0),0)/(中层绩效!$E43+VLOOKUP($B:$B,人员表!$B:$G,MATCH("医疗组",人员表!$B$3:$G$3,0),0))*中层绩效!$E43,0),0),0)</f>
        <v>0</v>
      </c>
      <c r="I43" s="50">
        <f>IFERROR(ROUND(IF($D43="主任",VLOOKUP($B:$B,科室绩效工资核算1!$B:I,MATCH("病历质量积分", 科室绩效工资核算1!$B$3:$AN$3,0),0)/(中层绩效!$E43+VLOOKUP($B:$B,人员表!$B:$G,MATCH("医疗组",人员表!$B$3:$G$3,0),0))*中层绩效!$E43,0),0),0)</f>
        <v>0</v>
      </c>
      <c r="J43" s="50">
        <f>IFERROR(ROUND(IF($D43="主任",VLOOKUP($B:$B,科室绩效工资核算1!$B:J,MATCH("门诊人次积分", 科室绩效工资核算1!$B$3:$AN$3,0),0)/(中层绩效!$E43+VLOOKUP($B:$B,人员表!$B:$G,MATCH("医疗组",人员表!$B$3:$G$3,0),0))*中层绩效!$E43,0),0),0)</f>
        <v>0</v>
      </c>
      <c r="K43" s="50">
        <f>IFERROR(ROUND(IF($D43="主任",VLOOKUP($B:$B,科室绩效工资核算1!$B:K,MATCH("临床路径积分", 科室绩效工资核算1!$B$3:$AN$3,0),0)/(中层绩效!$E43+VLOOKUP($B:$B,人员表!$B:$G,MATCH("医疗组",人员表!$B$3:$G$3,0),0))*中层绩效!$E43,0),0),0)</f>
        <v>0</v>
      </c>
      <c r="L43" s="50">
        <f>IFERROR(ROUND(IF($D43="主任",VLOOKUP($B:$B,科室绩效工资核算1!$B:L,MATCH("麻醉风险积分", 科室绩效工资核算1!$B$3:$AN$3,0),0)/(中层绩效!$E43+VLOOKUP($B:$B,人员表!$B:$G,MATCH("医疗组",人员表!$B$3:$G$3,0),0))*中层绩效!$E43,0),0),0)</f>
        <v>0</v>
      </c>
      <c r="M43" s="50">
        <f>IFERROR(ROUND(IF($D43="主任",VLOOKUP($B:$B,科室绩效工资核算1!$B:M,MATCH("分娩风险积分", 科室绩效工资核算1!$B$3:$AN$3,0),0)/(中层绩效!$E43+VLOOKUP($B:$B,人员表!$B:$G,MATCH("医疗组",人员表!$B$3:$G$3,0),0))*中层绩效!$E43,0),0),0)</f>
        <v>0</v>
      </c>
      <c r="N43" s="50">
        <f>IFERROR(ROUND(IF($D43="主任",VLOOKUP($B:$B,科室绩效工资核算1!$B:N,MATCH("肿瘤支气管镜", 科室绩效工资核算1!$B$3:$AN$3,0),0)/(中层绩效!$E43+VLOOKUP($B:$B,人员表!$B:$G,MATCH("医疗组",人员表!$B$3:$G$3,0),0))*中层绩效!$E43,0),0),0)</f>
        <v>0</v>
      </c>
      <c r="O43" s="50">
        <f>IFERROR(ROUND(IF($D43="主任",VLOOKUP($B:$B,科室绩效工资核算1!$B:O,MATCH("会诊风险积分", 科室绩效工资核算1!$B$3:$AN$3,0),0)/(中层绩效!$E43+VLOOKUP($B:$B,人员表!$B:$G,MATCH("医疗组",人员表!$B$3:$G$3,0),0))*中层绩效!$E43,0),0),0)</f>
        <v>0</v>
      </c>
      <c r="P43" s="50">
        <f>IFERROR(ROUND(IF($D43="主任",VLOOKUP($B:$B,科室绩效工资核算1!$B:P,MATCH("换药风险积分", 科室绩效工资核算1!$B$3:$AN$3,0),0)/(中层绩效!$E43+VLOOKUP($B:$B,人员表!$B:$G,MATCH("医疗组",人员表!$B$3:$G$3,0),0))*中层绩效!$E43,0),0),0)</f>
        <v>0</v>
      </c>
      <c r="Q43" s="50">
        <f>IFERROR(ROUND(IF($D43="主任",VLOOKUP($B:$B,科室绩效工资核算1!$B:Q,MATCH("功能康复积分", 科室绩效工资核算1!$B$3:$AN$3,0),0)/(中层绩效!$E43+VLOOKUP($B:$B,人员表!$B:$G,MATCH("医疗组",人员表!$B$3:$G$3,0),0))*中层绩效!$E43,0),0),0)</f>
        <v>0</v>
      </c>
      <c r="R43" s="50">
        <f>IFERROR(ROUND(IF($D43="主任",VLOOKUP($B:$B,科室绩效工资核算1!$B:R,MATCH("中医外治积分", 科室绩效工资核算1!$B$3:$AN$3,0),0)/(中层绩效!$E43+VLOOKUP($B:$B,人员表!$B:$G,MATCH("医疗组",人员表!$B$3:$G$3,0),0))*中层绩效!$E43,0),0),0)</f>
        <v>0</v>
      </c>
      <c r="S43" s="50">
        <f>IFERROR(ROUND(IF($D43="主任",VLOOKUP($B:$B,科室绩效工资核算1!$B:S,MATCH("中药积分", 科室绩效工资核算1!$B$3:$AN$3,0),0)/(中层绩效!$E43+VLOOKUP($B:$B,人员表!$B:$G,MATCH("医疗组",人员表!$B$3:$G$3,0),0))*中层绩效!$E43,0),0),0)</f>
        <v>0</v>
      </c>
      <c r="T43" s="50">
        <f>IFERROR(ROUND(IF($D43="护士长",VLOOKUP($B:$B,科室绩效工资核算1!$B:T,MATCH("护理风险积分", 科室绩效工资核算1!$B$3:$AN$3,0),0)/(0.44*中层绩效!$E43+VLOOKUP($B:$B,人员表!$B:$G,MATCH("护理组",人员表!$B$3:$G$3,0),0))*中层绩效!$E43,0)*0.44,0),0)</f>
        <v>128</v>
      </c>
      <c r="U43" s="43">
        <f>F43*科室绩效工资核算1!AQ$7</f>
        <v>0</v>
      </c>
      <c r="V43" s="43">
        <f t="shared" si="0"/>
        <v>546.45478400000002</v>
      </c>
      <c r="W43" s="43">
        <f>V43*科室绩效工资核算1!AQ$10</f>
        <v>587.82141114880005</v>
      </c>
    </row>
    <row r="44" spans="2:23" x14ac:dyDescent="0.25">
      <c r="B44" s="51" t="str">
        <f>中层系数!B44</f>
        <v>烧伤肛肠科</v>
      </c>
      <c r="C44" s="5" t="str">
        <f>中层系数!C44</f>
        <v>测试41</v>
      </c>
      <c r="D44" s="5" t="str">
        <f>VLOOKUP(C:C,中层系数!C:I,7,0)</f>
        <v>主任</v>
      </c>
      <c r="E44" s="5">
        <f>VLOOKUP(C:C,中层系数!C:I,6,0)</f>
        <v>2</v>
      </c>
      <c r="F44" s="5">
        <f>VLOOKUP(C:C,中层系数!C:I,5,0)</f>
        <v>0</v>
      </c>
      <c r="G44" s="43">
        <f>IF(OR(D44="主任",D44="副主任"),VLOOKUP($B:$B,人员表!$B:$G,MATCH("医生基础人均",人员表!$B$3:$G$3),0)*中层绩效!E44,VLOOKUP($B:$B,人员表!$B:$G,MATCH("护理基础人均",人员表!$B$3:$G$3,0),0)*E44)</f>
        <v>3462</v>
      </c>
      <c r="H44" s="50">
        <f>IFERROR(ROUND(IF(D44="主任",VLOOKUP($B:$B,科室绩效工资核算1!$B:H,MATCH("首诊风险积分", 科室绩效工资核算1!$B$3:$AN$3,0),0)/(中层绩效!$E44+VLOOKUP($B:$B,人员表!$B:$G,MATCH("医疗组",人员表!$B$3:$G$3,0),0))*中层绩效!$E44,0),0),0)</f>
        <v>96</v>
      </c>
      <c r="I44" s="50">
        <f>IFERROR(ROUND(IF($D44="主任",VLOOKUP($B:$B,科室绩效工资核算1!$B:I,MATCH("病历质量积分", 科室绩效工资核算1!$B$3:$AN$3,0),0)/(中层绩效!$E44+VLOOKUP($B:$B,人员表!$B:$G,MATCH("医疗组",人员表!$B$3:$G$3,0),0))*中层绩效!$E44,0),0),0)</f>
        <v>56</v>
      </c>
      <c r="J44" s="50">
        <f>IFERROR(ROUND(IF($D44="主任",VLOOKUP($B:$B,科室绩效工资核算1!$B:J,MATCH("门诊人次积分", 科室绩效工资核算1!$B$3:$AN$3,0),0)/(中层绩效!$E44+VLOOKUP($B:$B,人员表!$B:$G,MATCH("医疗组",人员表!$B$3:$G$3,0),0))*中层绩效!$E44,0),0),0)</f>
        <v>27</v>
      </c>
      <c r="K44" s="50">
        <f>IFERROR(ROUND(IF($D44="主任",VLOOKUP($B:$B,科室绩效工资核算1!$B:K,MATCH("临床路径积分", 科室绩效工资核算1!$B$3:$AN$3,0),0)/(中层绩效!$E44+VLOOKUP($B:$B,人员表!$B:$G,MATCH("医疗组",人员表!$B$3:$G$3,0),0))*中层绩效!$E44,0),0),0)</f>
        <v>0</v>
      </c>
      <c r="L44" s="50">
        <f>IFERROR(ROUND(IF($D44="主任",VLOOKUP($B:$B,科室绩效工资核算1!$B:L,MATCH("麻醉风险积分", 科室绩效工资核算1!$B$3:$AN$3,0),0)/(中层绩效!$E44+VLOOKUP($B:$B,人员表!$B:$G,MATCH("医疗组",人员表!$B$3:$G$3,0),0))*中层绩效!$E44,0),0),0)</f>
        <v>16</v>
      </c>
      <c r="M44" s="50">
        <f>IFERROR(ROUND(IF($D44="主任",VLOOKUP($B:$B,科室绩效工资核算1!$B:M,MATCH("分娩风险积分", 科室绩效工资核算1!$B$3:$AN$3,0),0)/(中层绩效!$E44+VLOOKUP($B:$B,人员表!$B:$G,MATCH("医疗组",人员表!$B$3:$G$3,0),0))*中层绩效!$E44,0),0),0)</f>
        <v>0</v>
      </c>
      <c r="N44" s="50">
        <f>IFERROR(ROUND(IF($D44="主任",VLOOKUP($B:$B,科室绩效工资核算1!$B:N,MATCH("肿瘤支气管镜", 科室绩效工资核算1!$B$3:$AN$3,0),0)/(中层绩效!$E44+VLOOKUP($B:$B,人员表!$B:$G,MATCH("医疗组",人员表!$B$3:$G$3,0),0))*中层绩效!$E44,0),0),0)</f>
        <v>0</v>
      </c>
      <c r="O44" s="50">
        <f>IFERROR(ROUND(IF($D44="主任",VLOOKUP($B:$B,科室绩效工资核算1!$B:O,MATCH("会诊风险积分", 科室绩效工资核算1!$B$3:$AN$3,0),0)/(中层绩效!$E44+VLOOKUP($B:$B,人员表!$B:$G,MATCH("医疗组",人员表!$B$3:$G$3,0),0))*中层绩效!$E44,0),0),0)</f>
        <v>24</v>
      </c>
      <c r="P44" s="50">
        <f>IFERROR(ROUND(IF($D44="主任",VLOOKUP($B:$B,科室绩效工资核算1!$B:P,MATCH("换药风险积分", 科室绩效工资核算1!$B$3:$AN$3,0),0)/(中层绩效!$E44+VLOOKUP($B:$B,人员表!$B:$G,MATCH("医疗组",人员表!$B$3:$G$3,0),0))*中层绩效!$E44,0),0),0)</f>
        <v>191</v>
      </c>
      <c r="Q44" s="50">
        <f>IFERROR(ROUND(IF($D44="主任",VLOOKUP($B:$B,科室绩效工资核算1!$B:Q,MATCH("功能康复积分", 科室绩效工资核算1!$B$3:$AN$3,0),0)/(中层绩效!$E44+VLOOKUP($B:$B,人员表!$B:$G,MATCH("医疗组",人员表!$B$3:$G$3,0),0))*中层绩效!$E44,0),0),0)</f>
        <v>0</v>
      </c>
      <c r="R44" s="50">
        <f>IFERROR(ROUND(IF($D44="主任",VLOOKUP($B:$B,科室绩效工资核算1!$B:R,MATCH("中医外治积分", 科室绩效工资核算1!$B$3:$AN$3,0),0)/(中层绩效!$E44+VLOOKUP($B:$B,人员表!$B:$G,MATCH("医疗组",人员表!$B$3:$G$3,0),0))*中层绩效!$E44,0),0),0)</f>
        <v>167</v>
      </c>
      <c r="S44" s="50">
        <f>IFERROR(ROUND(IF($D44="主任",VLOOKUP($B:$B,科室绩效工资核算1!$B:S,MATCH("中药积分", 科室绩效工资核算1!$B$3:$AN$3,0),0)/(中层绩效!$E44+VLOOKUP($B:$B,人员表!$B:$G,MATCH("医疗组",人员表!$B$3:$G$3,0),0))*中层绩效!$E44,0),0),0)</f>
        <v>0</v>
      </c>
      <c r="T44" s="50">
        <f>IFERROR(ROUND(IF($D44="护士长",VLOOKUP($B:$B,科室绩效工资核算1!$B:T,MATCH("护理风险积分", 科室绩效工资核算1!$B$3:$AN$3,0),0)/(中层绩效!$E44+VLOOKUP($B:$B,人员表!$B:$G,MATCH("护理组",人员表!$B$3:$G$3,0),0))*中层绩效!$E44,0),0),0)</f>
        <v>0</v>
      </c>
      <c r="U44" s="43">
        <f>F44*科室绩效工资核算1!AQ$7</f>
        <v>0</v>
      </c>
      <c r="V44" s="43">
        <f t="shared" si="0"/>
        <v>4039</v>
      </c>
      <c r="W44" s="43">
        <f>V44*科室绩效工资核算1!AQ$10</f>
        <v>4344.7523000000001</v>
      </c>
    </row>
    <row r="45" spans="2:23" x14ac:dyDescent="0.25">
      <c r="B45" s="51" t="str">
        <f>中层系数!B45</f>
        <v>肿瘤科</v>
      </c>
      <c r="C45" s="5" t="str">
        <f>中层系数!C45</f>
        <v>测试42</v>
      </c>
      <c r="D45" s="5" t="str">
        <f>VLOOKUP(C:C,中层系数!C:I,7,0)</f>
        <v>主任</v>
      </c>
      <c r="E45" s="5">
        <f>VLOOKUP(C:C,中层系数!C:I,6,0)</f>
        <v>2</v>
      </c>
      <c r="F45" s="5">
        <f>VLOOKUP(C:C,中层系数!C:I,5,0)</f>
        <v>0</v>
      </c>
      <c r="G45" s="43">
        <f>IF(OR(D45="主任",D45="副主任"),VLOOKUP($B:$B,人员表!$B:$G,MATCH("医生基础人均",人员表!$B$3:$G$3),0)*中层绩效!E45,VLOOKUP($B:$B,人员表!$B:$G,MATCH("护理基础人均",人员表!$B$3:$G$3,0),0)*E45)</f>
        <v>4866</v>
      </c>
      <c r="H45" s="50">
        <f>IFERROR(ROUND(IF(D45="主任",VLOOKUP($B:$B,科室绩效工资核算1!$B:H,MATCH("首诊风险积分", 科室绩效工资核算1!$B$3:$AN$3,0),0)/(中层绩效!$E45+VLOOKUP($B:$B,人员表!$B:$G,MATCH("医疗组",人员表!$B$3:$G$3,0),0))*中层绩效!$E45,0),0),0)</f>
        <v>522</v>
      </c>
      <c r="I45" s="50">
        <f>IFERROR(ROUND(IF($D45="主任",VLOOKUP($B:$B,科室绩效工资核算1!$B:I,MATCH("病历质量积分", 科室绩效工资核算1!$B$3:$AN$3,0),0)/(中层绩效!$E45+VLOOKUP($B:$B,人员表!$B:$G,MATCH("医疗组",人员表!$B$3:$G$3,0),0))*中层绩效!$E45,0),0),0)</f>
        <v>221</v>
      </c>
      <c r="J45" s="50">
        <f>IFERROR(ROUND(IF($D45="主任",VLOOKUP($B:$B,科室绩效工资核算1!$B:J,MATCH("门诊人次积分", 科室绩效工资核算1!$B$3:$AN$3,0),0)/(中层绩效!$E45+VLOOKUP($B:$B,人员表!$B:$G,MATCH("医疗组",人员表!$B$3:$G$3,0),0))*中层绩效!$E45,0),0),0)</f>
        <v>104</v>
      </c>
      <c r="K45" s="50">
        <f>IFERROR(ROUND(IF($D45="主任",VLOOKUP($B:$B,科室绩效工资核算1!$B:K,MATCH("临床路径积分", 科室绩效工资核算1!$B$3:$AN$3,0),0)/(中层绩效!$E45+VLOOKUP($B:$B,人员表!$B:$G,MATCH("医疗组",人员表!$B$3:$G$3,0),0))*中层绩效!$E45,0),0),0)</f>
        <v>0</v>
      </c>
      <c r="L45" s="50">
        <f>IFERROR(ROUND(IF($D45="主任",VLOOKUP($B:$B,科室绩效工资核算1!$B:L,MATCH("麻醉风险积分", 科室绩效工资核算1!$B$3:$AN$3,0),0)/(中层绩效!$E45+VLOOKUP($B:$B,人员表!$B:$G,MATCH("医疗组",人员表!$B$3:$G$3,0),0))*中层绩效!$E45,0),0),0)</f>
        <v>0</v>
      </c>
      <c r="M45" s="50">
        <f>IFERROR(ROUND(IF($D45="主任",VLOOKUP($B:$B,科室绩效工资核算1!$B:M,MATCH("分娩风险积分", 科室绩效工资核算1!$B$3:$AN$3,0),0)/(中层绩效!$E45+VLOOKUP($B:$B,人员表!$B:$G,MATCH("医疗组",人员表!$B$3:$G$3,0),0))*中层绩效!$E45,0),0),0)</f>
        <v>0</v>
      </c>
      <c r="N45" s="50">
        <f>IFERROR(ROUND(IF($D45="主任",VLOOKUP($B:$B,科室绩效工资核算1!$B:N,MATCH("肿瘤支气管镜", 科室绩效工资核算1!$B$3:$AN$3,0),0)/(中层绩效!$E45+VLOOKUP($B:$B,人员表!$B:$G,MATCH("医疗组",人员表!$B$3:$G$3,0),0))*中层绩效!$E45,0),0),0)</f>
        <v>8</v>
      </c>
      <c r="O45" s="50">
        <f>IFERROR(ROUND(IF($D45="主任",VLOOKUP($B:$B,科室绩效工资核算1!$B:O,MATCH("会诊风险积分", 科室绩效工资核算1!$B$3:$AN$3,0),0)/(中层绩效!$E45+VLOOKUP($B:$B,人员表!$B:$G,MATCH("医疗组",人员表!$B$3:$G$3,0),0))*中层绩效!$E45,0),0),0)</f>
        <v>36</v>
      </c>
      <c r="P45" s="50">
        <f>IFERROR(ROUND(IF($D45="主任",VLOOKUP($B:$B,科室绩效工资核算1!$B:P,MATCH("换药风险积分", 科室绩效工资核算1!$B$3:$AN$3,0),0)/(中层绩效!$E45+VLOOKUP($B:$B,人员表!$B:$G,MATCH("医疗组",人员表!$B$3:$G$3,0),0))*中层绩效!$E45,0),0),0)</f>
        <v>192</v>
      </c>
      <c r="Q45" s="50">
        <f>IFERROR(ROUND(IF($D45="主任",VLOOKUP($B:$B,科室绩效工资核算1!$B:Q,MATCH("功能康复积分", 科室绩效工资核算1!$B$3:$AN$3,0),0)/(中层绩效!$E45+VLOOKUP($B:$B,人员表!$B:$G,MATCH("医疗组",人员表!$B$3:$G$3,0),0))*中层绩效!$E45,0),0),0)</f>
        <v>0</v>
      </c>
      <c r="R45" s="50">
        <f>IFERROR(ROUND(IF($D45="主任",VLOOKUP($B:$B,科室绩效工资核算1!$B:R,MATCH("中医外治积分", 科室绩效工资核算1!$B$3:$AN$3,0),0)/(中层绩效!$E45+VLOOKUP($B:$B,人员表!$B:$G,MATCH("医疗组",人员表!$B$3:$G$3,0),0))*中层绩效!$E45,0),0),0)</f>
        <v>5</v>
      </c>
      <c r="S45" s="50">
        <f>IFERROR(ROUND(IF($D45="主任",VLOOKUP($B:$B,科室绩效工资核算1!$B:S,MATCH("中药积分", 科室绩效工资核算1!$B$3:$AN$3,0),0)/(中层绩效!$E45+VLOOKUP($B:$B,人员表!$B:$G,MATCH("医疗组",人员表!$B$3:$G$3,0),0))*中层绩效!$E45,0),0),0)</f>
        <v>0</v>
      </c>
      <c r="T45" s="50">
        <f>IFERROR(ROUND(IF($D45="护士长",VLOOKUP($B:$B,科室绩效工资核算1!$B:T,MATCH("护理风险积分", 科室绩效工资核算1!$B$3:$AN$3,0),0)/(中层绩效!$E45+VLOOKUP($B:$B,人员表!$B:$G,MATCH("护理组",人员表!$B$3:$G$3,0),0))*中层绩效!$E45,0),0),0)</f>
        <v>0</v>
      </c>
      <c r="U45" s="43">
        <f>F45*科室绩效工资核算1!AQ$7</f>
        <v>0</v>
      </c>
      <c r="V45" s="43">
        <f t="shared" si="0"/>
        <v>5954</v>
      </c>
      <c r="W45" s="43">
        <f>V45*科室绩效工资核算1!AQ$10</f>
        <v>6404.7178000000004</v>
      </c>
    </row>
    <row r="46" spans="2:23" x14ac:dyDescent="0.25">
      <c r="B46" s="51" t="str">
        <f>中层系数!B46</f>
        <v>肿瘤科</v>
      </c>
      <c r="C46" s="5" t="str">
        <f>中层系数!C46</f>
        <v>测试43</v>
      </c>
      <c r="D46" s="5" t="str">
        <f>VLOOKUP(C:C,中层系数!C:I,7,0)</f>
        <v>护士长</v>
      </c>
      <c r="E46" s="5">
        <f>VLOOKUP(C:C,中层系数!C:I,6,0)</f>
        <v>1.44</v>
      </c>
      <c r="F46" s="5">
        <f>VLOOKUP(C:C,中层系数!C:I,5,0)</f>
        <v>0</v>
      </c>
      <c r="G46" s="43">
        <f>IF(OR(D46="主任",D46="副主任"),VLOOKUP($B:$B,人员表!$B:$G,MATCH("医生基础人均",人员表!$B$3:$G$3),0)*中层绩效!E46,VLOOKUP($B:$B,人员表!$B:$G,MATCH("护理基础人均",人员表!$B$3:$G$3,0),0)*E46)</f>
        <v>2894.4</v>
      </c>
      <c r="H46" s="50">
        <f>IFERROR(ROUND(IF(D46="主任",VLOOKUP($B:$B,科室绩效工资核算1!$B:H,MATCH("首诊风险积分", 科室绩效工资核算1!$B$3:$AN$3,0),0)/(中层绩效!$E46+VLOOKUP($B:$B,人员表!$B:$G,MATCH("医疗组",人员表!$B$3:$G$3,0),0))*中层绩效!$E46,0),0),0)</f>
        <v>0</v>
      </c>
      <c r="I46" s="50">
        <f>IFERROR(ROUND(IF($D46="主任",VLOOKUP($B:$B,科室绩效工资核算1!$B:I,MATCH("病历质量积分", 科室绩效工资核算1!$B$3:$AN$3,0),0)/(中层绩效!$E46+VLOOKUP($B:$B,人员表!$B:$G,MATCH("医疗组",人员表!$B$3:$G$3,0),0))*中层绩效!$E46,0),0),0)</f>
        <v>0</v>
      </c>
      <c r="J46" s="50">
        <f>IFERROR(ROUND(IF($D46="主任",VLOOKUP($B:$B,科室绩效工资核算1!$B:J,MATCH("门诊人次积分", 科室绩效工资核算1!$B$3:$AN$3,0),0)/(中层绩效!$E46+VLOOKUP($B:$B,人员表!$B:$G,MATCH("医疗组",人员表!$B$3:$G$3,0),0))*中层绩效!$E46,0),0),0)</f>
        <v>0</v>
      </c>
      <c r="K46" s="50">
        <f>IFERROR(ROUND(IF($D46="主任",VLOOKUP($B:$B,科室绩效工资核算1!$B:K,MATCH("临床路径积分", 科室绩效工资核算1!$B$3:$AN$3,0),0)/(中层绩效!$E46+VLOOKUP($B:$B,人员表!$B:$G,MATCH("医疗组",人员表!$B$3:$G$3,0),0))*中层绩效!$E46,0),0),0)</f>
        <v>0</v>
      </c>
      <c r="L46" s="50">
        <f>IFERROR(ROUND(IF($D46="主任",VLOOKUP($B:$B,科室绩效工资核算1!$B:L,MATCH("麻醉风险积分", 科室绩效工资核算1!$B$3:$AN$3,0),0)/(中层绩效!$E46+VLOOKUP($B:$B,人员表!$B:$G,MATCH("医疗组",人员表!$B$3:$G$3,0),0))*中层绩效!$E46,0),0),0)</f>
        <v>0</v>
      </c>
      <c r="M46" s="50">
        <f>IFERROR(ROUND(IF($D46="主任",VLOOKUP($B:$B,科室绩效工资核算1!$B:M,MATCH("分娩风险积分", 科室绩效工资核算1!$B$3:$AN$3,0),0)/(中层绩效!$E46+VLOOKUP($B:$B,人员表!$B:$G,MATCH("医疗组",人员表!$B$3:$G$3,0),0))*中层绩效!$E46,0),0),0)</f>
        <v>0</v>
      </c>
      <c r="N46" s="50">
        <f>IFERROR(ROUND(IF($D46="主任",VLOOKUP($B:$B,科室绩效工资核算1!$B:N,MATCH("肿瘤支气管镜", 科室绩效工资核算1!$B$3:$AN$3,0),0)/(中层绩效!$E46+VLOOKUP($B:$B,人员表!$B:$G,MATCH("医疗组",人员表!$B$3:$G$3,0),0))*中层绩效!$E46,0),0),0)</f>
        <v>0</v>
      </c>
      <c r="O46" s="50">
        <f>IFERROR(ROUND(IF($D46="主任",VLOOKUP($B:$B,科室绩效工资核算1!$B:O,MATCH("会诊风险积分", 科室绩效工资核算1!$B$3:$AN$3,0),0)/(中层绩效!$E46+VLOOKUP($B:$B,人员表!$B:$G,MATCH("医疗组",人员表!$B$3:$G$3,0),0))*中层绩效!$E46,0),0),0)</f>
        <v>0</v>
      </c>
      <c r="P46" s="50">
        <f>IFERROR(ROUND(IF($D46="主任",VLOOKUP($B:$B,科室绩效工资核算1!$B:P,MATCH("换药风险积分", 科室绩效工资核算1!$B$3:$AN$3,0),0)/(中层绩效!$E46+VLOOKUP($B:$B,人员表!$B:$G,MATCH("医疗组",人员表!$B$3:$G$3,0),0))*中层绩效!$E46,0),0),0)</f>
        <v>0</v>
      </c>
      <c r="Q46" s="50">
        <f>IFERROR(ROUND(IF($D46="主任",VLOOKUP($B:$B,科室绩效工资核算1!$B:Q,MATCH("功能康复积分", 科室绩效工资核算1!$B$3:$AN$3,0),0)/(中层绩效!$E46+VLOOKUP($B:$B,人员表!$B:$G,MATCH("医疗组",人员表!$B$3:$G$3,0),0))*中层绩效!$E46,0),0),0)</f>
        <v>0</v>
      </c>
      <c r="R46" s="50">
        <f>IFERROR(ROUND(IF($D46="主任",VLOOKUP($B:$B,科室绩效工资核算1!$B:R,MATCH("中医外治积分", 科室绩效工资核算1!$B$3:$AN$3,0),0)/(中层绩效!$E46+VLOOKUP($B:$B,人员表!$B:$G,MATCH("医疗组",人员表!$B$3:$G$3,0),0))*中层绩效!$E46,0),0),0)</f>
        <v>0</v>
      </c>
      <c r="S46" s="50">
        <f>IFERROR(ROUND(IF($D46="主任",VLOOKUP($B:$B,科室绩效工资核算1!$B:S,MATCH("中药积分", 科室绩效工资核算1!$B$3:$AN$3,0),0)/(中层绩效!$E46+VLOOKUP($B:$B,人员表!$B:$G,MATCH("医疗组",人员表!$B$3:$G$3,0),0))*中层绩效!$E46,0),0),0)</f>
        <v>0</v>
      </c>
      <c r="T46" s="50">
        <f>IFERROR(ROUND(IF($D46="护士长",VLOOKUP($B:$B,科室绩效工资核算1!$B:T,MATCH("护理风险积分", 科室绩效工资核算1!$B$3:$AN$3,0),0)/(中层绩效!$E46+VLOOKUP($B:$B,人员表!$B:$G,MATCH("护理组",人员表!$B$3:$G$3,0),0))*中层绩效!$E46,0),0),0)</f>
        <v>597</v>
      </c>
      <c r="U46" s="43">
        <f>F46*科室绩效工资核算1!AQ$7</f>
        <v>0</v>
      </c>
      <c r="V46" s="43">
        <f t="shared" si="0"/>
        <v>3491.4</v>
      </c>
      <c r="W46" s="43">
        <f>V46*科室绩效工资核算1!AQ$10</f>
        <v>3755.6989800000006</v>
      </c>
    </row>
    <row r="47" spans="2:23" x14ac:dyDescent="0.25">
      <c r="B47" s="51" t="str">
        <f>中层系数!B47</f>
        <v>ICU</v>
      </c>
      <c r="C47" s="5" t="str">
        <f>中层系数!C47</f>
        <v>测试44</v>
      </c>
      <c r="D47" s="5" t="str">
        <f>VLOOKUP(C:C,中层系数!C:I,7,0)</f>
        <v>主任</v>
      </c>
      <c r="E47" s="5">
        <f>VLOOKUP(C:C,中层系数!C:I,6,0)</f>
        <v>2</v>
      </c>
      <c r="F47" s="5">
        <f>VLOOKUP(C:C,中层系数!C:I,5,0)</f>
        <v>0</v>
      </c>
      <c r="G47" s="43">
        <f>IF(OR(D47="主任",D47="副主任"),VLOOKUP($B:$B,人员表!$B:$G,MATCH("医生基础人均",人员表!$B$3:$G$3),0)*中层绩效!E47,VLOOKUP($B:$B,人员表!$B:$G,MATCH("护理基础人均",人员表!$B$3:$G$3,0),0)*E47)</f>
        <v>624</v>
      </c>
      <c r="H47" s="50">
        <f>IFERROR(ROUND(IF(D47="主任",VLOOKUP($B:$B,科室绩效工资核算1!$B:H,MATCH("首诊风险积分", 科室绩效工资核算1!$B$3:$AN$3,0),0)/(中层绩效!$E47+VLOOKUP($B:$B,人员表!$B:$G,MATCH("医疗组",人员表!$B$3:$G$3,0),0))*中层绩效!$E47,0),0),0)</f>
        <v>236</v>
      </c>
      <c r="I47" s="50">
        <f>IFERROR(ROUND(IF($D47="主任",VLOOKUP($B:$B,科室绩效工资核算1!$B:I,MATCH("病历质量积分", 科室绩效工资核算1!$B$3:$AN$3,0),0)/(中层绩效!$E47+VLOOKUP($B:$B,人员表!$B:$G,MATCH("医疗组",人员表!$B$3:$G$3,0),0))*中层绩效!$E47,0),0),0)</f>
        <v>0</v>
      </c>
      <c r="J47" s="50">
        <f>IFERROR(ROUND(IF($D47="主任",VLOOKUP($B:$B,科室绩效工资核算1!$B:J,MATCH("门诊人次积分", 科室绩效工资核算1!$B$3:$AN$3,0),0)/(中层绩效!$E47+VLOOKUP($B:$B,人员表!$B:$G,MATCH("医疗组",人员表!$B$3:$G$3,0),0))*中层绩效!$E47,0),0),0)</f>
        <v>0</v>
      </c>
      <c r="K47" s="50">
        <f>IFERROR(ROUND(IF($D47="主任",VLOOKUP($B:$B,科室绩效工资核算1!$B:K,MATCH("临床路径积分", 科室绩效工资核算1!$B$3:$AN$3,0),0)/(中层绩效!$E47+VLOOKUP($B:$B,人员表!$B:$G,MATCH("医疗组",人员表!$B$3:$G$3,0),0))*中层绩效!$E47,0),0),0)</f>
        <v>0</v>
      </c>
      <c r="L47" s="50">
        <f>IFERROR(ROUND(IF($D47="主任",VLOOKUP($B:$B,科室绩效工资核算1!$B:L,MATCH("麻醉风险积分", 科室绩效工资核算1!$B$3:$AN$3,0),0)/(中层绩效!$E47+VLOOKUP($B:$B,人员表!$B:$G,MATCH("医疗组",人员表!$B$3:$G$3,0),0))*中层绩效!$E47,0),0),0)</f>
        <v>0</v>
      </c>
      <c r="M47" s="50">
        <f>IFERROR(ROUND(IF($D47="主任",VLOOKUP($B:$B,科室绩效工资核算1!$B:M,MATCH("分娩风险积分", 科室绩效工资核算1!$B$3:$AN$3,0),0)/(中层绩效!$E47+VLOOKUP($B:$B,人员表!$B:$G,MATCH("医疗组",人员表!$B$3:$G$3,0),0))*中层绩效!$E47,0),0),0)</f>
        <v>0</v>
      </c>
      <c r="N47" s="50">
        <f>IFERROR(ROUND(IF($D47="主任",VLOOKUP($B:$B,科室绩效工资核算1!$B:N,MATCH("肿瘤支气管镜", 科室绩效工资核算1!$B$3:$AN$3,0),0)/(中层绩效!$E47+VLOOKUP($B:$B,人员表!$B:$G,MATCH("医疗组",人员表!$B$3:$G$3,0),0))*中层绩效!$E47,0),0),0)</f>
        <v>0</v>
      </c>
      <c r="O47" s="50">
        <f>IFERROR(ROUND(IF($D47="主任",VLOOKUP($B:$B,科室绩效工资核算1!$B:O,MATCH("会诊风险积分", 科室绩效工资核算1!$B$3:$AN$3,0),0)/(中层绩效!$E47+VLOOKUP($B:$B,人员表!$B:$G,MATCH("医疗组",人员表!$B$3:$G$3,0),0))*中层绩效!$E47,0),0),0)</f>
        <v>108</v>
      </c>
      <c r="P47" s="50">
        <f>IFERROR(ROUND(IF($D47="主任",VLOOKUP($B:$B,科室绩效工资核算1!$B:P,MATCH("换药风险积分", 科室绩效工资核算1!$B$3:$AN$3,0),0)/(中层绩效!$E47+VLOOKUP($B:$B,人员表!$B:$G,MATCH("医疗组",人员表!$B$3:$G$3,0),0))*中层绩效!$E47,0),0),0)</f>
        <v>0</v>
      </c>
      <c r="Q47" s="50">
        <f>IFERROR(ROUND(IF($D47="主任",VLOOKUP($B:$B,科室绩效工资核算1!$B:Q,MATCH("功能康复积分", 科室绩效工资核算1!$B$3:$AN$3,0),0)/(中层绩效!$E47+VLOOKUP($B:$B,人员表!$B:$G,MATCH("医疗组",人员表!$B$3:$G$3,0),0))*中层绩效!$E47,0),0),0)</f>
        <v>518</v>
      </c>
      <c r="R47" s="50">
        <f>IFERROR(ROUND(IF($D47="主任",VLOOKUP($B:$B,科室绩效工资核算1!$B:R,MATCH("中医外治积分", 科室绩效工资核算1!$B$3:$AN$3,0),0)/(中层绩效!$E47+VLOOKUP($B:$B,人员表!$B:$G,MATCH("医疗组",人员表!$B$3:$G$3,0),0))*中层绩效!$E47,0),0),0)</f>
        <v>0</v>
      </c>
      <c r="S47" s="50">
        <f>IFERROR(ROUND(IF($D47="主任",VLOOKUP($B:$B,科室绩效工资核算1!$B:S,MATCH("中药积分", 科室绩效工资核算1!$B$3:$AN$3,0),0)/(中层绩效!$E47+VLOOKUP($B:$B,人员表!$B:$G,MATCH("医疗组",人员表!$B$3:$G$3,0),0))*中层绩效!$E47,0),0),0)</f>
        <v>0</v>
      </c>
      <c r="T47" s="50">
        <f>IFERROR(ROUND(IF($D47="护士长",VLOOKUP($B:$B,科室绩效工资核算1!$B:T,MATCH("护理风险积分", 科室绩效工资核算1!$B$3:$AN$3,0),0)/(中层绩效!$E47+VLOOKUP($B:$B,人员表!$B:$G,MATCH("护理组",人员表!$B$3:$G$3,0),0))*中层绩效!$E47,0),0),0)</f>
        <v>0</v>
      </c>
      <c r="U47" s="43">
        <f>F47*科室绩效工资核算1!AQ$7</f>
        <v>0</v>
      </c>
      <c r="V47" s="43">
        <f t="shared" si="0"/>
        <v>1486</v>
      </c>
      <c r="W47" s="43">
        <f>V47*科室绩效工资核算1!AQ$10</f>
        <v>1598.4902000000002</v>
      </c>
    </row>
    <row r="48" spans="2:23" ht="12.5" customHeight="1" x14ac:dyDescent="0.25">
      <c r="B48" s="51" t="str">
        <f>中层系数!B48</f>
        <v>ICU</v>
      </c>
      <c r="C48" s="5" t="str">
        <f>中层系数!C48</f>
        <v>测试45</v>
      </c>
      <c r="D48" s="5" t="str">
        <f>VLOOKUP(C:C,中层系数!C:I,7,0)</f>
        <v>护士长</v>
      </c>
      <c r="E48" s="5">
        <f>VLOOKUP(C:C,中层系数!C:I,6,0)</f>
        <v>1.44</v>
      </c>
      <c r="F48" s="5">
        <f>VLOOKUP(C:C,中层系数!C:I,5,0)</f>
        <v>0</v>
      </c>
      <c r="G48" s="43">
        <f>IF(OR(D48="主任",D48="副主任"),VLOOKUP($B:$B,人员表!$B:$G,MATCH("医生基础人均",人员表!$B$3:$G$3),0)*中层绩效!E48,VLOOKUP($B:$B,人员表!$B:$G,MATCH("护理基础人均",人员表!$B$3:$G$3,0),0)*E48)</f>
        <v>449.28</v>
      </c>
      <c r="H48" s="50">
        <f>IFERROR(ROUND(IF(D48="主任",VLOOKUP($B:$B,科室绩效工资核算1!$B:H,MATCH("首诊风险积分", 科室绩效工资核算1!$B$3:$AN$3,0),0)/(中层绩效!$E48+VLOOKUP($B:$B,人员表!$B:$G,MATCH("医疗组",人员表!$B$3:$G$3,0),0))*中层绩效!$E48,0),0),0)</f>
        <v>0</v>
      </c>
      <c r="I48" s="50">
        <f>IFERROR(ROUND(IF($D48="主任",VLOOKUP($B:$B,科室绩效工资核算1!$B:I,MATCH("病历质量积分", 科室绩效工资核算1!$B$3:$AN$3,0),0)/(中层绩效!$E48+VLOOKUP($B:$B,人员表!$B:$G,MATCH("医疗组",人员表!$B$3:$G$3,0),0))*中层绩效!$E48,0),0),0)</f>
        <v>0</v>
      </c>
      <c r="J48" s="50">
        <f>IFERROR(ROUND(IF($D48="主任",VLOOKUP($B:$B,科室绩效工资核算1!$B:J,MATCH("门诊人次积分", 科室绩效工资核算1!$B$3:$AN$3,0),0)/(中层绩效!$E48+VLOOKUP($B:$B,人员表!$B:$G,MATCH("医疗组",人员表!$B$3:$G$3,0),0))*中层绩效!$E48,0),0),0)</f>
        <v>0</v>
      </c>
      <c r="K48" s="50">
        <f>IFERROR(ROUND(IF($D48="主任",VLOOKUP($B:$B,科室绩效工资核算1!$B:K,MATCH("临床路径积分", 科室绩效工资核算1!$B$3:$AN$3,0),0)/(中层绩效!$E48+VLOOKUP($B:$B,人员表!$B:$G,MATCH("医疗组",人员表!$B$3:$G$3,0),0))*中层绩效!$E48,0),0),0)</f>
        <v>0</v>
      </c>
      <c r="L48" s="50">
        <f>IFERROR(ROUND(IF($D48="主任",VLOOKUP($B:$B,科室绩效工资核算1!$B:L,MATCH("麻醉风险积分", 科室绩效工资核算1!$B$3:$AN$3,0),0)/(中层绩效!$E48+VLOOKUP($B:$B,人员表!$B:$G,MATCH("医疗组",人员表!$B$3:$G$3,0),0))*中层绩效!$E48,0),0),0)</f>
        <v>0</v>
      </c>
      <c r="M48" s="50">
        <f>IFERROR(ROUND(IF($D48="主任",VLOOKUP($B:$B,科室绩效工资核算1!$B:M,MATCH("分娩风险积分", 科室绩效工资核算1!$B$3:$AN$3,0),0)/(中层绩效!$E48+VLOOKUP($B:$B,人员表!$B:$G,MATCH("医疗组",人员表!$B$3:$G$3,0),0))*中层绩效!$E48,0),0),0)</f>
        <v>0</v>
      </c>
      <c r="N48" s="50">
        <f>IFERROR(ROUND(IF($D48="主任",VLOOKUP($B:$B,科室绩效工资核算1!$B:N,MATCH("肿瘤支气管镜", 科室绩效工资核算1!$B$3:$AN$3,0),0)/(中层绩效!$E48+VLOOKUP($B:$B,人员表!$B:$G,MATCH("医疗组",人员表!$B$3:$G$3,0),0))*中层绩效!$E48,0),0),0)</f>
        <v>0</v>
      </c>
      <c r="O48" s="50">
        <f>IFERROR(ROUND(IF($D48="主任",VLOOKUP($B:$B,科室绩效工资核算1!$B:O,MATCH("会诊风险积分", 科室绩效工资核算1!$B$3:$AN$3,0),0)/(中层绩效!$E48+VLOOKUP($B:$B,人员表!$B:$G,MATCH("医疗组",人员表!$B$3:$G$3,0),0))*中层绩效!$E48,0),0),0)</f>
        <v>0</v>
      </c>
      <c r="P48" s="50">
        <f>IFERROR(ROUND(IF($D48="主任",VLOOKUP($B:$B,科室绩效工资核算1!$B:P,MATCH("换药风险积分", 科室绩效工资核算1!$B$3:$AN$3,0),0)/(中层绩效!$E48+VLOOKUP($B:$B,人员表!$B:$G,MATCH("医疗组",人员表!$B$3:$G$3,0),0))*中层绩效!$E48,0),0),0)</f>
        <v>0</v>
      </c>
      <c r="Q48" s="50">
        <f>IFERROR(ROUND(IF($D48="主任",VLOOKUP($B:$B,科室绩效工资核算1!$B:Q,MATCH("功能康复积分", 科室绩效工资核算1!$B$3:$AN$3,0),0)/(中层绩效!$E48+VLOOKUP($B:$B,人员表!$B:$G,MATCH("医疗组",人员表!$B$3:$G$3,0),0))*中层绩效!$E48,0),0),0)</f>
        <v>0</v>
      </c>
      <c r="R48" s="50">
        <f>IFERROR(ROUND(IF($D48="主任",VLOOKUP($B:$B,科室绩效工资核算1!$B:R,MATCH("中医外治积分", 科室绩效工资核算1!$B$3:$AN$3,0),0)/(中层绩效!$E48+VLOOKUP($B:$B,人员表!$B:$G,MATCH("医疗组",人员表!$B$3:$G$3,0),0))*中层绩效!$E48,0),0),0)</f>
        <v>0</v>
      </c>
      <c r="S48" s="50">
        <f>IFERROR(ROUND(IF($D48="主任",VLOOKUP($B:$B,科室绩效工资核算1!$B:S,MATCH("中药积分", 科室绩效工资核算1!$B$3:$AN$3,0),0)/(中层绩效!$E48+VLOOKUP($B:$B,人员表!$B:$G,MATCH("医疗组",人员表!$B$3:$G$3,0),0))*中层绩效!$E48,0),0),0)</f>
        <v>0</v>
      </c>
      <c r="T48" s="50">
        <f>IFERROR(ROUND(IF($D48="护士长",VLOOKUP($B:$B,科室绩效工资核算1!$B:T,MATCH("护理风险积分", 科室绩效工资核算1!$B$3:$AN$3,0),0)/(中层绩效!$E48+VLOOKUP($B:$B,人员表!$B:$G,MATCH("护理组",人员表!$B$3:$G$3,0),0))*中层绩效!$E48,0),0),0)</f>
        <v>629</v>
      </c>
      <c r="U48" s="43">
        <f>F48*科室绩效工资核算1!AQ$7</f>
        <v>0</v>
      </c>
      <c r="V48" s="43">
        <f t="shared" si="0"/>
        <v>1078.28</v>
      </c>
      <c r="W48" s="43">
        <f>V48*科室绩效工资核算1!AQ$10</f>
        <v>1159.905796</v>
      </c>
    </row>
    <row r="49" spans="2:23" x14ac:dyDescent="0.25">
      <c r="B49" s="51" t="str">
        <f>中层系数!B49</f>
        <v>急诊内科</v>
      </c>
      <c r="C49" s="5" t="str">
        <f>中层系数!C49</f>
        <v>测试46</v>
      </c>
      <c r="D49" s="5" t="str">
        <f>VLOOKUP(C:C,中层系数!C:I,7,0)</f>
        <v>护士长</v>
      </c>
      <c r="E49" s="5">
        <f>VLOOKUP(C:C,中层系数!C:I,6,0)</f>
        <v>1.44</v>
      </c>
      <c r="F49" s="5">
        <f>VLOOKUP(C:C,中层系数!C:I,5,0)</f>
        <v>0</v>
      </c>
      <c r="G49" s="43">
        <f>IF(OR(D49="主任",D49="副主任"),VLOOKUP($B:$B,人员表!$B:$G,MATCH("医生基础人均",人员表!$B$3:$G$3),0)*中层绩效!E49,VLOOKUP($B:$B,人员表!$B:$G,MATCH("护理基础人均",人员表!$B$3:$G$3,0),0)*E49)</f>
        <v>2962.08</v>
      </c>
      <c r="H49" s="50">
        <f>IFERROR(ROUND(IF(D49="主任",VLOOKUP($B:$B,科室绩效工资核算1!$B:H,MATCH("首诊风险积分", 科室绩效工资核算1!$B$3:$AN$3,0),0)/(中层绩效!$E49+VLOOKUP($B:$B,人员表!$B:$G,MATCH("医疗组",人员表!$B$3:$G$3,0),0))*中层绩效!$E49,0),0),0)</f>
        <v>0</v>
      </c>
      <c r="I49" s="50">
        <f>IFERROR(ROUND(IF($D49="主任",VLOOKUP($B:$B,科室绩效工资核算1!$B:I,MATCH("病历质量积分", 科室绩效工资核算1!$B$3:$AN$3,0),0)/(中层绩效!$E49+VLOOKUP($B:$B,人员表!$B:$G,MATCH("医疗组",人员表!$B$3:$G$3,0),0))*中层绩效!$E49,0),0),0)</f>
        <v>0</v>
      </c>
      <c r="J49" s="50">
        <f>IFERROR(ROUND(IF($D49="主任",VLOOKUP($B:$B,科室绩效工资核算1!$B:J,MATCH("门诊人次积分", 科室绩效工资核算1!$B$3:$AN$3,0),0)/(中层绩效!$E49+VLOOKUP($B:$B,人员表!$B:$G,MATCH("医疗组",人员表!$B$3:$G$3,0),0))*中层绩效!$E49,0),0),0)</f>
        <v>0</v>
      </c>
      <c r="K49" s="50">
        <f>IFERROR(ROUND(IF($D49="主任",VLOOKUP($B:$B,科室绩效工资核算1!$B:K,MATCH("临床路径积分", 科室绩效工资核算1!$B$3:$AN$3,0),0)/(中层绩效!$E49+VLOOKUP($B:$B,人员表!$B:$G,MATCH("医疗组",人员表!$B$3:$G$3,0),0))*中层绩效!$E49,0),0),0)</f>
        <v>0</v>
      </c>
      <c r="L49" s="50">
        <f>IFERROR(ROUND(IF($D49="主任",VLOOKUP($B:$B,科室绩效工资核算1!$B:L,MATCH("麻醉风险积分", 科室绩效工资核算1!$B$3:$AN$3,0),0)/(中层绩效!$E49+VLOOKUP($B:$B,人员表!$B:$G,MATCH("医疗组",人员表!$B$3:$G$3,0),0))*中层绩效!$E49,0),0),0)</f>
        <v>0</v>
      </c>
      <c r="M49" s="50">
        <f>IFERROR(ROUND(IF($D49="主任",VLOOKUP($B:$B,科室绩效工资核算1!$B:M,MATCH("分娩风险积分", 科室绩效工资核算1!$B$3:$AN$3,0),0)/(中层绩效!$E49+VLOOKUP($B:$B,人员表!$B:$G,MATCH("医疗组",人员表!$B$3:$G$3,0),0))*中层绩效!$E49,0),0),0)</f>
        <v>0</v>
      </c>
      <c r="N49" s="50">
        <f>IFERROR(ROUND(IF($D49="主任",VLOOKUP($B:$B,科室绩效工资核算1!$B:N,MATCH("肿瘤支气管镜", 科室绩效工资核算1!$B$3:$AN$3,0),0)/(中层绩效!$E49+VLOOKUP($B:$B,人员表!$B:$G,MATCH("医疗组",人员表!$B$3:$G$3,0),0))*中层绩效!$E49,0),0),0)</f>
        <v>0</v>
      </c>
      <c r="O49" s="50">
        <f>IFERROR(ROUND(IF($D49="主任",VLOOKUP($B:$B,科室绩效工资核算1!$B:O,MATCH("会诊风险积分", 科室绩效工资核算1!$B$3:$AN$3,0),0)/(中层绩效!$E49+VLOOKUP($B:$B,人员表!$B:$G,MATCH("医疗组",人员表!$B$3:$G$3,0),0))*中层绩效!$E49,0),0),0)</f>
        <v>0</v>
      </c>
      <c r="P49" s="50">
        <f>IFERROR(ROUND(IF($D49="主任",VLOOKUP($B:$B,科室绩效工资核算1!$B:P,MATCH("换药风险积分", 科室绩效工资核算1!$B$3:$AN$3,0),0)/(中层绩效!$E49+VLOOKUP($B:$B,人员表!$B:$G,MATCH("医疗组",人员表!$B$3:$G$3,0),0))*中层绩效!$E49,0),0),0)</f>
        <v>0</v>
      </c>
      <c r="Q49" s="50">
        <f>IFERROR(ROUND(IF($D49="主任",VLOOKUP($B:$B,科室绩效工资核算1!$B:Q,MATCH("功能康复积分", 科室绩效工资核算1!$B$3:$AN$3,0),0)/(中层绩效!$E49+VLOOKUP($B:$B,人员表!$B:$G,MATCH("医疗组",人员表!$B$3:$G$3,0),0))*中层绩效!$E49,0),0),0)</f>
        <v>0</v>
      </c>
      <c r="R49" s="50">
        <f>IFERROR(ROUND(IF($D49="主任",VLOOKUP($B:$B,科室绩效工资核算1!$B:R,MATCH("中医外治积分", 科室绩效工资核算1!$B$3:$AN$3,0),0)/(中层绩效!$E49+VLOOKUP($B:$B,人员表!$B:$G,MATCH("医疗组",人员表!$B$3:$G$3,0),0))*中层绩效!$E49,0),0),0)</f>
        <v>0</v>
      </c>
      <c r="S49" s="50">
        <f>IFERROR(ROUND(IF($D49="主任",VLOOKUP($B:$B,科室绩效工资核算1!$B:S,MATCH("中药积分", 科室绩效工资核算1!$B$3:$AN$3,0),0)/(中层绩效!$E49+VLOOKUP($B:$B,人员表!$B:$G,MATCH("医疗组",人员表!$B$3:$G$3,0),0))*中层绩效!$E49,0),0),0)</f>
        <v>0</v>
      </c>
      <c r="T49" s="50">
        <f>IFERROR(ROUND(IF($D49="护士长",VLOOKUP($B:$B,科室绩效工资核算1!$B:T,MATCH("护理风险积分", 科室绩效工资核算1!$B$3:$AN$3,0),0)/(中层绩效!$E49+VLOOKUP($B:$B,人员表!$B:$G,MATCH("护理组",人员表!$B$3:$G$3,0),0))*中层绩效!$E49,0),0),0)</f>
        <v>186</v>
      </c>
      <c r="U49" s="43">
        <f>F49*科室绩效工资核算1!AQ$7</f>
        <v>0</v>
      </c>
      <c r="V49" s="43">
        <f t="shared" si="0"/>
        <v>3148.08</v>
      </c>
      <c r="W49" s="43">
        <f>V49*科室绩效工资核算1!AQ$10</f>
        <v>3386.3896560000003</v>
      </c>
    </row>
    <row r="50" spans="2:23" x14ac:dyDescent="0.25">
      <c r="B50" s="51" t="str">
        <f>中层系数!B50</f>
        <v>急诊内科</v>
      </c>
      <c r="C50" s="5" t="str">
        <f>中层系数!C50</f>
        <v>测试47</v>
      </c>
      <c r="D50" s="5" t="str">
        <f>VLOOKUP(C:C,中层系数!C:I,7,0)</f>
        <v>主任</v>
      </c>
      <c r="E50" s="5">
        <f>VLOOKUP(C:C,中层系数!C:I,6,0)</f>
        <v>2</v>
      </c>
      <c r="F50" s="5">
        <f>VLOOKUP(C:C,中层系数!C:I,5,0)</f>
        <v>0</v>
      </c>
      <c r="G50" s="43">
        <f>IF(OR(D50="主任",D50="副主任"),VLOOKUP($B:$B,人员表!$B:$G,MATCH("医生基础人均",人员表!$B$3:$G$3),0)*中层绩效!E50,VLOOKUP($B:$B,人员表!$B:$G,MATCH("护理基础人均",人员表!$B$3:$G$3,0),0)*E50)</f>
        <v>4114</v>
      </c>
      <c r="H50" s="50">
        <f>IFERROR(ROUND(IF(D50="主任",VLOOKUP($B:$B,科室绩效工资核算1!$B:H,MATCH("首诊风险积分", 科室绩效工资核算1!$B$3:$AN$3,0),0)/(中层绩效!$E50+VLOOKUP($B:$B,人员表!$B:$G,MATCH("医疗组",人员表!$B$3:$G$3,0),0))*中层绩效!$E50,0),0),0)</f>
        <v>316</v>
      </c>
      <c r="I50" s="50">
        <f>IFERROR(ROUND(IF($D50="主任",VLOOKUP($B:$B,科室绩效工资核算1!$B:I,MATCH("病历质量积分", 科室绩效工资核算1!$B$3:$AN$3,0),0)/(中层绩效!$E50+VLOOKUP($B:$B,人员表!$B:$G,MATCH("医疗组",人员表!$B$3:$G$3,0),0))*中层绩效!$E50,0),0),0)</f>
        <v>131</v>
      </c>
      <c r="J50" s="50">
        <f>IFERROR(ROUND(IF($D50="主任",VLOOKUP($B:$B,科室绩效工资核算1!$B:J,MATCH("门诊人次积分", 科室绩效工资核算1!$B$3:$AN$3,0),0)/(中层绩效!$E50+VLOOKUP($B:$B,人员表!$B:$G,MATCH("医疗组",人员表!$B$3:$G$3,0),0))*中层绩效!$E50,0),0),0)</f>
        <v>231</v>
      </c>
      <c r="K50" s="50">
        <f>IFERROR(ROUND(IF($D50="主任",VLOOKUP($B:$B,科室绩效工资核算1!$B:K,MATCH("临床路径积分", 科室绩效工资核算1!$B$3:$AN$3,0),0)/(中层绩效!$E50+VLOOKUP($B:$B,人员表!$B:$G,MATCH("医疗组",人员表!$B$3:$G$3,0),0))*中层绩效!$E50,0),0),0)</f>
        <v>0</v>
      </c>
      <c r="L50" s="50">
        <f>IFERROR(ROUND(IF($D50="主任",VLOOKUP($B:$B,科室绩效工资核算1!$B:L,MATCH("麻醉风险积分", 科室绩效工资核算1!$B$3:$AN$3,0),0)/(中层绩效!$E50+VLOOKUP($B:$B,人员表!$B:$G,MATCH("医疗组",人员表!$B$3:$G$3,0),0))*中层绩效!$E50,0),0),0)</f>
        <v>0</v>
      </c>
      <c r="M50" s="50">
        <f>IFERROR(ROUND(IF($D50="主任",VLOOKUP($B:$B,科室绩效工资核算1!$B:M,MATCH("分娩风险积分", 科室绩效工资核算1!$B$3:$AN$3,0),0)/(中层绩效!$E50+VLOOKUP($B:$B,人员表!$B:$G,MATCH("医疗组",人员表!$B$3:$G$3,0),0))*中层绩效!$E50,0),0),0)</f>
        <v>0</v>
      </c>
      <c r="N50" s="50">
        <f>IFERROR(ROUND(IF($D50="主任",VLOOKUP($B:$B,科室绩效工资核算1!$B:N,MATCH("肿瘤支气管镜", 科室绩效工资核算1!$B$3:$AN$3,0),0)/(中层绩效!$E50+VLOOKUP($B:$B,人员表!$B:$G,MATCH("医疗组",人员表!$B$3:$G$3,0),0))*中层绩效!$E50,0),0),0)</f>
        <v>0</v>
      </c>
      <c r="O50" s="50">
        <f>IFERROR(ROUND(IF($D50="主任",VLOOKUP($B:$B,科室绩效工资核算1!$B:O,MATCH("会诊风险积分", 科室绩效工资核算1!$B$3:$AN$3,0),0)/(中层绩效!$E50+VLOOKUP($B:$B,人员表!$B:$G,MATCH("医疗组",人员表!$B$3:$G$3,0),0))*中层绩效!$E50,0),0),0)</f>
        <v>6</v>
      </c>
      <c r="P50" s="50">
        <f>IFERROR(ROUND(IF($D50="主任",VLOOKUP($B:$B,科室绩效工资核算1!$B:P,MATCH("换药风险积分", 科室绩效工资核算1!$B$3:$AN$3,0),0)/(中层绩效!$E50+VLOOKUP($B:$B,人员表!$B:$G,MATCH("医疗组",人员表!$B$3:$G$3,0),0))*中层绩效!$E50,0),0),0)</f>
        <v>1</v>
      </c>
      <c r="Q50" s="50">
        <f>IFERROR(ROUND(IF($D50="主任",VLOOKUP($B:$B,科室绩效工资核算1!$B:Q,MATCH("功能康复积分", 科室绩效工资核算1!$B$3:$AN$3,0),0)/(中层绩效!$E50+VLOOKUP($B:$B,人员表!$B:$G,MATCH("医疗组",人员表!$B$3:$G$3,0),0))*中层绩效!$E50,0),0),0)</f>
        <v>0</v>
      </c>
      <c r="R50" s="50">
        <f>IFERROR(ROUND(IF($D50="主任",VLOOKUP($B:$B,科室绩效工资核算1!$B:R,MATCH("中医外治积分", 科室绩效工资核算1!$B$3:$AN$3,0),0)/(中层绩效!$E50+VLOOKUP($B:$B,人员表!$B:$G,MATCH("医疗组",人员表!$B$3:$G$3,0),0))*中层绩效!$E50,0),0),0)</f>
        <v>0</v>
      </c>
      <c r="S50" s="50">
        <f>IFERROR(ROUND(IF($D50="主任",VLOOKUP($B:$B,科室绩效工资核算1!$B:S,MATCH("中药积分", 科室绩效工资核算1!$B$3:$AN$3,0),0)/(中层绩效!$E50+VLOOKUP($B:$B,人员表!$B:$G,MATCH("医疗组",人员表!$B$3:$G$3,0),0))*中层绩效!$E50,0),0),0)</f>
        <v>0</v>
      </c>
      <c r="T50" s="50">
        <f>IFERROR(ROUND(IF($D50="护士长",VLOOKUP($B:$B,科室绩效工资核算1!$B:T,MATCH("护理风险积分", 科室绩效工资核算1!$B$3:$AN$3,0),0)/(中层绩效!$E50+VLOOKUP($B:$B,人员表!$B:$G,MATCH("护理组",人员表!$B$3:$G$3,0),0))*中层绩效!$E50,0),0),0)</f>
        <v>0</v>
      </c>
      <c r="U50" s="43">
        <f>F50*科室绩效工资核算1!AQ$7</f>
        <v>0</v>
      </c>
      <c r="V50" s="43">
        <f t="shared" si="0"/>
        <v>4799</v>
      </c>
      <c r="W50" s="43">
        <f>V50*科室绩效工资核算1!AQ$10</f>
        <v>5162.2843000000003</v>
      </c>
    </row>
    <row r="51" spans="2:23" x14ac:dyDescent="0.25">
      <c r="B51" s="51" t="str">
        <f>中层系数!B51</f>
        <v>血透室</v>
      </c>
      <c r="C51" s="5" t="str">
        <f>中层系数!C51</f>
        <v>测试48</v>
      </c>
      <c r="D51" s="5" t="str">
        <f>VLOOKUP(C:C,中层系数!C:I,7,0)</f>
        <v>主任</v>
      </c>
      <c r="E51" s="5">
        <f>VLOOKUP(C:C,中层系数!C:I,6,0)</f>
        <v>2</v>
      </c>
      <c r="F51" s="5">
        <f>VLOOKUP(C:C,中层系数!C:I,5,0)</f>
        <v>0</v>
      </c>
      <c r="G51" s="43">
        <f>IF(OR(D51="主任",D51="副主任"),VLOOKUP($B:$B,人员表!$B:$G,MATCH("医生基础人均",人员表!$B$3:$G$3),0)*中层绩效!E51,VLOOKUP($B:$B,人员表!$B:$G,MATCH("护理基础人均",人员表!$B$3:$G$3,0),0)*E51)</f>
        <v>3180</v>
      </c>
      <c r="H51" s="50">
        <f>IFERROR(ROUND(IF(D51="主任",VLOOKUP($B:$B,科室绩效工资核算1!$B:H,MATCH("首诊风险积分", 科室绩效工资核算1!$B$3:$AN$3,0),0)/(中层绩效!$E51+VLOOKUP($B:$B,人员表!$B:$G,MATCH("医疗组",人员表!$B$3:$G$3,0),0))*中层绩效!$E51,0),0),0)</f>
        <v>0</v>
      </c>
      <c r="I51" s="50">
        <f>IFERROR(ROUND(IF($D51="主任",VLOOKUP($B:$B,科室绩效工资核算1!$B:I,MATCH("病历质量积分", 科室绩效工资核算1!$B$3:$AN$3,0),0)/(中层绩效!$E51+VLOOKUP($B:$B,人员表!$B:$G,MATCH("医疗组",人员表!$B$3:$G$3,0),0))*中层绩效!$E51,0),0),0)</f>
        <v>0</v>
      </c>
      <c r="J51" s="50">
        <f>IFERROR(ROUND(IF($D51="主任",VLOOKUP($B:$B,科室绩效工资核算1!$B:J,MATCH("门诊人次积分", 科室绩效工资核算1!$B$3:$AN$3,0),0)/(中层绩效!$E51+VLOOKUP($B:$B,人员表!$B:$G,MATCH("医疗组",人员表!$B$3:$G$3,0),0))*中层绩效!$E51,0),0),0)</f>
        <v>0</v>
      </c>
      <c r="K51" s="50">
        <f>IFERROR(ROUND(IF($D51="主任",VLOOKUP($B:$B,科室绩效工资核算1!$B:K,MATCH("临床路径积分", 科室绩效工资核算1!$B$3:$AN$3,0),0)/(中层绩效!$E51+VLOOKUP($B:$B,人员表!$B:$G,MATCH("医疗组",人员表!$B$3:$G$3,0),0))*中层绩效!$E51,0),0),0)</f>
        <v>0</v>
      </c>
      <c r="L51" s="50">
        <f>IFERROR(ROUND(IF($D51="主任",VLOOKUP($B:$B,科室绩效工资核算1!$B:L,MATCH("麻醉风险积分", 科室绩效工资核算1!$B$3:$AN$3,0),0)/(中层绩效!$E51+VLOOKUP($B:$B,人员表!$B:$G,MATCH("医疗组",人员表!$B$3:$G$3,0),0))*中层绩效!$E51,0),0),0)</f>
        <v>0</v>
      </c>
      <c r="M51" s="50">
        <f>IFERROR(ROUND(IF($D51="主任",VLOOKUP($B:$B,科室绩效工资核算1!$B:M,MATCH("分娩风险积分", 科室绩效工资核算1!$B$3:$AN$3,0),0)/(中层绩效!$E51+VLOOKUP($B:$B,人员表!$B:$G,MATCH("医疗组",人员表!$B$3:$G$3,0),0))*中层绩效!$E51,0),0),0)</f>
        <v>0</v>
      </c>
      <c r="N51" s="50">
        <f>IFERROR(ROUND(IF($D51="主任",VLOOKUP($B:$B,科室绩效工资核算1!$B:N,MATCH("肿瘤支气管镜", 科室绩效工资核算1!$B$3:$AN$3,0),0)/(中层绩效!$E51+VLOOKUP($B:$B,人员表!$B:$G,MATCH("医疗组",人员表!$B$3:$G$3,0),0))*中层绩效!$E51,0),0),0)</f>
        <v>0</v>
      </c>
      <c r="O51" s="50">
        <f>IFERROR(ROUND(IF($D51="主任",VLOOKUP($B:$B,科室绩效工资核算1!$B:O,MATCH("会诊风险积分", 科室绩效工资核算1!$B$3:$AN$3,0),0)/(中层绩效!$E51+VLOOKUP($B:$B,人员表!$B:$G,MATCH("医疗组",人员表!$B$3:$G$3,0),0))*中层绩效!$E51,0),0),0)</f>
        <v>9</v>
      </c>
      <c r="P51" s="50">
        <f>IFERROR(ROUND(IF($D51="主任",VLOOKUP($B:$B,科室绩效工资核算1!$B:P,MATCH("换药风险积分", 科室绩效工资核算1!$B$3:$AN$3,0),0)/(中层绩效!$E51+VLOOKUP($B:$B,人员表!$B:$G,MATCH("医疗组",人员表!$B$3:$G$3,0),0))*中层绩效!$E51,0),0),0)</f>
        <v>82</v>
      </c>
      <c r="Q51" s="50">
        <f>IFERROR(ROUND(IF($D51="主任",VLOOKUP($B:$B,科室绩效工资核算1!$B:Q,MATCH("功能康复积分", 科室绩效工资核算1!$B$3:$AN$3,0),0)/(中层绩效!$E51+VLOOKUP($B:$B,人员表!$B:$G,MATCH("医疗组",人员表!$B$3:$G$3,0),0))*中层绩效!$E51,0),0),0)</f>
        <v>0</v>
      </c>
      <c r="R51" s="50">
        <f>IFERROR(ROUND(IF($D51="主任",VLOOKUP($B:$B,科室绩效工资核算1!$B:R,MATCH("中医外治积分", 科室绩效工资核算1!$B$3:$AN$3,0),0)/(中层绩效!$E51+VLOOKUP($B:$B,人员表!$B:$G,MATCH("医疗组",人员表!$B$3:$G$3,0),0))*中层绩效!$E51,0),0),0)</f>
        <v>0</v>
      </c>
      <c r="S51" s="50">
        <f>IFERROR(ROUND(IF($D51="主任",VLOOKUP($B:$B,科室绩效工资核算1!$B:S,MATCH("中药积分", 科室绩效工资核算1!$B$3:$AN$3,0),0)/(中层绩效!$E51+VLOOKUP($B:$B,人员表!$B:$G,MATCH("医疗组",人员表!$B$3:$G$3,0),0))*中层绩效!$E51,0),0),0)</f>
        <v>0</v>
      </c>
      <c r="T51" s="50">
        <f>IFERROR(ROUND(IF($D51="护士长",VLOOKUP($B:$B,科室绩效工资核算1!$B:T,MATCH("护理风险积分", 科室绩效工资核算1!$B$3:$AN$3,0),0)/(中层绩效!$E51+VLOOKUP($B:$B,人员表!$B:$G,MATCH("护理组",人员表!$B$3:$G$3,0),0))*中层绩效!$E51,0),0),0)</f>
        <v>0</v>
      </c>
      <c r="U51" s="43">
        <f>F51*科室绩效工资核算1!AQ$7</f>
        <v>0</v>
      </c>
      <c r="V51" s="43">
        <f t="shared" si="0"/>
        <v>3271</v>
      </c>
      <c r="W51" s="43">
        <f>V51*科室绩效工资核算1!AQ$10</f>
        <v>3518.6147000000005</v>
      </c>
    </row>
    <row r="52" spans="2:23" x14ac:dyDescent="0.25">
      <c r="B52" s="51" t="str">
        <f>中层系数!B52</f>
        <v>血透室</v>
      </c>
      <c r="C52" s="5" t="str">
        <f>中层系数!C52</f>
        <v>测试49</v>
      </c>
      <c r="D52" s="5" t="str">
        <f>VLOOKUP(C:C,中层系数!C:I,7,0)</f>
        <v>护士长</v>
      </c>
      <c r="E52" s="5">
        <f>VLOOKUP(C:C,中层系数!C:I,6,0)</f>
        <v>1.44</v>
      </c>
      <c r="F52" s="5">
        <f>VLOOKUP(C:C,中层系数!C:I,5,0)</f>
        <v>0</v>
      </c>
      <c r="G52" s="43">
        <f>IF(OR(D52="主任",D52="副主任"),VLOOKUP($B:$B,人员表!$B:$G,MATCH("医生基础人均",人员表!$B$3:$G$3),0)*中层绩效!E52,VLOOKUP($B:$B,人员表!$B:$G,MATCH("护理基础人均",人员表!$B$3:$G$3,0),0)*E52)</f>
        <v>2289.6</v>
      </c>
      <c r="H52" s="50">
        <f>IFERROR(ROUND(IF(D52="主任",VLOOKUP($B:$B,科室绩效工资核算1!$B:H,MATCH("首诊风险积分", 科室绩效工资核算1!$B$3:$AN$3,0),0)/(中层绩效!$E52+VLOOKUP($B:$B,人员表!$B:$G,MATCH("医疗组",人员表!$B$3:$G$3,0),0))*中层绩效!$E52,0),0),0)</f>
        <v>0</v>
      </c>
      <c r="I52" s="50">
        <f>IFERROR(ROUND(IF($D52="主任",VLOOKUP($B:$B,科室绩效工资核算1!$B:I,MATCH("病历质量积分", 科室绩效工资核算1!$B$3:$AN$3,0),0)/(中层绩效!$E52+VLOOKUP($B:$B,人员表!$B:$G,MATCH("医疗组",人员表!$B$3:$G$3,0),0))*中层绩效!$E52,0),0),0)</f>
        <v>0</v>
      </c>
      <c r="J52" s="50">
        <f>IFERROR(ROUND(IF($D52="主任",VLOOKUP($B:$B,科室绩效工资核算1!$B:J,MATCH("门诊人次积分", 科室绩效工资核算1!$B$3:$AN$3,0),0)/(中层绩效!$E52+VLOOKUP($B:$B,人员表!$B:$G,MATCH("医疗组",人员表!$B$3:$G$3,0),0))*中层绩效!$E52,0),0),0)</f>
        <v>0</v>
      </c>
      <c r="K52" s="50">
        <f>IFERROR(ROUND(IF($D52="主任",VLOOKUP($B:$B,科室绩效工资核算1!$B:K,MATCH("临床路径积分", 科室绩效工资核算1!$B$3:$AN$3,0),0)/(中层绩效!$E52+VLOOKUP($B:$B,人员表!$B:$G,MATCH("医疗组",人员表!$B$3:$G$3,0),0))*中层绩效!$E52,0),0),0)</f>
        <v>0</v>
      </c>
      <c r="L52" s="50">
        <f>IFERROR(ROUND(IF($D52="主任",VLOOKUP($B:$B,科室绩效工资核算1!$B:L,MATCH("麻醉风险积分", 科室绩效工资核算1!$B$3:$AN$3,0),0)/(中层绩效!$E52+VLOOKUP($B:$B,人员表!$B:$G,MATCH("医疗组",人员表!$B$3:$G$3,0),0))*中层绩效!$E52,0),0),0)</f>
        <v>0</v>
      </c>
      <c r="M52" s="50">
        <f>IFERROR(ROUND(IF($D52="主任",VLOOKUP($B:$B,科室绩效工资核算1!$B:M,MATCH("分娩风险积分", 科室绩效工资核算1!$B$3:$AN$3,0),0)/(中层绩效!$E52+VLOOKUP($B:$B,人员表!$B:$G,MATCH("医疗组",人员表!$B$3:$G$3,0),0))*中层绩效!$E52,0),0),0)</f>
        <v>0</v>
      </c>
      <c r="N52" s="50">
        <f>IFERROR(ROUND(IF($D52="主任",VLOOKUP($B:$B,科室绩效工资核算1!$B:N,MATCH("肿瘤支气管镜", 科室绩效工资核算1!$B$3:$AN$3,0),0)/(中层绩效!$E52+VLOOKUP($B:$B,人员表!$B:$G,MATCH("医疗组",人员表!$B$3:$G$3,0),0))*中层绩效!$E52,0),0),0)</f>
        <v>0</v>
      </c>
      <c r="O52" s="50">
        <f>IFERROR(ROUND(IF($D52="主任",VLOOKUP($B:$B,科室绩效工资核算1!$B:O,MATCH("会诊风险积分", 科室绩效工资核算1!$B$3:$AN$3,0),0)/(中层绩效!$E52+VLOOKUP($B:$B,人员表!$B:$G,MATCH("医疗组",人员表!$B$3:$G$3,0),0))*中层绩效!$E52,0),0),0)</f>
        <v>0</v>
      </c>
      <c r="P52" s="50">
        <f>IFERROR(ROUND(IF($D52="主任",VLOOKUP($B:$B,科室绩效工资核算1!$B:P,MATCH("换药风险积分", 科室绩效工资核算1!$B$3:$AN$3,0),0)/(中层绩效!$E52+VLOOKUP($B:$B,人员表!$B:$G,MATCH("医疗组",人员表!$B$3:$G$3,0),0))*中层绩效!$E52,0),0),0)</f>
        <v>0</v>
      </c>
      <c r="Q52" s="50">
        <f>IFERROR(ROUND(IF($D52="主任",VLOOKUP($B:$B,科室绩效工资核算1!$B:Q,MATCH("功能康复积分", 科室绩效工资核算1!$B$3:$AN$3,0),0)/(中层绩效!$E52+VLOOKUP($B:$B,人员表!$B:$G,MATCH("医疗组",人员表!$B$3:$G$3,0),0))*中层绩效!$E52,0),0),0)</f>
        <v>0</v>
      </c>
      <c r="R52" s="50">
        <f>IFERROR(ROUND(IF($D52="主任",VLOOKUP($B:$B,科室绩效工资核算1!$B:R,MATCH("中医外治积分", 科室绩效工资核算1!$B$3:$AN$3,0),0)/(中层绩效!$E52+VLOOKUP($B:$B,人员表!$B:$G,MATCH("医疗组",人员表!$B$3:$G$3,0),0))*中层绩效!$E52,0),0),0)</f>
        <v>0</v>
      </c>
      <c r="S52" s="50">
        <f>IFERROR(ROUND(IF($D52="主任",VLOOKUP($B:$B,科室绩效工资核算1!$B:S,MATCH("中药积分", 科室绩效工资核算1!$B$3:$AN$3,0),0)/(中层绩效!$E52+VLOOKUP($B:$B,人员表!$B:$G,MATCH("医疗组",人员表!$B$3:$G$3,0),0))*中层绩效!$E52,0),0),0)</f>
        <v>0</v>
      </c>
      <c r="T52" s="50">
        <f>IFERROR(ROUND(IF($D52="护士长",VLOOKUP($B:$B,科室绩效工资核算1!$B:T,MATCH("护理风险积分", 科室绩效工资核算1!$B$3:$AN$3,0),0)/(中层绩效!$E52+VLOOKUP($B:$B,人员表!$B:$G,MATCH("护理组",人员表!$B$3:$G$3,0),0))*中层绩效!$E52,0),0),0)</f>
        <v>0</v>
      </c>
      <c r="U52" s="43">
        <f>F52*科室绩效工资核算1!AQ$7</f>
        <v>0</v>
      </c>
      <c r="V52" s="43">
        <f t="shared" si="0"/>
        <v>2289.6</v>
      </c>
      <c r="W52" s="43">
        <f>V52*科室绩效工资核算1!AQ$10</f>
        <v>2462.92272</v>
      </c>
    </row>
    <row r="53" spans="2:23" x14ac:dyDescent="0.25">
      <c r="B53" s="51" t="str">
        <f>中层系数!B53</f>
        <v>眼科</v>
      </c>
      <c r="C53" s="5" t="str">
        <f>中层系数!C53</f>
        <v>测试50</v>
      </c>
      <c r="D53" s="5" t="str">
        <f>VLOOKUP(C:C,中层系数!C:I,7,0)</f>
        <v>主任</v>
      </c>
      <c r="E53" s="5">
        <f>VLOOKUP(C:C,中层系数!C:I,6,0)</f>
        <v>1</v>
      </c>
      <c r="F53" s="5">
        <f>VLOOKUP(C:C,中层系数!C:I,5,0)</f>
        <v>0</v>
      </c>
      <c r="G53" s="43">
        <f>IF(OR(D53="主任",D53="副主任"),VLOOKUP($B:$B,人员表!$B:$G,MATCH("医生基础人均",人员表!$B$3:$G$3),0)*中层绩效!E53,VLOOKUP($B:$B,人员表!$B:$G,MATCH("护理基础人均",人员表!$B$3:$G$3,0),0)*E53)</f>
        <v>766</v>
      </c>
      <c r="H53" s="50">
        <f>IFERROR(ROUND(IF(D53="主任",VLOOKUP($B:$B,科室绩效工资核算1!$B:H,MATCH("首诊风险积分", 科室绩效工资核算1!$B$3:$AN$3,0),0)/(中层绩效!$E53+VLOOKUP($B:$B,人员表!$B:$G,MATCH("医疗组",人员表!$B$3:$G$3,0),0))*中层绩效!$E53,0),0),0)</f>
        <v>10</v>
      </c>
      <c r="I53" s="50">
        <f>IFERROR(ROUND(IF($D53="主任",VLOOKUP($B:$B,科室绩效工资核算1!$B:I,MATCH("病历质量积分", 科室绩效工资核算1!$B$3:$AN$3,0),0)/(中层绩效!$E53+VLOOKUP($B:$B,人员表!$B:$G,MATCH("医疗组",人员表!$B$3:$G$3,0),0))*中层绩效!$E53,0),0),0)</f>
        <v>5</v>
      </c>
      <c r="J53" s="50">
        <f>IFERROR(ROUND(IF($D53="主任",VLOOKUP($B:$B,科室绩效工资核算1!$B:J,MATCH("门诊人次积分", 科室绩效工资核算1!$B$3:$AN$3,0),0)/(中层绩效!$E53+VLOOKUP($B:$B,人员表!$B:$G,MATCH("医疗组",人员表!$B$3:$G$3,0),0))*中层绩效!$E53,0),0),0)</f>
        <v>16</v>
      </c>
      <c r="K53" s="50">
        <f>IFERROR(ROUND(IF($D53="主任",VLOOKUP($B:$B,科室绩效工资核算1!$B:K,MATCH("临床路径积分", 科室绩效工资核算1!$B$3:$AN$3,0),0)/(中层绩效!$E53+VLOOKUP($B:$B,人员表!$B:$G,MATCH("医疗组",人员表!$B$3:$G$3,0),0))*中层绩效!$E53,0),0),0)</f>
        <v>8</v>
      </c>
      <c r="L53" s="50">
        <f>IFERROR(ROUND(IF($D53="主任",VLOOKUP($B:$B,科室绩效工资核算1!$B:L,MATCH("麻醉风险积分", 科室绩效工资核算1!$B$3:$AN$3,0),0)/(中层绩效!$E53+VLOOKUP($B:$B,人员表!$B:$G,MATCH("医疗组",人员表!$B$3:$G$3,0),0))*中层绩效!$E53,0),0),0)</f>
        <v>22</v>
      </c>
      <c r="M53" s="50">
        <f>IFERROR(ROUND(IF($D53="主任",VLOOKUP($B:$B,科室绩效工资核算1!$B:M,MATCH("分娩风险积分", 科室绩效工资核算1!$B$3:$AN$3,0),0)/(中层绩效!$E53+VLOOKUP($B:$B,人员表!$B:$G,MATCH("医疗组",人员表!$B$3:$G$3,0),0))*中层绩效!$E53,0),0),0)</f>
        <v>0</v>
      </c>
      <c r="N53" s="50">
        <f>IFERROR(ROUND(IF($D53="主任",VLOOKUP($B:$B,科室绩效工资核算1!$B:N,MATCH("肿瘤支气管镜", 科室绩效工资核算1!$B$3:$AN$3,0),0)/(中层绩效!$E53+VLOOKUP($B:$B,人员表!$B:$G,MATCH("医疗组",人员表!$B$3:$G$3,0),0))*中层绩效!$E53,0),0),0)</f>
        <v>0</v>
      </c>
      <c r="O53" s="50">
        <f>IFERROR(ROUND(IF($D53="主任",VLOOKUP($B:$B,科室绩效工资核算1!$B:O,MATCH("会诊风险积分", 科室绩效工资核算1!$B$3:$AN$3,0),0)/(中层绩效!$E53+VLOOKUP($B:$B,人员表!$B:$G,MATCH("医疗组",人员表!$B$3:$G$3,0),0))*中层绩效!$E53,0),0),0)</f>
        <v>26</v>
      </c>
      <c r="P53" s="50">
        <f>IFERROR(ROUND(IF($D53="主任",VLOOKUP($B:$B,科室绩效工资核算1!$B:P,MATCH("换药风险积分", 科室绩效工资核算1!$B$3:$AN$3,0),0)/(中层绩效!$E53+VLOOKUP($B:$B,人员表!$B:$G,MATCH("医疗组",人员表!$B$3:$G$3,0),0))*中层绩效!$E53,0),0),0)</f>
        <v>17</v>
      </c>
      <c r="Q53" s="50">
        <f>IFERROR(ROUND(IF($D53="主任",VLOOKUP($B:$B,科室绩效工资核算1!$B:Q,MATCH("功能康复积分", 科室绩效工资核算1!$B$3:$AN$3,0),0)/(中层绩效!$E53+VLOOKUP($B:$B,人员表!$B:$G,MATCH("医疗组",人员表!$B$3:$G$3,0),0))*中层绩效!$E53,0),0),0)</f>
        <v>0</v>
      </c>
      <c r="R53" s="50">
        <f>IFERROR(ROUND(IF($D53="主任",VLOOKUP($B:$B,科室绩效工资核算1!$B:R,MATCH("中医外治积分", 科室绩效工资核算1!$B$3:$AN$3,0),0)/(中层绩效!$E53+VLOOKUP($B:$B,人员表!$B:$G,MATCH("医疗组",人员表!$B$3:$G$3,0),0))*中层绩效!$E53,0),0),0)</f>
        <v>0</v>
      </c>
      <c r="S53" s="50">
        <f>IFERROR(ROUND(IF($D53="主任",VLOOKUP($B:$B,科室绩效工资核算1!$B:S,MATCH("中药积分", 科室绩效工资核算1!$B$3:$AN$3,0),0)/(中层绩效!$E53+VLOOKUP($B:$B,人员表!$B:$G,MATCH("医疗组",人员表!$B$3:$G$3,0),0))*中层绩效!$E53,0),0),0)</f>
        <v>0</v>
      </c>
      <c r="T53" s="50">
        <f>IFERROR(ROUND(IF($D53="护士长",VLOOKUP($B:$B,科室绩效工资核算1!$B:T,MATCH("护理风险积分", 科室绩效工资核算1!$B$3:$AN$3,0),0)/(中层绩效!$E53+VLOOKUP($B:$B,人员表!$B:$G,MATCH("护理组",人员表!$B$3:$G$3,0),0))*中层绩效!$E53,0),0),0)</f>
        <v>0</v>
      </c>
      <c r="U53" s="43">
        <f>F53*科室绩效工资核算1!AQ$7</f>
        <v>0</v>
      </c>
      <c r="V53" s="43">
        <f t="shared" si="0"/>
        <v>870</v>
      </c>
      <c r="W53" s="43">
        <f>V53*科室绩效工资核算1!AQ$10</f>
        <v>935.85900000000004</v>
      </c>
    </row>
    <row r="54" spans="2:23" x14ac:dyDescent="0.25">
      <c r="B54" s="51" t="str">
        <f>中层系数!B54</f>
        <v>耳鼻喉科</v>
      </c>
      <c r="C54" s="5" t="str">
        <f>中层系数!C54</f>
        <v>测试51</v>
      </c>
      <c r="D54" s="5" t="str">
        <f>VLOOKUP(C:C,中层系数!C:I,7,0)</f>
        <v>主任</v>
      </c>
      <c r="E54" s="5">
        <f>VLOOKUP(C:C,中层系数!C:I,6,0)</f>
        <v>1</v>
      </c>
      <c r="F54" s="5">
        <f>VLOOKUP(C:C,中层系数!C:I,5,0)</f>
        <v>0</v>
      </c>
      <c r="G54" s="43">
        <f>IF(OR(D54="主任",D54="副主任"),VLOOKUP($B:$B,人员表!$B:$G,MATCH("医生基础人均",人员表!$B$3:$G$3),0)*中层绩效!E54,VLOOKUP($B:$B,人员表!$B:$G,MATCH("护理基础人均",人员表!$B$3:$G$3,0),0)*E54)</f>
        <v>3535</v>
      </c>
      <c r="H54" s="50">
        <f>IFERROR(ROUND(IF(D54="主任",VLOOKUP($B:$B,科室绩效工资核算1!$B:H,MATCH("首诊风险积分", 科室绩效工资核算1!$B$3:$AN$3,0),0)/(中层绩效!$E54+VLOOKUP($B:$B,人员表!$B:$G,MATCH("医疗组",人员表!$B$3:$G$3,0),0))*中层绩效!$E54,0),0),0)</f>
        <v>0</v>
      </c>
      <c r="I54" s="50">
        <f>IFERROR(ROUND(IF($D54="主任",VLOOKUP($B:$B,科室绩效工资核算1!$B:I,MATCH("病历质量积分", 科室绩效工资核算1!$B$3:$AN$3,0),0)/(中层绩效!$E54+VLOOKUP($B:$B,人员表!$B:$G,MATCH("医疗组",人员表!$B$3:$G$3,0),0))*中层绩效!$E54,0),0),0)</f>
        <v>0</v>
      </c>
      <c r="J54" s="50">
        <f>IFERROR(ROUND(IF($D54="主任",VLOOKUP($B:$B,科室绩效工资核算1!$B:J,MATCH("门诊人次积分", 科室绩效工资核算1!$B$3:$AN$3,0),0)/(中层绩效!$E54+VLOOKUP($B:$B,人员表!$B:$G,MATCH("医疗组",人员表!$B$3:$G$3,0),0))*中层绩效!$E54,0),0),0)</f>
        <v>106</v>
      </c>
      <c r="K54" s="50">
        <f>IFERROR(ROUND(IF($D54="主任",VLOOKUP($B:$B,科室绩效工资核算1!$B:K,MATCH("临床路径积分", 科室绩效工资核算1!$B$3:$AN$3,0),0)/(中层绩效!$E54+VLOOKUP($B:$B,人员表!$B:$G,MATCH("医疗组",人员表!$B$3:$G$3,0),0))*中层绩效!$E54,0),0),0)</f>
        <v>0</v>
      </c>
      <c r="L54" s="50">
        <f>IFERROR(ROUND(IF($D54="主任",VLOOKUP($B:$B,科室绩效工资核算1!$B:L,MATCH("麻醉风险积分", 科室绩效工资核算1!$B$3:$AN$3,0),0)/(中层绩效!$E54+VLOOKUP($B:$B,人员表!$B:$G,MATCH("医疗组",人员表!$B$3:$G$3,0),0))*中层绩效!$E54,0),0),0)</f>
        <v>4</v>
      </c>
      <c r="M54" s="50">
        <f>IFERROR(ROUND(IF($D54="主任",VLOOKUP($B:$B,科室绩效工资核算1!$B:M,MATCH("分娩风险积分", 科室绩效工资核算1!$B$3:$AN$3,0),0)/(中层绩效!$E54+VLOOKUP($B:$B,人员表!$B:$G,MATCH("医疗组",人员表!$B$3:$G$3,0),0))*中层绩效!$E54,0),0),0)</f>
        <v>0</v>
      </c>
      <c r="N54" s="50">
        <f>IFERROR(ROUND(IF($D54="主任",VLOOKUP($B:$B,科室绩效工资核算1!$B:N,MATCH("肿瘤支气管镜", 科室绩效工资核算1!$B$3:$AN$3,0),0)/(中层绩效!$E54+VLOOKUP($B:$B,人员表!$B:$G,MATCH("医疗组",人员表!$B$3:$G$3,0),0))*中层绩效!$E54,0),0),0)</f>
        <v>0</v>
      </c>
      <c r="O54" s="50">
        <f>IFERROR(ROUND(IF($D54="主任",VLOOKUP($B:$B,科室绩效工资核算1!$B:O,MATCH("会诊风险积分", 科室绩效工资核算1!$B$3:$AN$3,0),0)/(中层绩效!$E54+VLOOKUP($B:$B,人员表!$B:$G,MATCH("医疗组",人员表!$B$3:$G$3,0),0))*中层绩效!$E54,0),0),0)</f>
        <v>37</v>
      </c>
      <c r="P54" s="50">
        <f>IFERROR(ROUND(IF($D54="主任",VLOOKUP($B:$B,科室绩效工资核算1!$B:P,MATCH("换药风险积分", 科室绩效工资核算1!$B$3:$AN$3,0),0)/(中层绩效!$E54+VLOOKUP($B:$B,人员表!$B:$G,MATCH("医疗组",人员表!$B$3:$G$3,0),0))*中层绩效!$E54,0),0),0)</f>
        <v>22</v>
      </c>
      <c r="Q54" s="50">
        <f>IFERROR(ROUND(IF($D54="主任",VLOOKUP($B:$B,科室绩效工资核算1!$B:Q,MATCH("功能康复积分", 科室绩效工资核算1!$B$3:$AN$3,0),0)/(中层绩效!$E54+VLOOKUP($B:$B,人员表!$B:$G,MATCH("医疗组",人员表!$B$3:$G$3,0),0))*中层绩效!$E54,0),0),0)</f>
        <v>0</v>
      </c>
      <c r="R54" s="50">
        <f>IFERROR(ROUND(IF($D54="主任",VLOOKUP($B:$B,科室绩效工资核算1!$B:R,MATCH("中医外治积分", 科室绩效工资核算1!$B$3:$AN$3,0),0)/(中层绩效!$E54+VLOOKUP($B:$B,人员表!$B:$G,MATCH("医疗组",人员表!$B$3:$G$3,0),0))*中层绩效!$E54,0),0),0)</f>
        <v>0</v>
      </c>
      <c r="S54" s="50">
        <f>IFERROR(ROUND(IF($D54="主任",VLOOKUP($B:$B,科室绩效工资核算1!$B:S,MATCH("中药积分", 科室绩效工资核算1!$B$3:$AN$3,0),0)/(中层绩效!$E54+VLOOKUP($B:$B,人员表!$B:$G,MATCH("医疗组",人员表!$B$3:$G$3,0),0))*中层绩效!$E54,0),0),0)</f>
        <v>0</v>
      </c>
      <c r="T54" s="50">
        <f>IFERROR(ROUND(IF($D54="护士长",VLOOKUP($B:$B,科室绩效工资核算1!$B:T,MATCH("护理风险积分", 科室绩效工资核算1!$B$3:$AN$3,0),0)/(中层绩效!$E54+VLOOKUP($B:$B,人员表!$B:$G,MATCH("护理组",人员表!$B$3:$G$3,0),0))*中层绩效!$E54,0),0),0)</f>
        <v>0</v>
      </c>
      <c r="U54" s="43">
        <f>F54*科室绩效工资核算1!AQ$7</f>
        <v>0</v>
      </c>
      <c r="V54" s="43">
        <f t="shared" si="0"/>
        <v>3704</v>
      </c>
      <c r="W54" s="43">
        <f>V54*科室绩效工资核算1!AQ$10</f>
        <v>3984.3928000000005</v>
      </c>
    </row>
    <row r="55" spans="2:23" x14ac:dyDescent="0.25">
      <c r="B55" s="51" t="str">
        <f>中层系数!B55</f>
        <v>口腔科</v>
      </c>
      <c r="C55" s="5" t="str">
        <f>中层系数!C55</f>
        <v>测试52</v>
      </c>
      <c r="D55" s="5" t="str">
        <f>VLOOKUP(C:C,中层系数!C:I,7,0)</f>
        <v>主任</v>
      </c>
      <c r="E55" s="5">
        <f>VLOOKUP(C:C,中层系数!C:I,6,0)</f>
        <v>1</v>
      </c>
      <c r="F55" s="5">
        <f>VLOOKUP(C:C,中层系数!C:I,5,0)</f>
        <v>0</v>
      </c>
      <c r="G55" s="43">
        <f>IF(OR(D55="主任",D55="副主任"),VLOOKUP($B:$B,人员表!$B:$G,MATCH("医生基础人均",人员表!$B$3:$G$3),0)*中层绩效!E55,VLOOKUP($B:$B,人员表!$B:$G,MATCH("护理基础人均",人员表!$B$3:$G$3,0),0)*E55)</f>
        <v>897</v>
      </c>
      <c r="H55" s="50">
        <f>IFERROR(ROUND(IF(D55="主任",VLOOKUP($B:$B,科室绩效工资核算1!$B:H,MATCH("首诊风险积分", 科室绩效工资核算1!$B$3:$AN$3,0),0)/(中层绩效!$E55+VLOOKUP($B:$B,人员表!$B:$G,MATCH("医疗组",人员表!$B$3:$G$3,0),0))*中层绩效!$E55,0),0),0)</f>
        <v>3</v>
      </c>
      <c r="I55" s="50">
        <f>IFERROR(ROUND(IF($D55="主任",VLOOKUP($B:$B,科室绩效工资核算1!$B:I,MATCH("病历质量积分", 科室绩效工资核算1!$B$3:$AN$3,0),0)/(中层绩效!$E55+VLOOKUP($B:$B,人员表!$B:$G,MATCH("医疗组",人员表!$B$3:$G$3,0),0))*中层绩效!$E55,0),0),0)</f>
        <v>0</v>
      </c>
      <c r="J55" s="50">
        <f>IFERROR(ROUND(IF($D55="主任",VLOOKUP($B:$B,科室绩效工资核算1!$B:J,MATCH("门诊人次积分", 科室绩效工资核算1!$B$3:$AN$3,0),0)/(中层绩效!$E55+VLOOKUP($B:$B,人员表!$B:$G,MATCH("医疗组",人员表!$B$3:$G$3,0),0))*中层绩效!$E55,0),0),0)</f>
        <v>22</v>
      </c>
      <c r="K55" s="50">
        <f>IFERROR(ROUND(IF($D55="主任",VLOOKUP($B:$B,科室绩效工资核算1!$B:K,MATCH("临床路径积分", 科室绩效工资核算1!$B$3:$AN$3,0),0)/(中层绩效!$E55+VLOOKUP($B:$B,人员表!$B:$G,MATCH("医疗组",人员表!$B$3:$G$3,0),0))*中层绩效!$E55,0),0),0)</f>
        <v>0</v>
      </c>
      <c r="L55" s="50">
        <f>IFERROR(ROUND(IF($D55="主任",VLOOKUP($B:$B,科室绩效工资核算1!$B:L,MATCH("麻醉风险积分", 科室绩效工资核算1!$B$3:$AN$3,0),0)/(中层绩效!$E55+VLOOKUP($B:$B,人员表!$B:$G,MATCH("医疗组",人员表!$B$3:$G$3,0),0))*中层绩效!$E55,0),0),0)</f>
        <v>0</v>
      </c>
      <c r="M55" s="50">
        <f>IFERROR(ROUND(IF($D55="主任",VLOOKUP($B:$B,科室绩效工资核算1!$B:M,MATCH("分娩风险积分", 科室绩效工资核算1!$B$3:$AN$3,0),0)/(中层绩效!$E55+VLOOKUP($B:$B,人员表!$B:$G,MATCH("医疗组",人员表!$B$3:$G$3,0),0))*中层绩效!$E55,0),0),0)</f>
        <v>0</v>
      </c>
      <c r="N55" s="50">
        <f>IFERROR(ROUND(IF($D55="主任",VLOOKUP($B:$B,科室绩效工资核算1!$B:N,MATCH("肿瘤支气管镜", 科室绩效工资核算1!$B$3:$AN$3,0),0)/(中层绩效!$E55+VLOOKUP($B:$B,人员表!$B:$G,MATCH("医疗组",人员表!$B$3:$G$3,0),0))*中层绩效!$E55,0),0),0)</f>
        <v>0</v>
      </c>
      <c r="O55" s="50">
        <f>IFERROR(ROUND(IF($D55="主任",VLOOKUP($B:$B,科室绩效工资核算1!$B:O,MATCH("会诊风险积分", 科室绩效工资核算1!$B$3:$AN$3,0),0)/(中层绩效!$E55+VLOOKUP($B:$B,人员表!$B:$G,MATCH("医疗组",人员表!$B$3:$G$3,0),0))*中层绩效!$E55,0),0),0)</f>
        <v>18</v>
      </c>
      <c r="P55" s="50">
        <f>IFERROR(ROUND(IF($D55="主任",VLOOKUP($B:$B,科室绩效工资核算1!$B:P,MATCH("换药风险积分", 科室绩效工资核算1!$B$3:$AN$3,0),0)/(中层绩效!$E55+VLOOKUP($B:$B,人员表!$B:$G,MATCH("医疗组",人员表!$B$3:$G$3,0),0))*中层绩效!$E55,0),0),0)</f>
        <v>146</v>
      </c>
      <c r="Q55" s="50">
        <f>IFERROR(ROUND(IF($D55="主任",VLOOKUP($B:$B,科室绩效工资核算1!$B:Q,MATCH("功能康复积分", 科室绩效工资核算1!$B$3:$AN$3,0),0)/(中层绩效!$E55+VLOOKUP($B:$B,人员表!$B:$G,MATCH("医疗组",人员表!$B$3:$G$3,0),0))*中层绩效!$E55,0),0),0)</f>
        <v>0</v>
      </c>
      <c r="R55" s="50">
        <f>IFERROR(ROUND(IF($D55="主任",VLOOKUP($B:$B,科室绩效工资核算1!$B:R,MATCH("中医外治积分", 科室绩效工资核算1!$B$3:$AN$3,0),0)/(中层绩效!$E55+VLOOKUP($B:$B,人员表!$B:$G,MATCH("医疗组",人员表!$B$3:$G$3,0),0))*中层绩效!$E55,0),0),0)</f>
        <v>0</v>
      </c>
      <c r="S55" s="50">
        <f>IFERROR(ROUND(IF($D55="主任",VLOOKUP($B:$B,科室绩效工资核算1!$B:S,MATCH("中药积分", 科室绩效工资核算1!$B$3:$AN$3,0),0)/(中层绩效!$E55+VLOOKUP($B:$B,人员表!$B:$G,MATCH("医疗组",人员表!$B$3:$G$3,0),0))*中层绩效!$E55,0),0),0)</f>
        <v>0</v>
      </c>
      <c r="T55" s="50">
        <f>IFERROR(ROUND(IF($D55="护士长",VLOOKUP($B:$B,科室绩效工资核算1!$B:T,MATCH("护理风险积分", 科室绩效工资核算1!$B$3:$AN$3,0),0)/(中层绩效!$E55+VLOOKUP($B:$B,人员表!$B:$G,MATCH("护理组",人员表!$B$3:$G$3,0),0))*中层绩效!$E55,0),0),0)</f>
        <v>0</v>
      </c>
      <c r="U55" s="43">
        <f>F55*科室绩效工资核算1!AQ$7</f>
        <v>0</v>
      </c>
      <c r="V55" s="43">
        <f t="shared" si="0"/>
        <v>1086</v>
      </c>
      <c r="W55" s="43">
        <f>V55*科室绩效工资核算1!AQ$10</f>
        <v>1168.2102000000002</v>
      </c>
    </row>
    <row r="56" spans="2:23" x14ac:dyDescent="0.25">
      <c r="B56" s="51" t="str">
        <f>中层系数!B56</f>
        <v>普外二科</v>
      </c>
      <c r="C56" s="5" t="str">
        <f>中层系数!C56</f>
        <v>测试53</v>
      </c>
      <c r="D56" s="5" t="str">
        <f>VLOOKUP(C:C,中层系数!C:I,7,0)</f>
        <v>护士长</v>
      </c>
      <c r="E56" s="5">
        <f>VLOOKUP(C:C,中层系数!C:I,6,0)</f>
        <v>0.72</v>
      </c>
      <c r="F56" s="5">
        <f>VLOOKUP(C:C,中层系数!C:I,5,0)</f>
        <v>0</v>
      </c>
      <c r="G56" s="43">
        <f>IF(OR(D56="主任",D56="副主任"),VLOOKUP($B:$B,人员表!$B:$G,MATCH("医生基础人均",人员表!$B$3:$G$3),0)*中层绩效!E56,VLOOKUP($B:$B,人员表!$B:$G,MATCH("护理基础人均",人员表!$B$3:$G$3,0),0)*E56)</f>
        <v>1692.72</v>
      </c>
      <c r="H56" s="50">
        <f>IFERROR(ROUND(IF(D56="主任",VLOOKUP($B:$B,科室绩效工资核算1!$B:H,MATCH("首诊风险积分", 科室绩效工资核算1!$B$3:$AN$3,0),0)/(中层绩效!$E56+VLOOKUP($B:$B,人员表!$B:$G,MATCH("医疗组",人员表!$B$3:$G$3,0),0))*中层绩效!$E56,0),0),0)</f>
        <v>0</v>
      </c>
      <c r="I56" s="50">
        <f>IFERROR(ROUND(IF($D56="主任",VLOOKUP($B:$B,科室绩效工资核算1!$B:I,MATCH("病历质量积分", 科室绩效工资核算1!$B$3:$AN$3,0),0)/(中层绩效!$E56+VLOOKUP($B:$B,人员表!$B:$G,MATCH("医疗组",人员表!$B$3:$G$3,0),0))*中层绩效!$E56,0),0),0)</f>
        <v>0</v>
      </c>
      <c r="J56" s="50">
        <f>IFERROR(ROUND(IF($D56="主任",VLOOKUP($B:$B,科室绩效工资核算1!$B:J,MATCH("门诊人次积分", 科室绩效工资核算1!$B$3:$AN$3,0),0)/(中层绩效!$E56+VLOOKUP($B:$B,人员表!$B:$G,MATCH("医疗组",人员表!$B$3:$G$3,0),0))*中层绩效!$E56,0),0),0)</f>
        <v>0</v>
      </c>
      <c r="K56" s="50">
        <f>IFERROR(ROUND(IF($D56="主任",VLOOKUP($B:$B,科室绩效工资核算1!$B:K,MATCH("临床路径积分", 科室绩效工资核算1!$B$3:$AN$3,0),0)/(中层绩效!$E56+VLOOKUP($B:$B,人员表!$B:$G,MATCH("医疗组",人员表!$B$3:$G$3,0),0))*中层绩效!$E56,0),0),0)</f>
        <v>0</v>
      </c>
      <c r="L56" s="50">
        <f>IFERROR(ROUND(IF($D56="主任",VLOOKUP($B:$B,科室绩效工资核算1!$B:L,MATCH("麻醉风险积分", 科室绩效工资核算1!$B$3:$AN$3,0),0)/(中层绩效!$E56+VLOOKUP($B:$B,人员表!$B:$G,MATCH("医疗组",人员表!$B$3:$G$3,0),0))*中层绩效!$E56,0),0),0)</f>
        <v>0</v>
      </c>
      <c r="M56" s="50">
        <f>IFERROR(ROUND(IF($D56="主任",VLOOKUP($B:$B,科室绩效工资核算1!$B:M,MATCH("分娩风险积分", 科室绩效工资核算1!$B$3:$AN$3,0),0)/(中层绩效!$E56+VLOOKUP($B:$B,人员表!$B:$G,MATCH("医疗组",人员表!$B$3:$G$3,0),0))*中层绩效!$E56,0),0),0)</f>
        <v>0</v>
      </c>
      <c r="N56" s="50">
        <f>IFERROR(ROUND(IF($D56="主任",VLOOKUP($B:$B,科室绩效工资核算1!$B:N,MATCH("肿瘤支气管镜", 科室绩效工资核算1!$B$3:$AN$3,0),0)/(中层绩效!$E56+VLOOKUP($B:$B,人员表!$B:$G,MATCH("医疗组",人员表!$B$3:$G$3,0),0))*中层绩效!$E56,0),0),0)</f>
        <v>0</v>
      </c>
      <c r="O56" s="50">
        <f>IFERROR(ROUND(IF($D56="主任",VLOOKUP($B:$B,科室绩效工资核算1!$B:O,MATCH("会诊风险积分", 科室绩效工资核算1!$B$3:$AN$3,0),0)/(中层绩效!$E56+VLOOKUP($B:$B,人员表!$B:$G,MATCH("医疗组",人员表!$B$3:$G$3,0),0))*中层绩效!$E56,0),0),0)</f>
        <v>0</v>
      </c>
      <c r="P56" s="50">
        <f>IFERROR(ROUND(IF($D56="主任",VLOOKUP($B:$B,科室绩效工资核算1!$B:P,MATCH("换药风险积分", 科室绩效工资核算1!$B$3:$AN$3,0),0)/(中层绩效!$E56+VLOOKUP($B:$B,人员表!$B:$G,MATCH("医疗组",人员表!$B$3:$G$3,0),0))*中层绩效!$E56,0),0),0)</f>
        <v>0</v>
      </c>
      <c r="Q56" s="50">
        <f>IFERROR(ROUND(IF($D56="主任",VLOOKUP($B:$B,科室绩效工资核算1!$B:Q,MATCH("功能康复积分", 科室绩效工资核算1!$B$3:$AN$3,0),0)/(中层绩效!$E56+VLOOKUP($B:$B,人员表!$B:$G,MATCH("医疗组",人员表!$B$3:$G$3,0),0))*中层绩效!$E56,0),0),0)</f>
        <v>0</v>
      </c>
      <c r="R56" s="50">
        <f>IFERROR(ROUND(IF($D56="主任",VLOOKUP($B:$B,科室绩效工资核算1!$B:R,MATCH("中医外治积分", 科室绩效工资核算1!$B$3:$AN$3,0),0)/(中层绩效!$E56+VLOOKUP($B:$B,人员表!$B:$G,MATCH("医疗组",人员表!$B$3:$G$3,0),0))*中层绩效!$E56,0),0),0)</f>
        <v>0</v>
      </c>
      <c r="S56" s="50">
        <f>IFERROR(ROUND(IF($D56="主任",VLOOKUP($B:$B,科室绩效工资核算1!$B:S,MATCH("中药积分", 科室绩效工资核算1!$B$3:$AN$3,0),0)/(中层绩效!$E56+VLOOKUP($B:$B,人员表!$B:$G,MATCH("医疗组",人员表!$B$3:$G$3,0),0))*中层绩效!$E56,0),0),0)</f>
        <v>0</v>
      </c>
      <c r="T56" s="50">
        <f>IFERROR(ROUND(IF($D56="护士长",VLOOKUP($B:$B,科室绩效工资核算1!$B:T,MATCH("护理风险积分", 科室绩效工资核算1!$B$3:$AN$3,0),0)/(中层绩效!$E56+VLOOKUP($B:$B,人员表!$B:$G,MATCH("护理组",人员表!$B$3:$G$3,0),0))*中层绩效!$E56,0),0),0)</f>
        <v>326</v>
      </c>
      <c r="U56" s="43">
        <f>F56*科室绩效工资核算1!AQ$7</f>
        <v>0</v>
      </c>
      <c r="V56" s="43">
        <f t="shared" si="0"/>
        <v>2018.72</v>
      </c>
      <c r="W56" s="43">
        <f>V56*科室绩效工资核算1!AQ$10</f>
        <v>2171.5371040000005</v>
      </c>
    </row>
    <row r="57" spans="2:23" x14ac:dyDescent="0.25">
      <c r="B57" s="51" t="str">
        <f>中层系数!B57</f>
        <v>普外二科</v>
      </c>
      <c r="C57" s="5" t="str">
        <f>中层系数!C57</f>
        <v>测试54</v>
      </c>
      <c r="D57" s="5" t="str">
        <f>VLOOKUP(C:C,中层系数!C:I,7,0)</f>
        <v>主任</v>
      </c>
      <c r="E57" s="5">
        <f>VLOOKUP(C:C,中层系数!C:I,6,0)</f>
        <v>2</v>
      </c>
      <c r="F57" s="5">
        <f>VLOOKUP(C:C,中层系数!C:I,5,0)</f>
        <v>0</v>
      </c>
      <c r="G57" s="43">
        <f>IF(OR(D57="主任",D57="副主任"),VLOOKUP($B:$B,人员表!$B:$G,MATCH("医生基础人均",人员表!$B$3:$G$3),0)*中层绩效!E57,VLOOKUP($B:$B,人员表!$B:$G,MATCH("护理基础人均",人员表!$B$3:$G$3,0),0)*E57)</f>
        <v>8056</v>
      </c>
      <c r="H57" s="50">
        <f>IFERROR(ROUND(IF(D57="主任",VLOOKUP($B:$B,科室绩效工资核算1!$B:H,MATCH("首诊风险积分", 科室绩效工资核算1!$B$3:$AN$3,0),0)/(中层绩效!$E57+VLOOKUP($B:$B,人员表!$B:$G,MATCH("医疗组",人员表!$B$3:$G$3,0),0))*中层绩效!$E57,0),0),0)</f>
        <v>451</v>
      </c>
      <c r="I57" s="50">
        <f>IFERROR(ROUND(IF($D57="主任",VLOOKUP($B:$B,科室绩效工资核算1!$B:I,MATCH("病历质量积分", 科室绩效工资核算1!$B$3:$AN$3,0),0)/(中层绩效!$E57+VLOOKUP($B:$B,人员表!$B:$G,MATCH("医疗组",人员表!$B$3:$G$3,0),0))*中层绩效!$E57,0),0),0)</f>
        <v>218</v>
      </c>
      <c r="J57" s="50">
        <f>IFERROR(ROUND(IF($D57="主任",VLOOKUP($B:$B,科室绩效工资核算1!$B:J,MATCH("门诊人次积分", 科室绩效工资核算1!$B$3:$AN$3,0),0)/(中层绩效!$E57+VLOOKUP($B:$B,人员表!$B:$G,MATCH("医疗组",人员表!$B$3:$G$3,0),0))*中层绩效!$E57,0),0),0)</f>
        <v>134</v>
      </c>
      <c r="K57" s="50">
        <f>IFERROR(ROUND(IF($D57="主任",VLOOKUP($B:$B,科室绩效工资核算1!$B:K,MATCH("临床路径积分", 科室绩效工资核算1!$B$3:$AN$3,0),0)/(中层绩效!$E57+VLOOKUP($B:$B,人员表!$B:$G,MATCH("医疗组",人员表!$B$3:$G$3,0),0))*中层绩效!$E57,0),0),0)</f>
        <v>44</v>
      </c>
      <c r="L57" s="50">
        <f>IFERROR(ROUND(IF($D57="主任",VLOOKUP($B:$B,科室绩效工资核算1!$B:L,MATCH("麻醉风险积分", 科室绩效工资核算1!$B$3:$AN$3,0),0)/(中层绩效!$E57+VLOOKUP($B:$B,人员表!$B:$G,MATCH("医疗组",人员表!$B$3:$G$3,0),0))*中层绩效!$E57,0),0),0)</f>
        <v>0</v>
      </c>
      <c r="M57" s="50">
        <f>IFERROR(ROUND(IF($D57="主任",VLOOKUP($B:$B,科室绩效工资核算1!$B:M,MATCH("分娩风险积分", 科室绩效工资核算1!$B$3:$AN$3,0),0)/(中层绩效!$E57+VLOOKUP($B:$B,人员表!$B:$G,MATCH("医疗组",人员表!$B$3:$G$3,0),0))*中层绩效!$E57,0),0),0)</f>
        <v>0</v>
      </c>
      <c r="N57" s="50">
        <f>IFERROR(ROUND(IF($D57="主任",VLOOKUP($B:$B,科室绩效工资核算1!$B:N,MATCH("肿瘤支气管镜", 科室绩效工资核算1!$B$3:$AN$3,0),0)/(中层绩效!$E57+VLOOKUP($B:$B,人员表!$B:$G,MATCH("医疗组",人员表!$B$3:$G$3,0),0))*中层绩效!$E57,0),0),0)</f>
        <v>0</v>
      </c>
      <c r="O57" s="50">
        <f>IFERROR(ROUND(IF($D57="主任",VLOOKUP($B:$B,科室绩效工资核算1!$B:O,MATCH("会诊风险积分", 科室绩效工资核算1!$B$3:$AN$3,0),0)/(中层绩效!$E57+VLOOKUP($B:$B,人员表!$B:$G,MATCH("医疗组",人员表!$B$3:$G$3,0),0))*中层绩效!$E57,0),0),0)</f>
        <v>84</v>
      </c>
      <c r="P57" s="50">
        <f>IFERROR(ROUND(IF($D57="主任",VLOOKUP($B:$B,科室绩效工资核算1!$B:P,MATCH("换药风险积分", 科室绩效工资核算1!$B$3:$AN$3,0),0)/(中层绩效!$E57+VLOOKUP($B:$B,人员表!$B:$G,MATCH("医疗组",人员表!$B$3:$G$3,0),0))*中层绩效!$E57,0),0),0)</f>
        <v>143</v>
      </c>
      <c r="Q57" s="50">
        <f>IFERROR(ROUND(IF($D57="主任",VLOOKUP($B:$B,科室绩效工资核算1!$B:Q,MATCH("功能康复积分", 科室绩效工资核算1!$B$3:$AN$3,0),0)/(中层绩效!$E57+VLOOKUP($B:$B,人员表!$B:$G,MATCH("医疗组",人员表!$B$3:$G$3,0),0))*中层绩效!$E57,0),0),0)</f>
        <v>232</v>
      </c>
      <c r="R57" s="50">
        <f>IFERROR(ROUND(IF($D57="主任",VLOOKUP($B:$B,科室绩效工资核算1!$B:R,MATCH("中医外治积分", 科室绩效工资核算1!$B$3:$AN$3,0),0)/(中层绩效!$E57+VLOOKUP($B:$B,人员表!$B:$G,MATCH("医疗组",人员表!$B$3:$G$3,0),0))*中层绩效!$E57,0),0),0)</f>
        <v>47</v>
      </c>
      <c r="S57" s="50">
        <f>IFERROR(ROUND(IF($D57="主任",VLOOKUP($B:$B,科室绩效工资核算1!$B:S,MATCH("中药积分", 科室绩效工资核算1!$B$3:$AN$3,0),0)/(中层绩效!$E57+VLOOKUP($B:$B,人员表!$B:$G,MATCH("医疗组",人员表!$B$3:$G$3,0),0))*中层绩效!$E57,0),0),0)</f>
        <v>0</v>
      </c>
      <c r="T57" s="50">
        <f>IFERROR(ROUND(IF($D57="护士长",VLOOKUP($B:$B,科室绩效工资核算1!$B:T,MATCH("护理风险积分", 科室绩效工资核算1!$B$3:$AN$3,0),0)/(中层绩效!$E57+VLOOKUP($B:$B,人员表!$B:$G,MATCH("护理组",人员表!$B$3:$G$3,0),0))*中层绩效!$E57,0),0),0)</f>
        <v>0</v>
      </c>
      <c r="U57" s="43">
        <f>F57*科室绩效工资核算1!AQ$7</f>
        <v>0</v>
      </c>
      <c r="V57" s="43">
        <f t="shared" si="0"/>
        <v>9409</v>
      </c>
      <c r="W57" s="43">
        <f>V57*科室绩效工资核算1!AQ$10</f>
        <v>10121.2613</v>
      </c>
    </row>
    <row r="58" spans="2:23" x14ac:dyDescent="0.25">
      <c r="B58" s="51" t="str">
        <f>中层系数!B58</f>
        <v>妇科门诊</v>
      </c>
      <c r="C58" s="5" t="str">
        <f>中层系数!C58</f>
        <v>测试55</v>
      </c>
      <c r="D58" s="5" t="str">
        <f>VLOOKUP(C:C,中层系数!C:I,7,0)</f>
        <v>主任</v>
      </c>
      <c r="E58" s="5">
        <f>VLOOKUP(C:C,中层系数!C:I,6,0)</f>
        <v>1</v>
      </c>
      <c r="F58" s="5">
        <f>VLOOKUP(C:C,中层系数!C:I,5,0)</f>
        <v>0</v>
      </c>
      <c r="G58" s="43">
        <f>IF(OR(D58="主任",D58="副主任"),VLOOKUP($B:$B,人员表!$B:$G,MATCH("医生基础人均",人员表!$B$3:$G$3),0)*中层绩效!E58,VLOOKUP($B:$B,人员表!$B:$G,MATCH("护理基础人均",人员表!$B$3:$G$3,0),0)*E58)</f>
        <v>6795</v>
      </c>
      <c r="H58" s="50">
        <f>IFERROR(ROUND(IF(D58="主任",VLOOKUP($B:$B,科室绩效工资核算1!$B:H,MATCH("首诊风险积分", 科室绩效工资核算1!$B$3:$AN$3,0),0)/(中层绩效!$E58+VLOOKUP($B:$B,人员表!$B:$G,MATCH("医疗组",人员表!$B$3:$G$3,0),0))*中层绩效!$E58,0),0),0)</f>
        <v>144</v>
      </c>
      <c r="I58" s="50">
        <f>IFERROR(ROUND(IF($D58="主任",VLOOKUP($B:$B,科室绩效工资核算1!$B:I,MATCH("病历质量积分", 科室绩效工资核算1!$B$3:$AN$3,0),0)/(中层绩效!$E58+VLOOKUP($B:$B,人员表!$B:$G,MATCH("医疗组",人员表!$B$3:$G$3,0),0))*中层绩效!$E58,0),0),0)</f>
        <v>0</v>
      </c>
      <c r="J58" s="50">
        <f>IFERROR(ROUND(IF($D58="主任",VLOOKUP($B:$B,科室绩效工资核算1!$B:J,MATCH("门诊人次积分", 科室绩效工资核算1!$B$3:$AN$3,0),0)/(中层绩效!$E58+VLOOKUP($B:$B,人员表!$B:$G,MATCH("医疗组",人员表!$B$3:$G$3,0),0))*中层绩效!$E58,0),0),0)</f>
        <v>255</v>
      </c>
      <c r="K58" s="50">
        <f>IFERROR(ROUND(IF($D58="主任",VLOOKUP($B:$B,科室绩效工资核算1!$B:K,MATCH("临床路径积分", 科室绩效工资核算1!$B$3:$AN$3,0),0)/(中层绩效!$E58+VLOOKUP($B:$B,人员表!$B:$G,MATCH("医疗组",人员表!$B$3:$G$3,0),0))*中层绩效!$E58,0),0),0)</f>
        <v>0</v>
      </c>
      <c r="L58" s="50">
        <f>IFERROR(ROUND(IF($D58="主任",VLOOKUP($B:$B,科室绩效工资核算1!$B:L,MATCH("麻醉风险积分", 科室绩效工资核算1!$B$3:$AN$3,0),0)/(中层绩效!$E58+VLOOKUP($B:$B,人员表!$B:$G,MATCH("医疗组",人员表!$B$3:$G$3,0),0))*中层绩效!$E58,0),0),0)</f>
        <v>330</v>
      </c>
      <c r="M58" s="50">
        <f>IFERROR(ROUND(IF($D58="主任",VLOOKUP($B:$B,科室绩效工资核算1!$B:M,MATCH("分娩风险积分", 科室绩效工资核算1!$B$3:$AN$3,0),0)/(中层绩效!$E58+VLOOKUP($B:$B,人员表!$B:$G,MATCH("医疗组",人员表!$B$3:$G$3,0),0))*中层绩效!$E58,0),0),0)</f>
        <v>0</v>
      </c>
      <c r="N58" s="50">
        <f>IFERROR(ROUND(IF($D58="主任",VLOOKUP($B:$B,科室绩效工资核算1!$B:N,MATCH("肿瘤支气管镜", 科室绩效工资核算1!$B$3:$AN$3,0),0)/(中层绩效!$E58+VLOOKUP($B:$B,人员表!$B:$G,MATCH("医疗组",人员表!$B$3:$G$3,0),0))*中层绩效!$E58,0),0),0)</f>
        <v>0</v>
      </c>
      <c r="O58" s="50">
        <f>IFERROR(ROUND(IF($D58="主任",VLOOKUP($B:$B,科室绩效工资核算1!$B:O,MATCH("会诊风险积分", 科室绩效工资核算1!$B$3:$AN$3,0),0)/(中层绩效!$E58+VLOOKUP($B:$B,人员表!$B:$G,MATCH("医疗组",人员表!$B$3:$G$3,0),0))*中层绩效!$E58,0),0),0)</f>
        <v>13</v>
      </c>
      <c r="P58" s="50">
        <f>IFERROR(ROUND(IF($D58="主任",VLOOKUP($B:$B,科室绩效工资核算1!$B:P,MATCH("换药风险积分", 科室绩效工资核算1!$B$3:$AN$3,0),0)/(中层绩效!$E58+VLOOKUP($B:$B,人员表!$B:$G,MATCH("医疗组",人员表!$B$3:$G$3,0),0))*中层绩效!$E58,0),0),0)</f>
        <v>155</v>
      </c>
      <c r="Q58" s="50">
        <f>IFERROR(ROUND(IF($D58="主任",VLOOKUP($B:$B,科室绩效工资核算1!$B:Q,MATCH("功能康复积分", 科室绩效工资核算1!$B$3:$AN$3,0),0)/(中层绩效!$E58+VLOOKUP($B:$B,人员表!$B:$G,MATCH("医疗组",人员表!$B$3:$G$3,0),0))*中层绩效!$E58,0),0),0)</f>
        <v>0</v>
      </c>
      <c r="R58" s="50">
        <f>IFERROR(ROUND(IF($D58="主任",VLOOKUP($B:$B,科室绩效工资核算1!$B:R,MATCH("中医外治积分", 科室绩效工资核算1!$B$3:$AN$3,0),0)/(中层绩效!$E58+VLOOKUP($B:$B,人员表!$B:$G,MATCH("医疗组",人员表!$B$3:$G$3,0),0))*中层绩效!$E58,0),0),0)</f>
        <v>0</v>
      </c>
      <c r="S58" s="50">
        <f>IFERROR(ROUND(IF($D58="主任",VLOOKUP($B:$B,科室绩效工资核算1!$B:S,MATCH("中药积分", 科室绩效工资核算1!$B$3:$AN$3,0),0)/(中层绩效!$E58+VLOOKUP($B:$B,人员表!$B:$G,MATCH("医疗组",人员表!$B$3:$G$3,0),0))*中层绩效!$E58,0),0),0)</f>
        <v>0</v>
      </c>
      <c r="T58" s="50">
        <f>IFERROR(ROUND(IF($D58="护士长",VLOOKUP($B:$B,科室绩效工资核算1!$B:T,MATCH("护理风险积分", 科室绩效工资核算1!$B$3:$AN$3,0),0)/(中层绩效!$E58+VLOOKUP($B:$B,人员表!$B:$G,MATCH("护理组",人员表!$B$3:$G$3,0),0))*中层绩效!$E58,0),0),0)</f>
        <v>0</v>
      </c>
      <c r="U58" s="43">
        <f>F58*科室绩效工资核算1!AQ$7</f>
        <v>0</v>
      </c>
      <c r="V58" s="43">
        <f t="shared" si="0"/>
        <v>7692</v>
      </c>
      <c r="W58" s="43">
        <f>V58*科室绩效工资核算1!AQ$10</f>
        <v>8274.2844000000005</v>
      </c>
    </row>
    <row r="59" spans="2:23" x14ac:dyDescent="0.25">
      <c r="B59" s="51" t="str">
        <f>中层系数!B59</f>
        <v>李四02</v>
      </c>
      <c r="C59" s="5" t="str">
        <f>中层系数!C59</f>
        <v>测试56</v>
      </c>
      <c r="D59" s="5" t="str">
        <f>VLOOKUP(C:C,中层系数!C:I,7,0)</f>
        <v>护士长</v>
      </c>
      <c r="E59" s="5">
        <f>VLOOKUP(C:C,中层系数!C:I,6,0)</f>
        <v>1</v>
      </c>
      <c r="F59" s="5">
        <f>VLOOKUP(C:C,中层系数!C:I,5,0)</f>
        <v>0.3</v>
      </c>
      <c r="G59" s="43">
        <f>IF(OR(D59="主任",D59="副主任"),VLOOKUP($B:$B,人员表!$B:$G,MATCH("医生基础人均",人员表!$B$3:$G$3),0)*中层绩效!E59,VLOOKUP($B:$B,人员表!$B:$G,MATCH("护理基础人均",人员表!$B$3:$G$3,0),0)*E59)</f>
        <v>0</v>
      </c>
      <c r="H59" s="50">
        <f>IFERROR(ROUND(IF(D59="主任",VLOOKUP($B:$B,科室绩效工资核算1!$B:H,MATCH("首诊风险积分", 科室绩效工资核算1!$B$3:$AN$3,0),0)/(中层绩效!$E59+VLOOKUP($B:$B,人员表!$B:$G,MATCH("医疗组",人员表!$B$3:$G$3,0),0))*中层绩效!$E59,0),0),0)</f>
        <v>0</v>
      </c>
      <c r="I59" s="50">
        <f>IFERROR(ROUND(IF($D59="主任",VLOOKUP($B:$B,科室绩效工资核算1!$B:I,MATCH("病历质量积分", 科室绩效工资核算1!$B$3:$AN$3,0),0)/(中层绩效!$E59+VLOOKUP($B:$B,人员表!$B:$G,MATCH("医疗组",人员表!$B$3:$G$3,0),0))*中层绩效!$E59,0),0),0)</f>
        <v>0</v>
      </c>
      <c r="J59" s="50">
        <f>IFERROR(ROUND(IF($D59="主任",VLOOKUP($B:$B,科室绩效工资核算1!$B:J,MATCH("门诊人次积分", 科室绩效工资核算1!$B$3:$AN$3,0),0)/(中层绩效!$E59+VLOOKUP($B:$B,人员表!$B:$G,MATCH("医疗组",人员表!$B$3:$G$3,0),0))*中层绩效!$E59,0),0),0)</f>
        <v>0</v>
      </c>
      <c r="K59" s="50">
        <f>IFERROR(ROUND(IF($D59="主任",VLOOKUP($B:$B,科室绩效工资核算1!$B:K,MATCH("临床路径积分", 科室绩效工资核算1!$B$3:$AN$3,0),0)/(中层绩效!$E59+VLOOKUP($B:$B,人员表!$B:$G,MATCH("医疗组",人员表!$B$3:$G$3,0),0))*中层绩效!$E59,0),0),0)</f>
        <v>0</v>
      </c>
      <c r="L59" s="50">
        <f>IFERROR(ROUND(IF($D59="主任",VLOOKUP($B:$B,科室绩效工资核算1!$B:L,MATCH("麻醉风险积分", 科室绩效工资核算1!$B$3:$AN$3,0),0)/(中层绩效!$E59+VLOOKUP($B:$B,人员表!$B:$G,MATCH("医疗组",人员表!$B$3:$G$3,0),0))*中层绩效!$E59,0),0),0)</f>
        <v>0</v>
      </c>
      <c r="M59" s="50">
        <f>IFERROR(ROUND(IF($D59="主任",VLOOKUP($B:$B,科室绩效工资核算1!$B:M,MATCH("分娩风险积分", 科室绩效工资核算1!$B$3:$AN$3,0),0)/(中层绩效!$E59+VLOOKUP($B:$B,人员表!$B:$G,MATCH("医疗组",人员表!$B$3:$G$3,0),0))*中层绩效!$E59,0),0),0)</f>
        <v>0</v>
      </c>
      <c r="N59" s="50">
        <f>IFERROR(ROUND(IF($D59="主任",VLOOKUP($B:$B,科室绩效工资核算1!$B:N,MATCH("肿瘤支气管镜", 科室绩效工资核算1!$B$3:$AN$3,0),0)/(中层绩效!$E59+VLOOKUP($B:$B,人员表!$B:$G,MATCH("医疗组",人员表!$B$3:$G$3,0),0))*中层绩效!$E59,0),0),0)</f>
        <v>0</v>
      </c>
      <c r="O59" s="50">
        <f>IFERROR(ROUND(IF($D59="主任",VLOOKUP($B:$B,科室绩效工资核算1!$B:O,MATCH("会诊风险积分", 科室绩效工资核算1!$B$3:$AN$3,0),0)/(中层绩效!$E59+VLOOKUP($B:$B,人员表!$B:$G,MATCH("医疗组",人员表!$B$3:$G$3,0),0))*中层绩效!$E59,0),0),0)</f>
        <v>0</v>
      </c>
      <c r="P59" s="50">
        <f>IFERROR(ROUND(IF($D59="主任",VLOOKUP($B:$B,科室绩效工资核算1!$B:P,MATCH("换药风险积分", 科室绩效工资核算1!$B$3:$AN$3,0),0)/(中层绩效!$E59+VLOOKUP($B:$B,人员表!$B:$G,MATCH("医疗组",人员表!$B$3:$G$3,0),0))*中层绩效!$E59,0),0),0)</f>
        <v>0</v>
      </c>
      <c r="Q59" s="50">
        <f>IFERROR(ROUND(IF($D59="主任",VLOOKUP($B:$B,科室绩效工资核算1!$B:Q,MATCH("功能康复积分", 科室绩效工资核算1!$B$3:$AN$3,0),0)/(中层绩效!$E59+VLOOKUP($B:$B,人员表!$B:$G,MATCH("医疗组",人员表!$B$3:$G$3,0),0))*中层绩效!$E59,0),0),0)</f>
        <v>0</v>
      </c>
      <c r="R59" s="50">
        <f>IFERROR(ROUND(IF($D59="主任",VLOOKUP($B:$B,科室绩效工资核算1!$B:R,MATCH("中医外治积分", 科室绩效工资核算1!$B$3:$AN$3,0),0)/(中层绩效!$E59+VLOOKUP($B:$B,人员表!$B:$G,MATCH("医疗组",人员表!$B$3:$G$3,0),0))*中层绩效!$E59,0),0),0)</f>
        <v>0</v>
      </c>
      <c r="S59" s="50">
        <f>IFERROR(ROUND(IF($D59="主任",VLOOKUP($B:$B,科室绩效工资核算1!$B:S,MATCH("中药积分", 科室绩效工资核算1!$B$3:$AN$3,0),0)/(中层绩效!$E59+VLOOKUP($B:$B,人员表!$B:$G,MATCH("医疗组",人员表!$B$3:$G$3,0),0))*中层绩效!$E59,0),0),0)</f>
        <v>0</v>
      </c>
      <c r="T59" s="50">
        <f>IFERROR(ROUND(IF($D59="护士长",VLOOKUP($B:$B,科室绩效工资核算1!$B:T,MATCH("护理风险积分", 科室绩效工资核算1!$B$3:$AN$3,0),0)/(中层绩效!$E59+VLOOKUP($B:$B,人员表!$B:$G,MATCH("护理组",人员表!$B$3:$G$3,0),0))*中层绩效!$E59,0),0),0)</f>
        <v>0</v>
      </c>
      <c r="U59" s="43">
        <f>F59*科室绩效工资核算1!AQ$7</f>
        <v>461.904</v>
      </c>
      <c r="V59" s="43">
        <f t="shared" si="0"/>
        <v>461.904</v>
      </c>
      <c r="W59" s="43">
        <f>V59*科室绩效工资核算1!AQ$10</f>
        <v>496.87013280000002</v>
      </c>
    </row>
    <row r="60" spans="2:23" x14ac:dyDescent="0.25">
      <c r="B60" s="51" t="str">
        <f>中层系数!B60</f>
        <v>驾驶员体检</v>
      </c>
      <c r="C60" s="5" t="str">
        <f>中层系数!C60</f>
        <v>测试57</v>
      </c>
      <c r="D60" s="5" t="str">
        <f>VLOOKUP(C:C,中层系数!C:I,7,0)</f>
        <v>主任</v>
      </c>
      <c r="E60" s="5">
        <f>VLOOKUP(C:C,中层系数!C:I,6,0)</f>
        <v>1.04</v>
      </c>
      <c r="F60" s="5">
        <f>VLOOKUP(C:C,中层系数!C:I,5,0)</f>
        <v>0</v>
      </c>
      <c r="G60" s="43">
        <f>IF(OR(D60="主任",D60="副主任"),VLOOKUP($B:$B,人员表!$B:$G,MATCH("医生基础人均",人员表!$B$3:$G$3),0)*中层绩效!E60,VLOOKUP($B:$B,人员表!$B:$G,MATCH("护理基础人均",人员表!$B$3:$G$3,0),0)*E60)</f>
        <v>-2902.64</v>
      </c>
      <c r="H60" s="50">
        <f>IFERROR(ROUND(IF(D60="主任",VLOOKUP($B:$B,科室绩效工资核算1!$B:H,MATCH("首诊风险积分", 科室绩效工资核算1!$B$3:$AN$3,0),0)/(中层绩效!$E60+VLOOKUP($B:$B,人员表!$B:$G,MATCH("医疗组",人员表!$B$3:$G$3,0),0))*中层绩效!$E60,0),0),0)</f>
        <v>0</v>
      </c>
      <c r="I60" s="50">
        <f>IFERROR(ROUND(IF($D60="主任",VLOOKUP($B:$B,科室绩效工资核算1!$B:I,MATCH("病历质量积分", 科室绩效工资核算1!$B$3:$AN$3,0),0)/(中层绩效!$E60+VLOOKUP($B:$B,人员表!$B:$G,MATCH("医疗组",人员表!$B$3:$G$3,0),0))*中层绩效!$E60,0),0),0)</f>
        <v>0</v>
      </c>
      <c r="J60" s="50">
        <f>IFERROR(ROUND(IF($D60="主任",VLOOKUP($B:$B,科室绩效工资核算1!$B:J,MATCH("门诊人次积分", 科室绩效工资核算1!$B$3:$AN$3,0),0)/(中层绩效!$E60+VLOOKUP($B:$B,人员表!$B:$G,MATCH("医疗组",人员表!$B$3:$G$3,0),0))*中层绩效!$E60,0),0),0)</f>
        <v>0</v>
      </c>
      <c r="K60" s="50">
        <f>IFERROR(ROUND(IF($D60="主任",VLOOKUP($B:$B,科室绩效工资核算1!$B:K,MATCH("临床路径积分", 科室绩效工资核算1!$B$3:$AN$3,0),0)/(中层绩效!$E60+VLOOKUP($B:$B,人员表!$B:$G,MATCH("医疗组",人员表!$B$3:$G$3,0),0))*中层绩效!$E60,0),0),0)</f>
        <v>0</v>
      </c>
      <c r="L60" s="50">
        <f>IFERROR(ROUND(IF($D60="主任",VLOOKUP($B:$B,科室绩效工资核算1!$B:L,MATCH("麻醉风险积分", 科室绩效工资核算1!$B$3:$AN$3,0),0)/(中层绩效!$E60+VLOOKUP($B:$B,人员表!$B:$G,MATCH("医疗组",人员表!$B$3:$G$3,0),0))*中层绩效!$E60,0),0),0)</f>
        <v>0</v>
      </c>
      <c r="M60" s="50">
        <f>IFERROR(ROUND(IF($D60="主任",VLOOKUP($B:$B,科室绩效工资核算1!$B:M,MATCH("分娩风险积分", 科室绩效工资核算1!$B$3:$AN$3,0),0)/(中层绩效!$E60+VLOOKUP($B:$B,人员表!$B:$G,MATCH("医疗组",人员表!$B$3:$G$3,0),0))*中层绩效!$E60,0),0),0)</f>
        <v>0</v>
      </c>
      <c r="N60" s="50">
        <f>IFERROR(ROUND(IF($D60="主任",VLOOKUP($B:$B,科室绩效工资核算1!$B:N,MATCH("肿瘤支气管镜", 科室绩效工资核算1!$B$3:$AN$3,0),0)/(中层绩效!$E60+VLOOKUP($B:$B,人员表!$B:$G,MATCH("医疗组",人员表!$B$3:$G$3,0),0))*中层绩效!$E60,0),0),0)</f>
        <v>0</v>
      </c>
      <c r="O60" s="50">
        <f>IFERROR(ROUND(IF($D60="主任",VLOOKUP($B:$B,科室绩效工资核算1!$B:O,MATCH("会诊风险积分", 科室绩效工资核算1!$B$3:$AN$3,0),0)/(中层绩效!$E60+VLOOKUP($B:$B,人员表!$B:$G,MATCH("医疗组",人员表!$B$3:$G$3,0),0))*中层绩效!$E60,0),0),0)</f>
        <v>0</v>
      </c>
      <c r="P60" s="50">
        <f>IFERROR(ROUND(IF($D60="主任",VLOOKUP($B:$B,科室绩效工资核算1!$B:P,MATCH("换药风险积分", 科室绩效工资核算1!$B$3:$AN$3,0),0)/(中层绩效!$E60+VLOOKUP($B:$B,人员表!$B:$G,MATCH("医疗组",人员表!$B$3:$G$3,0),0))*中层绩效!$E60,0),0),0)</f>
        <v>0</v>
      </c>
      <c r="Q60" s="50">
        <f>IFERROR(ROUND(IF($D60="主任",VLOOKUP($B:$B,科室绩效工资核算1!$B:Q,MATCH("功能康复积分", 科室绩效工资核算1!$B$3:$AN$3,0),0)/(中层绩效!$E60+VLOOKUP($B:$B,人员表!$B:$G,MATCH("医疗组",人员表!$B$3:$G$3,0),0))*中层绩效!$E60,0),0),0)</f>
        <v>0</v>
      </c>
      <c r="R60" s="50">
        <f>IFERROR(ROUND(IF($D60="主任",VLOOKUP($B:$B,科室绩效工资核算1!$B:R,MATCH("中医外治积分", 科室绩效工资核算1!$B$3:$AN$3,0),0)/(中层绩效!$E60+VLOOKUP($B:$B,人员表!$B:$G,MATCH("医疗组",人员表!$B$3:$G$3,0),0))*中层绩效!$E60,0),0),0)</f>
        <v>0</v>
      </c>
      <c r="S60" s="50">
        <f>IFERROR(ROUND(IF($D60="主任",VLOOKUP($B:$B,科室绩效工资核算1!$B:S,MATCH("中药积分", 科室绩效工资核算1!$B$3:$AN$3,0),0)/(中层绩效!$E60+VLOOKUP($B:$B,人员表!$B:$G,MATCH("医疗组",人员表!$B$3:$G$3,0),0))*中层绩效!$E60,0),0),0)</f>
        <v>0</v>
      </c>
      <c r="T60" s="50">
        <f>IFERROR(ROUND(IF($D60="护士长",VLOOKUP($B:$B,科室绩效工资核算1!$B:T,MATCH("护理风险积分", 科室绩效工资核算1!$B$3:$AN$3,0),0)/(中层绩效!$E60+VLOOKUP($B:$B,人员表!$B:$G,MATCH("护理组",人员表!$B$3:$G$3,0),0))*中层绩效!$E60,0),0),0)</f>
        <v>0</v>
      </c>
      <c r="U60" s="43">
        <f>F60*科室绩效工资核算1!AQ$7</f>
        <v>0</v>
      </c>
      <c r="V60" s="43">
        <f t="shared" si="0"/>
        <v>-2902.64</v>
      </c>
      <c r="W60" s="43">
        <f>V60*科室绩效工资核算1!AQ$10</f>
        <v>-3122.3698480000003</v>
      </c>
    </row>
    <row r="61" spans="2:23" x14ac:dyDescent="0.25">
      <c r="B61" s="51" t="str">
        <f>中层系数!B61</f>
        <v>门诊手术室</v>
      </c>
      <c r="C61" s="5" t="str">
        <f>中层系数!C61</f>
        <v>测试58</v>
      </c>
      <c r="D61" s="5" t="str">
        <f>VLOOKUP(C:C,中层系数!C:I,7,0)</f>
        <v>主任</v>
      </c>
      <c r="E61" s="5">
        <f>VLOOKUP(C:C,中层系数!C:I,6,0)</f>
        <v>1</v>
      </c>
      <c r="F61" s="5">
        <f>VLOOKUP(C:C,中层系数!C:I,5,0)</f>
        <v>0</v>
      </c>
      <c r="G61" s="43">
        <f>IF(OR(D61="主任",D61="副主任"),VLOOKUP($B:$B,人员表!$B:$G,MATCH("医生基础人均",人员表!$B$3:$G$3),0)*中层绩效!E61,VLOOKUP($B:$B,人员表!$B:$G,MATCH("护理基础人均",人员表!$B$3:$G$3,0),0)*E61)</f>
        <v>1500</v>
      </c>
      <c r="H61" s="50">
        <f>IFERROR(ROUND(IF(D61="主任",VLOOKUP($B:$B,科室绩效工资核算1!$B:H,MATCH("首诊风险积分", 科室绩效工资核算1!$B$3:$AN$3,0),0)/(中层绩效!$E61+VLOOKUP($B:$B,人员表!$B:$G,MATCH("医疗组",人员表!$B$3:$G$3,0),0))*中层绩效!$E61,0),0),0)</f>
        <v>0</v>
      </c>
      <c r="I61" s="50">
        <f>IFERROR(ROUND(IF($D61="主任",VLOOKUP($B:$B,科室绩效工资核算1!$B:I,MATCH("病历质量积分", 科室绩效工资核算1!$B$3:$AN$3,0),0)/(中层绩效!$E61+VLOOKUP($B:$B,人员表!$B:$G,MATCH("医疗组",人员表!$B$3:$G$3,0),0))*中层绩效!$E61,0),0),0)</f>
        <v>0</v>
      </c>
      <c r="J61" s="50">
        <f>IFERROR(ROUND(IF($D61="主任",VLOOKUP($B:$B,科室绩效工资核算1!$B:J,MATCH("门诊人次积分", 科室绩效工资核算1!$B$3:$AN$3,0),0)/(中层绩效!$E61+VLOOKUP($B:$B,人员表!$B:$G,MATCH("医疗组",人员表!$B$3:$G$3,0),0))*中层绩效!$E61,0),0),0)</f>
        <v>0</v>
      </c>
      <c r="K61" s="50">
        <f>IFERROR(ROUND(IF($D61="主任",VLOOKUP($B:$B,科室绩效工资核算1!$B:K,MATCH("临床路径积分", 科室绩效工资核算1!$B$3:$AN$3,0),0)/(中层绩效!$E61+VLOOKUP($B:$B,人员表!$B:$G,MATCH("医疗组",人员表!$B$3:$G$3,0),0))*中层绩效!$E61,0),0),0)</f>
        <v>0</v>
      </c>
      <c r="L61" s="50">
        <f>IFERROR(ROUND(IF($D61="主任",VLOOKUP($B:$B,科室绩效工资核算1!$B:L,MATCH("麻醉风险积分", 科室绩效工资核算1!$B$3:$AN$3,0),0)/(中层绩效!$E61+VLOOKUP($B:$B,人员表!$B:$G,MATCH("医疗组",人员表!$B$3:$G$3,0),0))*中层绩效!$E61,0),0),0)</f>
        <v>451</v>
      </c>
      <c r="M61" s="50">
        <f>IFERROR(ROUND(IF($D61="主任",VLOOKUP($B:$B,科室绩效工资核算1!$B:M,MATCH("分娩风险积分", 科室绩效工资核算1!$B$3:$AN$3,0),0)/(中层绩效!$E61+VLOOKUP($B:$B,人员表!$B:$G,MATCH("医疗组",人员表!$B$3:$G$3,0),0))*中层绩效!$E61,0),0),0)</f>
        <v>0</v>
      </c>
      <c r="N61" s="50">
        <f>IFERROR(ROUND(IF($D61="主任",VLOOKUP($B:$B,科室绩效工资核算1!$B:N,MATCH("肿瘤支气管镜", 科室绩效工资核算1!$B$3:$AN$3,0),0)/(中层绩效!$E61+VLOOKUP($B:$B,人员表!$B:$G,MATCH("医疗组",人员表!$B$3:$G$3,0),0))*中层绩效!$E61,0),0),0)</f>
        <v>0</v>
      </c>
      <c r="O61" s="50">
        <f>IFERROR(ROUND(IF($D61="主任",VLOOKUP($B:$B,科室绩效工资核算1!$B:O,MATCH("会诊风险积分", 科室绩效工资核算1!$B$3:$AN$3,0),0)/(中层绩效!$E61+VLOOKUP($B:$B,人员表!$B:$G,MATCH("医疗组",人员表!$B$3:$G$3,0),0))*中层绩效!$E61,0),0),0)</f>
        <v>0</v>
      </c>
      <c r="P61" s="50">
        <f>IFERROR(ROUND(IF($D61="主任",VLOOKUP($B:$B,科室绩效工资核算1!$B:P,MATCH("换药风险积分", 科室绩效工资核算1!$B$3:$AN$3,0),0)/(中层绩效!$E61+VLOOKUP($B:$B,人员表!$B:$G,MATCH("医疗组",人员表!$B$3:$G$3,0),0))*中层绩效!$E61,0),0),0)</f>
        <v>176</v>
      </c>
      <c r="Q61" s="50">
        <f>IFERROR(ROUND(IF($D61="主任",VLOOKUP($B:$B,科室绩效工资核算1!$B:Q,MATCH("功能康复积分", 科室绩效工资核算1!$B$3:$AN$3,0),0)/(中层绩效!$E61+VLOOKUP($B:$B,人员表!$B:$G,MATCH("医疗组",人员表!$B$3:$G$3,0),0))*中层绩效!$E61,0),0),0)</f>
        <v>0</v>
      </c>
      <c r="R61" s="50">
        <f>IFERROR(ROUND(IF($D61="主任",VLOOKUP($B:$B,科室绩效工资核算1!$B:R,MATCH("中医外治积分", 科室绩效工资核算1!$B$3:$AN$3,0),0)/(中层绩效!$E61+VLOOKUP($B:$B,人员表!$B:$G,MATCH("医疗组",人员表!$B$3:$G$3,0),0))*中层绩效!$E61,0),0),0)</f>
        <v>0</v>
      </c>
      <c r="S61" s="50">
        <f>IFERROR(ROUND(IF($D61="主任",VLOOKUP($B:$B,科室绩效工资核算1!$B:S,MATCH("中药积分", 科室绩效工资核算1!$B$3:$AN$3,0),0)/(中层绩效!$E61+VLOOKUP($B:$B,人员表!$B:$G,MATCH("医疗组",人员表!$B$3:$G$3,0),0))*中层绩效!$E61,0),0),0)</f>
        <v>0</v>
      </c>
      <c r="T61" s="50">
        <f>IFERROR(ROUND(IF($D61="护士长",VLOOKUP($B:$B,科室绩效工资核算1!$B:T,MATCH("护理风险积分", 科室绩效工资核算1!$B$3:$AN$3,0),0)/(中层绩效!$E61+VLOOKUP($B:$B,人员表!$B:$G,MATCH("护理组",人员表!$B$3:$G$3,0),0))*中层绩效!$E61,0),0),0)</f>
        <v>0</v>
      </c>
      <c r="U61" s="43">
        <f>F61*科室绩效工资核算1!AQ$7</f>
        <v>0</v>
      </c>
      <c r="V61" s="43">
        <f t="shared" si="0"/>
        <v>2127</v>
      </c>
      <c r="W61" s="43">
        <f>V61*科室绩效工资核算1!AQ$10</f>
        <v>2288.0139000000004</v>
      </c>
    </row>
    <row r="62" spans="2:23" x14ac:dyDescent="0.25">
      <c r="B62" s="51" t="str">
        <f>中层系数!B62</f>
        <v>麻醉科</v>
      </c>
      <c r="C62" s="5" t="str">
        <f>中层系数!C62</f>
        <v>测试59</v>
      </c>
      <c r="D62" s="5" t="str">
        <f>VLOOKUP(C:C,中层系数!C:I,7,0)</f>
        <v>主任</v>
      </c>
      <c r="E62" s="5">
        <f>VLOOKUP(C:C,中层系数!C:I,6,0)</f>
        <v>2</v>
      </c>
      <c r="F62" s="5">
        <f>VLOOKUP(C:C,中层系数!C:I,5,0)</f>
        <v>0</v>
      </c>
      <c r="G62" s="43">
        <f>IF(OR(D62="主任",D62="副主任"),VLOOKUP($B:$B,人员表!$B:$G,MATCH("医生基础人均",人员表!$B$3:$G$3),0)*中层绩效!E62,VLOOKUP($B:$B,人员表!$B:$G,MATCH("护理基础人均",人员表!$B$3:$G$3,0),0)*E62)</f>
        <v>608</v>
      </c>
      <c r="H62" s="50">
        <f>IFERROR(ROUND(IF(D62="主任",VLOOKUP($B:$B,科室绩效工资核算1!$B:H,MATCH("首诊风险积分", 科室绩效工资核算1!$B$3:$AN$3,0),0)/(中层绩效!$E62+VLOOKUP($B:$B,人员表!$B:$G,MATCH("医疗组",人员表!$B$3:$G$3,0),0))*中层绩效!$E62,0),0),0)</f>
        <v>0</v>
      </c>
      <c r="I62" s="50">
        <f>IFERROR(ROUND(IF($D62="主任",VLOOKUP($B:$B,科室绩效工资核算1!$B:I,MATCH("病历质量积分", 科室绩效工资核算1!$B$3:$AN$3,0),0)/(中层绩效!$E62+VLOOKUP($B:$B,人员表!$B:$G,MATCH("医疗组",人员表!$B$3:$G$3,0),0))*中层绩效!$E62,0),0),0)</f>
        <v>0</v>
      </c>
      <c r="J62" s="50">
        <f>IFERROR(ROUND(IF($D62="主任",VLOOKUP($B:$B,科室绩效工资核算1!$B:J,MATCH("门诊人次积分", 科室绩效工资核算1!$B$3:$AN$3,0),0)/(中层绩效!$E62+VLOOKUP($B:$B,人员表!$B:$G,MATCH("医疗组",人员表!$B$3:$G$3,0),0))*中层绩效!$E62,0),0),0)</f>
        <v>1</v>
      </c>
      <c r="K62" s="50">
        <f>IFERROR(ROUND(IF($D62="主任",VLOOKUP($B:$B,科室绩效工资核算1!$B:K,MATCH("临床路径积分", 科室绩效工资核算1!$B$3:$AN$3,0),0)/(中层绩效!$E62+VLOOKUP($B:$B,人员表!$B:$G,MATCH("医疗组",人员表!$B$3:$G$3,0),0))*中层绩效!$E62,0),0),0)</f>
        <v>0</v>
      </c>
      <c r="L62" s="50">
        <f>IFERROR(ROUND(IF($D62="主任",VLOOKUP($B:$B,科室绩效工资核算1!$B:L,MATCH("麻醉风险积分", 科室绩效工资核算1!$B$3:$AN$3,0),0)/(中层绩效!$E62+VLOOKUP($B:$B,人员表!$B:$G,MATCH("医疗组",人员表!$B$3:$G$3,0),0))*中层绩效!$E62,0),0),0)</f>
        <v>2121</v>
      </c>
      <c r="M62" s="50">
        <f>IFERROR(ROUND(IF($D62="主任",VLOOKUP($B:$B,科室绩效工资核算1!$B:M,MATCH("分娩风险积分", 科室绩效工资核算1!$B$3:$AN$3,0),0)/(中层绩效!$E62+VLOOKUP($B:$B,人员表!$B:$G,MATCH("医疗组",人员表!$B$3:$G$3,0),0))*中层绩效!$E62,0),0),0)</f>
        <v>0</v>
      </c>
      <c r="N62" s="50">
        <f>IFERROR(ROUND(IF($D62="主任",VLOOKUP($B:$B,科室绩效工资核算1!$B:N,MATCH("肿瘤支气管镜", 科室绩效工资核算1!$B$3:$AN$3,0),0)/(中层绩效!$E62+VLOOKUP($B:$B,人员表!$B:$G,MATCH("医疗组",人员表!$B$3:$G$3,0),0))*中层绩效!$E62,0),0),0)</f>
        <v>0</v>
      </c>
      <c r="O62" s="50">
        <f>IFERROR(ROUND(IF($D62="主任",VLOOKUP($B:$B,科室绩效工资核算1!$B:O,MATCH("会诊风险积分", 科室绩效工资核算1!$B$3:$AN$3,0),0)/(中层绩效!$E62+VLOOKUP($B:$B,人员表!$B:$G,MATCH("医疗组",人员表!$B$3:$G$3,0),0))*中层绩效!$E62,0),0),0)</f>
        <v>0</v>
      </c>
      <c r="P62" s="50">
        <f>IFERROR(ROUND(IF($D62="主任",VLOOKUP($B:$B,科室绩效工资核算1!$B:P,MATCH("换药风险积分", 科室绩效工资核算1!$B$3:$AN$3,0),0)/(中层绩效!$E62+VLOOKUP($B:$B,人员表!$B:$G,MATCH("医疗组",人员表!$B$3:$G$3,0),0))*中层绩效!$E62,0),0),0)</f>
        <v>0</v>
      </c>
      <c r="Q62" s="50">
        <f>IFERROR(ROUND(IF($D62="主任",VLOOKUP($B:$B,科室绩效工资核算1!$B:Q,MATCH("功能康复积分", 科室绩效工资核算1!$B$3:$AN$3,0),0)/(中层绩效!$E62+VLOOKUP($B:$B,人员表!$B:$G,MATCH("医疗组",人员表!$B$3:$G$3,0),0))*中层绩效!$E62,0),0),0)</f>
        <v>0</v>
      </c>
      <c r="R62" s="50">
        <f>IFERROR(ROUND(IF($D62="主任",VLOOKUP($B:$B,科室绩效工资核算1!$B:R,MATCH("中医外治积分", 科室绩效工资核算1!$B$3:$AN$3,0),0)/(中层绩效!$E62+VLOOKUP($B:$B,人员表!$B:$G,MATCH("医疗组",人员表!$B$3:$G$3,0),0))*中层绩效!$E62,0),0),0)</f>
        <v>0</v>
      </c>
      <c r="S62" s="50">
        <f>IFERROR(ROUND(IF($D62="主任",VLOOKUP($B:$B,科室绩效工资核算1!$B:S,MATCH("中药积分", 科室绩效工资核算1!$B$3:$AN$3,0),0)/(中层绩效!$E62+VLOOKUP($B:$B,人员表!$B:$G,MATCH("医疗组",人员表!$B$3:$G$3,0),0))*中层绩效!$E62,0),0),0)</f>
        <v>0</v>
      </c>
      <c r="T62" s="50">
        <f>IFERROR(ROUND(IF($D62="护士长",VLOOKUP($B:$B,科室绩效工资核算1!$B:T,MATCH("护理风险积分", 科室绩效工资核算1!$B$3:$AN$3,0),0)/(中层绩效!$E62+VLOOKUP($B:$B,人员表!$B:$G,MATCH("护理组",人员表!$B$3:$G$3,0),0))*中层绩效!$E62,0),0),0)</f>
        <v>0</v>
      </c>
      <c r="U62" s="43">
        <f>F62*科室绩效工资核算1!AQ$7</f>
        <v>0</v>
      </c>
      <c r="V62" s="43">
        <f t="shared" si="0"/>
        <v>2730</v>
      </c>
      <c r="W62" s="43">
        <f>V62*科室绩效工资核算1!AQ$10</f>
        <v>2936.6610000000001</v>
      </c>
    </row>
    <row r="63" spans="2:23" x14ac:dyDescent="0.25">
      <c r="B63" s="51" t="str">
        <f>中层系数!B63</f>
        <v>麻醉科</v>
      </c>
      <c r="C63" s="5" t="str">
        <f>中层系数!C63</f>
        <v>测试60</v>
      </c>
      <c r="D63" s="5" t="str">
        <f>VLOOKUP(C:C,中层系数!C:I,7,0)</f>
        <v>护士长</v>
      </c>
      <c r="E63" s="5">
        <f>VLOOKUP(C:C,中层系数!C:I,6,0)</f>
        <v>1.44</v>
      </c>
      <c r="F63" s="5">
        <f>VLOOKUP(C:C,中层系数!C:I,5,0)</f>
        <v>0</v>
      </c>
      <c r="G63" s="43">
        <f>IF(OR(D63="主任",D63="副主任"),VLOOKUP($B:$B,人员表!$B:$G,MATCH("医生基础人均",人员表!$B$3:$G$3),0)*中层绩效!E63,VLOOKUP($B:$B,人员表!$B:$G,MATCH("护理基础人均",人员表!$B$3:$G$3,0),0)*E63)</f>
        <v>437.76</v>
      </c>
      <c r="H63" s="50">
        <f>IFERROR(ROUND(IF(D63="主任",VLOOKUP($B:$B,科室绩效工资核算1!$B:H,MATCH("首诊风险积分", 科室绩效工资核算1!$B$3:$AN$3,0),0)/(中层绩效!$E63+VLOOKUP($B:$B,人员表!$B:$G,MATCH("医疗组",人员表!$B$3:$G$3,0),0))*中层绩效!$E63,0),0),0)</f>
        <v>0</v>
      </c>
      <c r="I63" s="50">
        <f>IFERROR(ROUND(IF($D63="主任",VLOOKUP($B:$B,科室绩效工资核算1!$B:I,MATCH("病历质量积分", 科室绩效工资核算1!$B$3:$AN$3,0),0)/(中层绩效!$E63+VLOOKUP($B:$B,人员表!$B:$G,MATCH("医疗组",人员表!$B$3:$G$3,0),0))*中层绩效!$E63,0),0),0)</f>
        <v>0</v>
      </c>
      <c r="J63" s="50">
        <f>IFERROR(ROUND(IF($D63="主任",VLOOKUP($B:$B,科室绩效工资核算1!$B:J,MATCH("门诊人次积分", 科室绩效工资核算1!$B$3:$AN$3,0),0)/(中层绩效!$E63+VLOOKUP($B:$B,人员表!$B:$G,MATCH("医疗组",人员表!$B$3:$G$3,0),0))*中层绩效!$E63,0),0),0)</f>
        <v>0</v>
      </c>
      <c r="K63" s="50">
        <f>IFERROR(ROUND(IF($D63="主任",VLOOKUP($B:$B,科室绩效工资核算1!$B:K,MATCH("临床路径积分", 科室绩效工资核算1!$B$3:$AN$3,0),0)/(中层绩效!$E63+VLOOKUP($B:$B,人员表!$B:$G,MATCH("医疗组",人员表!$B$3:$G$3,0),0))*中层绩效!$E63,0),0),0)</f>
        <v>0</v>
      </c>
      <c r="L63" s="50">
        <f>IFERROR(ROUND(IF($D63="主任",VLOOKUP($B:$B,科室绩效工资核算1!$B:L,MATCH("麻醉风险积分", 科室绩效工资核算1!$B$3:$AN$3,0),0)/(中层绩效!$E63+VLOOKUP($B:$B,人员表!$B:$G,MATCH("医疗组",人员表!$B$3:$G$3,0),0))*中层绩效!$E63,0),0),0)</f>
        <v>0</v>
      </c>
      <c r="M63" s="50">
        <f>IFERROR(ROUND(IF($D63="主任",VLOOKUP($B:$B,科室绩效工资核算1!$B:M,MATCH("分娩风险积分", 科室绩效工资核算1!$B$3:$AN$3,0),0)/(中层绩效!$E63+VLOOKUP($B:$B,人员表!$B:$G,MATCH("医疗组",人员表!$B$3:$G$3,0),0))*中层绩效!$E63,0),0),0)</f>
        <v>0</v>
      </c>
      <c r="N63" s="50">
        <f>IFERROR(ROUND(IF($D63="主任",VLOOKUP($B:$B,科室绩效工资核算1!$B:N,MATCH("肿瘤支气管镜", 科室绩效工资核算1!$B$3:$AN$3,0),0)/(中层绩效!$E63+VLOOKUP($B:$B,人员表!$B:$G,MATCH("医疗组",人员表!$B$3:$G$3,0),0))*中层绩效!$E63,0),0),0)</f>
        <v>0</v>
      </c>
      <c r="O63" s="50">
        <f>IFERROR(ROUND(IF($D63="主任",VLOOKUP($B:$B,科室绩效工资核算1!$B:O,MATCH("会诊风险积分", 科室绩效工资核算1!$B$3:$AN$3,0),0)/(中层绩效!$E63+VLOOKUP($B:$B,人员表!$B:$G,MATCH("医疗组",人员表!$B$3:$G$3,0),0))*中层绩效!$E63,0),0),0)</f>
        <v>0</v>
      </c>
      <c r="P63" s="50">
        <f>IFERROR(ROUND(IF($D63="主任",VLOOKUP($B:$B,科室绩效工资核算1!$B:P,MATCH("换药风险积分", 科室绩效工资核算1!$B$3:$AN$3,0),0)/(中层绩效!$E63+VLOOKUP($B:$B,人员表!$B:$G,MATCH("医疗组",人员表!$B$3:$G$3,0),0))*中层绩效!$E63,0),0),0)</f>
        <v>0</v>
      </c>
      <c r="Q63" s="50">
        <f>IFERROR(ROUND(IF($D63="主任",VLOOKUP($B:$B,科室绩效工资核算1!$B:Q,MATCH("功能康复积分", 科室绩效工资核算1!$B$3:$AN$3,0),0)/(中层绩效!$E63+VLOOKUP($B:$B,人员表!$B:$G,MATCH("医疗组",人员表!$B$3:$G$3,0),0))*中层绩效!$E63,0),0),0)</f>
        <v>0</v>
      </c>
      <c r="R63" s="50">
        <f>IFERROR(ROUND(IF($D63="主任",VLOOKUP($B:$B,科室绩效工资核算1!$B:R,MATCH("中医外治积分", 科室绩效工资核算1!$B$3:$AN$3,0),0)/(中层绩效!$E63+VLOOKUP($B:$B,人员表!$B:$G,MATCH("医疗组",人员表!$B$3:$G$3,0),0))*中层绩效!$E63,0),0),0)</f>
        <v>0</v>
      </c>
      <c r="S63" s="50">
        <f>IFERROR(ROUND(IF($D63="主任",VLOOKUP($B:$B,科室绩效工资核算1!$B:S,MATCH("中药积分", 科室绩效工资核算1!$B$3:$AN$3,0),0)/(中层绩效!$E63+VLOOKUP($B:$B,人员表!$B:$G,MATCH("医疗组",人员表!$B$3:$G$3,0),0))*中层绩效!$E63,0),0),0)</f>
        <v>0</v>
      </c>
      <c r="T63" s="50">
        <f>IFERROR(ROUND(IF($D63="护士长",VLOOKUP($B:$B,科室绩效工资核算1!$B:T,MATCH("护理风险积分", 科室绩效工资核算1!$B$3:$AN$3,0),0)/(中层绩效!$E63+VLOOKUP($B:$B,人员表!$B:$G,MATCH("护理组",人员表!$B$3:$G$3,0),0))*中层绩效!$E63,0),0),0)</f>
        <v>1888</v>
      </c>
      <c r="U63" s="43">
        <f>F63*科室绩效工资核算1!AQ$7</f>
        <v>0</v>
      </c>
      <c r="V63" s="43">
        <f t="shared" si="0"/>
        <v>2325.7600000000002</v>
      </c>
      <c r="W63" s="43">
        <f>V63*科室绩效工资核算1!AQ$10</f>
        <v>2501.8200320000005</v>
      </c>
    </row>
    <row r="64" spans="2:23" x14ac:dyDescent="0.25">
      <c r="B64" s="51" t="str">
        <f>中层系数!B64</f>
        <v>检验科</v>
      </c>
      <c r="C64" s="5" t="str">
        <f>中层系数!C64</f>
        <v>测试61</v>
      </c>
      <c r="D64" s="5" t="str">
        <f>VLOOKUP(C:C,中层系数!C:I,7,0)</f>
        <v>主任</v>
      </c>
      <c r="E64" s="5">
        <f>VLOOKUP(C:C,中层系数!C:I,6,0)</f>
        <v>1.44</v>
      </c>
      <c r="F64" s="5">
        <f>VLOOKUP(C:C,中层系数!C:I,5,0)</f>
        <v>0</v>
      </c>
      <c r="G64" s="43">
        <f>IF(OR(D64="主任",D64="副主任"),VLOOKUP($B:$B,人员表!$B:$G,MATCH("医生基础人均",人员表!$B$3:$G$3),0)*中层绩效!E64,VLOOKUP($B:$B,人员表!$B:$G,MATCH("护理基础人均",人员表!$B$3:$G$3,0),0)*E64)</f>
        <v>12208.32</v>
      </c>
      <c r="H64" s="50">
        <f>IFERROR(ROUND(IF(D64="主任",VLOOKUP($B:$B,科室绩效工资核算1!$B:H,MATCH("首诊风险积分", 科室绩效工资核算1!$B$3:$AN$3,0),0)/(中层绩效!$E64+VLOOKUP($B:$B,人员表!$B:$G,MATCH("医疗组",人员表!$B$3:$G$3,0),0))*中层绩效!$E64,0),0),0)</f>
        <v>0</v>
      </c>
      <c r="I64" s="50">
        <f>IFERROR(ROUND(IF($D64="主任",VLOOKUP($B:$B,科室绩效工资核算1!$B:I,MATCH("病历质量积分", 科室绩效工资核算1!$B$3:$AN$3,0),0)/(中层绩效!$E64+VLOOKUP($B:$B,人员表!$B:$G,MATCH("医疗组",人员表!$B$3:$G$3,0),0))*中层绩效!$E64,0),0),0)</f>
        <v>0</v>
      </c>
      <c r="J64" s="50">
        <f>IFERROR(ROUND(IF($D64="主任",VLOOKUP($B:$B,科室绩效工资核算1!$B:J,MATCH("门诊人次积分", 科室绩效工资核算1!$B$3:$AN$3,0),0)/(中层绩效!$E64+VLOOKUP($B:$B,人员表!$B:$G,MATCH("医疗组",人员表!$B$3:$G$3,0),0))*中层绩效!$E64,0),0),0)</f>
        <v>0</v>
      </c>
      <c r="K64" s="50">
        <f>IFERROR(ROUND(IF($D64="主任",VLOOKUP($B:$B,科室绩效工资核算1!$B:K,MATCH("临床路径积分", 科室绩效工资核算1!$B$3:$AN$3,0),0)/(中层绩效!$E64+VLOOKUP($B:$B,人员表!$B:$G,MATCH("医疗组",人员表!$B$3:$G$3,0),0))*中层绩效!$E64,0),0),0)</f>
        <v>0</v>
      </c>
      <c r="L64" s="50">
        <f>IFERROR(ROUND(IF($D64="主任",VLOOKUP($B:$B,科室绩效工资核算1!$B:L,MATCH("麻醉风险积分", 科室绩效工资核算1!$B$3:$AN$3,0),0)/(中层绩效!$E64+VLOOKUP($B:$B,人员表!$B:$G,MATCH("医疗组",人员表!$B$3:$G$3,0),0))*中层绩效!$E64,0),0),0)</f>
        <v>0</v>
      </c>
      <c r="M64" s="50">
        <f>IFERROR(ROUND(IF($D64="主任",VLOOKUP($B:$B,科室绩效工资核算1!$B:M,MATCH("分娩风险积分", 科室绩效工资核算1!$B$3:$AN$3,0),0)/(中层绩效!$E64+VLOOKUP($B:$B,人员表!$B:$G,MATCH("医疗组",人员表!$B$3:$G$3,0),0))*中层绩效!$E64,0),0),0)</f>
        <v>0</v>
      </c>
      <c r="N64" s="50">
        <f>IFERROR(ROUND(IF($D64="主任",VLOOKUP($B:$B,科室绩效工资核算1!$B:N,MATCH("肿瘤支气管镜", 科室绩效工资核算1!$B$3:$AN$3,0),0)/(中层绩效!$E64+VLOOKUP($B:$B,人员表!$B:$G,MATCH("医疗组",人员表!$B$3:$G$3,0),0))*中层绩效!$E64,0),0),0)</f>
        <v>0</v>
      </c>
      <c r="O64" s="50">
        <f>IFERROR(ROUND(IF($D64="主任",VLOOKUP($B:$B,科室绩效工资核算1!$B:O,MATCH("会诊风险积分", 科室绩效工资核算1!$B$3:$AN$3,0),0)/(中层绩效!$E64+VLOOKUP($B:$B,人员表!$B:$G,MATCH("医疗组",人员表!$B$3:$G$3,0),0))*中层绩效!$E64,0),0),0)</f>
        <v>0</v>
      </c>
      <c r="P64" s="50">
        <f>IFERROR(ROUND(IF($D64="主任",VLOOKUP($B:$B,科室绩效工资核算1!$B:P,MATCH("换药风险积分", 科室绩效工资核算1!$B$3:$AN$3,0),0)/(中层绩效!$E64+VLOOKUP($B:$B,人员表!$B:$G,MATCH("医疗组",人员表!$B$3:$G$3,0),0))*中层绩效!$E64,0),0),0)</f>
        <v>0</v>
      </c>
      <c r="Q64" s="50">
        <f>IFERROR(ROUND(IF($D64="主任",VLOOKUP($B:$B,科室绩效工资核算1!$B:Q,MATCH("功能康复积分", 科室绩效工资核算1!$B$3:$AN$3,0),0)/(中层绩效!$E64+VLOOKUP($B:$B,人员表!$B:$G,MATCH("医疗组",人员表!$B$3:$G$3,0),0))*中层绩效!$E64,0),0),0)</f>
        <v>0</v>
      </c>
      <c r="R64" s="50">
        <f>IFERROR(ROUND(IF($D64="主任",VLOOKUP($B:$B,科室绩效工资核算1!$B:R,MATCH("中医外治积分", 科室绩效工资核算1!$B$3:$AN$3,0),0)/(中层绩效!$E64+VLOOKUP($B:$B,人员表!$B:$G,MATCH("医疗组",人员表!$B$3:$G$3,0),0))*中层绩效!$E64,0),0),0)</f>
        <v>0</v>
      </c>
      <c r="S64" s="50">
        <f>IFERROR(ROUND(IF($D64="主任",VLOOKUP($B:$B,科室绩效工资核算1!$B:S,MATCH("中药积分", 科室绩效工资核算1!$B$3:$AN$3,0),0)/(中层绩效!$E64+VLOOKUP($B:$B,人员表!$B:$G,MATCH("医疗组",人员表!$B$3:$G$3,0),0))*中层绩效!$E64,0),0),0)</f>
        <v>0</v>
      </c>
      <c r="T64" s="50">
        <f>IFERROR(ROUND(IF($D64="护士长",VLOOKUP($B:$B,科室绩效工资核算1!$B:T,MATCH("护理风险积分", 科室绩效工资核算1!$B$3:$AN$3,0),0)/(中层绩效!$E64+VLOOKUP($B:$B,人员表!$B:$G,MATCH("护理组",人员表!$B$3:$G$3,0),0))*中层绩效!$E64,0),0),0)</f>
        <v>0</v>
      </c>
      <c r="U64" s="43">
        <f>F64*科室绩效工资核算1!AQ$7</f>
        <v>0</v>
      </c>
      <c r="V64" s="43">
        <f t="shared" si="0"/>
        <v>12208.32</v>
      </c>
      <c r="W64" s="43">
        <f>V64*科室绩效工资核算1!AQ$10</f>
        <v>13132.489824</v>
      </c>
    </row>
    <row r="65" spans="2:23" x14ac:dyDescent="0.25">
      <c r="B65" s="51" t="str">
        <f>中层系数!B65</f>
        <v>放射科</v>
      </c>
      <c r="C65" s="5" t="str">
        <f>中层系数!C65</f>
        <v>测试62</v>
      </c>
      <c r="D65" s="5" t="str">
        <f>VLOOKUP(C:C,中层系数!C:I,7,0)</f>
        <v>主任</v>
      </c>
      <c r="E65" s="5">
        <f>VLOOKUP(C:C,中层系数!C:I,6,0)</f>
        <v>1.44</v>
      </c>
      <c r="F65" s="5">
        <f>VLOOKUP(C:C,中层系数!C:I,5,0)</f>
        <v>0</v>
      </c>
      <c r="G65" s="43">
        <f>IF(OR(D65="主任",D65="副主任"),VLOOKUP($B:$B,人员表!$B:$G,MATCH("医生基础人均",人员表!$B$3:$G$3),0)*中层绩效!E65,VLOOKUP($B:$B,人员表!$B:$G,MATCH("护理基础人均",人员表!$B$3:$G$3,0),0)*E65)</f>
        <v>1975.6799999999998</v>
      </c>
      <c r="H65" s="50">
        <f>IFERROR(ROUND(IF(D65="主任",VLOOKUP($B:$B,科室绩效工资核算1!$B:H,MATCH("首诊风险积分", 科室绩效工资核算1!$B$3:$AN$3,0),0)/(中层绩效!$E65+VLOOKUP($B:$B,人员表!$B:$G,MATCH("医疗组",人员表!$B$3:$G$3,0),0))*中层绩效!$E65,0),0),0)</f>
        <v>0</v>
      </c>
      <c r="I65" s="50">
        <f>IFERROR(ROUND(IF($D65="主任",VLOOKUP($B:$B,科室绩效工资核算1!$B:I,MATCH("病历质量积分", 科室绩效工资核算1!$B$3:$AN$3,0),0)/(中层绩效!$E65+VLOOKUP($B:$B,人员表!$B:$G,MATCH("医疗组",人员表!$B$3:$G$3,0),0))*中层绩效!$E65,0),0),0)</f>
        <v>0</v>
      </c>
      <c r="J65" s="50">
        <f>IFERROR(ROUND(IF($D65="主任",VLOOKUP($B:$B,科室绩效工资核算1!$B:J,MATCH("门诊人次积分", 科室绩效工资核算1!$B$3:$AN$3,0),0)/(中层绩效!$E65+VLOOKUP($B:$B,人员表!$B:$G,MATCH("医疗组",人员表!$B$3:$G$3,0),0))*中层绩效!$E65,0),0),0)</f>
        <v>0</v>
      </c>
      <c r="K65" s="50">
        <f>IFERROR(ROUND(IF($D65="主任",VLOOKUP($B:$B,科室绩效工资核算1!$B:K,MATCH("临床路径积分", 科室绩效工资核算1!$B$3:$AN$3,0),0)/(中层绩效!$E65+VLOOKUP($B:$B,人员表!$B:$G,MATCH("医疗组",人员表!$B$3:$G$3,0),0))*中层绩效!$E65,0),0),0)</f>
        <v>0</v>
      </c>
      <c r="L65" s="50">
        <f>IFERROR(ROUND(IF($D65="主任",VLOOKUP($B:$B,科室绩效工资核算1!$B:L,MATCH("麻醉风险积分", 科室绩效工资核算1!$B$3:$AN$3,0),0)/(中层绩效!$E65+VLOOKUP($B:$B,人员表!$B:$G,MATCH("医疗组",人员表!$B$3:$G$3,0),0))*中层绩效!$E65,0),0),0)</f>
        <v>0</v>
      </c>
      <c r="M65" s="50">
        <f>IFERROR(ROUND(IF($D65="主任",VLOOKUP($B:$B,科室绩效工资核算1!$B:M,MATCH("分娩风险积分", 科室绩效工资核算1!$B$3:$AN$3,0),0)/(中层绩效!$E65+VLOOKUP($B:$B,人员表!$B:$G,MATCH("医疗组",人员表!$B$3:$G$3,0),0))*中层绩效!$E65,0),0),0)</f>
        <v>0</v>
      </c>
      <c r="N65" s="50">
        <f>IFERROR(ROUND(IF($D65="主任",VLOOKUP($B:$B,科室绩效工资核算1!$B:N,MATCH("肿瘤支气管镜", 科室绩效工资核算1!$B$3:$AN$3,0),0)/(中层绩效!$E65+VLOOKUP($B:$B,人员表!$B:$G,MATCH("医疗组",人员表!$B$3:$G$3,0),0))*中层绩效!$E65,0),0),0)</f>
        <v>0</v>
      </c>
      <c r="O65" s="50">
        <f>IFERROR(ROUND(IF($D65="主任",VLOOKUP($B:$B,科室绩效工资核算1!$B:O,MATCH("会诊风险积分", 科室绩效工资核算1!$B$3:$AN$3,0),0)/(中层绩效!$E65+VLOOKUP($B:$B,人员表!$B:$G,MATCH("医疗组",人员表!$B$3:$G$3,0),0))*中层绩效!$E65,0),0),0)</f>
        <v>0</v>
      </c>
      <c r="P65" s="50">
        <f>IFERROR(ROUND(IF($D65="主任",VLOOKUP($B:$B,科室绩效工资核算1!$B:P,MATCH("换药风险积分", 科室绩效工资核算1!$B$3:$AN$3,0),0)/(中层绩效!$E65+VLOOKUP($B:$B,人员表!$B:$G,MATCH("医疗组",人员表!$B$3:$G$3,0),0))*中层绩效!$E65,0),0),0)</f>
        <v>0</v>
      </c>
      <c r="Q65" s="50">
        <f>IFERROR(ROUND(IF($D65="主任",VLOOKUP($B:$B,科室绩效工资核算1!$B:Q,MATCH("功能康复积分", 科室绩效工资核算1!$B$3:$AN$3,0),0)/(中层绩效!$E65+VLOOKUP($B:$B,人员表!$B:$G,MATCH("医疗组",人员表!$B$3:$G$3,0),0))*中层绩效!$E65,0),0),0)</f>
        <v>0</v>
      </c>
      <c r="R65" s="50">
        <f>IFERROR(ROUND(IF($D65="主任",VLOOKUP($B:$B,科室绩效工资核算1!$B:R,MATCH("中医外治积分", 科室绩效工资核算1!$B$3:$AN$3,0),0)/(中层绩效!$E65+VLOOKUP($B:$B,人员表!$B:$G,MATCH("医疗组",人员表!$B$3:$G$3,0),0))*中层绩效!$E65,0),0),0)</f>
        <v>0</v>
      </c>
      <c r="S65" s="50">
        <f>IFERROR(ROUND(IF($D65="主任",VLOOKUP($B:$B,科室绩效工资核算1!$B:S,MATCH("中药积分", 科室绩效工资核算1!$B$3:$AN$3,0),0)/(中层绩效!$E65+VLOOKUP($B:$B,人员表!$B:$G,MATCH("医疗组",人员表!$B$3:$G$3,0),0))*中层绩效!$E65,0),0),0)</f>
        <v>0</v>
      </c>
      <c r="T65" s="50">
        <f>IFERROR(ROUND(IF($D65="护士长",VLOOKUP($B:$B,科室绩效工资核算1!$B:T,MATCH("护理风险积分", 科室绩效工资核算1!$B$3:$AN$3,0),0)/(中层绩效!$E65+VLOOKUP($B:$B,人员表!$B:$G,MATCH("护理组",人员表!$B$3:$G$3,0),0))*中层绩效!$E65,0),0),0)</f>
        <v>0</v>
      </c>
      <c r="U65" s="43">
        <f>F65*科室绩效工资核算1!AQ$7</f>
        <v>0</v>
      </c>
      <c r="V65" s="43">
        <f t="shared" si="0"/>
        <v>1975.6799999999998</v>
      </c>
      <c r="W65" s="43">
        <f>V65*科室绩效工资核算1!AQ$10</f>
        <v>2125.2389760000001</v>
      </c>
    </row>
    <row r="66" spans="2:23" x14ac:dyDescent="0.25">
      <c r="B66" s="51" t="str">
        <f>中层系数!B66</f>
        <v>CT室</v>
      </c>
      <c r="C66" s="5" t="str">
        <f>中层系数!C66</f>
        <v>测试63</v>
      </c>
      <c r="D66" s="5" t="str">
        <f>VLOOKUP(C:C,中层系数!C:I,7,0)</f>
        <v>主任</v>
      </c>
      <c r="E66" s="5">
        <f>VLOOKUP(C:C,中层系数!C:I,6,0)</f>
        <v>1.94</v>
      </c>
      <c r="F66" s="5">
        <f>VLOOKUP(C:C,中层系数!C:I,5,0)</f>
        <v>0</v>
      </c>
      <c r="G66" s="43">
        <f>IF(OR(D66="主任",D66="副主任"),VLOOKUP($B:$B,人员表!$B:$G,MATCH("医生基础人均",人员表!$B$3:$G$3),0)*中层绩效!E66,VLOOKUP($B:$B,人员表!$B:$G,MATCH("护理基础人均",人员表!$B$3:$G$3,0),0)*E66)</f>
        <v>6735.6799999999994</v>
      </c>
      <c r="H66" s="50">
        <f>IFERROR(ROUND(IF(D66="主任",VLOOKUP($B:$B,科室绩效工资核算1!$B:H,MATCH("首诊风险积分", 科室绩效工资核算1!$B$3:$AN$3,0),0)/(中层绩效!$E66+VLOOKUP($B:$B,人员表!$B:$G,MATCH("医疗组",人员表!$B$3:$G$3,0),0))*中层绩效!$E66,0),0),0)</f>
        <v>0</v>
      </c>
      <c r="I66" s="50">
        <f>IFERROR(ROUND(IF($D66="主任",VLOOKUP($B:$B,科室绩效工资核算1!$B:I,MATCH("病历质量积分", 科室绩效工资核算1!$B$3:$AN$3,0),0)/(中层绩效!$E66+VLOOKUP($B:$B,人员表!$B:$G,MATCH("医疗组",人员表!$B$3:$G$3,0),0))*中层绩效!$E66,0),0),0)</f>
        <v>0</v>
      </c>
      <c r="J66" s="50">
        <f>IFERROR(ROUND(IF($D66="主任",VLOOKUP($B:$B,科室绩效工资核算1!$B:J,MATCH("门诊人次积分", 科室绩效工资核算1!$B$3:$AN$3,0),0)/(中层绩效!$E66+VLOOKUP($B:$B,人员表!$B:$G,MATCH("医疗组",人员表!$B$3:$G$3,0),0))*中层绩效!$E66,0),0),0)</f>
        <v>0</v>
      </c>
      <c r="K66" s="50">
        <f>IFERROR(ROUND(IF($D66="主任",VLOOKUP($B:$B,科室绩效工资核算1!$B:K,MATCH("临床路径积分", 科室绩效工资核算1!$B$3:$AN$3,0),0)/(中层绩效!$E66+VLOOKUP($B:$B,人员表!$B:$G,MATCH("医疗组",人员表!$B$3:$G$3,0),0))*中层绩效!$E66,0),0),0)</f>
        <v>0</v>
      </c>
      <c r="L66" s="50">
        <f>IFERROR(ROUND(IF($D66="主任",VLOOKUP($B:$B,科室绩效工资核算1!$B:L,MATCH("麻醉风险积分", 科室绩效工资核算1!$B$3:$AN$3,0),0)/(中层绩效!$E66+VLOOKUP($B:$B,人员表!$B:$G,MATCH("医疗组",人员表!$B$3:$G$3,0),0))*中层绩效!$E66,0),0),0)</f>
        <v>0</v>
      </c>
      <c r="M66" s="50">
        <f>IFERROR(ROUND(IF($D66="主任",VLOOKUP($B:$B,科室绩效工资核算1!$B:M,MATCH("分娩风险积分", 科室绩效工资核算1!$B$3:$AN$3,0),0)/(中层绩效!$E66+VLOOKUP($B:$B,人员表!$B:$G,MATCH("医疗组",人员表!$B$3:$G$3,0),0))*中层绩效!$E66,0),0),0)</f>
        <v>0</v>
      </c>
      <c r="N66" s="50">
        <f>IFERROR(ROUND(IF($D66="主任",VLOOKUP($B:$B,科室绩效工资核算1!$B:N,MATCH("肿瘤支气管镜", 科室绩效工资核算1!$B$3:$AN$3,0),0)/(中层绩效!$E66+VLOOKUP($B:$B,人员表!$B:$G,MATCH("医疗组",人员表!$B$3:$G$3,0),0))*中层绩效!$E66,0),0),0)</f>
        <v>0</v>
      </c>
      <c r="O66" s="50">
        <f>IFERROR(ROUND(IF($D66="主任",VLOOKUP($B:$B,科室绩效工资核算1!$B:O,MATCH("会诊风险积分", 科室绩效工资核算1!$B$3:$AN$3,0),0)/(中层绩效!$E66+VLOOKUP($B:$B,人员表!$B:$G,MATCH("医疗组",人员表!$B$3:$G$3,0),0))*中层绩效!$E66,0),0),0)</f>
        <v>0</v>
      </c>
      <c r="P66" s="50">
        <f>IFERROR(ROUND(IF($D66="主任",VLOOKUP($B:$B,科室绩效工资核算1!$B:P,MATCH("换药风险积分", 科室绩效工资核算1!$B$3:$AN$3,0),0)/(中层绩效!$E66+VLOOKUP($B:$B,人员表!$B:$G,MATCH("医疗组",人员表!$B$3:$G$3,0),0))*中层绩效!$E66,0),0),0)</f>
        <v>0</v>
      </c>
      <c r="Q66" s="50">
        <f>IFERROR(ROUND(IF($D66="主任",VLOOKUP($B:$B,科室绩效工资核算1!$B:Q,MATCH("功能康复积分", 科室绩效工资核算1!$B$3:$AN$3,0),0)/(中层绩效!$E66+VLOOKUP($B:$B,人员表!$B:$G,MATCH("医疗组",人员表!$B$3:$G$3,0),0))*中层绩效!$E66,0),0),0)</f>
        <v>0</v>
      </c>
      <c r="R66" s="50">
        <f>IFERROR(ROUND(IF($D66="主任",VLOOKUP($B:$B,科室绩效工资核算1!$B:R,MATCH("中医外治积分", 科室绩效工资核算1!$B$3:$AN$3,0),0)/(中层绩效!$E66+VLOOKUP($B:$B,人员表!$B:$G,MATCH("医疗组",人员表!$B$3:$G$3,0),0))*中层绩效!$E66,0),0),0)</f>
        <v>0</v>
      </c>
      <c r="S66" s="50">
        <f>IFERROR(ROUND(IF($D66="主任",VLOOKUP($B:$B,科室绩效工资核算1!$B:S,MATCH("中药积分", 科室绩效工资核算1!$B$3:$AN$3,0),0)/(中层绩效!$E66+VLOOKUP($B:$B,人员表!$B:$G,MATCH("医疗组",人员表!$B$3:$G$3,0),0))*中层绩效!$E66,0),0),0)</f>
        <v>0</v>
      </c>
      <c r="T66" s="50">
        <f>IFERROR(ROUND(IF($D66="护士长",VLOOKUP($B:$B,科室绩效工资核算1!$B:T,MATCH("护理风险积分", 科室绩效工资核算1!$B$3:$AN$3,0),0)/(中层绩效!$E66+VLOOKUP($B:$B,人员表!$B:$G,MATCH("护理组",人员表!$B$3:$G$3,0),0))*中层绩效!$E66,0),0),0)</f>
        <v>0</v>
      </c>
      <c r="U66" s="43">
        <f>F66*科室绩效工资核算1!AQ$7</f>
        <v>0</v>
      </c>
      <c r="V66" s="43">
        <f t="shared" si="0"/>
        <v>6735.6799999999994</v>
      </c>
      <c r="W66" s="43">
        <f>V66*科室绩效工资核算1!AQ$10</f>
        <v>7245.570976</v>
      </c>
    </row>
    <row r="67" spans="2:23" x14ac:dyDescent="0.25">
      <c r="B67" s="51" t="str">
        <f>中层系数!B67</f>
        <v>磁共振室</v>
      </c>
      <c r="C67" s="5" t="str">
        <f>中层系数!C67</f>
        <v>测试64</v>
      </c>
      <c r="D67" s="5" t="str">
        <f>VLOOKUP(C:C,中层系数!C:I,7,0)</f>
        <v>主任</v>
      </c>
      <c r="E67" s="5">
        <f>VLOOKUP(C:C,中层系数!C:I,6,0)</f>
        <v>1.44</v>
      </c>
      <c r="F67" s="5">
        <f>VLOOKUP(C:C,中层系数!C:I,5,0)</f>
        <v>0</v>
      </c>
      <c r="G67" s="43">
        <f>IF(OR(D67="主任",D67="副主任"),VLOOKUP($B:$B,人员表!$B:$G,MATCH("医生基础人均",人员表!$B$3:$G$3),0)*中层绩效!E67,VLOOKUP($B:$B,人员表!$B:$G,MATCH("护理基础人均",人员表!$B$3:$G$3,0),0)*E67)</f>
        <v>3896.64</v>
      </c>
      <c r="H67" s="50">
        <f>IFERROR(ROUND(IF(D67="主任",VLOOKUP($B:$B,科室绩效工资核算1!$B:H,MATCH("首诊风险积分", 科室绩效工资核算1!$B$3:$AN$3,0),0)/(中层绩效!$E67+VLOOKUP($B:$B,人员表!$B:$G,MATCH("医疗组",人员表!$B$3:$G$3,0),0))*中层绩效!$E67,0),0),0)</f>
        <v>0</v>
      </c>
      <c r="I67" s="50">
        <f>IFERROR(ROUND(IF($D67="主任",VLOOKUP($B:$B,科室绩效工资核算1!$B:I,MATCH("病历质量积分", 科室绩效工资核算1!$B$3:$AN$3,0),0)/(中层绩效!$E67+VLOOKUP($B:$B,人员表!$B:$G,MATCH("医疗组",人员表!$B$3:$G$3,0),0))*中层绩效!$E67,0),0),0)</f>
        <v>0</v>
      </c>
      <c r="J67" s="50">
        <f>IFERROR(ROUND(IF($D67="主任",VLOOKUP($B:$B,科室绩效工资核算1!$B:J,MATCH("门诊人次积分", 科室绩效工资核算1!$B$3:$AN$3,0),0)/(中层绩效!$E67+VLOOKUP($B:$B,人员表!$B:$G,MATCH("医疗组",人员表!$B$3:$G$3,0),0))*中层绩效!$E67,0),0),0)</f>
        <v>0</v>
      </c>
      <c r="K67" s="50">
        <f>IFERROR(ROUND(IF($D67="主任",VLOOKUP($B:$B,科室绩效工资核算1!$B:K,MATCH("临床路径积分", 科室绩效工资核算1!$B$3:$AN$3,0),0)/(中层绩效!$E67+VLOOKUP($B:$B,人员表!$B:$G,MATCH("医疗组",人员表!$B$3:$G$3,0),0))*中层绩效!$E67,0),0),0)</f>
        <v>0</v>
      </c>
      <c r="L67" s="50">
        <f>IFERROR(ROUND(IF($D67="主任",VLOOKUP($B:$B,科室绩效工资核算1!$B:L,MATCH("麻醉风险积分", 科室绩效工资核算1!$B$3:$AN$3,0),0)/(中层绩效!$E67+VLOOKUP($B:$B,人员表!$B:$G,MATCH("医疗组",人员表!$B$3:$G$3,0),0))*中层绩效!$E67,0),0),0)</f>
        <v>0</v>
      </c>
      <c r="M67" s="50">
        <f>IFERROR(ROUND(IF($D67="主任",VLOOKUP($B:$B,科室绩效工资核算1!$B:M,MATCH("分娩风险积分", 科室绩效工资核算1!$B$3:$AN$3,0),0)/(中层绩效!$E67+VLOOKUP($B:$B,人员表!$B:$G,MATCH("医疗组",人员表!$B$3:$G$3,0),0))*中层绩效!$E67,0),0),0)</f>
        <v>0</v>
      </c>
      <c r="N67" s="50">
        <f>IFERROR(ROUND(IF($D67="主任",VLOOKUP($B:$B,科室绩效工资核算1!$B:N,MATCH("肿瘤支气管镜", 科室绩效工资核算1!$B$3:$AN$3,0),0)/(中层绩效!$E67+VLOOKUP($B:$B,人员表!$B:$G,MATCH("医疗组",人员表!$B$3:$G$3,0),0))*中层绩效!$E67,0),0),0)</f>
        <v>0</v>
      </c>
      <c r="O67" s="50">
        <f>IFERROR(ROUND(IF($D67="主任",VLOOKUP($B:$B,科室绩效工资核算1!$B:O,MATCH("会诊风险积分", 科室绩效工资核算1!$B$3:$AN$3,0),0)/(中层绩效!$E67+VLOOKUP($B:$B,人员表!$B:$G,MATCH("医疗组",人员表!$B$3:$G$3,0),0))*中层绩效!$E67,0),0),0)</f>
        <v>0</v>
      </c>
      <c r="P67" s="50">
        <f>IFERROR(ROUND(IF($D67="主任",VLOOKUP($B:$B,科室绩效工资核算1!$B:P,MATCH("换药风险积分", 科室绩效工资核算1!$B$3:$AN$3,0),0)/(中层绩效!$E67+VLOOKUP($B:$B,人员表!$B:$G,MATCH("医疗组",人员表!$B$3:$G$3,0),0))*中层绩效!$E67,0),0),0)</f>
        <v>0</v>
      </c>
      <c r="Q67" s="50">
        <f>IFERROR(ROUND(IF($D67="主任",VLOOKUP($B:$B,科室绩效工资核算1!$B:Q,MATCH("功能康复积分", 科室绩效工资核算1!$B$3:$AN$3,0),0)/(中层绩效!$E67+VLOOKUP($B:$B,人员表!$B:$G,MATCH("医疗组",人员表!$B$3:$G$3,0),0))*中层绩效!$E67,0),0),0)</f>
        <v>0</v>
      </c>
      <c r="R67" s="50">
        <f>IFERROR(ROUND(IF($D67="主任",VLOOKUP($B:$B,科室绩效工资核算1!$B:R,MATCH("中医外治积分", 科室绩效工资核算1!$B$3:$AN$3,0),0)/(中层绩效!$E67+VLOOKUP($B:$B,人员表!$B:$G,MATCH("医疗组",人员表!$B$3:$G$3,0),0))*中层绩效!$E67,0),0),0)</f>
        <v>0</v>
      </c>
      <c r="S67" s="50">
        <f>IFERROR(ROUND(IF($D67="主任",VLOOKUP($B:$B,科室绩效工资核算1!$B:S,MATCH("中药积分", 科室绩效工资核算1!$B$3:$AN$3,0),0)/(中层绩效!$E67+VLOOKUP($B:$B,人员表!$B:$G,MATCH("医疗组",人员表!$B$3:$G$3,0),0))*中层绩效!$E67,0),0),0)</f>
        <v>0</v>
      </c>
      <c r="T67" s="50">
        <f>IFERROR(ROUND(IF($D67="护士长",VLOOKUP($B:$B,科室绩效工资核算1!$B:T,MATCH("护理风险积分", 科室绩效工资核算1!$B$3:$AN$3,0),0)/(中层绩效!$E67+VLOOKUP($B:$B,人员表!$B:$G,MATCH("护理组",人员表!$B$3:$G$3,0),0))*中层绩效!$E67,0),0),0)</f>
        <v>0</v>
      </c>
      <c r="U67" s="43">
        <f>F67*科室绩效工资核算1!AQ$7</f>
        <v>0</v>
      </c>
      <c r="V67" s="43">
        <f t="shared" si="0"/>
        <v>3896.64</v>
      </c>
      <c r="W67" s="43">
        <f>V67*科室绩效工资核算1!AQ$10</f>
        <v>4191.615648</v>
      </c>
    </row>
    <row r="68" spans="2:23" x14ac:dyDescent="0.25">
      <c r="B68" s="51" t="str">
        <f>中层系数!B68</f>
        <v>心电图室</v>
      </c>
      <c r="C68" s="5" t="str">
        <f>中层系数!C68</f>
        <v>测试65</v>
      </c>
      <c r="D68" s="5" t="str">
        <f>VLOOKUP(C:C,中层系数!C:I,7,0)</f>
        <v>主任</v>
      </c>
      <c r="E68" s="5">
        <f>VLOOKUP(C:C,中层系数!C:I,6,0)</f>
        <v>1.44</v>
      </c>
      <c r="F68" s="5">
        <f>VLOOKUP(C:C,中层系数!C:I,5,0)</f>
        <v>0</v>
      </c>
      <c r="G68" s="43">
        <f>IF(OR(D68="主任",D68="副主任"),VLOOKUP($B:$B,人员表!$B:$G,MATCH("医生基础人均",人员表!$B$3:$G$3),0)*中层绩效!E68,VLOOKUP($B:$B,人员表!$B:$G,MATCH("护理基础人均",人员表!$B$3:$G$3,0),0)*E68)</f>
        <v>3126.24</v>
      </c>
      <c r="H68" s="50">
        <f>IFERROR(ROUND(IF(D68="主任",VLOOKUP($B:$B,科室绩效工资核算1!$B:H,MATCH("首诊风险积分", 科室绩效工资核算1!$B$3:$AN$3,0),0)/(中层绩效!$E68+VLOOKUP($B:$B,人员表!$B:$G,MATCH("医疗组",人员表!$B$3:$G$3,0),0))*中层绩效!$E68,0),0),0)</f>
        <v>0</v>
      </c>
      <c r="I68" s="50">
        <f>IFERROR(ROUND(IF($D68="主任",VLOOKUP($B:$B,科室绩效工资核算1!$B:I,MATCH("病历质量积分", 科室绩效工资核算1!$B$3:$AN$3,0),0)/(中层绩效!$E68+VLOOKUP($B:$B,人员表!$B:$G,MATCH("医疗组",人员表!$B$3:$G$3,0),0))*中层绩效!$E68,0),0),0)</f>
        <v>0</v>
      </c>
      <c r="J68" s="50">
        <f>IFERROR(ROUND(IF($D68="主任",VLOOKUP($B:$B,科室绩效工资核算1!$B:J,MATCH("门诊人次积分", 科室绩效工资核算1!$B$3:$AN$3,0),0)/(中层绩效!$E68+VLOOKUP($B:$B,人员表!$B:$G,MATCH("医疗组",人员表!$B$3:$G$3,0),0))*中层绩效!$E68,0),0),0)</f>
        <v>0</v>
      </c>
      <c r="K68" s="50">
        <f>IFERROR(ROUND(IF($D68="主任",VLOOKUP($B:$B,科室绩效工资核算1!$B:K,MATCH("临床路径积分", 科室绩效工资核算1!$B$3:$AN$3,0),0)/(中层绩效!$E68+VLOOKUP($B:$B,人员表!$B:$G,MATCH("医疗组",人员表!$B$3:$G$3,0),0))*中层绩效!$E68,0),0),0)</f>
        <v>0</v>
      </c>
      <c r="L68" s="50">
        <f>IFERROR(ROUND(IF($D68="主任",VLOOKUP($B:$B,科室绩效工资核算1!$B:L,MATCH("麻醉风险积分", 科室绩效工资核算1!$B$3:$AN$3,0),0)/(中层绩效!$E68+VLOOKUP($B:$B,人员表!$B:$G,MATCH("医疗组",人员表!$B$3:$G$3,0),0))*中层绩效!$E68,0),0),0)</f>
        <v>0</v>
      </c>
      <c r="M68" s="50">
        <f>IFERROR(ROUND(IF($D68="主任",VLOOKUP($B:$B,科室绩效工资核算1!$B:M,MATCH("分娩风险积分", 科室绩效工资核算1!$B$3:$AN$3,0),0)/(中层绩效!$E68+VLOOKUP($B:$B,人员表!$B:$G,MATCH("医疗组",人员表!$B$3:$G$3,0),0))*中层绩效!$E68,0),0),0)</f>
        <v>0</v>
      </c>
      <c r="N68" s="50">
        <f>IFERROR(ROUND(IF($D68="主任",VLOOKUP($B:$B,科室绩效工资核算1!$B:N,MATCH("肿瘤支气管镜", 科室绩效工资核算1!$B$3:$AN$3,0),0)/(中层绩效!$E68+VLOOKUP($B:$B,人员表!$B:$G,MATCH("医疗组",人员表!$B$3:$G$3,0),0))*中层绩效!$E68,0),0),0)</f>
        <v>0</v>
      </c>
      <c r="O68" s="50">
        <f>IFERROR(ROUND(IF($D68="主任",VLOOKUP($B:$B,科室绩效工资核算1!$B:O,MATCH("会诊风险积分", 科室绩效工资核算1!$B$3:$AN$3,0),0)/(中层绩效!$E68+VLOOKUP($B:$B,人员表!$B:$G,MATCH("医疗组",人员表!$B$3:$G$3,0),0))*中层绩效!$E68,0),0),0)</f>
        <v>0</v>
      </c>
      <c r="P68" s="50">
        <f>IFERROR(ROUND(IF($D68="主任",VLOOKUP($B:$B,科室绩效工资核算1!$B:P,MATCH("换药风险积分", 科室绩效工资核算1!$B$3:$AN$3,0),0)/(中层绩效!$E68+VLOOKUP($B:$B,人员表!$B:$G,MATCH("医疗组",人员表!$B$3:$G$3,0),0))*中层绩效!$E68,0),0),0)</f>
        <v>0</v>
      </c>
      <c r="Q68" s="50">
        <f>IFERROR(ROUND(IF($D68="主任",VLOOKUP($B:$B,科室绩效工资核算1!$B:Q,MATCH("功能康复积分", 科室绩效工资核算1!$B$3:$AN$3,0),0)/(中层绩效!$E68+VLOOKUP($B:$B,人员表!$B:$G,MATCH("医疗组",人员表!$B$3:$G$3,0),0))*中层绩效!$E68,0),0),0)</f>
        <v>0</v>
      </c>
      <c r="R68" s="50">
        <f>IFERROR(ROUND(IF($D68="主任",VLOOKUP($B:$B,科室绩效工资核算1!$B:R,MATCH("中医外治积分", 科室绩效工资核算1!$B$3:$AN$3,0),0)/(中层绩效!$E68+VLOOKUP($B:$B,人员表!$B:$G,MATCH("医疗组",人员表!$B$3:$G$3,0),0))*中层绩效!$E68,0),0),0)</f>
        <v>0</v>
      </c>
      <c r="S68" s="50">
        <f>IFERROR(ROUND(IF($D68="主任",VLOOKUP($B:$B,科室绩效工资核算1!$B:S,MATCH("中药积分", 科室绩效工资核算1!$B$3:$AN$3,0),0)/(中层绩效!$E68+VLOOKUP($B:$B,人员表!$B:$G,MATCH("医疗组",人员表!$B$3:$G$3,0),0))*中层绩效!$E68,0),0),0)</f>
        <v>0</v>
      </c>
      <c r="T68" s="50">
        <f>IFERROR(ROUND(IF($D68="护士长",VLOOKUP($B:$B,科室绩效工资核算1!$B:T,MATCH("护理风险积分", 科室绩效工资核算1!$B$3:$AN$3,0),0)/(中层绩效!$E68+VLOOKUP($B:$B,人员表!$B:$G,MATCH("护理组",人员表!$B$3:$G$3,0),0))*中层绩效!$E68,0),0),0)</f>
        <v>0</v>
      </c>
      <c r="U68" s="43">
        <f>F68*科室绩效工资核算1!AQ$7</f>
        <v>0</v>
      </c>
      <c r="V68" s="43">
        <f t="shared" si="0"/>
        <v>3126.24</v>
      </c>
      <c r="W68" s="43">
        <f>V68*科室绩效工资核算1!AQ$10</f>
        <v>3362.8963680000002</v>
      </c>
    </row>
    <row r="69" spans="2:23" x14ac:dyDescent="0.25">
      <c r="B69" s="51" t="str">
        <f>中层系数!B69</f>
        <v>超声科</v>
      </c>
      <c r="C69" s="5" t="str">
        <f>中层系数!C69</f>
        <v>测试66</v>
      </c>
      <c r="D69" s="5" t="str">
        <f>VLOOKUP(C:C,中层系数!C:I,7,0)</f>
        <v>主任</v>
      </c>
      <c r="E69" s="5">
        <f>VLOOKUP(C:C,中层系数!C:I,6,0)</f>
        <v>1.44</v>
      </c>
      <c r="F69" s="5">
        <f>VLOOKUP(C:C,中层系数!C:I,5,0)</f>
        <v>0</v>
      </c>
      <c r="G69" s="43">
        <f>IF(OR(D69="主任",D69="副主任"),VLOOKUP($B:$B,人员表!$B:$G,MATCH("医生基础人均",人员表!$B$3:$G$3),0)*中层绩效!E69,VLOOKUP($B:$B,人员表!$B:$G,MATCH("护理基础人均",人员表!$B$3:$G$3,0),0)*E69)</f>
        <v>6924.96</v>
      </c>
      <c r="H69" s="50">
        <f>IFERROR(ROUND(IF(D69="主任",VLOOKUP($B:$B,科室绩效工资核算1!$B:H,MATCH("首诊风险积分", 科室绩效工资核算1!$B$3:$AN$3,0),0)/(中层绩效!$E69+VLOOKUP($B:$B,人员表!$B:$G,MATCH("医疗组",人员表!$B$3:$G$3,0),0))*中层绩效!$E69,0),0),0)</f>
        <v>0</v>
      </c>
      <c r="I69" s="50">
        <f>IFERROR(ROUND(IF($D69="主任",VLOOKUP($B:$B,科室绩效工资核算1!$B:I,MATCH("病历质量积分", 科室绩效工资核算1!$B$3:$AN$3,0),0)/(中层绩效!$E69+VLOOKUP($B:$B,人员表!$B:$G,MATCH("医疗组",人员表!$B$3:$G$3,0),0))*中层绩效!$E69,0),0),0)</f>
        <v>0</v>
      </c>
      <c r="J69" s="50">
        <f>IFERROR(ROUND(IF($D69="主任",VLOOKUP($B:$B,科室绩效工资核算1!$B:J,MATCH("门诊人次积分", 科室绩效工资核算1!$B$3:$AN$3,0),0)/(中层绩效!$E69+VLOOKUP($B:$B,人员表!$B:$G,MATCH("医疗组",人员表!$B$3:$G$3,0),0))*中层绩效!$E69,0),0),0)</f>
        <v>0</v>
      </c>
      <c r="K69" s="50">
        <f>IFERROR(ROUND(IF($D69="主任",VLOOKUP($B:$B,科室绩效工资核算1!$B:K,MATCH("临床路径积分", 科室绩效工资核算1!$B$3:$AN$3,0),0)/(中层绩效!$E69+VLOOKUP($B:$B,人员表!$B:$G,MATCH("医疗组",人员表!$B$3:$G$3,0),0))*中层绩效!$E69,0),0),0)</f>
        <v>0</v>
      </c>
      <c r="L69" s="50">
        <f>IFERROR(ROUND(IF($D69="主任",VLOOKUP($B:$B,科室绩效工资核算1!$B:L,MATCH("麻醉风险积分", 科室绩效工资核算1!$B$3:$AN$3,0),0)/(中层绩效!$E69+VLOOKUP($B:$B,人员表!$B:$G,MATCH("医疗组",人员表!$B$3:$G$3,0),0))*中层绩效!$E69,0),0),0)</f>
        <v>0</v>
      </c>
      <c r="M69" s="50">
        <f>IFERROR(ROUND(IF($D69="主任",VLOOKUP($B:$B,科室绩效工资核算1!$B:M,MATCH("分娩风险积分", 科室绩效工资核算1!$B$3:$AN$3,0),0)/(中层绩效!$E69+VLOOKUP($B:$B,人员表!$B:$G,MATCH("医疗组",人员表!$B$3:$G$3,0),0))*中层绩效!$E69,0),0),0)</f>
        <v>0</v>
      </c>
      <c r="N69" s="50">
        <f>IFERROR(ROUND(IF($D69="主任",VLOOKUP($B:$B,科室绩效工资核算1!$B:N,MATCH("肿瘤支气管镜", 科室绩效工资核算1!$B$3:$AN$3,0),0)/(中层绩效!$E69+VLOOKUP($B:$B,人员表!$B:$G,MATCH("医疗组",人员表!$B$3:$G$3,0),0))*中层绩效!$E69,0),0),0)</f>
        <v>0</v>
      </c>
      <c r="O69" s="50">
        <f>IFERROR(ROUND(IF($D69="主任",VLOOKUP($B:$B,科室绩效工资核算1!$B:O,MATCH("会诊风险积分", 科室绩效工资核算1!$B$3:$AN$3,0),0)/(中层绩效!$E69+VLOOKUP($B:$B,人员表!$B:$G,MATCH("医疗组",人员表!$B$3:$G$3,0),0))*中层绩效!$E69,0),0),0)</f>
        <v>0</v>
      </c>
      <c r="P69" s="50">
        <f>IFERROR(ROUND(IF($D69="主任",VLOOKUP($B:$B,科室绩效工资核算1!$B:P,MATCH("换药风险积分", 科室绩效工资核算1!$B$3:$AN$3,0),0)/(中层绩效!$E69+VLOOKUP($B:$B,人员表!$B:$G,MATCH("医疗组",人员表!$B$3:$G$3,0),0))*中层绩效!$E69,0),0),0)</f>
        <v>0</v>
      </c>
      <c r="Q69" s="50">
        <f>IFERROR(ROUND(IF($D69="主任",VLOOKUP($B:$B,科室绩效工资核算1!$B:Q,MATCH("功能康复积分", 科室绩效工资核算1!$B$3:$AN$3,0),0)/(中层绩效!$E69+VLOOKUP($B:$B,人员表!$B:$G,MATCH("医疗组",人员表!$B$3:$G$3,0),0))*中层绩效!$E69,0),0),0)</f>
        <v>0</v>
      </c>
      <c r="R69" s="50">
        <f>IFERROR(ROUND(IF($D69="主任",VLOOKUP($B:$B,科室绩效工资核算1!$B:R,MATCH("中医外治积分", 科室绩效工资核算1!$B$3:$AN$3,0),0)/(中层绩效!$E69+VLOOKUP($B:$B,人员表!$B:$G,MATCH("医疗组",人员表!$B$3:$G$3,0),0))*中层绩效!$E69,0),0),0)</f>
        <v>0</v>
      </c>
      <c r="S69" s="50">
        <f>IFERROR(ROUND(IF($D69="主任",VLOOKUP($B:$B,科室绩效工资核算1!$B:S,MATCH("中药积分", 科室绩效工资核算1!$B$3:$AN$3,0),0)/(中层绩效!$E69+VLOOKUP($B:$B,人员表!$B:$G,MATCH("医疗组",人员表!$B$3:$G$3,0),0))*中层绩效!$E69,0),0),0)</f>
        <v>0</v>
      </c>
      <c r="T69" s="50">
        <f>IFERROR(ROUND(IF($D69="护士长",VLOOKUP($B:$B,科室绩效工资核算1!$B:T,MATCH("护理风险积分", 科室绩效工资核算1!$B$3:$AN$3,0),0)/(中层绩效!$E69+VLOOKUP($B:$B,人员表!$B:$G,MATCH("护理组",人员表!$B$3:$G$3,0),0))*中层绩效!$E69,0),0),0)</f>
        <v>0</v>
      </c>
      <c r="U69" s="43">
        <f>F69*科室绩效工资核算1!AQ$7</f>
        <v>0</v>
      </c>
      <c r="V69" s="43">
        <f t="shared" ref="V69:V120" si="1">SUM(G69:U69)</f>
        <v>6924.96</v>
      </c>
      <c r="W69" s="43">
        <f>V69*科室绩效工资核算1!AQ$10</f>
        <v>7449.1794720000007</v>
      </c>
    </row>
    <row r="70" spans="2:23" x14ac:dyDescent="0.25">
      <c r="B70" s="51" t="str">
        <f>中层系数!B70</f>
        <v>脑电图室</v>
      </c>
      <c r="C70" s="5" t="str">
        <f>中层系数!C70</f>
        <v>测试67</v>
      </c>
      <c r="D70" s="5" t="str">
        <f>VLOOKUP(C:C,中层系数!C:I,7,0)</f>
        <v>主任</v>
      </c>
      <c r="E70" s="5">
        <f>VLOOKUP(C:C,中层系数!C:I,6,0)</f>
        <v>1.44</v>
      </c>
      <c r="F70" s="5">
        <f>VLOOKUP(C:C,中层系数!C:I,5,0)</f>
        <v>0</v>
      </c>
      <c r="G70" s="43">
        <f>IF(OR(D70="主任",D70="副主任"),VLOOKUP($B:$B,人员表!$B:$G,MATCH("医生基础人均",人员表!$B$3:$G$3),0)*中层绩效!E70,VLOOKUP($B:$B,人员表!$B:$G,MATCH("护理基础人均",人员表!$B$3:$G$3,0),0)*E70)</f>
        <v>1697.76</v>
      </c>
      <c r="H70" s="50">
        <f>IFERROR(ROUND(IF(D70="主任",VLOOKUP($B:$B,科室绩效工资核算1!$B:H,MATCH("首诊风险积分", 科室绩效工资核算1!$B$3:$AN$3,0),0)/(中层绩效!$E70+VLOOKUP($B:$B,人员表!$B:$G,MATCH("医疗组",人员表!$B$3:$G$3,0),0))*中层绩效!$E70,0),0),0)</f>
        <v>0</v>
      </c>
      <c r="I70" s="50">
        <f>IFERROR(ROUND(IF($D70="主任",VLOOKUP($B:$B,科室绩效工资核算1!$B:I,MATCH("病历质量积分", 科室绩效工资核算1!$B$3:$AN$3,0),0)/(中层绩效!$E70+VLOOKUP($B:$B,人员表!$B:$G,MATCH("医疗组",人员表!$B$3:$G$3,0),0))*中层绩效!$E70,0),0),0)</f>
        <v>0</v>
      </c>
      <c r="J70" s="50">
        <f>IFERROR(ROUND(IF($D70="主任",VLOOKUP($B:$B,科室绩效工资核算1!$B:J,MATCH("门诊人次积分", 科室绩效工资核算1!$B$3:$AN$3,0),0)/(中层绩效!$E70+VLOOKUP($B:$B,人员表!$B:$G,MATCH("医疗组",人员表!$B$3:$G$3,0),0))*中层绩效!$E70,0),0),0)</f>
        <v>0</v>
      </c>
      <c r="K70" s="50">
        <f>IFERROR(ROUND(IF($D70="主任",VLOOKUP($B:$B,科室绩效工资核算1!$B:K,MATCH("临床路径积分", 科室绩效工资核算1!$B$3:$AN$3,0),0)/(中层绩效!$E70+VLOOKUP($B:$B,人员表!$B:$G,MATCH("医疗组",人员表!$B$3:$G$3,0),0))*中层绩效!$E70,0),0),0)</f>
        <v>0</v>
      </c>
      <c r="L70" s="50">
        <f>IFERROR(ROUND(IF($D70="主任",VLOOKUP($B:$B,科室绩效工资核算1!$B:L,MATCH("麻醉风险积分", 科室绩效工资核算1!$B$3:$AN$3,0),0)/(中层绩效!$E70+VLOOKUP($B:$B,人员表!$B:$G,MATCH("医疗组",人员表!$B$3:$G$3,0),0))*中层绩效!$E70,0),0),0)</f>
        <v>0</v>
      </c>
      <c r="M70" s="50">
        <f>IFERROR(ROUND(IF($D70="主任",VLOOKUP($B:$B,科室绩效工资核算1!$B:M,MATCH("分娩风险积分", 科室绩效工资核算1!$B$3:$AN$3,0),0)/(中层绩效!$E70+VLOOKUP($B:$B,人员表!$B:$G,MATCH("医疗组",人员表!$B$3:$G$3,0),0))*中层绩效!$E70,0),0),0)</f>
        <v>0</v>
      </c>
      <c r="N70" s="50">
        <f>IFERROR(ROUND(IF($D70="主任",VLOOKUP($B:$B,科室绩效工资核算1!$B:N,MATCH("肿瘤支气管镜", 科室绩效工资核算1!$B$3:$AN$3,0),0)/(中层绩效!$E70+VLOOKUP($B:$B,人员表!$B:$G,MATCH("医疗组",人员表!$B$3:$G$3,0),0))*中层绩效!$E70,0),0),0)</f>
        <v>0</v>
      </c>
      <c r="O70" s="50">
        <f>IFERROR(ROUND(IF($D70="主任",VLOOKUP($B:$B,科室绩效工资核算1!$B:O,MATCH("会诊风险积分", 科室绩效工资核算1!$B$3:$AN$3,0),0)/(中层绩效!$E70+VLOOKUP($B:$B,人员表!$B:$G,MATCH("医疗组",人员表!$B$3:$G$3,0),0))*中层绩效!$E70,0),0),0)</f>
        <v>0</v>
      </c>
      <c r="P70" s="50">
        <f>IFERROR(ROUND(IF($D70="主任",VLOOKUP($B:$B,科室绩效工资核算1!$B:P,MATCH("换药风险积分", 科室绩效工资核算1!$B$3:$AN$3,0),0)/(中层绩效!$E70+VLOOKUP($B:$B,人员表!$B:$G,MATCH("医疗组",人员表!$B$3:$G$3,0),0))*中层绩效!$E70,0),0),0)</f>
        <v>0</v>
      </c>
      <c r="Q70" s="50">
        <f>IFERROR(ROUND(IF($D70="主任",VLOOKUP($B:$B,科室绩效工资核算1!$B:Q,MATCH("功能康复积分", 科室绩效工资核算1!$B$3:$AN$3,0),0)/(中层绩效!$E70+VLOOKUP($B:$B,人员表!$B:$G,MATCH("医疗组",人员表!$B$3:$G$3,0),0))*中层绩效!$E70,0),0),0)</f>
        <v>0</v>
      </c>
      <c r="R70" s="50">
        <f>IFERROR(ROUND(IF($D70="主任",VLOOKUP($B:$B,科室绩效工资核算1!$B:R,MATCH("中医外治积分", 科室绩效工资核算1!$B$3:$AN$3,0),0)/(中层绩效!$E70+VLOOKUP($B:$B,人员表!$B:$G,MATCH("医疗组",人员表!$B$3:$G$3,0),0))*中层绩效!$E70,0),0),0)</f>
        <v>0</v>
      </c>
      <c r="S70" s="50">
        <f>IFERROR(ROUND(IF($D70="主任",VLOOKUP($B:$B,科室绩效工资核算1!$B:S,MATCH("中药积分", 科室绩效工资核算1!$B$3:$AN$3,0),0)/(中层绩效!$E70+VLOOKUP($B:$B,人员表!$B:$G,MATCH("医疗组",人员表!$B$3:$G$3,0),0))*中层绩效!$E70,0),0),0)</f>
        <v>0</v>
      </c>
      <c r="T70" s="50">
        <f>IFERROR(ROUND(IF($D70="护士长",VLOOKUP($B:$B,科室绩效工资核算1!$B:T,MATCH("护理风险积分", 科室绩效工资核算1!$B$3:$AN$3,0),0)/(中层绩效!$E70+VLOOKUP($B:$B,人员表!$B:$G,MATCH("护理组",人员表!$B$3:$G$3,0),0))*中层绩效!$E70,0),0),0)</f>
        <v>0</v>
      </c>
      <c r="U70" s="43">
        <f>F70*科室绩效工资核算1!AQ$7</f>
        <v>0</v>
      </c>
      <c r="V70" s="43">
        <f t="shared" si="1"/>
        <v>1697.76</v>
      </c>
      <c r="W70" s="43">
        <f>V70*科室绩效工资核算1!AQ$10</f>
        <v>1826.2804320000002</v>
      </c>
    </row>
    <row r="71" spans="2:23" x14ac:dyDescent="0.25">
      <c r="B71" s="51" t="str">
        <f>中层系数!B71</f>
        <v>胃镜室</v>
      </c>
      <c r="C71" s="5" t="str">
        <f>中层系数!C71</f>
        <v>测试68</v>
      </c>
      <c r="D71" s="5" t="str">
        <f>VLOOKUP(C:C,中层系数!C:I,7,0)</f>
        <v>主任</v>
      </c>
      <c r="E71" s="5">
        <f>VLOOKUP(C:C,中层系数!C:I,6,0)</f>
        <v>1.44</v>
      </c>
      <c r="F71" s="5">
        <f>VLOOKUP(C:C,中层系数!C:I,5,0)</f>
        <v>0</v>
      </c>
      <c r="G71" s="43">
        <f>IF(OR(D71="主任",D71="副主任"),VLOOKUP($B:$B,人员表!$B:$G,MATCH("医生基础人均",人员表!$B$3:$G$3),0)*中层绩效!E71,VLOOKUP($B:$B,人员表!$B:$G,MATCH("护理基础人均",人员表!$B$3:$G$3,0),0)*E71)</f>
        <v>3058.56</v>
      </c>
      <c r="H71" s="50">
        <f>IFERROR(ROUND(IF(D71="主任",VLOOKUP($B:$B,科室绩效工资核算1!$B:H,MATCH("首诊风险积分", 科室绩效工资核算1!$B$3:$AN$3,0),0)/(中层绩效!$E71+VLOOKUP($B:$B,人员表!$B:$G,MATCH("医疗组",人员表!$B$3:$G$3,0),0))*中层绩效!$E71,0),0),0)</f>
        <v>0</v>
      </c>
      <c r="I71" s="50">
        <f>IFERROR(ROUND(IF($D71="主任",VLOOKUP($B:$B,科室绩效工资核算1!$B:I,MATCH("病历质量积分", 科室绩效工资核算1!$B$3:$AN$3,0),0)/(中层绩效!$E71+VLOOKUP($B:$B,人员表!$B:$G,MATCH("医疗组",人员表!$B$3:$G$3,0),0))*中层绩效!$E71,0),0),0)</f>
        <v>0</v>
      </c>
      <c r="J71" s="50">
        <f>IFERROR(ROUND(IF($D71="主任",VLOOKUP($B:$B,科室绩效工资核算1!$B:J,MATCH("门诊人次积分", 科室绩效工资核算1!$B$3:$AN$3,0),0)/(中层绩效!$E71+VLOOKUP($B:$B,人员表!$B:$G,MATCH("医疗组",人员表!$B$3:$G$3,0),0))*中层绩效!$E71,0),0),0)</f>
        <v>0</v>
      </c>
      <c r="K71" s="50">
        <f>IFERROR(ROUND(IF($D71="主任",VLOOKUP($B:$B,科室绩效工资核算1!$B:K,MATCH("临床路径积分", 科室绩效工资核算1!$B$3:$AN$3,0),0)/(中层绩效!$E71+VLOOKUP($B:$B,人员表!$B:$G,MATCH("医疗组",人员表!$B$3:$G$3,0),0))*中层绩效!$E71,0),0),0)</f>
        <v>0</v>
      </c>
      <c r="L71" s="50">
        <f>IFERROR(ROUND(IF($D71="主任",VLOOKUP($B:$B,科室绩效工资核算1!$B:L,MATCH("麻醉风险积分", 科室绩效工资核算1!$B$3:$AN$3,0),0)/(中层绩效!$E71+VLOOKUP($B:$B,人员表!$B:$G,MATCH("医疗组",人员表!$B$3:$G$3,0),0))*中层绩效!$E71,0),0),0)</f>
        <v>0</v>
      </c>
      <c r="M71" s="50">
        <f>IFERROR(ROUND(IF($D71="主任",VLOOKUP($B:$B,科室绩效工资核算1!$B:M,MATCH("分娩风险积分", 科室绩效工资核算1!$B$3:$AN$3,0),0)/(中层绩效!$E71+VLOOKUP($B:$B,人员表!$B:$G,MATCH("医疗组",人员表!$B$3:$G$3,0),0))*中层绩效!$E71,0),0),0)</f>
        <v>0</v>
      </c>
      <c r="N71" s="50">
        <f>IFERROR(ROUND(IF($D71="主任",VLOOKUP($B:$B,科室绩效工资核算1!$B:N,MATCH("肿瘤支气管镜", 科室绩效工资核算1!$B$3:$AN$3,0),0)/(中层绩效!$E71+VLOOKUP($B:$B,人员表!$B:$G,MATCH("医疗组",人员表!$B$3:$G$3,0),0))*中层绩效!$E71,0),0),0)</f>
        <v>0</v>
      </c>
      <c r="O71" s="50">
        <f>IFERROR(ROUND(IF($D71="主任",VLOOKUP($B:$B,科室绩效工资核算1!$B:O,MATCH("会诊风险积分", 科室绩效工资核算1!$B$3:$AN$3,0),0)/(中层绩效!$E71+VLOOKUP($B:$B,人员表!$B:$G,MATCH("医疗组",人员表!$B$3:$G$3,0),0))*中层绩效!$E71,0),0),0)</f>
        <v>0</v>
      </c>
      <c r="P71" s="50">
        <f>IFERROR(ROUND(IF($D71="主任",VLOOKUP($B:$B,科室绩效工资核算1!$B:P,MATCH("换药风险积分", 科室绩效工资核算1!$B$3:$AN$3,0),0)/(中层绩效!$E71+VLOOKUP($B:$B,人员表!$B:$G,MATCH("医疗组",人员表!$B$3:$G$3,0),0))*中层绩效!$E71,0),0),0)</f>
        <v>0</v>
      </c>
      <c r="Q71" s="50">
        <f>IFERROR(ROUND(IF($D71="主任",VLOOKUP($B:$B,科室绩效工资核算1!$B:Q,MATCH("功能康复积分", 科室绩效工资核算1!$B$3:$AN$3,0),0)/(中层绩效!$E71+VLOOKUP($B:$B,人员表!$B:$G,MATCH("医疗组",人员表!$B$3:$G$3,0),0))*中层绩效!$E71,0),0),0)</f>
        <v>0</v>
      </c>
      <c r="R71" s="50">
        <f>IFERROR(ROUND(IF($D71="主任",VLOOKUP($B:$B,科室绩效工资核算1!$B:R,MATCH("中医外治积分", 科室绩效工资核算1!$B$3:$AN$3,0),0)/(中层绩效!$E71+VLOOKUP($B:$B,人员表!$B:$G,MATCH("医疗组",人员表!$B$3:$G$3,0),0))*中层绩效!$E71,0),0),0)</f>
        <v>0</v>
      </c>
      <c r="S71" s="50">
        <f>IFERROR(ROUND(IF($D71="主任",VLOOKUP($B:$B,科室绩效工资核算1!$B:S,MATCH("中药积分", 科室绩效工资核算1!$B$3:$AN$3,0),0)/(中层绩效!$E71+VLOOKUP($B:$B,人员表!$B:$G,MATCH("医疗组",人员表!$B$3:$G$3,0),0))*中层绩效!$E71,0),0),0)</f>
        <v>0</v>
      </c>
      <c r="T71" s="50">
        <f>IFERROR(ROUND(IF($D71="护士长",VLOOKUP($B:$B,科室绩效工资核算1!$B:T,MATCH("护理风险积分", 科室绩效工资核算1!$B$3:$AN$3,0),0)/(中层绩效!$E71+VLOOKUP($B:$B,人员表!$B:$G,MATCH("护理组",人员表!$B$3:$G$3,0),0))*中层绩效!$E71,0),0),0)</f>
        <v>0</v>
      </c>
      <c r="U71" s="43">
        <f>F71*科室绩效工资核算1!AQ$7</f>
        <v>0</v>
      </c>
      <c r="V71" s="43">
        <f t="shared" si="1"/>
        <v>3058.56</v>
      </c>
      <c r="W71" s="43">
        <f>V71*科室绩效工资核算1!AQ$10</f>
        <v>3290.0929920000003</v>
      </c>
    </row>
    <row r="72" spans="2:23" x14ac:dyDescent="0.25">
      <c r="B72" s="51" t="str">
        <f>中层系数!B72</f>
        <v>病理科</v>
      </c>
      <c r="C72" s="5" t="str">
        <f>中层系数!C72</f>
        <v>测试69</v>
      </c>
      <c r="D72" s="5" t="str">
        <f>VLOOKUP(C:C,中层系数!C:I,7,0)</f>
        <v>主任</v>
      </c>
      <c r="E72" s="5">
        <f>VLOOKUP(C:C,中层系数!C:I,6,0)</f>
        <v>0</v>
      </c>
      <c r="F72" s="5">
        <f>VLOOKUP(C:C,中层系数!C:I,5,0)</f>
        <v>0</v>
      </c>
      <c r="G72" s="43">
        <f>IF(OR(D72="主任",D72="副主任"),VLOOKUP($B:$B,人员表!$B:$G,MATCH("医生基础人均",人员表!$B$3:$G$3),0)*中层绩效!E72,VLOOKUP($B:$B,人员表!$B:$G,MATCH("护理基础人均",人员表!$B$3:$G$3,0),0)*E72)</f>
        <v>0</v>
      </c>
      <c r="H72" s="50">
        <f>IFERROR(ROUND(IF(D72="主任",VLOOKUP($B:$B,科室绩效工资核算1!$B:H,MATCH("首诊风险积分", 科室绩效工资核算1!$B$3:$AN$3,0),0)/(中层绩效!$E72+VLOOKUP($B:$B,人员表!$B:$G,MATCH("医疗组",人员表!$B$3:$G$3,0),0))*中层绩效!$E72,0),0),0)</f>
        <v>0</v>
      </c>
      <c r="I72" s="50">
        <f>IFERROR(ROUND(IF($D72="主任",VLOOKUP($B:$B,科室绩效工资核算1!$B:I,MATCH("病历质量积分", 科室绩效工资核算1!$B$3:$AN$3,0),0)/(中层绩效!$E72+VLOOKUP($B:$B,人员表!$B:$G,MATCH("医疗组",人员表!$B$3:$G$3,0),0))*中层绩效!$E72,0),0),0)</f>
        <v>0</v>
      </c>
      <c r="J72" s="50">
        <f>IFERROR(ROUND(IF($D72="主任",VLOOKUP($B:$B,科室绩效工资核算1!$B:J,MATCH("门诊人次积分", 科室绩效工资核算1!$B$3:$AN$3,0),0)/(中层绩效!$E72+VLOOKUP($B:$B,人员表!$B:$G,MATCH("医疗组",人员表!$B$3:$G$3,0),0))*中层绩效!$E72,0),0),0)</f>
        <v>0</v>
      </c>
      <c r="K72" s="50">
        <f>IFERROR(ROUND(IF($D72="主任",VLOOKUP($B:$B,科室绩效工资核算1!$B:K,MATCH("临床路径积分", 科室绩效工资核算1!$B$3:$AN$3,0),0)/(中层绩效!$E72+VLOOKUP($B:$B,人员表!$B:$G,MATCH("医疗组",人员表!$B$3:$G$3,0),0))*中层绩效!$E72,0),0),0)</f>
        <v>0</v>
      </c>
      <c r="L72" s="50">
        <f>IFERROR(ROUND(IF($D72="主任",VLOOKUP($B:$B,科室绩效工资核算1!$B:L,MATCH("麻醉风险积分", 科室绩效工资核算1!$B$3:$AN$3,0),0)/(中层绩效!$E72+VLOOKUP($B:$B,人员表!$B:$G,MATCH("医疗组",人员表!$B$3:$G$3,0),0))*中层绩效!$E72,0),0),0)</f>
        <v>0</v>
      </c>
      <c r="M72" s="50">
        <f>IFERROR(ROUND(IF($D72="主任",VLOOKUP($B:$B,科室绩效工资核算1!$B:M,MATCH("分娩风险积分", 科室绩效工资核算1!$B$3:$AN$3,0),0)/(中层绩效!$E72+VLOOKUP($B:$B,人员表!$B:$G,MATCH("医疗组",人员表!$B$3:$G$3,0),0))*中层绩效!$E72,0),0),0)</f>
        <v>0</v>
      </c>
      <c r="N72" s="50">
        <f>IFERROR(ROUND(IF($D72="主任",VLOOKUP($B:$B,科室绩效工资核算1!$B:N,MATCH("肿瘤支气管镜", 科室绩效工资核算1!$B$3:$AN$3,0),0)/(中层绩效!$E72+VLOOKUP($B:$B,人员表!$B:$G,MATCH("医疗组",人员表!$B$3:$G$3,0),0))*中层绩效!$E72,0),0),0)</f>
        <v>0</v>
      </c>
      <c r="O72" s="50">
        <f>IFERROR(ROUND(IF($D72="主任",VLOOKUP($B:$B,科室绩效工资核算1!$B:O,MATCH("会诊风险积分", 科室绩效工资核算1!$B$3:$AN$3,0),0)/(中层绩效!$E72+VLOOKUP($B:$B,人员表!$B:$G,MATCH("医疗组",人员表!$B$3:$G$3,0),0))*中层绩效!$E72,0),0),0)</f>
        <v>0</v>
      </c>
      <c r="P72" s="50">
        <f>IFERROR(ROUND(IF($D72="主任",VLOOKUP($B:$B,科室绩效工资核算1!$B:P,MATCH("换药风险积分", 科室绩效工资核算1!$B$3:$AN$3,0),0)/(中层绩效!$E72+VLOOKUP($B:$B,人员表!$B:$G,MATCH("医疗组",人员表!$B$3:$G$3,0),0))*中层绩效!$E72,0),0),0)</f>
        <v>0</v>
      </c>
      <c r="Q72" s="50">
        <f>IFERROR(ROUND(IF($D72="主任",VLOOKUP($B:$B,科室绩效工资核算1!$B:Q,MATCH("功能康复积分", 科室绩效工资核算1!$B$3:$AN$3,0),0)/(中层绩效!$E72+VLOOKUP($B:$B,人员表!$B:$G,MATCH("医疗组",人员表!$B$3:$G$3,0),0))*中层绩效!$E72,0),0),0)</f>
        <v>0</v>
      </c>
      <c r="R72" s="50">
        <f>IFERROR(ROUND(IF($D72="主任",VLOOKUP($B:$B,科室绩效工资核算1!$B:R,MATCH("中医外治积分", 科室绩效工资核算1!$B$3:$AN$3,0),0)/(中层绩效!$E72+VLOOKUP($B:$B,人员表!$B:$G,MATCH("医疗组",人员表!$B$3:$G$3,0),0))*中层绩效!$E72,0),0),0)</f>
        <v>0</v>
      </c>
      <c r="S72" s="50">
        <f>IFERROR(ROUND(IF($D72="主任",VLOOKUP($B:$B,科室绩效工资核算1!$B:S,MATCH("中药积分", 科室绩效工资核算1!$B$3:$AN$3,0),0)/(中层绩效!$E72+VLOOKUP($B:$B,人员表!$B:$G,MATCH("医疗组",人员表!$B$3:$G$3,0),0))*中层绩效!$E72,0),0),0)</f>
        <v>0</v>
      </c>
      <c r="T72" s="50">
        <f>IFERROR(ROUND(IF($D72="护士长",VLOOKUP($B:$B,科室绩效工资核算1!$B:T,MATCH("护理风险积分", 科室绩效工资核算1!$B$3:$AN$3,0),0)/(中层绩效!$E72+VLOOKUP($B:$B,人员表!$B:$G,MATCH("护理组",人员表!$B$3:$G$3,0),0))*中层绩效!$E72,0),0),0)</f>
        <v>0</v>
      </c>
      <c r="U72" s="43">
        <f>F72*科室绩效工资核算1!AQ$7</f>
        <v>0</v>
      </c>
      <c r="V72" s="43">
        <f t="shared" si="1"/>
        <v>0</v>
      </c>
      <c r="W72" s="43">
        <f>V72*科室绩效工资核算1!AQ$10</f>
        <v>0</v>
      </c>
    </row>
    <row r="73" spans="2:23" x14ac:dyDescent="0.25">
      <c r="B73" s="51" t="str">
        <f>中层系数!B73</f>
        <v>供应室</v>
      </c>
      <c r="C73" s="5" t="str">
        <f>中层系数!C73</f>
        <v>测试70</v>
      </c>
      <c r="D73" s="5" t="str">
        <f>VLOOKUP(C:C,中层系数!C:I,7,0)</f>
        <v>护士长</v>
      </c>
      <c r="E73" s="5">
        <f>VLOOKUP(C:C,中层系数!C:I,6,0)</f>
        <v>1.28</v>
      </c>
      <c r="F73" s="5">
        <f>VLOOKUP(C:C,中层系数!C:I,5,0)</f>
        <v>0</v>
      </c>
      <c r="G73" s="43">
        <f>IF(OR(D73="主任",D73="副主任"),VLOOKUP($B:$B,人员表!$B:$G,MATCH("医生基础人均",人员表!$B$3:$G$3),0)*中层绩效!E73,VLOOKUP($B:$B,人员表!$B:$G,MATCH("护理基础人均",人员表!$B$3:$G$3,0),0)*E73)</f>
        <v>1537.28</v>
      </c>
      <c r="H73" s="50">
        <f>IFERROR(ROUND(IF(D73="主任",VLOOKUP($B:$B,科室绩效工资核算1!$B:H,MATCH("首诊风险积分", 科室绩效工资核算1!$B$3:$AN$3,0),0)/(中层绩效!$E73+VLOOKUP($B:$B,人员表!$B:$G,MATCH("医疗组",人员表!$B$3:$G$3,0),0))*中层绩效!$E73,0),0),0)</f>
        <v>0</v>
      </c>
      <c r="I73" s="50">
        <f>IFERROR(ROUND(IF($D73="主任",VLOOKUP($B:$B,科室绩效工资核算1!$B:I,MATCH("病历质量积分", 科室绩效工资核算1!$B$3:$AN$3,0),0)/(中层绩效!$E73+VLOOKUP($B:$B,人员表!$B:$G,MATCH("医疗组",人员表!$B$3:$G$3,0),0))*中层绩效!$E73,0),0),0)</f>
        <v>0</v>
      </c>
      <c r="J73" s="50">
        <f>IFERROR(ROUND(IF($D73="主任",VLOOKUP($B:$B,科室绩效工资核算1!$B:J,MATCH("门诊人次积分", 科室绩效工资核算1!$B$3:$AN$3,0),0)/(中层绩效!$E73+VLOOKUP($B:$B,人员表!$B:$G,MATCH("医疗组",人员表!$B$3:$G$3,0),0))*中层绩效!$E73,0),0),0)</f>
        <v>0</v>
      </c>
      <c r="K73" s="50">
        <f>IFERROR(ROUND(IF($D73="主任",VLOOKUP($B:$B,科室绩效工资核算1!$B:K,MATCH("临床路径积分", 科室绩效工资核算1!$B$3:$AN$3,0),0)/(中层绩效!$E73+VLOOKUP($B:$B,人员表!$B:$G,MATCH("医疗组",人员表!$B$3:$G$3,0),0))*中层绩效!$E73,0),0),0)</f>
        <v>0</v>
      </c>
      <c r="L73" s="50">
        <f>IFERROR(ROUND(IF($D73="主任",VLOOKUP($B:$B,科室绩效工资核算1!$B:L,MATCH("麻醉风险积分", 科室绩效工资核算1!$B$3:$AN$3,0),0)/(中层绩效!$E73+VLOOKUP($B:$B,人员表!$B:$G,MATCH("医疗组",人员表!$B$3:$G$3,0),0))*中层绩效!$E73,0),0),0)</f>
        <v>0</v>
      </c>
      <c r="M73" s="50">
        <f>IFERROR(ROUND(IF($D73="主任",VLOOKUP($B:$B,科室绩效工资核算1!$B:M,MATCH("分娩风险积分", 科室绩效工资核算1!$B$3:$AN$3,0),0)/(中层绩效!$E73+VLOOKUP($B:$B,人员表!$B:$G,MATCH("医疗组",人员表!$B$3:$G$3,0),0))*中层绩效!$E73,0),0),0)</f>
        <v>0</v>
      </c>
      <c r="N73" s="50">
        <f>IFERROR(ROUND(IF($D73="主任",VLOOKUP($B:$B,科室绩效工资核算1!$B:N,MATCH("肿瘤支气管镜", 科室绩效工资核算1!$B$3:$AN$3,0),0)/(中层绩效!$E73+VLOOKUP($B:$B,人员表!$B:$G,MATCH("医疗组",人员表!$B$3:$G$3,0),0))*中层绩效!$E73,0),0),0)</f>
        <v>0</v>
      </c>
      <c r="O73" s="50">
        <f>IFERROR(ROUND(IF($D73="主任",VLOOKUP($B:$B,科室绩效工资核算1!$B:O,MATCH("会诊风险积分", 科室绩效工资核算1!$B$3:$AN$3,0),0)/(中层绩效!$E73+VLOOKUP($B:$B,人员表!$B:$G,MATCH("医疗组",人员表!$B$3:$G$3,0),0))*中层绩效!$E73,0),0),0)</f>
        <v>0</v>
      </c>
      <c r="P73" s="50">
        <f>IFERROR(ROUND(IF($D73="主任",VLOOKUP($B:$B,科室绩效工资核算1!$B:P,MATCH("换药风险积分", 科室绩效工资核算1!$B$3:$AN$3,0),0)/(中层绩效!$E73+VLOOKUP($B:$B,人员表!$B:$G,MATCH("医疗组",人员表!$B$3:$G$3,0),0))*中层绩效!$E73,0),0),0)</f>
        <v>0</v>
      </c>
      <c r="Q73" s="50">
        <f>IFERROR(ROUND(IF($D73="主任",VLOOKUP($B:$B,科室绩效工资核算1!$B:Q,MATCH("功能康复积分", 科室绩效工资核算1!$B$3:$AN$3,0),0)/(中层绩效!$E73+VLOOKUP($B:$B,人员表!$B:$G,MATCH("医疗组",人员表!$B$3:$G$3,0),0))*中层绩效!$E73,0),0),0)</f>
        <v>0</v>
      </c>
      <c r="R73" s="50">
        <f>IFERROR(ROUND(IF($D73="主任",VLOOKUP($B:$B,科室绩效工资核算1!$B:R,MATCH("中医外治积分", 科室绩效工资核算1!$B$3:$AN$3,0),0)/(中层绩效!$E73+VLOOKUP($B:$B,人员表!$B:$G,MATCH("医疗组",人员表!$B$3:$G$3,0),0))*中层绩效!$E73,0),0),0)</f>
        <v>0</v>
      </c>
      <c r="S73" s="50">
        <f>IFERROR(ROUND(IF($D73="主任",VLOOKUP($B:$B,科室绩效工资核算1!$B:S,MATCH("中药积分", 科室绩效工资核算1!$B$3:$AN$3,0),0)/(中层绩效!$E73+VLOOKUP($B:$B,人员表!$B:$G,MATCH("医疗组",人员表!$B$3:$G$3,0),0))*中层绩效!$E73,0),0),0)</f>
        <v>0</v>
      </c>
      <c r="T73" s="50">
        <f>IFERROR(ROUND(IF($D73="护士长",VLOOKUP($B:$B,科室绩效工资核算1!$B:T,MATCH("护理风险积分", 科室绩效工资核算1!$B$3:$AN$3,0),0)/(中层绩效!$E73+VLOOKUP($B:$B,人员表!$B:$G,MATCH("护理组",人员表!$B$3:$G$3,0),0))*中层绩效!$E73,0),0),0)</f>
        <v>0</v>
      </c>
      <c r="U73" s="43">
        <f>F73*科室绩效工资核算1!AQ$7</f>
        <v>0</v>
      </c>
      <c r="V73" s="43">
        <f t="shared" si="1"/>
        <v>1537.28</v>
      </c>
      <c r="W73" s="43">
        <f>V73*科室绩效工资核算1!AQ$10</f>
        <v>1653.652096</v>
      </c>
    </row>
    <row r="74" spans="2:23" s="69" customFormat="1" x14ac:dyDescent="0.25">
      <c r="B74" s="51" t="str">
        <f>中层系数!B74</f>
        <v>血库</v>
      </c>
      <c r="C74" s="67" t="str">
        <f>中层系数!C74</f>
        <v>测试71</v>
      </c>
      <c r="D74" s="67" t="str">
        <f>VLOOKUP(C:C,中层系数!C:I,7,0)</f>
        <v>主任</v>
      </c>
      <c r="E74" s="67">
        <f>VLOOKUP(C:C,中层系数!C:I,6,0)</f>
        <v>1.44</v>
      </c>
      <c r="F74" s="67">
        <f>VLOOKUP(C:C,中层系数!C:I,5,0)</f>
        <v>0</v>
      </c>
      <c r="G74" s="68">
        <f>E74*人员表!F40</f>
        <v>12208.32</v>
      </c>
      <c r="H74" s="50">
        <f>IFERROR(ROUND(IF(D74="主任",VLOOKUP($B:$B,科室绩效工资核算1!$B:H,MATCH("首诊风险积分", 科室绩效工资核算1!$B$3:$AN$3,0),0)/(中层绩效!$E74+VLOOKUP($B:$B,人员表!$B:$G,MATCH("医疗组",人员表!$B$3:$G$3,0),0))*中层绩效!$E74,0),0),0)</f>
        <v>0</v>
      </c>
      <c r="I74" s="50">
        <f>IFERROR(ROUND(IF($D74="主任",VLOOKUP($B:$B,科室绩效工资核算1!$B:I,MATCH("病历质量积分", 科室绩效工资核算1!$B$3:$AN$3,0),0)/(中层绩效!$E74+VLOOKUP($B:$B,人员表!$B:$G,MATCH("医疗组",人员表!$B$3:$G$3,0),0))*中层绩效!$E74,0),0),0)</f>
        <v>0</v>
      </c>
      <c r="J74" s="50">
        <f>IFERROR(ROUND(IF($D74="主任",VLOOKUP($B:$B,科室绩效工资核算1!$B:J,MATCH("门诊人次积分", 科室绩效工资核算1!$B$3:$AN$3,0),0)/(中层绩效!$E74+VLOOKUP($B:$B,人员表!$B:$G,MATCH("医疗组",人员表!$B$3:$G$3,0),0))*中层绩效!$E74,0),0),0)</f>
        <v>0</v>
      </c>
      <c r="K74" s="50">
        <f>IFERROR(ROUND(IF($D74="主任",VLOOKUP($B:$B,科室绩效工资核算1!$B:K,MATCH("临床路径积分", 科室绩效工资核算1!$B$3:$AN$3,0),0)/(中层绩效!$E74+VLOOKUP($B:$B,人员表!$B:$G,MATCH("医疗组",人员表!$B$3:$G$3,0),0))*中层绩效!$E74,0),0),0)</f>
        <v>0</v>
      </c>
      <c r="L74" s="50">
        <f>IFERROR(ROUND(IF($D74="主任",VLOOKUP($B:$B,科室绩效工资核算1!$B:L,MATCH("麻醉风险积分", 科室绩效工资核算1!$B$3:$AN$3,0),0)/(中层绩效!$E74+VLOOKUP($B:$B,人员表!$B:$G,MATCH("医疗组",人员表!$B$3:$G$3,0),0))*中层绩效!$E74,0),0),0)</f>
        <v>0</v>
      </c>
      <c r="M74" s="50">
        <f>IFERROR(ROUND(IF($D74="主任",VLOOKUP($B:$B,科室绩效工资核算1!$B:M,MATCH("分娩风险积分", 科室绩效工资核算1!$B$3:$AN$3,0),0)/(中层绩效!$E74+VLOOKUP($B:$B,人员表!$B:$G,MATCH("医疗组",人员表!$B$3:$G$3,0),0))*中层绩效!$E74,0),0),0)</f>
        <v>0</v>
      </c>
      <c r="N74" s="50">
        <f>IFERROR(ROUND(IF($D74="主任",VLOOKUP($B:$B,科室绩效工资核算1!$B:N,MATCH("肿瘤支气管镜", 科室绩效工资核算1!$B$3:$AN$3,0),0)/(中层绩效!$E74+VLOOKUP($B:$B,人员表!$B:$G,MATCH("医疗组",人员表!$B$3:$G$3,0),0))*中层绩效!$E74,0),0),0)</f>
        <v>0</v>
      </c>
      <c r="O74" s="50">
        <f>IFERROR(ROUND(IF($D74="主任",VLOOKUP($B:$B,科室绩效工资核算1!$B:O,MATCH("会诊风险积分", 科室绩效工资核算1!$B$3:$AN$3,0),0)/(中层绩效!$E74+VLOOKUP($B:$B,人员表!$B:$G,MATCH("医疗组",人员表!$B$3:$G$3,0),0))*中层绩效!$E74,0),0),0)</f>
        <v>0</v>
      </c>
      <c r="P74" s="50">
        <f>IFERROR(ROUND(IF($D74="主任",VLOOKUP($B:$B,科室绩效工资核算1!$B:P,MATCH("换药风险积分", 科室绩效工资核算1!$B$3:$AN$3,0),0)/(中层绩效!$E74+VLOOKUP($B:$B,人员表!$B:$G,MATCH("医疗组",人员表!$B$3:$G$3,0),0))*中层绩效!$E74,0),0),0)</f>
        <v>0</v>
      </c>
      <c r="Q74" s="50">
        <f>IFERROR(ROUND(IF($D74="主任",VLOOKUP($B:$B,科室绩效工资核算1!$B:Q,MATCH("功能康复积分", 科室绩效工资核算1!$B$3:$AN$3,0),0)/(中层绩效!$E74+VLOOKUP($B:$B,人员表!$B:$G,MATCH("医疗组",人员表!$B$3:$G$3,0),0))*中层绩效!$E74,0),0),0)</f>
        <v>0</v>
      </c>
      <c r="R74" s="50">
        <f>IFERROR(ROUND(IF($D74="主任",VLOOKUP($B:$B,科室绩效工资核算1!$B:R,MATCH("中医外治积分", 科室绩效工资核算1!$B$3:$AN$3,0),0)/(中层绩效!$E74+VLOOKUP($B:$B,人员表!$B:$G,MATCH("医疗组",人员表!$B$3:$G$3,0),0))*中层绩效!$E74,0),0),0)</f>
        <v>0</v>
      </c>
      <c r="S74" s="50">
        <f>IFERROR(ROUND(IF($D74="主任",VLOOKUP($B:$B,科室绩效工资核算1!$B:S,MATCH("中药积分", 科室绩效工资核算1!$B$3:$AN$3,0),0)/(中层绩效!$E74+VLOOKUP($B:$B,人员表!$B:$G,MATCH("医疗组",人员表!$B$3:$G$3,0),0))*中层绩效!$E74,0),0),0)</f>
        <v>0</v>
      </c>
      <c r="T74" s="50">
        <f>IFERROR(ROUND(IF($D74="护士长",VLOOKUP($B:$B,科室绩效工资核算1!$B:T,MATCH("护理风险积分", 科室绩效工资核算1!$B$3:$AN$3,0),0)/(中层绩效!$E74+VLOOKUP($B:$B,人员表!$B:$G,MATCH("护理组",人员表!$B$3:$G$3,0),0))*中层绩效!$E74,0),0),0)</f>
        <v>0</v>
      </c>
      <c r="U74" s="68">
        <f>F74*科室绩效工资核算1!AQ$7</f>
        <v>0</v>
      </c>
      <c r="V74" s="68">
        <f t="shared" si="1"/>
        <v>12208.32</v>
      </c>
      <c r="W74" s="68">
        <f>V74*科室绩效工资核算1!AQ$10</f>
        <v>13132.489824</v>
      </c>
    </row>
    <row r="75" spans="2:23" x14ac:dyDescent="0.25">
      <c r="B75" s="51" t="str">
        <f>中层系数!B75</f>
        <v>药剂办公室</v>
      </c>
      <c r="C75" s="5" t="str">
        <f>中层系数!C75</f>
        <v>测试72</v>
      </c>
      <c r="D75" s="5" t="str">
        <f>VLOOKUP(C:C,中层系数!C:I,7,0)</f>
        <v>副主任</v>
      </c>
      <c r="E75" s="5">
        <f>VLOOKUP(C:C,中层系数!C:I,6,0)</f>
        <v>0</v>
      </c>
      <c r="F75" s="5">
        <f>VLOOKUP(C:C,中层系数!C:I,5,0)</f>
        <v>0.3</v>
      </c>
      <c r="G75" s="43">
        <f>IF(OR(D75="主任",D75="副主任"),VLOOKUP($B:$B,人员表!$B:$G,MATCH("医生基础人均",人员表!$B$3:$G$3),0)*中层绩效!E75,VLOOKUP($B:$B,人员表!$B:$G,MATCH("护理基础人均",人员表!$B$3:$G$3,0),0)*E75)</f>
        <v>0</v>
      </c>
      <c r="H75" s="50">
        <f>IFERROR(ROUND(IF(D75="主任",VLOOKUP($B:$B,科室绩效工资核算1!$B:H,MATCH("首诊风险积分", 科室绩效工资核算1!$B$3:$AN$3,0),0)/(中层绩效!$E75+VLOOKUP($B:$B,人员表!$B:$G,MATCH("医疗组",人员表!$B$3:$G$3,0),0))*中层绩效!$E75,0),0),0)</f>
        <v>0</v>
      </c>
      <c r="I75" s="50">
        <f>IFERROR(ROUND(IF($D75="主任",VLOOKUP($B:$B,科室绩效工资核算1!$B:I,MATCH("病历质量积分", 科室绩效工资核算1!$B$3:$AN$3,0),0)/(中层绩效!$E75+VLOOKUP($B:$B,人员表!$B:$G,MATCH("医疗组",人员表!$B$3:$G$3,0),0))*中层绩效!$E75,0),0),0)</f>
        <v>0</v>
      </c>
      <c r="J75" s="50">
        <f>IFERROR(ROUND(IF($D75="主任",VLOOKUP($B:$B,科室绩效工资核算1!$B:J,MATCH("门诊人次积分", 科室绩效工资核算1!$B$3:$AN$3,0),0)/(中层绩效!$E75+VLOOKUP($B:$B,人员表!$B:$G,MATCH("医疗组",人员表!$B$3:$G$3,0),0))*中层绩效!$E75,0),0),0)</f>
        <v>0</v>
      </c>
      <c r="K75" s="50">
        <f>IFERROR(ROUND(IF($D75="主任",VLOOKUP($B:$B,科室绩效工资核算1!$B:K,MATCH("临床路径积分", 科室绩效工资核算1!$B$3:$AN$3,0),0)/(中层绩效!$E75+VLOOKUP($B:$B,人员表!$B:$G,MATCH("医疗组",人员表!$B$3:$G$3,0),0))*中层绩效!$E75,0),0),0)</f>
        <v>0</v>
      </c>
      <c r="L75" s="50">
        <f>IFERROR(ROUND(IF($D75="主任",VLOOKUP($B:$B,科室绩效工资核算1!$B:L,MATCH("麻醉风险积分", 科室绩效工资核算1!$B$3:$AN$3,0),0)/(中层绩效!$E75+VLOOKUP($B:$B,人员表!$B:$G,MATCH("医疗组",人员表!$B$3:$G$3,0),0))*中层绩效!$E75,0),0),0)</f>
        <v>0</v>
      </c>
      <c r="M75" s="50">
        <f>IFERROR(ROUND(IF($D75="主任",VLOOKUP($B:$B,科室绩效工资核算1!$B:M,MATCH("分娩风险积分", 科室绩效工资核算1!$B$3:$AN$3,0),0)/(中层绩效!$E75+VLOOKUP($B:$B,人员表!$B:$G,MATCH("医疗组",人员表!$B$3:$G$3,0),0))*中层绩效!$E75,0),0),0)</f>
        <v>0</v>
      </c>
      <c r="N75" s="50">
        <f>IFERROR(ROUND(IF($D75="主任",VLOOKUP($B:$B,科室绩效工资核算1!$B:N,MATCH("肿瘤支气管镜", 科室绩效工资核算1!$B$3:$AN$3,0),0)/(中层绩效!$E75+VLOOKUP($B:$B,人员表!$B:$G,MATCH("医疗组",人员表!$B$3:$G$3,0),0))*中层绩效!$E75,0),0),0)</f>
        <v>0</v>
      </c>
      <c r="O75" s="50">
        <f>IFERROR(ROUND(IF($D75="主任",VLOOKUP($B:$B,科室绩效工资核算1!$B:O,MATCH("会诊风险积分", 科室绩效工资核算1!$B$3:$AN$3,0),0)/(中层绩效!$E75+VLOOKUP($B:$B,人员表!$B:$G,MATCH("医疗组",人员表!$B$3:$G$3,0),0))*中层绩效!$E75,0),0),0)</f>
        <v>0</v>
      </c>
      <c r="P75" s="50">
        <f>IFERROR(ROUND(IF($D75="主任",VLOOKUP($B:$B,科室绩效工资核算1!$B:P,MATCH("换药风险积分", 科室绩效工资核算1!$B$3:$AN$3,0),0)/(中层绩效!$E75+VLOOKUP($B:$B,人员表!$B:$G,MATCH("医疗组",人员表!$B$3:$G$3,0),0))*中层绩效!$E75,0),0),0)</f>
        <v>0</v>
      </c>
      <c r="Q75" s="50">
        <f>IFERROR(ROUND(IF($D75="主任",VLOOKUP($B:$B,科室绩效工资核算1!$B:Q,MATCH("功能康复积分", 科室绩效工资核算1!$B$3:$AN$3,0),0)/(中层绩效!$E75+VLOOKUP($B:$B,人员表!$B:$G,MATCH("医疗组",人员表!$B$3:$G$3,0),0))*中层绩效!$E75,0),0),0)</f>
        <v>0</v>
      </c>
      <c r="R75" s="50">
        <f>IFERROR(ROUND(IF($D75="主任",VLOOKUP($B:$B,科室绩效工资核算1!$B:R,MATCH("中医外治积分", 科室绩效工资核算1!$B$3:$AN$3,0),0)/(中层绩效!$E75+VLOOKUP($B:$B,人员表!$B:$G,MATCH("医疗组",人员表!$B$3:$G$3,0),0))*中层绩效!$E75,0),0),0)</f>
        <v>0</v>
      </c>
      <c r="S75" s="50">
        <f>IFERROR(ROUND(IF($D75="主任",VLOOKUP($B:$B,科室绩效工资核算1!$B:S,MATCH("中药积分", 科室绩效工资核算1!$B$3:$AN$3,0),0)/(中层绩效!$E75+VLOOKUP($B:$B,人员表!$B:$G,MATCH("医疗组",人员表!$B$3:$G$3,0),0))*中层绩效!$E75,0),0),0)</f>
        <v>0</v>
      </c>
      <c r="T75" s="50">
        <f>IFERROR(ROUND(IF($D75="护士长",VLOOKUP($B:$B,科室绩效工资核算1!$B:T,MATCH("护理风险积分", 科室绩效工资核算1!$B$3:$AN$3,0),0)/(中层绩效!$E75+VLOOKUP($B:$B,人员表!$B:$G,MATCH("护理组",人员表!$B$3:$G$3,0),0))*中层绩效!$E75,0),0),0)</f>
        <v>0</v>
      </c>
      <c r="U75" s="43">
        <f>F75*科室绩效工资核算1!AQ$7</f>
        <v>461.904</v>
      </c>
      <c r="V75" s="43">
        <f t="shared" si="1"/>
        <v>461.904</v>
      </c>
      <c r="W75" s="43">
        <f>V75*科室绩效工资核算1!AQ$10</f>
        <v>496.87013280000002</v>
      </c>
    </row>
    <row r="76" spans="2:23" x14ac:dyDescent="0.25">
      <c r="B76" s="51" t="str">
        <f>中层系数!B76</f>
        <v>药剂办公室</v>
      </c>
      <c r="C76" s="5" t="str">
        <f>中层系数!C76</f>
        <v>测试73</v>
      </c>
      <c r="D76" s="5" t="str">
        <f>VLOOKUP(C:C,中层系数!C:I,7,0)</f>
        <v>主任</v>
      </c>
      <c r="E76" s="5">
        <f>VLOOKUP(C:C,中层系数!C:I,6,0)</f>
        <v>1.36</v>
      </c>
      <c r="F76" s="5">
        <f>VLOOKUP(C:C,中层系数!C:I,5,0)</f>
        <v>0</v>
      </c>
      <c r="G76" s="43">
        <f>IF(OR(D76="主任",D76="副主任"),VLOOKUP($B:$B,人员表!$B:$G,MATCH("医生基础人均",人员表!$B$3:$G$3),0)*中层绩效!E76,VLOOKUP($B:$B,人员表!$B:$G,MATCH("护理基础人均",人员表!$B$3:$G$3,0),0)*E76)</f>
        <v>2865.52</v>
      </c>
      <c r="H76" s="50">
        <f>IFERROR(ROUND(IF(D76="主任",VLOOKUP($B:$B,科室绩效工资核算1!$B:H,MATCH("首诊风险积分", 科室绩效工资核算1!$B$3:$AN$3,0),0)/(中层绩效!$E76+VLOOKUP($B:$B,人员表!$B:$G,MATCH("医疗组",人员表!$B$3:$G$3,0),0))*中层绩效!$E76,0),0),0)</f>
        <v>0</v>
      </c>
      <c r="I76" s="50">
        <f>IFERROR(ROUND(IF($D76="主任",VLOOKUP($B:$B,科室绩效工资核算1!$B:I,MATCH("病历质量积分", 科室绩效工资核算1!$B$3:$AN$3,0),0)/(中层绩效!$E76+VLOOKUP($B:$B,人员表!$B:$G,MATCH("医疗组",人员表!$B$3:$G$3,0),0))*中层绩效!$E76,0),0),0)</f>
        <v>0</v>
      </c>
      <c r="J76" s="50">
        <f>IFERROR(ROUND(IF($D76="主任",VLOOKUP($B:$B,科室绩效工资核算1!$B:J,MATCH("门诊人次积分", 科室绩效工资核算1!$B$3:$AN$3,0),0)/(中层绩效!$E76+VLOOKUP($B:$B,人员表!$B:$G,MATCH("医疗组",人员表!$B$3:$G$3,0),0))*中层绩效!$E76,0),0),0)</f>
        <v>0</v>
      </c>
      <c r="K76" s="50">
        <f>IFERROR(ROUND(IF($D76="主任",VLOOKUP($B:$B,科室绩效工资核算1!$B:K,MATCH("临床路径积分", 科室绩效工资核算1!$B$3:$AN$3,0),0)/(中层绩效!$E76+VLOOKUP($B:$B,人员表!$B:$G,MATCH("医疗组",人员表!$B$3:$G$3,0),0))*中层绩效!$E76,0),0),0)</f>
        <v>0</v>
      </c>
      <c r="L76" s="50">
        <f>IFERROR(ROUND(IF($D76="主任",VLOOKUP($B:$B,科室绩效工资核算1!$B:L,MATCH("麻醉风险积分", 科室绩效工资核算1!$B$3:$AN$3,0),0)/(中层绩效!$E76+VLOOKUP($B:$B,人员表!$B:$G,MATCH("医疗组",人员表!$B$3:$G$3,0),0))*中层绩效!$E76,0),0),0)</f>
        <v>0</v>
      </c>
      <c r="M76" s="50">
        <f>IFERROR(ROUND(IF($D76="主任",VLOOKUP($B:$B,科室绩效工资核算1!$B:M,MATCH("分娩风险积分", 科室绩效工资核算1!$B$3:$AN$3,0),0)/(中层绩效!$E76+VLOOKUP($B:$B,人员表!$B:$G,MATCH("医疗组",人员表!$B$3:$G$3,0),0))*中层绩效!$E76,0),0),0)</f>
        <v>0</v>
      </c>
      <c r="N76" s="50">
        <f>IFERROR(ROUND(IF($D76="主任",VLOOKUP($B:$B,科室绩效工资核算1!$B:N,MATCH("肿瘤支气管镜", 科室绩效工资核算1!$B$3:$AN$3,0),0)/(中层绩效!$E76+VLOOKUP($B:$B,人员表!$B:$G,MATCH("医疗组",人员表!$B$3:$G$3,0),0))*中层绩效!$E76,0),0),0)</f>
        <v>0</v>
      </c>
      <c r="O76" s="50">
        <f>IFERROR(ROUND(IF($D76="主任",VLOOKUP($B:$B,科室绩效工资核算1!$B:O,MATCH("会诊风险积分", 科室绩效工资核算1!$B$3:$AN$3,0),0)/(中层绩效!$E76+VLOOKUP($B:$B,人员表!$B:$G,MATCH("医疗组",人员表!$B$3:$G$3,0),0))*中层绩效!$E76,0),0),0)</f>
        <v>0</v>
      </c>
      <c r="P76" s="50">
        <f>IFERROR(ROUND(IF($D76="主任",VLOOKUP($B:$B,科室绩效工资核算1!$B:P,MATCH("换药风险积分", 科室绩效工资核算1!$B$3:$AN$3,0),0)/(中层绩效!$E76+VLOOKUP($B:$B,人员表!$B:$G,MATCH("医疗组",人员表!$B$3:$G$3,0),0))*中层绩效!$E76,0),0),0)</f>
        <v>0</v>
      </c>
      <c r="Q76" s="50">
        <f>IFERROR(ROUND(IF($D76="主任",VLOOKUP($B:$B,科室绩效工资核算1!$B:Q,MATCH("功能康复积分", 科室绩效工资核算1!$B$3:$AN$3,0),0)/(中层绩效!$E76+VLOOKUP($B:$B,人员表!$B:$G,MATCH("医疗组",人员表!$B$3:$G$3,0),0))*中层绩效!$E76,0),0),0)</f>
        <v>0</v>
      </c>
      <c r="R76" s="50">
        <f>IFERROR(ROUND(IF($D76="主任",VLOOKUP($B:$B,科室绩效工资核算1!$B:R,MATCH("中医外治积分", 科室绩效工资核算1!$B$3:$AN$3,0),0)/(中层绩效!$E76+VLOOKUP($B:$B,人员表!$B:$G,MATCH("医疗组",人员表!$B$3:$G$3,0),0))*中层绩效!$E76,0),0),0)</f>
        <v>0</v>
      </c>
      <c r="S76" s="50">
        <f>IFERROR(ROUND(IF($D76="主任",VLOOKUP($B:$B,科室绩效工资核算1!$B:S,MATCH("中药积分", 科室绩效工资核算1!$B$3:$AN$3,0),0)/(中层绩效!$E76+VLOOKUP($B:$B,人员表!$B:$G,MATCH("医疗组",人员表!$B$3:$G$3,0),0))*中层绩效!$E76,0),0),0)</f>
        <v>0</v>
      </c>
      <c r="T76" s="50">
        <f>IFERROR(ROUND(IF($D76="护士长",VLOOKUP($B:$B,科室绩效工资核算1!$B:T,MATCH("护理风险积分", 科室绩效工资核算1!$B$3:$AN$3,0),0)/(中层绩效!$E76+VLOOKUP($B:$B,人员表!$B:$G,MATCH("护理组",人员表!$B$3:$G$3,0),0))*中层绩效!$E76,0),0),0)</f>
        <v>0</v>
      </c>
      <c r="U76" s="43">
        <f>F76*科室绩效工资核算1!AQ$7</f>
        <v>0</v>
      </c>
      <c r="V76" s="43">
        <f t="shared" si="1"/>
        <v>2865.52</v>
      </c>
      <c r="W76" s="43">
        <f>V76*科室绩效工资核算1!AQ$10</f>
        <v>3082.4398640000004</v>
      </c>
    </row>
    <row r="77" spans="2:23" x14ac:dyDescent="0.25">
      <c r="B77" s="51" t="str">
        <f>中层系数!B77</f>
        <v>医务科</v>
      </c>
      <c r="C77" s="5" t="str">
        <f>中层系数!C77</f>
        <v>测试74</v>
      </c>
      <c r="D77" s="5" t="str">
        <f>VLOOKUP(C:C,中层系数!C:I,7,0)</f>
        <v>主任</v>
      </c>
      <c r="E77" s="5">
        <f>VLOOKUP(C:C,中层系数!C:I,6,0)</f>
        <v>2.5</v>
      </c>
      <c r="F77" s="5">
        <f>VLOOKUP(C:C,中层系数!C:I,5,0)</f>
        <v>0</v>
      </c>
      <c r="G77" s="43">
        <f>E77*科室绩效工资核算1!AQ$7</f>
        <v>3849.2000000000003</v>
      </c>
      <c r="H77" s="50">
        <f>IFERROR(ROUND(IF(D77="主任",VLOOKUP($B:$B,科室绩效工资核算1!$B:H,MATCH("首诊风险积分", 科室绩效工资核算1!$B$3:$AN$3,0),0)/(中层绩效!$E77+VLOOKUP($B:$B,人员表!$B:$G,MATCH("医疗组",人员表!$B$3:$G$3,0),0))*中层绩效!$E77,0),0),0)</f>
        <v>0</v>
      </c>
      <c r="I77" s="50">
        <f>IFERROR(ROUND(IF($D77="主任",VLOOKUP($B:$B,科室绩效工资核算1!$B:I,MATCH("病历质量积分", 科室绩效工资核算1!$B$3:$AN$3,0),0)/(中层绩效!$E77+VLOOKUP($B:$B,人员表!$B:$G,MATCH("医疗组",人员表!$B$3:$G$3,0),0))*中层绩效!$E77,0),0),0)</f>
        <v>0</v>
      </c>
      <c r="J77" s="50">
        <f>IFERROR(ROUND(IF($D77="主任",VLOOKUP($B:$B,科室绩效工资核算1!$B:J,MATCH("门诊人次积分", 科室绩效工资核算1!$B$3:$AN$3,0),0)/(中层绩效!$E77+VLOOKUP($B:$B,人员表!$B:$G,MATCH("医疗组",人员表!$B$3:$G$3,0),0))*中层绩效!$E77,0),0),0)</f>
        <v>0</v>
      </c>
      <c r="K77" s="50">
        <f>IFERROR(ROUND(IF($D77="主任",VLOOKUP($B:$B,科室绩效工资核算1!$B:K,MATCH("临床路径积分", 科室绩效工资核算1!$B$3:$AN$3,0),0)/(中层绩效!$E77+VLOOKUP($B:$B,人员表!$B:$G,MATCH("医疗组",人员表!$B$3:$G$3,0),0))*中层绩效!$E77,0),0),0)</f>
        <v>0</v>
      </c>
      <c r="L77" s="50">
        <f>IFERROR(ROUND(IF($D77="主任",VLOOKUP($B:$B,科室绩效工资核算1!$B:L,MATCH("麻醉风险积分", 科室绩效工资核算1!$B$3:$AN$3,0),0)/(中层绩效!$E77+VLOOKUP($B:$B,人员表!$B:$G,MATCH("医疗组",人员表!$B$3:$G$3,0),0))*中层绩效!$E77,0),0),0)</f>
        <v>0</v>
      </c>
      <c r="M77" s="50">
        <f>IFERROR(ROUND(IF($D77="主任",VLOOKUP($B:$B,科室绩效工资核算1!$B:M,MATCH("分娩风险积分", 科室绩效工资核算1!$B$3:$AN$3,0),0)/(中层绩效!$E77+VLOOKUP($B:$B,人员表!$B:$G,MATCH("医疗组",人员表!$B$3:$G$3,0),0))*中层绩效!$E77,0),0),0)</f>
        <v>0</v>
      </c>
      <c r="N77" s="50">
        <f>IFERROR(ROUND(IF($D77="主任",VLOOKUP($B:$B,科室绩效工资核算1!$B:N,MATCH("肿瘤支气管镜", 科室绩效工资核算1!$B$3:$AN$3,0),0)/(中层绩效!$E77+VLOOKUP($B:$B,人员表!$B:$G,MATCH("医疗组",人员表!$B$3:$G$3,0),0))*中层绩效!$E77,0),0),0)</f>
        <v>0</v>
      </c>
      <c r="O77" s="50">
        <f>IFERROR(ROUND(IF($D77="主任",VLOOKUP($B:$B,科室绩效工资核算1!$B:O,MATCH("会诊风险积分", 科室绩效工资核算1!$B$3:$AN$3,0),0)/(中层绩效!$E77+VLOOKUP($B:$B,人员表!$B:$G,MATCH("医疗组",人员表!$B$3:$G$3,0),0))*中层绩效!$E77,0),0),0)</f>
        <v>0</v>
      </c>
      <c r="P77" s="50">
        <f>IFERROR(ROUND(IF($D77="主任",VLOOKUP($B:$B,科室绩效工资核算1!$B:P,MATCH("换药风险积分", 科室绩效工资核算1!$B$3:$AN$3,0),0)/(中层绩效!$E77+VLOOKUP($B:$B,人员表!$B:$G,MATCH("医疗组",人员表!$B$3:$G$3,0),0))*中层绩效!$E77,0),0),0)</f>
        <v>0</v>
      </c>
      <c r="Q77" s="50">
        <f>IFERROR(ROUND(IF($D77="主任",VLOOKUP($B:$B,科室绩效工资核算1!$B:Q,MATCH("功能康复积分", 科室绩效工资核算1!$B$3:$AN$3,0),0)/(中层绩效!$E77+VLOOKUP($B:$B,人员表!$B:$G,MATCH("医疗组",人员表!$B$3:$G$3,0),0))*中层绩效!$E77,0),0),0)</f>
        <v>0</v>
      </c>
      <c r="R77" s="50">
        <f>IFERROR(ROUND(IF($D77="主任",VLOOKUP($B:$B,科室绩效工资核算1!$B:R,MATCH("中医外治积分", 科室绩效工资核算1!$B$3:$AN$3,0),0)/(中层绩效!$E77+VLOOKUP($B:$B,人员表!$B:$G,MATCH("医疗组",人员表!$B$3:$G$3,0),0))*中层绩效!$E77,0),0),0)</f>
        <v>0</v>
      </c>
      <c r="S77" s="50">
        <f>IFERROR(ROUND(IF($D77="主任",VLOOKUP($B:$B,科室绩效工资核算1!$B:S,MATCH("中药积分", 科室绩效工资核算1!$B$3:$AN$3,0),0)/(中层绩效!$E77+VLOOKUP($B:$B,人员表!$B:$G,MATCH("医疗组",人员表!$B$3:$G$3,0),0))*中层绩效!$E77,0),0),0)</f>
        <v>0</v>
      </c>
      <c r="T77" s="50">
        <f>IFERROR(ROUND(IF($D77="护士长",VLOOKUP($B:$B,科室绩效工资核算1!$B:T,MATCH("护理风险积分", 科室绩效工资核算1!$B$3:$AN$3,0),0)/(中层绩效!$E77+VLOOKUP($B:$B,人员表!$B:$G,MATCH("护理组",人员表!$B$3:$G$3,0),0))*中层绩效!$E77,0),0),0)</f>
        <v>0</v>
      </c>
      <c r="U77" s="43">
        <f>F77*科室绩效工资核算1!AQ$7</f>
        <v>0</v>
      </c>
      <c r="V77" s="43">
        <f t="shared" si="1"/>
        <v>3849.2000000000003</v>
      </c>
      <c r="W77" s="43">
        <f>V77*科室绩效工资核算1!AQ$10</f>
        <v>4140.5844400000005</v>
      </c>
    </row>
    <row r="78" spans="2:23" x14ac:dyDescent="0.25">
      <c r="B78" s="51" t="str">
        <f>中层系数!B78</f>
        <v>医务科</v>
      </c>
      <c r="C78" s="5" t="str">
        <f>中层系数!C78</f>
        <v>测试75</v>
      </c>
      <c r="D78" s="5" t="str">
        <f>VLOOKUP(C:C,中层系数!C:I,7,0)</f>
        <v>副主任</v>
      </c>
      <c r="E78" s="5">
        <f>VLOOKUP(C:C,中层系数!C:I,6,0)</f>
        <v>1.6</v>
      </c>
      <c r="F78" s="5">
        <f>VLOOKUP(C:C,中层系数!C:I,5,0)</f>
        <v>0</v>
      </c>
      <c r="G78" s="43">
        <f>E78*科室绩效工资核算1!AQ$7</f>
        <v>2463.4880000000003</v>
      </c>
      <c r="H78" s="50">
        <f>IFERROR(ROUND(IF(D78="主任",VLOOKUP($B:$B,科室绩效工资核算1!$B:H,MATCH("首诊风险积分", 科室绩效工资核算1!$B$3:$AN$3,0),0)/(中层绩效!$E78+VLOOKUP($B:$B,人员表!$B:$G,MATCH("医疗组",人员表!$B$3:$G$3,0),0))*中层绩效!$E78,0),0),0)</f>
        <v>0</v>
      </c>
      <c r="I78" s="50">
        <f>IFERROR(ROUND(IF($D78="主任",VLOOKUP($B:$B,科室绩效工资核算1!$B:I,MATCH("病历质量积分", 科室绩效工资核算1!$B$3:$AN$3,0),0)/(中层绩效!$E78+VLOOKUP($B:$B,人员表!$B:$G,MATCH("医疗组",人员表!$B$3:$G$3,0),0))*中层绩效!$E78,0),0),0)</f>
        <v>0</v>
      </c>
      <c r="J78" s="50">
        <f>IFERROR(ROUND(IF($D78="主任",VLOOKUP($B:$B,科室绩效工资核算1!$B:J,MATCH("门诊人次积分", 科室绩效工资核算1!$B$3:$AN$3,0),0)/(中层绩效!$E78+VLOOKUP($B:$B,人员表!$B:$G,MATCH("医疗组",人员表!$B$3:$G$3,0),0))*中层绩效!$E78,0),0),0)</f>
        <v>0</v>
      </c>
      <c r="K78" s="50">
        <f>IFERROR(ROUND(IF($D78="主任",VLOOKUP($B:$B,科室绩效工资核算1!$B:K,MATCH("临床路径积分", 科室绩效工资核算1!$B$3:$AN$3,0),0)/(中层绩效!$E78+VLOOKUP($B:$B,人员表!$B:$G,MATCH("医疗组",人员表!$B$3:$G$3,0),0))*中层绩效!$E78,0),0),0)</f>
        <v>0</v>
      </c>
      <c r="L78" s="50">
        <f>IFERROR(ROUND(IF($D78="主任",VLOOKUP($B:$B,科室绩效工资核算1!$B:L,MATCH("麻醉风险积分", 科室绩效工资核算1!$B$3:$AN$3,0),0)/(中层绩效!$E78+VLOOKUP($B:$B,人员表!$B:$G,MATCH("医疗组",人员表!$B$3:$G$3,0),0))*中层绩效!$E78,0),0),0)</f>
        <v>0</v>
      </c>
      <c r="M78" s="50">
        <f>IFERROR(ROUND(IF($D78="主任",VLOOKUP($B:$B,科室绩效工资核算1!$B:M,MATCH("分娩风险积分", 科室绩效工资核算1!$B$3:$AN$3,0),0)/(中层绩效!$E78+VLOOKUP($B:$B,人员表!$B:$G,MATCH("医疗组",人员表!$B$3:$G$3,0),0))*中层绩效!$E78,0),0),0)</f>
        <v>0</v>
      </c>
      <c r="N78" s="50">
        <f>IFERROR(ROUND(IF($D78="主任",VLOOKUP($B:$B,科室绩效工资核算1!$B:N,MATCH("肿瘤支气管镜", 科室绩效工资核算1!$B$3:$AN$3,0),0)/(中层绩效!$E78+VLOOKUP($B:$B,人员表!$B:$G,MATCH("医疗组",人员表!$B$3:$G$3,0),0))*中层绩效!$E78,0),0),0)</f>
        <v>0</v>
      </c>
      <c r="O78" s="50">
        <f>IFERROR(ROUND(IF($D78="主任",VLOOKUP($B:$B,科室绩效工资核算1!$B:O,MATCH("会诊风险积分", 科室绩效工资核算1!$B$3:$AN$3,0),0)/(中层绩效!$E78+VLOOKUP($B:$B,人员表!$B:$G,MATCH("医疗组",人员表!$B$3:$G$3,0),0))*中层绩效!$E78,0),0),0)</f>
        <v>0</v>
      </c>
      <c r="P78" s="50">
        <f>IFERROR(ROUND(IF($D78="主任",VLOOKUP($B:$B,科室绩效工资核算1!$B:P,MATCH("换药风险积分", 科室绩效工资核算1!$B$3:$AN$3,0),0)/(中层绩效!$E78+VLOOKUP($B:$B,人员表!$B:$G,MATCH("医疗组",人员表!$B$3:$G$3,0),0))*中层绩效!$E78,0),0),0)</f>
        <v>0</v>
      </c>
      <c r="Q78" s="50">
        <f>IFERROR(ROUND(IF($D78="主任",VLOOKUP($B:$B,科室绩效工资核算1!$B:Q,MATCH("功能康复积分", 科室绩效工资核算1!$B$3:$AN$3,0),0)/(中层绩效!$E78+VLOOKUP($B:$B,人员表!$B:$G,MATCH("医疗组",人员表!$B$3:$G$3,0),0))*中层绩效!$E78,0),0),0)</f>
        <v>0</v>
      </c>
      <c r="R78" s="50">
        <f>IFERROR(ROUND(IF($D78="主任",VLOOKUP($B:$B,科室绩效工资核算1!$B:R,MATCH("中医外治积分", 科室绩效工资核算1!$B$3:$AN$3,0),0)/(中层绩效!$E78+VLOOKUP($B:$B,人员表!$B:$G,MATCH("医疗组",人员表!$B$3:$G$3,0),0))*中层绩效!$E78,0),0),0)</f>
        <v>0</v>
      </c>
      <c r="S78" s="50">
        <f>IFERROR(ROUND(IF($D78="主任",VLOOKUP($B:$B,科室绩效工资核算1!$B:S,MATCH("中药积分", 科室绩效工资核算1!$B$3:$AN$3,0),0)/(中层绩效!$E78+VLOOKUP($B:$B,人员表!$B:$G,MATCH("医疗组",人员表!$B$3:$G$3,0),0))*中层绩效!$E78,0),0),0)</f>
        <v>0</v>
      </c>
      <c r="T78" s="50">
        <f>IFERROR(ROUND(IF($D78="护士长",VLOOKUP($B:$B,科室绩效工资核算1!$B:T,MATCH("护理风险积分", 科室绩效工资核算1!$B$3:$AN$3,0),0)/(中层绩效!$E78+VLOOKUP($B:$B,人员表!$B:$G,MATCH("护理组",人员表!$B$3:$G$3,0),0))*中层绩效!$E78,0),0),0)</f>
        <v>0</v>
      </c>
      <c r="U78" s="43">
        <f>F78*科室绩效工资核算1!AQ$7</f>
        <v>0</v>
      </c>
      <c r="V78" s="43">
        <f t="shared" si="1"/>
        <v>2463.4880000000003</v>
      </c>
      <c r="W78" s="43">
        <f>V78*科室绩效工资核算1!AQ$10</f>
        <v>2649.9740416000004</v>
      </c>
    </row>
    <row r="79" spans="2:23" x14ac:dyDescent="0.25">
      <c r="B79" s="51" t="str">
        <f>中层系数!B80</f>
        <v>护理部</v>
      </c>
      <c r="C79" s="5" t="str">
        <f>中层系数!C80</f>
        <v>测试77</v>
      </c>
      <c r="D79" s="5" t="str">
        <f>VLOOKUP(C:C,中层系数!C:I,7,0)</f>
        <v>主任</v>
      </c>
      <c r="E79" s="5">
        <f>VLOOKUP(C:C,中层系数!C:I,6,0)</f>
        <v>2.25</v>
      </c>
      <c r="F79" s="5">
        <f>VLOOKUP(C:C,中层系数!C:I,5,0)</f>
        <v>0</v>
      </c>
      <c r="G79" s="43">
        <f>E79*科室绩效工资核算1!AQ$7</f>
        <v>3464.28</v>
      </c>
      <c r="H79" s="50">
        <f>IFERROR(ROUND(IF(D79="主任",VLOOKUP($B:$B,科室绩效工资核算1!$B:H,MATCH("首诊风险积分", 科室绩效工资核算1!$B$3:$AN$3,0),0)/(中层绩效!$E79+VLOOKUP($B:$B,人员表!$B:$G,MATCH("医疗组",人员表!$B$3:$G$3,0),0))*中层绩效!$E79,0),0),0)</f>
        <v>0</v>
      </c>
      <c r="I79" s="50">
        <f>IFERROR(ROUND(IF($D79="主任",VLOOKUP($B:$B,科室绩效工资核算1!$B:I,MATCH("病历质量积分", 科室绩效工资核算1!$B$3:$AN$3,0),0)/(中层绩效!$E79+VLOOKUP($B:$B,人员表!$B:$G,MATCH("医疗组",人员表!$B$3:$G$3,0),0))*中层绩效!$E79,0),0),0)</f>
        <v>0</v>
      </c>
      <c r="J79" s="50">
        <f>IFERROR(ROUND(IF($D79="主任",VLOOKUP($B:$B,科室绩效工资核算1!$B:J,MATCH("门诊人次积分", 科室绩效工资核算1!$B$3:$AN$3,0),0)/(中层绩效!$E79+VLOOKUP($B:$B,人员表!$B:$G,MATCH("医疗组",人员表!$B$3:$G$3,0),0))*中层绩效!$E79,0),0),0)</f>
        <v>0</v>
      </c>
      <c r="K79" s="50">
        <f>IFERROR(ROUND(IF($D79="主任",VLOOKUP($B:$B,科室绩效工资核算1!$B:K,MATCH("临床路径积分", 科室绩效工资核算1!$B$3:$AN$3,0),0)/(中层绩效!$E79+VLOOKUP($B:$B,人员表!$B:$G,MATCH("医疗组",人员表!$B$3:$G$3,0),0))*中层绩效!$E79,0),0),0)</f>
        <v>0</v>
      </c>
      <c r="L79" s="50">
        <f>IFERROR(ROUND(IF($D79="主任",VLOOKUP($B:$B,科室绩效工资核算1!$B:L,MATCH("麻醉风险积分", 科室绩效工资核算1!$B$3:$AN$3,0),0)/(中层绩效!$E79+VLOOKUP($B:$B,人员表!$B:$G,MATCH("医疗组",人员表!$B$3:$G$3,0),0))*中层绩效!$E79,0),0),0)</f>
        <v>0</v>
      </c>
      <c r="M79" s="50">
        <f>IFERROR(ROUND(IF($D79="主任",VLOOKUP($B:$B,科室绩效工资核算1!$B:M,MATCH("分娩风险积分", 科室绩效工资核算1!$B$3:$AN$3,0),0)/(中层绩效!$E79+VLOOKUP($B:$B,人员表!$B:$G,MATCH("医疗组",人员表!$B$3:$G$3,0),0))*中层绩效!$E79,0),0),0)</f>
        <v>0</v>
      </c>
      <c r="N79" s="50">
        <f>IFERROR(ROUND(IF($D79="主任",VLOOKUP($B:$B,科室绩效工资核算1!$B:N,MATCH("肿瘤支气管镜", 科室绩效工资核算1!$B$3:$AN$3,0),0)/(中层绩效!$E79+VLOOKUP($B:$B,人员表!$B:$G,MATCH("医疗组",人员表!$B$3:$G$3,0),0))*中层绩效!$E79,0),0),0)</f>
        <v>0</v>
      </c>
      <c r="O79" s="50">
        <f>IFERROR(ROUND(IF($D79="主任",VLOOKUP($B:$B,科室绩效工资核算1!$B:O,MATCH("会诊风险积分", 科室绩效工资核算1!$B$3:$AN$3,0),0)/(中层绩效!$E79+VLOOKUP($B:$B,人员表!$B:$G,MATCH("医疗组",人员表!$B$3:$G$3,0),0))*中层绩效!$E79,0),0),0)</f>
        <v>0</v>
      </c>
      <c r="P79" s="50">
        <f>IFERROR(ROUND(IF($D79="主任",VLOOKUP($B:$B,科室绩效工资核算1!$B:P,MATCH("换药风险积分", 科室绩效工资核算1!$B$3:$AN$3,0),0)/(中层绩效!$E79+VLOOKUP($B:$B,人员表!$B:$G,MATCH("医疗组",人员表!$B$3:$G$3,0),0))*中层绩效!$E79,0),0),0)</f>
        <v>0</v>
      </c>
      <c r="Q79" s="50">
        <f>IFERROR(ROUND(IF($D79="主任",VLOOKUP($B:$B,科室绩效工资核算1!$B:Q,MATCH("功能康复积分", 科室绩效工资核算1!$B$3:$AN$3,0),0)/(中层绩效!$E79+VLOOKUP($B:$B,人员表!$B:$G,MATCH("医疗组",人员表!$B$3:$G$3,0),0))*中层绩效!$E79,0),0),0)</f>
        <v>0</v>
      </c>
      <c r="R79" s="50">
        <f>IFERROR(ROUND(IF($D79="主任",VLOOKUP($B:$B,科室绩效工资核算1!$B:R,MATCH("中医外治积分", 科室绩效工资核算1!$B$3:$AN$3,0),0)/(中层绩效!$E79+VLOOKUP($B:$B,人员表!$B:$G,MATCH("医疗组",人员表!$B$3:$G$3,0),0))*中层绩效!$E79,0),0),0)</f>
        <v>0</v>
      </c>
      <c r="S79" s="50">
        <f>IFERROR(ROUND(IF($D79="主任",VLOOKUP($B:$B,科室绩效工资核算1!$B:S,MATCH("中药积分", 科室绩效工资核算1!$B$3:$AN$3,0),0)/(中层绩效!$E79+VLOOKUP($B:$B,人员表!$B:$G,MATCH("医疗组",人员表!$B$3:$G$3,0),0))*中层绩效!$E79,0),0),0)</f>
        <v>0</v>
      </c>
      <c r="T79" s="50">
        <f>IFERROR(ROUND(IF($D79="护士长",VLOOKUP($B:$B,科室绩效工资核算1!$B:T,MATCH("护理风险积分", 科室绩效工资核算1!$B$3:$AN$3,0),0)/(中层绩效!$E79+VLOOKUP($B:$B,人员表!$B:$G,MATCH("护理组",人员表!$B$3:$G$3,0),0))*中层绩效!$E79,0),0),0)</f>
        <v>0</v>
      </c>
      <c r="U79" s="43">
        <f>F79*科室绩效工资核算1!AQ$7</f>
        <v>0</v>
      </c>
      <c r="V79" s="43">
        <f t="shared" si="1"/>
        <v>3464.28</v>
      </c>
      <c r="W79" s="43">
        <f>V79*科室绩效工资核算1!AQ$10</f>
        <v>3726.5259960000008</v>
      </c>
    </row>
    <row r="80" spans="2:23" x14ac:dyDescent="0.25">
      <c r="B80" s="51" t="str">
        <f>中层系数!B81</f>
        <v>服务部</v>
      </c>
      <c r="C80" s="5" t="str">
        <f>中层系数!C81</f>
        <v>测试78</v>
      </c>
      <c r="D80" s="5" t="str">
        <f>VLOOKUP(C:C,中层系数!C:I,7,0)</f>
        <v>主任</v>
      </c>
      <c r="E80" s="5">
        <f>VLOOKUP(C:C,中层系数!C:I,6,0)</f>
        <v>1.36</v>
      </c>
      <c r="F80" s="5">
        <f>VLOOKUP(C:C,中层系数!C:I,5,0)</f>
        <v>0</v>
      </c>
      <c r="G80" s="43">
        <f>E80*科室绩效工资核算1!AQ$7</f>
        <v>2093.9648000000002</v>
      </c>
      <c r="H80" s="50">
        <f>IFERROR(ROUND(IF(D80="主任",VLOOKUP($B:$B,科室绩效工资核算1!$B:H,MATCH("首诊风险积分", 科室绩效工资核算1!$B$3:$AN$3,0),0)/(中层绩效!$E80+VLOOKUP($B:$B,人员表!$B:$G,MATCH("医疗组",人员表!$B$3:$G$3,0),0))*中层绩效!$E80,0),0),0)</f>
        <v>0</v>
      </c>
      <c r="I80" s="50">
        <f>IFERROR(ROUND(IF($D80="主任",VLOOKUP($B:$B,科室绩效工资核算1!$B:I,MATCH("病历质量积分", 科室绩效工资核算1!$B$3:$AN$3,0),0)/(中层绩效!$E80+VLOOKUP($B:$B,人员表!$B:$G,MATCH("医疗组",人员表!$B$3:$G$3,0),0))*中层绩效!$E80,0),0),0)</f>
        <v>0</v>
      </c>
      <c r="J80" s="50">
        <f>IFERROR(ROUND(IF($D80="主任",VLOOKUP($B:$B,科室绩效工资核算1!$B:J,MATCH("门诊人次积分", 科室绩效工资核算1!$B$3:$AN$3,0),0)/(中层绩效!$E80+VLOOKUP($B:$B,人员表!$B:$G,MATCH("医疗组",人员表!$B$3:$G$3,0),0))*中层绩效!$E80,0),0),0)</f>
        <v>0</v>
      </c>
      <c r="K80" s="50">
        <f>IFERROR(ROUND(IF($D80="主任",VLOOKUP($B:$B,科室绩效工资核算1!$B:K,MATCH("临床路径积分", 科室绩效工资核算1!$B$3:$AN$3,0),0)/(中层绩效!$E80+VLOOKUP($B:$B,人员表!$B:$G,MATCH("医疗组",人员表!$B$3:$G$3,0),0))*中层绩效!$E80,0),0),0)</f>
        <v>0</v>
      </c>
      <c r="L80" s="50">
        <f>IFERROR(ROUND(IF($D80="主任",VLOOKUP($B:$B,科室绩效工资核算1!$B:L,MATCH("麻醉风险积分", 科室绩效工资核算1!$B$3:$AN$3,0),0)/(中层绩效!$E80+VLOOKUP($B:$B,人员表!$B:$G,MATCH("医疗组",人员表!$B$3:$G$3,0),0))*中层绩效!$E80,0),0),0)</f>
        <v>0</v>
      </c>
      <c r="M80" s="50">
        <f>IFERROR(ROUND(IF($D80="主任",VLOOKUP($B:$B,科室绩效工资核算1!$B:M,MATCH("分娩风险积分", 科室绩效工资核算1!$B$3:$AN$3,0),0)/(中层绩效!$E80+VLOOKUP($B:$B,人员表!$B:$G,MATCH("医疗组",人员表!$B$3:$G$3,0),0))*中层绩效!$E80,0),0),0)</f>
        <v>0</v>
      </c>
      <c r="N80" s="50">
        <f>IFERROR(ROUND(IF($D80="主任",VLOOKUP($B:$B,科室绩效工资核算1!$B:N,MATCH("肿瘤支气管镜", 科室绩效工资核算1!$B$3:$AN$3,0),0)/(中层绩效!$E80+VLOOKUP($B:$B,人员表!$B:$G,MATCH("医疗组",人员表!$B$3:$G$3,0),0))*中层绩效!$E80,0),0),0)</f>
        <v>0</v>
      </c>
      <c r="O80" s="50">
        <f>IFERROR(ROUND(IF($D80="主任",VLOOKUP($B:$B,科室绩效工资核算1!$B:O,MATCH("会诊风险积分", 科室绩效工资核算1!$B$3:$AN$3,0),0)/(中层绩效!$E80+VLOOKUP($B:$B,人员表!$B:$G,MATCH("医疗组",人员表!$B$3:$G$3,0),0))*中层绩效!$E80,0),0),0)</f>
        <v>0</v>
      </c>
      <c r="P80" s="50">
        <f>IFERROR(ROUND(IF($D80="主任",VLOOKUP($B:$B,科室绩效工资核算1!$B:P,MATCH("换药风险积分", 科室绩效工资核算1!$B$3:$AN$3,0),0)/(中层绩效!$E80+VLOOKUP($B:$B,人员表!$B:$G,MATCH("医疗组",人员表!$B$3:$G$3,0),0))*中层绩效!$E80,0),0),0)</f>
        <v>0</v>
      </c>
      <c r="Q80" s="50">
        <f>IFERROR(ROUND(IF($D80="主任",VLOOKUP($B:$B,科室绩效工资核算1!$B:Q,MATCH("功能康复积分", 科室绩效工资核算1!$B$3:$AN$3,0),0)/(中层绩效!$E80+VLOOKUP($B:$B,人员表!$B:$G,MATCH("医疗组",人员表!$B$3:$G$3,0),0))*中层绩效!$E80,0),0),0)</f>
        <v>0</v>
      </c>
      <c r="R80" s="50">
        <f>IFERROR(ROUND(IF($D80="主任",VLOOKUP($B:$B,科室绩效工资核算1!$B:R,MATCH("中医外治积分", 科室绩效工资核算1!$B$3:$AN$3,0),0)/(中层绩效!$E80+VLOOKUP($B:$B,人员表!$B:$G,MATCH("医疗组",人员表!$B$3:$G$3,0),0))*中层绩效!$E80,0),0),0)</f>
        <v>0</v>
      </c>
      <c r="S80" s="50">
        <f>IFERROR(ROUND(IF($D80="主任",VLOOKUP($B:$B,科室绩效工资核算1!$B:S,MATCH("中药积分", 科室绩效工资核算1!$B$3:$AN$3,0),0)/(中层绩效!$E80+VLOOKUP($B:$B,人员表!$B:$G,MATCH("医疗组",人员表!$B$3:$G$3,0),0))*中层绩效!$E80,0),0),0)</f>
        <v>0</v>
      </c>
      <c r="T80" s="50">
        <f>IFERROR(ROUND(IF($D80="护士长",VLOOKUP($B:$B,科室绩效工资核算1!$B:T,MATCH("护理风险积分", 科室绩效工资核算1!$B$3:$AN$3,0),0)/(中层绩效!$E80+VLOOKUP($B:$B,人员表!$B:$G,MATCH("护理组",人员表!$B$3:$G$3,0),0))*中层绩效!$E80,0),0),0)</f>
        <v>0</v>
      </c>
      <c r="U80" s="43">
        <f>F80*科室绩效工资核算1!AQ$7</f>
        <v>0</v>
      </c>
      <c r="V80" s="43">
        <f t="shared" si="1"/>
        <v>2093.9648000000002</v>
      </c>
      <c r="W80" s="43">
        <f>V80*科室绩效工资核算1!AQ$10</f>
        <v>2252.4779353600006</v>
      </c>
    </row>
    <row r="81" spans="2:23" x14ac:dyDescent="0.25">
      <c r="B81" s="70" t="str">
        <f>中层系数!B82</f>
        <v>财务科</v>
      </c>
      <c r="C81" s="5" t="str">
        <f>中层系数!C82</f>
        <v>测试79</v>
      </c>
      <c r="D81" s="5" t="str">
        <f>VLOOKUP(C:C,中层系数!C:I,7,0)</f>
        <v>主任</v>
      </c>
      <c r="E81" s="5">
        <f>VLOOKUP(C:C,中层系数!C:I,6,0)</f>
        <v>2.6</v>
      </c>
      <c r="F81" s="5">
        <f>VLOOKUP(C:C,中层系数!C:I,5,0)</f>
        <v>0.1</v>
      </c>
      <c r="G81" s="43">
        <f>SUMIF(D$4:D$58,"主任",G$4:G$58)/SUMIF(D$4:D$58,"主任",E$4:E$58)*E81</f>
        <v>6753.5750000000007</v>
      </c>
      <c r="H81" s="50">
        <f>IFERROR(ROUND(IF(D81="主任",VLOOKUP($B:$B,科室绩效工资核算1!$B:H,MATCH("首诊风险积分", 科室绩效工资核算1!$B$3:$AN$3,0),0)/(中层绩效!$E81+VLOOKUP($B:$B,人员表!$B:$G,MATCH("医疗组",人员表!$B$3:$G$3,0),0))*中层绩效!$E81,0),0),0)</f>
        <v>0</v>
      </c>
      <c r="I81" s="50">
        <f>IFERROR(ROUND(IF($D81="主任",VLOOKUP($B:$B,科室绩效工资核算1!$B:I,MATCH("病历质量积分", 科室绩效工资核算1!$B$3:$AN$3,0),0)/(中层绩效!$E81+VLOOKUP($B:$B,人员表!$B:$G,MATCH("医疗组",人员表!$B$3:$G$3,0),0))*中层绩效!$E81,0),0),0)</f>
        <v>0</v>
      </c>
      <c r="J81" s="50">
        <f>IFERROR(ROUND(IF($D81="主任",VLOOKUP($B:$B,科室绩效工资核算1!$B:J,MATCH("门诊人次积分", 科室绩效工资核算1!$B$3:$AN$3,0),0)/(中层绩效!$E81+VLOOKUP($B:$B,人员表!$B:$G,MATCH("医疗组",人员表!$B$3:$G$3,0),0))*中层绩效!$E81,0),0),0)</f>
        <v>0</v>
      </c>
      <c r="K81" s="50">
        <f>IFERROR(ROUND(IF($D81="主任",VLOOKUP($B:$B,科室绩效工资核算1!$B:K,MATCH("临床路径积分", 科室绩效工资核算1!$B$3:$AN$3,0),0)/(中层绩效!$E81+VLOOKUP($B:$B,人员表!$B:$G,MATCH("医疗组",人员表!$B$3:$G$3,0),0))*中层绩效!$E81,0),0),0)</f>
        <v>0</v>
      </c>
      <c r="L81" s="50">
        <f>IFERROR(ROUND(IF($D81="主任",VLOOKUP($B:$B,科室绩效工资核算1!$B:L,MATCH("麻醉风险积分", 科室绩效工资核算1!$B$3:$AN$3,0),0)/(中层绩效!$E81+VLOOKUP($B:$B,人员表!$B:$G,MATCH("医疗组",人员表!$B$3:$G$3,0),0))*中层绩效!$E81,0),0),0)</f>
        <v>0</v>
      </c>
      <c r="M81" s="50">
        <f>IFERROR(ROUND(IF($D81="主任",VLOOKUP($B:$B,科室绩效工资核算1!$B:M,MATCH("分娩风险积分", 科室绩效工资核算1!$B$3:$AN$3,0),0)/(中层绩效!$E81+VLOOKUP($B:$B,人员表!$B:$G,MATCH("医疗组",人员表!$B$3:$G$3,0),0))*中层绩效!$E81,0),0),0)</f>
        <v>0</v>
      </c>
      <c r="N81" s="50">
        <f>IFERROR(ROUND(IF($D81="主任",VLOOKUP($B:$B,科室绩效工资核算1!$B:N,MATCH("肿瘤支气管镜", 科室绩效工资核算1!$B$3:$AN$3,0),0)/(中层绩效!$E81+VLOOKUP($B:$B,人员表!$B:$G,MATCH("医疗组",人员表!$B$3:$G$3,0),0))*中层绩效!$E81,0),0),0)</f>
        <v>0</v>
      </c>
      <c r="O81" s="50">
        <f>IFERROR(ROUND(IF($D81="主任",VLOOKUP($B:$B,科室绩效工资核算1!$B:O,MATCH("会诊风险积分", 科室绩效工资核算1!$B$3:$AN$3,0),0)/(中层绩效!$E81+VLOOKUP($B:$B,人员表!$B:$G,MATCH("医疗组",人员表!$B$3:$G$3,0),0))*中层绩效!$E81,0),0),0)</f>
        <v>0</v>
      </c>
      <c r="P81" s="50">
        <f>IFERROR(ROUND(IF($D81="主任",VLOOKUP($B:$B,科室绩效工资核算1!$B:P,MATCH("换药风险积分", 科室绩效工资核算1!$B$3:$AN$3,0),0)/(中层绩效!$E81+VLOOKUP($B:$B,人员表!$B:$G,MATCH("医疗组",人员表!$B$3:$G$3,0),0))*中层绩效!$E81,0),0),0)</f>
        <v>0</v>
      </c>
      <c r="Q81" s="50">
        <f>IFERROR(ROUND(IF($D81="主任",VLOOKUP($B:$B,科室绩效工资核算1!$B:Q,MATCH("功能康复积分", 科室绩效工资核算1!$B$3:$AN$3,0),0)/(中层绩效!$E81+VLOOKUP($B:$B,人员表!$B:$G,MATCH("医疗组",人员表!$B$3:$G$3,0),0))*中层绩效!$E81,0),0),0)</f>
        <v>0</v>
      </c>
      <c r="R81" s="50">
        <f>IFERROR(ROUND(IF($D81="主任",VLOOKUP($B:$B,科室绩效工资核算1!$B:R,MATCH("中医外治积分", 科室绩效工资核算1!$B$3:$AN$3,0),0)/(中层绩效!$E81+VLOOKUP($B:$B,人员表!$B:$G,MATCH("医疗组",人员表!$B$3:$G$3,0),0))*中层绩效!$E81,0),0),0)</f>
        <v>0</v>
      </c>
      <c r="S81" s="50">
        <f>IFERROR(ROUND(IF($D81="主任",VLOOKUP($B:$B,科室绩效工资核算1!$B:S,MATCH("中药积分", 科室绩效工资核算1!$B$3:$AN$3,0),0)/(中层绩效!$E81+VLOOKUP($B:$B,人员表!$B:$G,MATCH("医疗组",人员表!$B$3:$G$3,0),0))*中层绩效!$E81,0),0),0)</f>
        <v>0</v>
      </c>
      <c r="T81" s="50">
        <f>IFERROR(ROUND(IF($D81="护士长",VLOOKUP($B:$B,科室绩效工资核算1!$B:T,MATCH("护理风险积分", 科室绩效工资核算1!$B$3:$AN$3,0),0)/(中层绩效!$E81+VLOOKUP($B:$B,人员表!$B:$G,MATCH("护理组",人员表!$B$3:$G$3,0),0))*中层绩效!$E81,0),0),0)</f>
        <v>0</v>
      </c>
      <c r="U81" s="43">
        <f>SUMIF(D$4:D$58,"主任",G$4:G$58)/COUNTIF(D$4:D$58,D$4)*F81</f>
        <v>482.39821428571435</v>
      </c>
      <c r="V81" s="43">
        <f t="shared" si="1"/>
        <v>7235.9732142857147</v>
      </c>
      <c r="W81" s="43">
        <f>V81*科室绩效工资核算1!AQ$10</f>
        <v>7783.7363866071437</v>
      </c>
    </row>
    <row r="82" spans="2:23" x14ac:dyDescent="0.25">
      <c r="B82" s="51" t="str">
        <f>中层系数!B83</f>
        <v>院感科</v>
      </c>
      <c r="C82" s="5" t="str">
        <f>中层系数!C83</f>
        <v>测试80</v>
      </c>
      <c r="D82" s="5" t="str">
        <f>VLOOKUP(C:C,中层系数!C:I,7,0)</f>
        <v>主任</v>
      </c>
      <c r="E82" s="5">
        <f>VLOOKUP(C:C,中层系数!C:I,6,0)</f>
        <v>1.7</v>
      </c>
      <c r="F82" s="5">
        <f>VLOOKUP(C:C,中层系数!C:I,5,0)</f>
        <v>0</v>
      </c>
      <c r="G82" s="43">
        <f>E82*科室绩效工资核算1!AQ$7</f>
        <v>2617.4560000000001</v>
      </c>
      <c r="H82" s="50">
        <f>IFERROR(ROUND(IF(D82="主任",VLOOKUP($B:$B,科室绩效工资核算1!$B:H,MATCH("首诊风险积分", 科室绩效工资核算1!$B$3:$AN$3,0),0)/(中层绩效!$E82+VLOOKUP($B:$B,人员表!$B:$G,MATCH("医疗组",人员表!$B$3:$G$3,0),0))*中层绩效!$E82,0),0),0)</f>
        <v>0</v>
      </c>
      <c r="I82" s="50">
        <f>IFERROR(ROUND(IF($D82="主任",VLOOKUP($B:$B,科室绩效工资核算1!$B:I,MATCH("病历质量积分", 科室绩效工资核算1!$B$3:$AN$3,0),0)/(中层绩效!$E82+VLOOKUP($B:$B,人员表!$B:$G,MATCH("医疗组",人员表!$B$3:$G$3,0),0))*中层绩效!$E82,0),0),0)</f>
        <v>0</v>
      </c>
      <c r="J82" s="50">
        <f>IFERROR(ROUND(IF($D82="主任",VLOOKUP($B:$B,科室绩效工资核算1!$B:J,MATCH("门诊人次积分", 科室绩效工资核算1!$B$3:$AN$3,0),0)/(中层绩效!$E82+VLOOKUP($B:$B,人员表!$B:$G,MATCH("医疗组",人员表!$B$3:$G$3,0),0))*中层绩效!$E82,0),0),0)</f>
        <v>0</v>
      </c>
      <c r="K82" s="50">
        <f>IFERROR(ROUND(IF($D82="主任",VLOOKUP($B:$B,科室绩效工资核算1!$B:K,MATCH("临床路径积分", 科室绩效工资核算1!$B$3:$AN$3,0),0)/(中层绩效!$E82+VLOOKUP($B:$B,人员表!$B:$G,MATCH("医疗组",人员表!$B$3:$G$3,0),0))*中层绩效!$E82,0),0),0)</f>
        <v>0</v>
      </c>
      <c r="L82" s="50">
        <f>IFERROR(ROUND(IF($D82="主任",VLOOKUP($B:$B,科室绩效工资核算1!$B:L,MATCH("麻醉风险积分", 科室绩效工资核算1!$B$3:$AN$3,0),0)/(中层绩效!$E82+VLOOKUP($B:$B,人员表!$B:$G,MATCH("医疗组",人员表!$B$3:$G$3,0),0))*中层绩效!$E82,0),0),0)</f>
        <v>0</v>
      </c>
      <c r="M82" s="50">
        <f>IFERROR(ROUND(IF($D82="主任",VLOOKUP($B:$B,科室绩效工资核算1!$B:M,MATCH("分娩风险积分", 科室绩效工资核算1!$B$3:$AN$3,0),0)/(中层绩效!$E82+VLOOKUP($B:$B,人员表!$B:$G,MATCH("医疗组",人员表!$B$3:$G$3,0),0))*中层绩效!$E82,0),0),0)</f>
        <v>0</v>
      </c>
      <c r="N82" s="50">
        <f>IFERROR(ROUND(IF($D82="主任",VLOOKUP($B:$B,科室绩效工资核算1!$B:N,MATCH("肿瘤支气管镜", 科室绩效工资核算1!$B$3:$AN$3,0),0)/(中层绩效!$E82+VLOOKUP($B:$B,人员表!$B:$G,MATCH("医疗组",人员表!$B$3:$G$3,0),0))*中层绩效!$E82,0),0),0)</f>
        <v>0</v>
      </c>
      <c r="O82" s="50">
        <f>IFERROR(ROUND(IF($D82="主任",VLOOKUP($B:$B,科室绩效工资核算1!$B:O,MATCH("会诊风险积分", 科室绩效工资核算1!$B$3:$AN$3,0),0)/(中层绩效!$E82+VLOOKUP($B:$B,人员表!$B:$G,MATCH("医疗组",人员表!$B$3:$G$3,0),0))*中层绩效!$E82,0),0),0)</f>
        <v>0</v>
      </c>
      <c r="P82" s="50">
        <f>IFERROR(ROUND(IF($D82="主任",VLOOKUP($B:$B,科室绩效工资核算1!$B:P,MATCH("换药风险积分", 科室绩效工资核算1!$B$3:$AN$3,0),0)/(中层绩效!$E82+VLOOKUP($B:$B,人员表!$B:$G,MATCH("医疗组",人员表!$B$3:$G$3,0),0))*中层绩效!$E82,0),0),0)</f>
        <v>0</v>
      </c>
      <c r="Q82" s="50">
        <f>IFERROR(ROUND(IF($D82="主任",VLOOKUP($B:$B,科室绩效工资核算1!$B:Q,MATCH("功能康复积分", 科室绩效工资核算1!$B$3:$AN$3,0),0)/(中层绩效!$E82+VLOOKUP($B:$B,人员表!$B:$G,MATCH("医疗组",人员表!$B$3:$G$3,0),0))*中层绩效!$E82,0),0),0)</f>
        <v>0</v>
      </c>
      <c r="R82" s="50">
        <f>IFERROR(ROUND(IF($D82="主任",VLOOKUP($B:$B,科室绩效工资核算1!$B:R,MATCH("中医外治积分", 科室绩效工资核算1!$B$3:$AN$3,0),0)/(中层绩效!$E82+VLOOKUP($B:$B,人员表!$B:$G,MATCH("医疗组",人员表!$B$3:$G$3,0),0))*中层绩效!$E82,0),0),0)</f>
        <v>0</v>
      </c>
      <c r="S82" s="50">
        <f>IFERROR(ROUND(IF($D82="主任",VLOOKUP($B:$B,科室绩效工资核算1!$B:S,MATCH("中药积分", 科室绩效工资核算1!$B$3:$AN$3,0),0)/(中层绩效!$E82+VLOOKUP($B:$B,人员表!$B:$G,MATCH("医疗组",人员表!$B$3:$G$3,0),0))*中层绩效!$E82,0),0),0)</f>
        <v>0</v>
      </c>
      <c r="T82" s="50">
        <f>IFERROR(ROUND(IF($D82="护士长",VLOOKUP($B:$B,科室绩效工资核算1!$B:T,MATCH("护理风险积分", 科室绩效工资核算1!$B$3:$AN$3,0),0)/(中层绩效!$E82+VLOOKUP($B:$B,人员表!$B:$G,MATCH("护理组",人员表!$B$3:$G$3,0),0))*中层绩效!$E82,0),0),0)</f>
        <v>0</v>
      </c>
      <c r="U82" s="43">
        <f>F82*科室绩效工资核算1!AQ$7</f>
        <v>0</v>
      </c>
      <c r="V82" s="43">
        <f t="shared" si="1"/>
        <v>2617.4560000000001</v>
      </c>
      <c r="W82" s="43">
        <f>V82*科室绩效工资核算1!AQ$10</f>
        <v>2815.5974192000003</v>
      </c>
    </row>
    <row r="83" spans="2:23" x14ac:dyDescent="0.25">
      <c r="B83" s="51" t="str">
        <f>中层系数!B84</f>
        <v>院感科</v>
      </c>
      <c r="C83" s="5" t="str">
        <f>中层系数!C84</f>
        <v>测试81</v>
      </c>
      <c r="D83" s="5" t="str">
        <f>VLOOKUP(C:C,中层系数!C:I,7,0)</f>
        <v>主任</v>
      </c>
      <c r="E83" s="5">
        <f>VLOOKUP(C:C,中层系数!C:I,6,0)</f>
        <v>1.7</v>
      </c>
      <c r="F83" s="5">
        <f>VLOOKUP(C:C,中层系数!C:I,5,0)</f>
        <v>0</v>
      </c>
      <c r="G83" s="43">
        <f>E83*科室绩效工资核算1!AQ$7</f>
        <v>2617.4560000000001</v>
      </c>
      <c r="H83" s="50">
        <f>IFERROR(ROUND(IF(D83="主任",VLOOKUP($B:$B,科室绩效工资核算1!$B:H,MATCH("首诊风险积分", 科室绩效工资核算1!$B$3:$AN$3,0),0)/(中层绩效!$E83+VLOOKUP($B:$B,人员表!$B:$G,MATCH("医疗组",人员表!$B$3:$G$3,0),0))*中层绩效!$E83,0),0),0)</f>
        <v>0</v>
      </c>
      <c r="I83" s="50">
        <f>IFERROR(ROUND(IF($D83="主任",VLOOKUP($B:$B,科室绩效工资核算1!$B:I,MATCH("病历质量积分", 科室绩效工资核算1!$B$3:$AN$3,0),0)/(中层绩效!$E83+VLOOKUP($B:$B,人员表!$B:$G,MATCH("医疗组",人员表!$B$3:$G$3,0),0))*中层绩效!$E83,0),0),0)</f>
        <v>0</v>
      </c>
      <c r="J83" s="50">
        <f>IFERROR(ROUND(IF($D83="主任",VLOOKUP($B:$B,科室绩效工资核算1!$B:J,MATCH("门诊人次积分", 科室绩效工资核算1!$B$3:$AN$3,0),0)/(中层绩效!$E83+VLOOKUP($B:$B,人员表!$B:$G,MATCH("医疗组",人员表!$B$3:$G$3,0),0))*中层绩效!$E83,0),0),0)</f>
        <v>0</v>
      </c>
      <c r="K83" s="50">
        <f>IFERROR(ROUND(IF($D83="主任",VLOOKUP($B:$B,科室绩效工资核算1!$B:K,MATCH("临床路径积分", 科室绩效工资核算1!$B$3:$AN$3,0),0)/(中层绩效!$E83+VLOOKUP($B:$B,人员表!$B:$G,MATCH("医疗组",人员表!$B$3:$G$3,0),0))*中层绩效!$E83,0),0),0)</f>
        <v>0</v>
      </c>
      <c r="L83" s="50">
        <f>IFERROR(ROUND(IF($D83="主任",VLOOKUP($B:$B,科室绩效工资核算1!$B:L,MATCH("麻醉风险积分", 科室绩效工资核算1!$B$3:$AN$3,0),0)/(中层绩效!$E83+VLOOKUP($B:$B,人员表!$B:$G,MATCH("医疗组",人员表!$B$3:$G$3,0),0))*中层绩效!$E83,0),0),0)</f>
        <v>0</v>
      </c>
      <c r="M83" s="50">
        <f>IFERROR(ROUND(IF($D83="主任",VLOOKUP($B:$B,科室绩效工资核算1!$B:M,MATCH("分娩风险积分", 科室绩效工资核算1!$B$3:$AN$3,0),0)/(中层绩效!$E83+VLOOKUP($B:$B,人员表!$B:$G,MATCH("医疗组",人员表!$B$3:$G$3,0),0))*中层绩效!$E83,0),0),0)</f>
        <v>0</v>
      </c>
      <c r="N83" s="50">
        <f>IFERROR(ROUND(IF($D83="主任",VLOOKUP($B:$B,科室绩效工资核算1!$B:N,MATCH("肿瘤支气管镜", 科室绩效工资核算1!$B$3:$AN$3,0),0)/(中层绩效!$E83+VLOOKUP($B:$B,人员表!$B:$G,MATCH("医疗组",人员表!$B$3:$G$3,0),0))*中层绩效!$E83,0),0),0)</f>
        <v>0</v>
      </c>
      <c r="O83" s="50">
        <f>IFERROR(ROUND(IF($D83="主任",VLOOKUP($B:$B,科室绩效工资核算1!$B:O,MATCH("会诊风险积分", 科室绩效工资核算1!$B$3:$AN$3,0),0)/(中层绩效!$E83+VLOOKUP($B:$B,人员表!$B:$G,MATCH("医疗组",人员表!$B$3:$G$3,0),0))*中层绩效!$E83,0),0),0)</f>
        <v>0</v>
      </c>
      <c r="P83" s="50">
        <f>IFERROR(ROUND(IF($D83="主任",VLOOKUP($B:$B,科室绩效工资核算1!$B:P,MATCH("换药风险积分", 科室绩效工资核算1!$B$3:$AN$3,0),0)/(中层绩效!$E83+VLOOKUP($B:$B,人员表!$B:$G,MATCH("医疗组",人员表!$B$3:$G$3,0),0))*中层绩效!$E83,0),0),0)</f>
        <v>0</v>
      </c>
      <c r="Q83" s="50">
        <f>IFERROR(ROUND(IF($D83="主任",VLOOKUP($B:$B,科室绩效工资核算1!$B:Q,MATCH("功能康复积分", 科室绩效工资核算1!$B$3:$AN$3,0),0)/(中层绩效!$E83+VLOOKUP($B:$B,人员表!$B:$G,MATCH("医疗组",人员表!$B$3:$G$3,0),0))*中层绩效!$E83,0),0),0)</f>
        <v>0</v>
      </c>
      <c r="R83" s="50">
        <f>IFERROR(ROUND(IF($D83="主任",VLOOKUP($B:$B,科室绩效工资核算1!$B:R,MATCH("中医外治积分", 科室绩效工资核算1!$B$3:$AN$3,0),0)/(中层绩效!$E83+VLOOKUP($B:$B,人员表!$B:$G,MATCH("医疗组",人员表!$B$3:$G$3,0),0))*中层绩效!$E83,0),0),0)</f>
        <v>0</v>
      </c>
      <c r="S83" s="50">
        <f>IFERROR(ROUND(IF($D83="主任",VLOOKUP($B:$B,科室绩效工资核算1!$B:S,MATCH("中药积分", 科室绩效工资核算1!$B$3:$AN$3,0),0)/(中层绩效!$E83+VLOOKUP($B:$B,人员表!$B:$G,MATCH("医疗组",人员表!$B$3:$G$3,0),0))*中层绩效!$E83,0),0),0)</f>
        <v>0</v>
      </c>
      <c r="T83" s="50">
        <f>IFERROR(ROUND(IF($D83="护士长",VLOOKUP($B:$B,科室绩效工资核算1!$B:T,MATCH("护理风险积分", 科室绩效工资核算1!$B$3:$AN$3,0),0)/(中层绩效!$E83+VLOOKUP($B:$B,人员表!$B:$G,MATCH("护理组",人员表!$B$3:$G$3,0),0))*中层绩效!$E83,0),0),0)</f>
        <v>0</v>
      </c>
      <c r="U83" s="43">
        <f>F83*科室绩效工资核算1!AQ$7</f>
        <v>0</v>
      </c>
      <c r="V83" s="43">
        <f t="shared" si="1"/>
        <v>2617.4560000000001</v>
      </c>
      <c r="W83" s="43">
        <f>V83*科室绩效工资核算1!AQ$10</f>
        <v>2815.5974192000003</v>
      </c>
    </row>
    <row r="84" spans="2:23" x14ac:dyDescent="0.25">
      <c r="B84" s="51" t="str">
        <f>中层系数!B85</f>
        <v>人事科</v>
      </c>
      <c r="C84" s="5" t="str">
        <f>中层系数!C85</f>
        <v>测试82</v>
      </c>
      <c r="D84" s="5" t="str">
        <f>VLOOKUP(C:C,中层系数!C:I,7,0)</f>
        <v>副主任</v>
      </c>
      <c r="E84" s="5">
        <f>VLOOKUP(C:C,中层系数!C:I,6,0)</f>
        <v>1.04</v>
      </c>
      <c r="F84" s="5">
        <f>VLOOKUP(C:C,中层系数!C:I,5,0)</f>
        <v>0</v>
      </c>
      <c r="G84" s="43">
        <f>E84*科室绩效工资核算1!AQ$7</f>
        <v>1601.2672000000002</v>
      </c>
      <c r="H84" s="50">
        <f>IFERROR(ROUND(IF(D84="主任",VLOOKUP($B:$B,科室绩效工资核算1!$B:H,MATCH("首诊风险积分", 科室绩效工资核算1!$B$3:$AN$3,0),0)/(中层绩效!$E84+VLOOKUP($B:$B,人员表!$B:$G,MATCH("医疗组",人员表!$B$3:$G$3,0),0))*中层绩效!$E84,0),0),0)</f>
        <v>0</v>
      </c>
      <c r="I84" s="50">
        <f>IFERROR(ROUND(IF($D84="主任",VLOOKUP($B:$B,科室绩效工资核算1!$B:I,MATCH("病历质量积分", 科室绩效工资核算1!$B$3:$AN$3,0),0)/(中层绩效!$E84+VLOOKUP($B:$B,人员表!$B:$G,MATCH("医疗组",人员表!$B$3:$G$3,0),0))*中层绩效!$E84,0),0),0)</f>
        <v>0</v>
      </c>
      <c r="J84" s="50">
        <f>IFERROR(ROUND(IF($D84="主任",VLOOKUP($B:$B,科室绩效工资核算1!$B:J,MATCH("门诊人次积分", 科室绩效工资核算1!$B$3:$AN$3,0),0)/(中层绩效!$E84+VLOOKUP($B:$B,人员表!$B:$G,MATCH("医疗组",人员表!$B$3:$G$3,0),0))*中层绩效!$E84,0),0),0)</f>
        <v>0</v>
      </c>
      <c r="K84" s="50">
        <f>IFERROR(ROUND(IF($D84="主任",VLOOKUP($B:$B,科室绩效工资核算1!$B:K,MATCH("临床路径积分", 科室绩效工资核算1!$B$3:$AN$3,0),0)/(中层绩效!$E84+VLOOKUP($B:$B,人员表!$B:$G,MATCH("医疗组",人员表!$B$3:$G$3,0),0))*中层绩效!$E84,0),0),0)</f>
        <v>0</v>
      </c>
      <c r="L84" s="50">
        <f>IFERROR(ROUND(IF($D84="主任",VLOOKUP($B:$B,科室绩效工资核算1!$B:L,MATCH("麻醉风险积分", 科室绩效工资核算1!$B$3:$AN$3,0),0)/(中层绩效!$E84+VLOOKUP($B:$B,人员表!$B:$G,MATCH("医疗组",人员表!$B$3:$G$3,0),0))*中层绩效!$E84,0),0),0)</f>
        <v>0</v>
      </c>
      <c r="M84" s="50">
        <f>IFERROR(ROUND(IF($D84="主任",VLOOKUP($B:$B,科室绩效工资核算1!$B:M,MATCH("分娩风险积分", 科室绩效工资核算1!$B$3:$AN$3,0),0)/(中层绩效!$E84+VLOOKUP($B:$B,人员表!$B:$G,MATCH("医疗组",人员表!$B$3:$G$3,0),0))*中层绩效!$E84,0),0),0)</f>
        <v>0</v>
      </c>
      <c r="N84" s="50">
        <f>IFERROR(ROUND(IF($D84="主任",VLOOKUP($B:$B,科室绩效工资核算1!$B:N,MATCH("肿瘤支气管镜", 科室绩效工资核算1!$B$3:$AN$3,0),0)/(中层绩效!$E84+VLOOKUP($B:$B,人员表!$B:$G,MATCH("医疗组",人员表!$B$3:$G$3,0),0))*中层绩效!$E84,0),0),0)</f>
        <v>0</v>
      </c>
      <c r="O84" s="50">
        <f>IFERROR(ROUND(IF($D84="主任",VLOOKUP($B:$B,科室绩效工资核算1!$B:O,MATCH("会诊风险积分", 科室绩效工资核算1!$B$3:$AN$3,0),0)/(中层绩效!$E84+VLOOKUP($B:$B,人员表!$B:$G,MATCH("医疗组",人员表!$B$3:$G$3,0),0))*中层绩效!$E84,0),0),0)</f>
        <v>0</v>
      </c>
      <c r="P84" s="50">
        <f>IFERROR(ROUND(IF($D84="主任",VLOOKUP($B:$B,科室绩效工资核算1!$B:P,MATCH("换药风险积分", 科室绩效工资核算1!$B$3:$AN$3,0),0)/(中层绩效!$E84+VLOOKUP($B:$B,人员表!$B:$G,MATCH("医疗组",人员表!$B$3:$G$3,0),0))*中层绩效!$E84,0),0),0)</f>
        <v>0</v>
      </c>
      <c r="Q84" s="50">
        <f>IFERROR(ROUND(IF($D84="主任",VLOOKUP($B:$B,科室绩效工资核算1!$B:Q,MATCH("功能康复积分", 科室绩效工资核算1!$B$3:$AN$3,0),0)/(中层绩效!$E84+VLOOKUP($B:$B,人员表!$B:$G,MATCH("医疗组",人员表!$B$3:$G$3,0),0))*中层绩效!$E84,0),0),0)</f>
        <v>0</v>
      </c>
      <c r="R84" s="50">
        <f>IFERROR(ROUND(IF($D84="主任",VLOOKUP($B:$B,科室绩效工资核算1!$B:R,MATCH("中医外治积分", 科室绩效工资核算1!$B$3:$AN$3,0),0)/(中层绩效!$E84+VLOOKUP($B:$B,人员表!$B:$G,MATCH("医疗组",人员表!$B$3:$G$3,0),0))*中层绩效!$E84,0),0),0)</f>
        <v>0</v>
      </c>
      <c r="S84" s="50">
        <f>IFERROR(ROUND(IF($D84="主任",VLOOKUP($B:$B,科室绩效工资核算1!$B:S,MATCH("中药积分", 科室绩效工资核算1!$B$3:$AN$3,0),0)/(中层绩效!$E84+VLOOKUP($B:$B,人员表!$B:$G,MATCH("医疗组",人员表!$B$3:$G$3,0),0))*中层绩效!$E84,0),0),0)</f>
        <v>0</v>
      </c>
      <c r="T84" s="50">
        <f>IFERROR(ROUND(IF($D84="护士长",VLOOKUP($B:$B,科室绩效工资核算1!$B:T,MATCH("护理风险积分", 科室绩效工资核算1!$B$3:$AN$3,0),0)/(中层绩效!$E84+VLOOKUP($B:$B,人员表!$B:$G,MATCH("护理组",人员表!$B$3:$G$3,0),0))*中层绩效!$E84,0),0),0)</f>
        <v>0</v>
      </c>
      <c r="U84" s="43">
        <f>F84*科室绩效工资核算1!AQ$7</f>
        <v>0</v>
      </c>
      <c r="V84" s="43">
        <f t="shared" si="1"/>
        <v>1601.2672000000002</v>
      </c>
      <c r="W84" s="43">
        <f>V84*科室绩效工资核算1!AQ$10</f>
        <v>1722.4831270400005</v>
      </c>
    </row>
    <row r="85" spans="2:23" x14ac:dyDescent="0.25">
      <c r="B85" s="51" t="str">
        <f>中层系数!B86</f>
        <v>人事科</v>
      </c>
      <c r="C85" s="5" t="str">
        <f>中层系数!C86</f>
        <v>测试83</v>
      </c>
      <c r="D85" s="5" t="str">
        <f>VLOOKUP(C:C,中层系数!C:I,7,0)</f>
        <v>副主任</v>
      </c>
      <c r="E85" s="5">
        <f>VLOOKUP(C:C,中层系数!C:I,6,0)</f>
        <v>1.04</v>
      </c>
      <c r="F85" s="5">
        <f>VLOOKUP(C:C,中层系数!C:I,5,0)</f>
        <v>0</v>
      </c>
      <c r="G85" s="43">
        <f>E85*科室绩效工资核算1!AQ$7</f>
        <v>1601.2672000000002</v>
      </c>
      <c r="H85" s="50">
        <f>IFERROR(ROUND(IF(D85="主任",VLOOKUP($B:$B,科室绩效工资核算1!$B:H,MATCH("首诊风险积分", 科室绩效工资核算1!$B$3:$AN$3,0),0)/(中层绩效!$E85+VLOOKUP($B:$B,人员表!$B:$G,MATCH("医疗组",人员表!$B$3:$G$3,0),0))*中层绩效!$E85,0),0),0)</f>
        <v>0</v>
      </c>
      <c r="I85" s="50">
        <f>IFERROR(ROUND(IF($D85="主任",VLOOKUP($B:$B,科室绩效工资核算1!$B:I,MATCH("病历质量积分", 科室绩效工资核算1!$B$3:$AN$3,0),0)/(中层绩效!$E85+VLOOKUP($B:$B,人员表!$B:$G,MATCH("医疗组",人员表!$B$3:$G$3,0),0))*中层绩效!$E85,0),0),0)</f>
        <v>0</v>
      </c>
      <c r="J85" s="50">
        <f>IFERROR(ROUND(IF($D85="主任",VLOOKUP($B:$B,科室绩效工资核算1!$B:J,MATCH("门诊人次积分", 科室绩效工资核算1!$B$3:$AN$3,0),0)/(中层绩效!$E85+VLOOKUP($B:$B,人员表!$B:$G,MATCH("医疗组",人员表!$B$3:$G$3,0),0))*中层绩效!$E85,0),0),0)</f>
        <v>0</v>
      </c>
      <c r="K85" s="50">
        <f>IFERROR(ROUND(IF($D85="主任",VLOOKUP($B:$B,科室绩效工资核算1!$B:K,MATCH("临床路径积分", 科室绩效工资核算1!$B$3:$AN$3,0),0)/(中层绩效!$E85+VLOOKUP($B:$B,人员表!$B:$G,MATCH("医疗组",人员表!$B$3:$G$3,0),0))*中层绩效!$E85,0),0),0)</f>
        <v>0</v>
      </c>
      <c r="L85" s="50">
        <f>IFERROR(ROUND(IF($D85="主任",VLOOKUP($B:$B,科室绩效工资核算1!$B:L,MATCH("麻醉风险积分", 科室绩效工资核算1!$B$3:$AN$3,0),0)/(中层绩效!$E85+VLOOKUP($B:$B,人员表!$B:$G,MATCH("医疗组",人员表!$B$3:$G$3,0),0))*中层绩效!$E85,0),0),0)</f>
        <v>0</v>
      </c>
      <c r="M85" s="50">
        <f>IFERROR(ROUND(IF($D85="主任",VLOOKUP($B:$B,科室绩效工资核算1!$B:M,MATCH("分娩风险积分", 科室绩效工资核算1!$B$3:$AN$3,0),0)/(中层绩效!$E85+VLOOKUP($B:$B,人员表!$B:$G,MATCH("医疗组",人员表!$B$3:$G$3,0),0))*中层绩效!$E85,0),0),0)</f>
        <v>0</v>
      </c>
      <c r="N85" s="50">
        <f>IFERROR(ROUND(IF($D85="主任",VLOOKUP($B:$B,科室绩效工资核算1!$B:N,MATCH("肿瘤支气管镜", 科室绩效工资核算1!$B$3:$AN$3,0),0)/(中层绩效!$E85+VLOOKUP($B:$B,人员表!$B:$G,MATCH("医疗组",人员表!$B$3:$G$3,0),0))*中层绩效!$E85,0),0),0)</f>
        <v>0</v>
      </c>
      <c r="O85" s="50">
        <f>IFERROR(ROUND(IF($D85="主任",VLOOKUP($B:$B,科室绩效工资核算1!$B:O,MATCH("会诊风险积分", 科室绩效工资核算1!$B$3:$AN$3,0),0)/(中层绩效!$E85+VLOOKUP($B:$B,人员表!$B:$G,MATCH("医疗组",人员表!$B$3:$G$3,0),0))*中层绩效!$E85,0),0),0)</f>
        <v>0</v>
      </c>
      <c r="P85" s="50">
        <f>IFERROR(ROUND(IF($D85="主任",VLOOKUP($B:$B,科室绩效工资核算1!$B:P,MATCH("换药风险积分", 科室绩效工资核算1!$B$3:$AN$3,0),0)/(中层绩效!$E85+VLOOKUP($B:$B,人员表!$B:$G,MATCH("医疗组",人员表!$B$3:$G$3,0),0))*中层绩效!$E85,0),0),0)</f>
        <v>0</v>
      </c>
      <c r="Q85" s="50">
        <f>IFERROR(ROUND(IF($D85="主任",VLOOKUP($B:$B,科室绩效工资核算1!$B:Q,MATCH("功能康复积分", 科室绩效工资核算1!$B$3:$AN$3,0),0)/(中层绩效!$E85+VLOOKUP($B:$B,人员表!$B:$G,MATCH("医疗组",人员表!$B$3:$G$3,0),0))*中层绩效!$E85,0),0),0)</f>
        <v>0</v>
      </c>
      <c r="R85" s="50">
        <f>IFERROR(ROUND(IF($D85="主任",VLOOKUP($B:$B,科室绩效工资核算1!$B:R,MATCH("中医外治积分", 科室绩效工资核算1!$B$3:$AN$3,0),0)/(中层绩效!$E85+VLOOKUP($B:$B,人员表!$B:$G,MATCH("医疗组",人员表!$B$3:$G$3,0),0))*中层绩效!$E85,0),0),0)</f>
        <v>0</v>
      </c>
      <c r="S85" s="50">
        <f>IFERROR(ROUND(IF($D85="主任",VLOOKUP($B:$B,科室绩效工资核算1!$B:S,MATCH("中药积分", 科室绩效工资核算1!$B$3:$AN$3,0),0)/(中层绩效!$E85+VLOOKUP($B:$B,人员表!$B:$G,MATCH("医疗组",人员表!$B$3:$G$3,0),0))*中层绩效!$E85,0),0),0)</f>
        <v>0</v>
      </c>
      <c r="T85" s="50">
        <f>IFERROR(ROUND(IF($D85="护士长",VLOOKUP($B:$B,科室绩效工资核算1!$B:T,MATCH("护理风险积分", 科室绩效工资核算1!$B$3:$AN$3,0),0)/(中层绩效!$E85+VLOOKUP($B:$B,人员表!$B:$G,MATCH("护理组",人员表!$B$3:$G$3,0),0))*中层绩效!$E85,0),0),0)</f>
        <v>0</v>
      </c>
      <c r="U85" s="43">
        <f>F85*科室绩效工资核算1!AQ$7</f>
        <v>0</v>
      </c>
      <c r="V85" s="43">
        <f t="shared" si="1"/>
        <v>1601.2672000000002</v>
      </c>
      <c r="W85" s="43">
        <f>V85*科室绩效工资核算1!AQ$10</f>
        <v>1722.4831270400005</v>
      </c>
    </row>
    <row r="86" spans="2:23" x14ac:dyDescent="0.25">
      <c r="B86" s="51" t="str">
        <f>中层系数!B87</f>
        <v>科教科</v>
      </c>
      <c r="C86" s="5" t="str">
        <f>中层系数!C87</f>
        <v>测试84</v>
      </c>
      <c r="D86" s="5" t="str">
        <f>VLOOKUP(C:C,中层系数!C:I,7,0)</f>
        <v>主任</v>
      </c>
      <c r="E86" s="5">
        <f>VLOOKUP(C:C,中层系数!C:I,6,0)</f>
        <v>1.28</v>
      </c>
      <c r="F86" s="5">
        <f>VLOOKUP(C:C,中层系数!C:I,5,0)</f>
        <v>0</v>
      </c>
      <c r="G86" s="43">
        <f>E86*科室绩效工资核算1!AQ$7</f>
        <v>1970.7904000000001</v>
      </c>
      <c r="H86" s="50">
        <f>IFERROR(ROUND(IF(D86="主任",VLOOKUP($B:$B,科室绩效工资核算1!$B:H,MATCH("首诊风险积分", 科室绩效工资核算1!$B$3:$AN$3,0),0)/(中层绩效!$E86+VLOOKUP($B:$B,人员表!$B:$G,MATCH("医疗组",人员表!$B$3:$G$3,0),0))*中层绩效!$E86,0),0),0)</f>
        <v>0</v>
      </c>
      <c r="I86" s="50">
        <f>IFERROR(ROUND(IF($D86="主任",VLOOKUP($B:$B,科室绩效工资核算1!$B:I,MATCH("病历质量积分", 科室绩效工资核算1!$B$3:$AN$3,0),0)/(中层绩效!$E86+VLOOKUP($B:$B,人员表!$B:$G,MATCH("医疗组",人员表!$B$3:$G$3,0),0))*中层绩效!$E86,0),0),0)</f>
        <v>0</v>
      </c>
      <c r="J86" s="50">
        <f>IFERROR(ROUND(IF($D86="主任",VLOOKUP($B:$B,科室绩效工资核算1!$B:J,MATCH("门诊人次积分", 科室绩效工资核算1!$B$3:$AN$3,0),0)/(中层绩效!$E86+VLOOKUP($B:$B,人员表!$B:$G,MATCH("医疗组",人员表!$B$3:$G$3,0),0))*中层绩效!$E86,0),0),0)</f>
        <v>0</v>
      </c>
      <c r="K86" s="50">
        <f>IFERROR(ROUND(IF($D86="主任",VLOOKUP($B:$B,科室绩效工资核算1!$B:K,MATCH("临床路径积分", 科室绩效工资核算1!$B$3:$AN$3,0),0)/(中层绩效!$E86+VLOOKUP($B:$B,人员表!$B:$G,MATCH("医疗组",人员表!$B$3:$G$3,0),0))*中层绩效!$E86,0),0),0)</f>
        <v>0</v>
      </c>
      <c r="L86" s="50">
        <f>IFERROR(ROUND(IF($D86="主任",VLOOKUP($B:$B,科室绩效工资核算1!$B:L,MATCH("麻醉风险积分", 科室绩效工资核算1!$B$3:$AN$3,0),0)/(中层绩效!$E86+VLOOKUP($B:$B,人员表!$B:$G,MATCH("医疗组",人员表!$B$3:$G$3,0),0))*中层绩效!$E86,0),0),0)</f>
        <v>0</v>
      </c>
      <c r="M86" s="50">
        <f>IFERROR(ROUND(IF($D86="主任",VLOOKUP($B:$B,科室绩效工资核算1!$B:M,MATCH("分娩风险积分", 科室绩效工资核算1!$B$3:$AN$3,0),0)/(中层绩效!$E86+VLOOKUP($B:$B,人员表!$B:$G,MATCH("医疗组",人员表!$B$3:$G$3,0),0))*中层绩效!$E86,0),0),0)</f>
        <v>0</v>
      </c>
      <c r="N86" s="50">
        <f>IFERROR(ROUND(IF($D86="主任",VLOOKUP($B:$B,科室绩效工资核算1!$B:N,MATCH("肿瘤支气管镜", 科室绩效工资核算1!$B$3:$AN$3,0),0)/(中层绩效!$E86+VLOOKUP($B:$B,人员表!$B:$G,MATCH("医疗组",人员表!$B$3:$G$3,0),0))*中层绩效!$E86,0),0),0)</f>
        <v>0</v>
      </c>
      <c r="O86" s="50">
        <f>IFERROR(ROUND(IF($D86="主任",VLOOKUP($B:$B,科室绩效工资核算1!$B:O,MATCH("会诊风险积分", 科室绩效工资核算1!$B$3:$AN$3,0),0)/(中层绩效!$E86+VLOOKUP($B:$B,人员表!$B:$G,MATCH("医疗组",人员表!$B$3:$G$3,0),0))*中层绩效!$E86,0),0),0)</f>
        <v>0</v>
      </c>
      <c r="P86" s="50">
        <f>IFERROR(ROUND(IF($D86="主任",VLOOKUP($B:$B,科室绩效工资核算1!$B:P,MATCH("换药风险积分", 科室绩效工资核算1!$B$3:$AN$3,0),0)/(中层绩效!$E86+VLOOKUP($B:$B,人员表!$B:$G,MATCH("医疗组",人员表!$B$3:$G$3,0),0))*中层绩效!$E86,0),0),0)</f>
        <v>0</v>
      </c>
      <c r="Q86" s="50">
        <f>IFERROR(ROUND(IF($D86="主任",VLOOKUP($B:$B,科室绩效工资核算1!$B:Q,MATCH("功能康复积分", 科室绩效工资核算1!$B$3:$AN$3,0),0)/(中层绩效!$E86+VLOOKUP($B:$B,人员表!$B:$G,MATCH("医疗组",人员表!$B$3:$G$3,0),0))*中层绩效!$E86,0),0),0)</f>
        <v>0</v>
      </c>
      <c r="R86" s="50">
        <f>IFERROR(ROUND(IF($D86="主任",VLOOKUP($B:$B,科室绩效工资核算1!$B:R,MATCH("中医外治积分", 科室绩效工资核算1!$B$3:$AN$3,0),0)/(中层绩效!$E86+VLOOKUP($B:$B,人员表!$B:$G,MATCH("医疗组",人员表!$B$3:$G$3,0),0))*中层绩效!$E86,0),0),0)</f>
        <v>0</v>
      </c>
      <c r="S86" s="50">
        <f>IFERROR(ROUND(IF($D86="主任",VLOOKUP($B:$B,科室绩效工资核算1!$B:S,MATCH("中药积分", 科室绩效工资核算1!$B$3:$AN$3,0),0)/(中层绩效!$E86+VLOOKUP($B:$B,人员表!$B:$G,MATCH("医疗组",人员表!$B$3:$G$3,0),0))*中层绩效!$E86,0),0),0)</f>
        <v>0</v>
      </c>
      <c r="T86" s="50">
        <f>IFERROR(ROUND(IF($D86="护士长",VLOOKUP($B:$B,科室绩效工资核算1!$B:T,MATCH("护理风险积分", 科室绩效工资核算1!$B$3:$AN$3,0),0)/(中层绩效!$E86+VLOOKUP($B:$B,人员表!$B:$G,MATCH("护理组",人员表!$B$3:$G$3,0),0))*中层绩效!$E86,0),0),0)</f>
        <v>0</v>
      </c>
      <c r="U86" s="43">
        <f>F86*科室绩效工资核算1!AQ$7</f>
        <v>0</v>
      </c>
      <c r="V86" s="43">
        <f t="shared" si="1"/>
        <v>1970.7904000000001</v>
      </c>
      <c r="W86" s="43">
        <f>V86*科室绩效工资核算1!AQ$10</f>
        <v>2119.9792332800002</v>
      </c>
    </row>
    <row r="87" spans="2:23" x14ac:dyDescent="0.25">
      <c r="B87" s="51" t="str">
        <f>中层系数!B88</f>
        <v>科教科</v>
      </c>
      <c r="C87" s="5" t="str">
        <f>中层系数!C88</f>
        <v>测试85</v>
      </c>
      <c r="D87" s="5" t="str">
        <f>VLOOKUP(C:C,中层系数!C:I,7,0)</f>
        <v>副主任</v>
      </c>
      <c r="E87" s="5">
        <f>VLOOKUP(C:C,中层系数!C:I,6,0)</f>
        <v>1.04</v>
      </c>
      <c r="F87" s="5">
        <f>VLOOKUP(C:C,中层系数!C:I,5,0)</f>
        <v>0</v>
      </c>
      <c r="G87" s="43">
        <f>E87*科室绩效工资核算1!AQ$7</f>
        <v>1601.2672000000002</v>
      </c>
      <c r="H87" s="50">
        <f>IFERROR(ROUND(IF(D87="主任",VLOOKUP($B:$B,科室绩效工资核算1!$B:H,MATCH("首诊风险积分", 科室绩效工资核算1!$B$3:$AN$3,0),0)/(中层绩效!$E87+VLOOKUP($B:$B,人员表!$B:$G,MATCH("医疗组",人员表!$B$3:$G$3,0),0))*中层绩效!$E87,0),0),0)</f>
        <v>0</v>
      </c>
      <c r="I87" s="50">
        <f>IFERROR(ROUND(IF($D87="主任",VLOOKUP($B:$B,科室绩效工资核算1!$B:I,MATCH("病历质量积分", 科室绩效工资核算1!$B$3:$AN$3,0),0)/(中层绩效!$E87+VLOOKUP($B:$B,人员表!$B:$G,MATCH("医疗组",人员表!$B$3:$G$3,0),0))*中层绩效!$E87,0),0),0)</f>
        <v>0</v>
      </c>
      <c r="J87" s="50">
        <f>IFERROR(ROUND(IF($D87="主任",VLOOKUP($B:$B,科室绩效工资核算1!$B:J,MATCH("门诊人次积分", 科室绩效工资核算1!$B$3:$AN$3,0),0)/(中层绩效!$E87+VLOOKUP($B:$B,人员表!$B:$G,MATCH("医疗组",人员表!$B$3:$G$3,0),0))*中层绩效!$E87,0),0),0)</f>
        <v>0</v>
      </c>
      <c r="K87" s="50">
        <f>IFERROR(ROUND(IF($D87="主任",VLOOKUP($B:$B,科室绩效工资核算1!$B:K,MATCH("临床路径积分", 科室绩效工资核算1!$B$3:$AN$3,0),0)/(中层绩效!$E87+VLOOKUP($B:$B,人员表!$B:$G,MATCH("医疗组",人员表!$B$3:$G$3,0),0))*中层绩效!$E87,0),0),0)</f>
        <v>0</v>
      </c>
      <c r="L87" s="50">
        <f>IFERROR(ROUND(IF($D87="主任",VLOOKUP($B:$B,科室绩效工资核算1!$B:L,MATCH("麻醉风险积分", 科室绩效工资核算1!$B$3:$AN$3,0),0)/(中层绩效!$E87+VLOOKUP($B:$B,人员表!$B:$G,MATCH("医疗组",人员表!$B$3:$G$3,0),0))*中层绩效!$E87,0),0),0)</f>
        <v>0</v>
      </c>
      <c r="M87" s="50">
        <f>IFERROR(ROUND(IF($D87="主任",VLOOKUP($B:$B,科室绩效工资核算1!$B:M,MATCH("分娩风险积分", 科室绩效工资核算1!$B$3:$AN$3,0),0)/(中层绩效!$E87+VLOOKUP($B:$B,人员表!$B:$G,MATCH("医疗组",人员表!$B$3:$G$3,0),0))*中层绩效!$E87,0),0),0)</f>
        <v>0</v>
      </c>
      <c r="N87" s="50">
        <f>IFERROR(ROUND(IF($D87="主任",VLOOKUP($B:$B,科室绩效工资核算1!$B:N,MATCH("肿瘤支气管镜", 科室绩效工资核算1!$B$3:$AN$3,0),0)/(中层绩效!$E87+VLOOKUP($B:$B,人员表!$B:$G,MATCH("医疗组",人员表!$B$3:$G$3,0),0))*中层绩效!$E87,0),0),0)</f>
        <v>0</v>
      </c>
      <c r="O87" s="50">
        <f>IFERROR(ROUND(IF($D87="主任",VLOOKUP($B:$B,科室绩效工资核算1!$B:O,MATCH("会诊风险积分", 科室绩效工资核算1!$B$3:$AN$3,0),0)/(中层绩效!$E87+VLOOKUP($B:$B,人员表!$B:$G,MATCH("医疗组",人员表!$B$3:$G$3,0),0))*中层绩效!$E87,0),0),0)</f>
        <v>0</v>
      </c>
      <c r="P87" s="50">
        <f>IFERROR(ROUND(IF($D87="主任",VLOOKUP($B:$B,科室绩效工资核算1!$B:P,MATCH("换药风险积分", 科室绩效工资核算1!$B$3:$AN$3,0),0)/(中层绩效!$E87+VLOOKUP($B:$B,人员表!$B:$G,MATCH("医疗组",人员表!$B$3:$G$3,0),0))*中层绩效!$E87,0),0),0)</f>
        <v>0</v>
      </c>
      <c r="Q87" s="50">
        <f>IFERROR(ROUND(IF($D87="主任",VLOOKUP($B:$B,科室绩效工资核算1!$B:Q,MATCH("功能康复积分", 科室绩效工资核算1!$B$3:$AN$3,0),0)/(中层绩效!$E87+VLOOKUP($B:$B,人员表!$B:$G,MATCH("医疗组",人员表!$B$3:$G$3,0),0))*中层绩效!$E87,0),0),0)</f>
        <v>0</v>
      </c>
      <c r="R87" s="50">
        <f>IFERROR(ROUND(IF($D87="主任",VLOOKUP($B:$B,科室绩效工资核算1!$B:R,MATCH("中医外治积分", 科室绩效工资核算1!$B$3:$AN$3,0),0)/(中层绩效!$E87+VLOOKUP($B:$B,人员表!$B:$G,MATCH("医疗组",人员表!$B$3:$G$3,0),0))*中层绩效!$E87,0),0),0)</f>
        <v>0</v>
      </c>
      <c r="S87" s="50">
        <f>IFERROR(ROUND(IF($D87="主任",VLOOKUP($B:$B,科室绩效工资核算1!$B:S,MATCH("中药积分", 科室绩效工资核算1!$B$3:$AN$3,0),0)/(中层绩效!$E87+VLOOKUP($B:$B,人员表!$B:$G,MATCH("医疗组",人员表!$B$3:$G$3,0),0))*中层绩效!$E87,0),0),0)</f>
        <v>0</v>
      </c>
      <c r="T87" s="50">
        <f>IFERROR(ROUND(IF($D87="护士长",VLOOKUP($B:$B,科室绩效工资核算1!$B:T,MATCH("护理风险积分", 科室绩效工资核算1!$B$3:$AN$3,0),0)/(中层绩效!$E87+VLOOKUP($B:$B,人员表!$B:$G,MATCH("护理组",人员表!$B$3:$G$3,0),0))*中层绩效!$E87,0),0),0)</f>
        <v>0</v>
      </c>
      <c r="U87" s="43">
        <f>F87*科室绩效工资核算1!AQ$7</f>
        <v>0</v>
      </c>
      <c r="V87" s="43">
        <f t="shared" si="1"/>
        <v>1601.2672000000002</v>
      </c>
      <c r="W87" s="43">
        <f>V87*科室绩效工资核算1!AQ$10</f>
        <v>1722.4831270400005</v>
      </c>
    </row>
    <row r="88" spans="2:23" x14ac:dyDescent="0.25">
      <c r="B88" s="51" t="str">
        <f>中层系数!B89</f>
        <v>纪检科</v>
      </c>
      <c r="C88" s="5" t="str">
        <f>中层系数!C89</f>
        <v>测试86</v>
      </c>
      <c r="D88" s="5" t="str">
        <f>VLOOKUP(C:C,中层系数!C:I,7,0)</f>
        <v>主任</v>
      </c>
      <c r="E88" s="5">
        <f>VLOOKUP(C:C,中层系数!C:I,6,0)</f>
        <v>1.28</v>
      </c>
      <c r="F88" s="5">
        <f>VLOOKUP(C:C,中层系数!C:I,5,0)</f>
        <v>0</v>
      </c>
      <c r="G88" s="43">
        <f>E88*科室绩效工资核算1!AQ$7</f>
        <v>1970.7904000000001</v>
      </c>
      <c r="H88" s="50">
        <f>IFERROR(ROUND(IF(D88="主任",VLOOKUP($B:$B,科室绩效工资核算1!$B:H,MATCH("首诊风险积分", 科室绩效工资核算1!$B$3:$AN$3,0),0)/(中层绩效!$E88+VLOOKUP($B:$B,人员表!$B:$G,MATCH("医疗组",人员表!$B$3:$G$3,0),0))*中层绩效!$E88,0),0),0)</f>
        <v>0</v>
      </c>
      <c r="I88" s="50">
        <f>IFERROR(ROUND(IF($D88="主任",VLOOKUP($B:$B,科室绩效工资核算1!$B:I,MATCH("病历质量积分", 科室绩效工资核算1!$B$3:$AN$3,0),0)/(中层绩效!$E88+VLOOKUP($B:$B,人员表!$B:$G,MATCH("医疗组",人员表!$B$3:$G$3,0),0))*中层绩效!$E88,0),0),0)</f>
        <v>0</v>
      </c>
      <c r="J88" s="50">
        <f>IFERROR(ROUND(IF($D88="主任",VLOOKUP($B:$B,科室绩效工资核算1!$B:J,MATCH("门诊人次积分", 科室绩效工资核算1!$B$3:$AN$3,0),0)/(中层绩效!$E88+VLOOKUP($B:$B,人员表!$B:$G,MATCH("医疗组",人员表!$B$3:$G$3,0),0))*中层绩效!$E88,0),0),0)</f>
        <v>0</v>
      </c>
      <c r="K88" s="50">
        <f>IFERROR(ROUND(IF($D88="主任",VLOOKUP($B:$B,科室绩效工资核算1!$B:K,MATCH("临床路径积分", 科室绩效工资核算1!$B$3:$AN$3,0),0)/(中层绩效!$E88+VLOOKUP($B:$B,人员表!$B:$G,MATCH("医疗组",人员表!$B$3:$G$3,0),0))*中层绩效!$E88,0),0),0)</f>
        <v>0</v>
      </c>
      <c r="L88" s="50">
        <f>IFERROR(ROUND(IF($D88="主任",VLOOKUP($B:$B,科室绩效工资核算1!$B:L,MATCH("麻醉风险积分", 科室绩效工资核算1!$B$3:$AN$3,0),0)/(中层绩效!$E88+VLOOKUP($B:$B,人员表!$B:$G,MATCH("医疗组",人员表!$B$3:$G$3,0),0))*中层绩效!$E88,0),0),0)</f>
        <v>0</v>
      </c>
      <c r="M88" s="50">
        <f>IFERROR(ROUND(IF($D88="主任",VLOOKUP($B:$B,科室绩效工资核算1!$B:M,MATCH("分娩风险积分", 科室绩效工资核算1!$B$3:$AN$3,0),0)/(中层绩效!$E88+VLOOKUP($B:$B,人员表!$B:$G,MATCH("医疗组",人员表!$B$3:$G$3,0),0))*中层绩效!$E88,0),0),0)</f>
        <v>0</v>
      </c>
      <c r="N88" s="50">
        <f>IFERROR(ROUND(IF($D88="主任",VLOOKUP($B:$B,科室绩效工资核算1!$B:N,MATCH("肿瘤支气管镜", 科室绩效工资核算1!$B$3:$AN$3,0),0)/(中层绩效!$E88+VLOOKUP($B:$B,人员表!$B:$G,MATCH("医疗组",人员表!$B$3:$G$3,0),0))*中层绩效!$E88,0),0),0)</f>
        <v>0</v>
      </c>
      <c r="O88" s="50">
        <f>IFERROR(ROUND(IF($D88="主任",VLOOKUP($B:$B,科室绩效工资核算1!$B:O,MATCH("会诊风险积分", 科室绩效工资核算1!$B$3:$AN$3,0),0)/(中层绩效!$E88+VLOOKUP($B:$B,人员表!$B:$G,MATCH("医疗组",人员表!$B$3:$G$3,0),0))*中层绩效!$E88,0),0),0)</f>
        <v>0</v>
      </c>
      <c r="P88" s="50">
        <f>IFERROR(ROUND(IF($D88="主任",VLOOKUP($B:$B,科室绩效工资核算1!$B:P,MATCH("换药风险积分", 科室绩效工资核算1!$B$3:$AN$3,0),0)/(中层绩效!$E88+VLOOKUP($B:$B,人员表!$B:$G,MATCH("医疗组",人员表!$B$3:$G$3,0),0))*中层绩效!$E88,0),0),0)</f>
        <v>0</v>
      </c>
      <c r="Q88" s="50">
        <f>IFERROR(ROUND(IF($D88="主任",VLOOKUP($B:$B,科室绩效工资核算1!$B:Q,MATCH("功能康复积分", 科室绩效工资核算1!$B$3:$AN$3,0),0)/(中层绩效!$E88+VLOOKUP($B:$B,人员表!$B:$G,MATCH("医疗组",人员表!$B$3:$G$3,0),0))*中层绩效!$E88,0),0),0)</f>
        <v>0</v>
      </c>
      <c r="R88" s="50">
        <f>IFERROR(ROUND(IF($D88="主任",VLOOKUP($B:$B,科室绩效工资核算1!$B:R,MATCH("中医外治积分", 科室绩效工资核算1!$B$3:$AN$3,0),0)/(中层绩效!$E88+VLOOKUP($B:$B,人员表!$B:$G,MATCH("医疗组",人员表!$B$3:$G$3,0),0))*中层绩效!$E88,0),0),0)</f>
        <v>0</v>
      </c>
      <c r="S88" s="50">
        <f>IFERROR(ROUND(IF($D88="主任",VLOOKUP($B:$B,科室绩效工资核算1!$B:S,MATCH("中药积分", 科室绩效工资核算1!$B$3:$AN$3,0),0)/(中层绩效!$E88+VLOOKUP($B:$B,人员表!$B:$G,MATCH("医疗组",人员表!$B$3:$G$3,0),0))*中层绩效!$E88,0),0),0)</f>
        <v>0</v>
      </c>
      <c r="T88" s="50">
        <f>IFERROR(ROUND(IF($D88="护士长",VLOOKUP($B:$B,科室绩效工资核算1!$B:T,MATCH("护理风险积分", 科室绩效工资核算1!$B$3:$AN$3,0),0)/(中层绩效!$E88+VLOOKUP($B:$B,人员表!$B:$G,MATCH("护理组",人员表!$B$3:$G$3,0),0))*中层绩效!$E88,0),0),0)</f>
        <v>0</v>
      </c>
      <c r="U88" s="43">
        <f>F88*科室绩效工资核算1!AQ$7</f>
        <v>0</v>
      </c>
      <c r="V88" s="43">
        <f t="shared" si="1"/>
        <v>1970.7904000000001</v>
      </c>
      <c r="W88" s="43">
        <f>V88*科室绩效工资核算1!AQ$10</f>
        <v>2119.9792332800002</v>
      </c>
    </row>
    <row r="89" spans="2:23" x14ac:dyDescent="0.25">
      <c r="B89" s="51" t="str">
        <f>中层系数!B90</f>
        <v>纪检科</v>
      </c>
      <c r="C89" s="5" t="str">
        <f>中层系数!C90</f>
        <v>测试87</v>
      </c>
      <c r="D89" s="5" t="str">
        <f>VLOOKUP(C:C,中层系数!C:I,7,0)</f>
        <v>副主任</v>
      </c>
      <c r="E89" s="5">
        <f>VLOOKUP(C:C,中层系数!C:I,6,0)</f>
        <v>1.04</v>
      </c>
      <c r="F89" s="5">
        <f>VLOOKUP(C:C,中层系数!C:I,5,0)</f>
        <v>0</v>
      </c>
      <c r="G89" s="43">
        <f>E89*科室绩效工资核算1!AQ$7</f>
        <v>1601.2672000000002</v>
      </c>
      <c r="H89" s="50">
        <f>IFERROR(ROUND(IF(D89="主任",VLOOKUP($B:$B,科室绩效工资核算1!$B:H,MATCH("首诊风险积分", 科室绩效工资核算1!$B$3:$AN$3,0),0)/(中层绩效!$E89+VLOOKUP($B:$B,人员表!$B:$G,MATCH("医疗组",人员表!$B$3:$G$3,0),0))*中层绩效!$E89,0),0),0)</f>
        <v>0</v>
      </c>
      <c r="I89" s="50">
        <f>IFERROR(ROUND(IF($D89="主任",VLOOKUP($B:$B,科室绩效工资核算1!$B:I,MATCH("病历质量积分", 科室绩效工资核算1!$B$3:$AN$3,0),0)/(中层绩效!$E89+VLOOKUP($B:$B,人员表!$B:$G,MATCH("医疗组",人员表!$B$3:$G$3,0),0))*中层绩效!$E89,0),0),0)</f>
        <v>0</v>
      </c>
      <c r="J89" s="50">
        <f>IFERROR(ROUND(IF($D89="主任",VLOOKUP($B:$B,科室绩效工资核算1!$B:J,MATCH("门诊人次积分", 科室绩效工资核算1!$B$3:$AN$3,0),0)/(中层绩效!$E89+VLOOKUP($B:$B,人员表!$B:$G,MATCH("医疗组",人员表!$B$3:$G$3,0),0))*中层绩效!$E89,0),0),0)</f>
        <v>0</v>
      </c>
      <c r="K89" s="50">
        <f>IFERROR(ROUND(IF($D89="主任",VLOOKUP($B:$B,科室绩效工资核算1!$B:K,MATCH("临床路径积分", 科室绩效工资核算1!$B$3:$AN$3,0),0)/(中层绩效!$E89+VLOOKUP($B:$B,人员表!$B:$G,MATCH("医疗组",人员表!$B$3:$G$3,0),0))*中层绩效!$E89,0),0),0)</f>
        <v>0</v>
      </c>
      <c r="L89" s="50">
        <f>IFERROR(ROUND(IF($D89="主任",VLOOKUP($B:$B,科室绩效工资核算1!$B:L,MATCH("麻醉风险积分", 科室绩效工资核算1!$B$3:$AN$3,0),0)/(中层绩效!$E89+VLOOKUP($B:$B,人员表!$B:$G,MATCH("医疗组",人员表!$B$3:$G$3,0),0))*中层绩效!$E89,0),0),0)</f>
        <v>0</v>
      </c>
      <c r="M89" s="50">
        <f>IFERROR(ROUND(IF($D89="主任",VLOOKUP($B:$B,科室绩效工资核算1!$B:M,MATCH("分娩风险积分", 科室绩效工资核算1!$B$3:$AN$3,0),0)/(中层绩效!$E89+VLOOKUP($B:$B,人员表!$B:$G,MATCH("医疗组",人员表!$B$3:$G$3,0),0))*中层绩效!$E89,0),0),0)</f>
        <v>0</v>
      </c>
      <c r="N89" s="50">
        <f>IFERROR(ROUND(IF($D89="主任",VLOOKUP($B:$B,科室绩效工资核算1!$B:N,MATCH("肿瘤支气管镜", 科室绩效工资核算1!$B$3:$AN$3,0),0)/(中层绩效!$E89+VLOOKUP($B:$B,人员表!$B:$G,MATCH("医疗组",人员表!$B$3:$G$3,0),0))*中层绩效!$E89,0),0),0)</f>
        <v>0</v>
      </c>
      <c r="O89" s="50">
        <f>IFERROR(ROUND(IF($D89="主任",VLOOKUP($B:$B,科室绩效工资核算1!$B:O,MATCH("会诊风险积分", 科室绩效工资核算1!$B$3:$AN$3,0),0)/(中层绩效!$E89+VLOOKUP($B:$B,人员表!$B:$G,MATCH("医疗组",人员表!$B$3:$G$3,0),0))*中层绩效!$E89,0),0),0)</f>
        <v>0</v>
      </c>
      <c r="P89" s="50">
        <f>IFERROR(ROUND(IF($D89="主任",VLOOKUP($B:$B,科室绩效工资核算1!$B:P,MATCH("换药风险积分", 科室绩效工资核算1!$B$3:$AN$3,0),0)/(中层绩效!$E89+VLOOKUP($B:$B,人员表!$B:$G,MATCH("医疗组",人员表!$B$3:$G$3,0),0))*中层绩效!$E89,0),0),0)</f>
        <v>0</v>
      </c>
      <c r="Q89" s="50">
        <f>IFERROR(ROUND(IF($D89="主任",VLOOKUP($B:$B,科室绩效工资核算1!$B:Q,MATCH("功能康复积分", 科室绩效工资核算1!$B$3:$AN$3,0),0)/(中层绩效!$E89+VLOOKUP($B:$B,人员表!$B:$G,MATCH("医疗组",人员表!$B$3:$G$3,0),0))*中层绩效!$E89,0),0),0)</f>
        <v>0</v>
      </c>
      <c r="R89" s="50">
        <f>IFERROR(ROUND(IF($D89="主任",VLOOKUP($B:$B,科室绩效工资核算1!$B:R,MATCH("中医外治积分", 科室绩效工资核算1!$B$3:$AN$3,0),0)/(中层绩效!$E89+VLOOKUP($B:$B,人员表!$B:$G,MATCH("医疗组",人员表!$B$3:$G$3,0),0))*中层绩效!$E89,0),0),0)</f>
        <v>0</v>
      </c>
      <c r="S89" s="50">
        <f>IFERROR(ROUND(IF($D89="主任",VLOOKUP($B:$B,科室绩效工资核算1!$B:S,MATCH("中药积分", 科室绩效工资核算1!$B$3:$AN$3,0),0)/(中层绩效!$E89+VLOOKUP($B:$B,人员表!$B:$G,MATCH("医疗组",人员表!$B$3:$G$3,0),0))*中层绩效!$E89,0),0),0)</f>
        <v>0</v>
      </c>
      <c r="T89" s="50">
        <f>IFERROR(ROUND(IF($D89="护士长",VLOOKUP($B:$B,科室绩效工资核算1!$B:T,MATCH("护理风险积分", 科室绩效工资核算1!$B$3:$AN$3,0),0)/(中层绩效!$E89+VLOOKUP($B:$B,人员表!$B:$G,MATCH("护理组",人员表!$B$3:$G$3,0),0))*中层绩效!$E89,0),0),0)</f>
        <v>0</v>
      </c>
      <c r="U89" s="43">
        <f>F89*科室绩效工资核算1!AQ$7</f>
        <v>0</v>
      </c>
      <c r="V89" s="43">
        <f t="shared" si="1"/>
        <v>1601.2672000000002</v>
      </c>
      <c r="W89" s="43">
        <f>V89*科室绩效工资核算1!AQ$10</f>
        <v>1722.4831270400005</v>
      </c>
    </row>
    <row r="90" spans="2:23" x14ac:dyDescent="0.25">
      <c r="B90" s="51" t="str">
        <f>中层系数!B91</f>
        <v>公卫科</v>
      </c>
      <c r="C90" s="5" t="str">
        <f>中层系数!C91</f>
        <v>测试88</v>
      </c>
      <c r="D90" s="5" t="str">
        <f>VLOOKUP(C:C,中层系数!C:I,7,0)</f>
        <v>副主任</v>
      </c>
      <c r="E90" s="5">
        <f>VLOOKUP(C:C,中层系数!C:I,6,0)</f>
        <v>1.105</v>
      </c>
      <c r="F90" s="5">
        <f>VLOOKUP(C:C,中层系数!C:I,5,0)</f>
        <v>0</v>
      </c>
      <c r="G90" s="43">
        <f>E90*科室绩效工资核算1!AQ$7</f>
        <v>1701.3464000000001</v>
      </c>
      <c r="H90" s="50">
        <f>IFERROR(ROUND(IF(D90="主任",VLOOKUP($B:$B,科室绩效工资核算1!$B:H,MATCH("首诊风险积分", 科室绩效工资核算1!$B$3:$AN$3,0),0)/(中层绩效!$E90+VLOOKUP($B:$B,人员表!$B:$G,MATCH("医疗组",人员表!$B$3:$G$3,0),0))*中层绩效!$E90,0),0),0)</f>
        <v>0</v>
      </c>
      <c r="I90" s="50">
        <f>IFERROR(ROUND(IF($D90="主任",VLOOKUP($B:$B,科室绩效工资核算1!$B:I,MATCH("病历质量积分", 科室绩效工资核算1!$B$3:$AN$3,0),0)/(中层绩效!$E90+VLOOKUP($B:$B,人员表!$B:$G,MATCH("医疗组",人员表!$B$3:$G$3,0),0))*中层绩效!$E90,0),0),0)</f>
        <v>0</v>
      </c>
      <c r="J90" s="50">
        <f>IFERROR(ROUND(IF($D90="主任",VLOOKUP($B:$B,科室绩效工资核算1!$B:J,MATCH("门诊人次积分", 科室绩效工资核算1!$B$3:$AN$3,0),0)/(中层绩效!$E90+VLOOKUP($B:$B,人员表!$B:$G,MATCH("医疗组",人员表!$B$3:$G$3,0),0))*中层绩效!$E90,0),0),0)</f>
        <v>0</v>
      </c>
      <c r="K90" s="50">
        <f>IFERROR(ROUND(IF($D90="主任",VLOOKUP($B:$B,科室绩效工资核算1!$B:K,MATCH("临床路径积分", 科室绩效工资核算1!$B$3:$AN$3,0),0)/(中层绩效!$E90+VLOOKUP($B:$B,人员表!$B:$G,MATCH("医疗组",人员表!$B$3:$G$3,0),0))*中层绩效!$E90,0),0),0)</f>
        <v>0</v>
      </c>
      <c r="L90" s="50">
        <f>IFERROR(ROUND(IF($D90="主任",VLOOKUP($B:$B,科室绩效工资核算1!$B:L,MATCH("麻醉风险积分", 科室绩效工资核算1!$B$3:$AN$3,0),0)/(中层绩效!$E90+VLOOKUP($B:$B,人员表!$B:$G,MATCH("医疗组",人员表!$B$3:$G$3,0),0))*中层绩效!$E90,0),0),0)</f>
        <v>0</v>
      </c>
      <c r="M90" s="50">
        <f>IFERROR(ROUND(IF($D90="主任",VLOOKUP($B:$B,科室绩效工资核算1!$B:M,MATCH("分娩风险积分", 科室绩效工资核算1!$B$3:$AN$3,0),0)/(中层绩效!$E90+VLOOKUP($B:$B,人员表!$B:$G,MATCH("医疗组",人员表!$B$3:$G$3,0),0))*中层绩效!$E90,0),0),0)</f>
        <v>0</v>
      </c>
      <c r="N90" s="50">
        <f>IFERROR(ROUND(IF($D90="主任",VLOOKUP($B:$B,科室绩效工资核算1!$B:N,MATCH("肿瘤支气管镜", 科室绩效工资核算1!$B$3:$AN$3,0),0)/(中层绩效!$E90+VLOOKUP($B:$B,人员表!$B:$G,MATCH("医疗组",人员表!$B$3:$G$3,0),0))*中层绩效!$E90,0),0),0)</f>
        <v>0</v>
      </c>
      <c r="O90" s="50">
        <f>IFERROR(ROUND(IF($D90="主任",VLOOKUP($B:$B,科室绩效工资核算1!$B:O,MATCH("会诊风险积分", 科室绩效工资核算1!$B$3:$AN$3,0),0)/(中层绩效!$E90+VLOOKUP($B:$B,人员表!$B:$G,MATCH("医疗组",人员表!$B$3:$G$3,0),0))*中层绩效!$E90,0),0),0)</f>
        <v>0</v>
      </c>
      <c r="P90" s="50">
        <f>IFERROR(ROUND(IF($D90="主任",VLOOKUP($B:$B,科室绩效工资核算1!$B:P,MATCH("换药风险积分", 科室绩效工资核算1!$B$3:$AN$3,0),0)/(中层绩效!$E90+VLOOKUP($B:$B,人员表!$B:$G,MATCH("医疗组",人员表!$B$3:$G$3,0),0))*中层绩效!$E90,0),0),0)</f>
        <v>0</v>
      </c>
      <c r="Q90" s="50">
        <f>IFERROR(ROUND(IF($D90="主任",VLOOKUP($B:$B,科室绩效工资核算1!$B:Q,MATCH("功能康复积分", 科室绩效工资核算1!$B$3:$AN$3,0),0)/(中层绩效!$E90+VLOOKUP($B:$B,人员表!$B:$G,MATCH("医疗组",人员表!$B$3:$G$3,0),0))*中层绩效!$E90,0),0),0)</f>
        <v>0</v>
      </c>
      <c r="R90" s="50">
        <f>IFERROR(ROUND(IF($D90="主任",VLOOKUP($B:$B,科室绩效工资核算1!$B:R,MATCH("中医外治积分", 科室绩效工资核算1!$B$3:$AN$3,0),0)/(中层绩效!$E90+VLOOKUP($B:$B,人员表!$B:$G,MATCH("医疗组",人员表!$B$3:$G$3,0),0))*中层绩效!$E90,0),0),0)</f>
        <v>0</v>
      </c>
      <c r="S90" s="50">
        <f>IFERROR(ROUND(IF($D90="主任",VLOOKUP($B:$B,科室绩效工资核算1!$B:S,MATCH("中药积分", 科室绩效工资核算1!$B$3:$AN$3,0),0)/(中层绩效!$E90+VLOOKUP($B:$B,人员表!$B:$G,MATCH("医疗组",人员表!$B$3:$G$3,0),0))*中层绩效!$E90,0),0),0)</f>
        <v>0</v>
      </c>
      <c r="T90" s="50">
        <f>IFERROR(ROUND(IF($D90="护士长",VLOOKUP($B:$B,科室绩效工资核算1!$B:T,MATCH("护理风险积分", 科室绩效工资核算1!$B$3:$AN$3,0),0)/(中层绩效!$E90+VLOOKUP($B:$B,人员表!$B:$G,MATCH("护理组",人员表!$B$3:$G$3,0),0))*中层绩效!$E90,0),0),0)</f>
        <v>0</v>
      </c>
      <c r="U90" s="43">
        <f>F90*科室绩效工资核算1!AQ$7</f>
        <v>0</v>
      </c>
      <c r="V90" s="43">
        <f t="shared" si="1"/>
        <v>1701.3464000000001</v>
      </c>
      <c r="W90" s="43">
        <f>V90*科室绩效工资核算1!AQ$10</f>
        <v>1830.1383224800004</v>
      </c>
    </row>
    <row r="91" spans="2:23" x14ac:dyDescent="0.25">
      <c r="B91" s="51" t="str">
        <f>中层系数!B92</f>
        <v>公卫科</v>
      </c>
      <c r="C91" s="5" t="str">
        <f>中层系数!C92</f>
        <v>测试89</v>
      </c>
      <c r="D91" s="5" t="str">
        <f>VLOOKUP(C:C,中层系数!C:I,7,0)</f>
        <v>主任</v>
      </c>
      <c r="E91" s="5">
        <f>VLOOKUP(C:C,中层系数!C:I,6,0)</f>
        <v>1.36</v>
      </c>
      <c r="F91" s="5">
        <f>VLOOKUP(C:C,中层系数!C:I,5,0)</f>
        <v>0</v>
      </c>
      <c r="G91" s="43">
        <f>E91*科室绩效工资核算1!AQ$7</f>
        <v>2093.9648000000002</v>
      </c>
      <c r="H91" s="50">
        <f>IFERROR(ROUND(IF(D91="主任",VLOOKUP($B:$B,科室绩效工资核算1!$B:H,MATCH("首诊风险积分", 科室绩效工资核算1!$B$3:$AN$3,0),0)/(中层绩效!$E91+VLOOKUP($B:$B,人员表!$B:$G,MATCH("医疗组",人员表!$B$3:$G$3,0),0))*中层绩效!$E91,0),0),0)</f>
        <v>0</v>
      </c>
      <c r="I91" s="50">
        <f>IFERROR(ROUND(IF($D91="主任",VLOOKUP($B:$B,科室绩效工资核算1!$B:I,MATCH("病历质量积分", 科室绩效工资核算1!$B$3:$AN$3,0),0)/(中层绩效!$E91+VLOOKUP($B:$B,人员表!$B:$G,MATCH("医疗组",人员表!$B$3:$G$3,0),0))*中层绩效!$E91,0),0),0)</f>
        <v>0</v>
      </c>
      <c r="J91" s="50">
        <f>IFERROR(ROUND(IF($D91="主任",VLOOKUP($B:$B,科室绩效工资核算1!$B:J,MATCH("门诊人次积分", 科室绩效工资核算1!$B$3:$AN$3,0),0)/(中层绩效!$E91+VLOOKUP($B:$B,人员表!$B:$G,MATCH("医疗组",人员表!$B$3:$G$3,0),0))*中层绩效!$E91,0),0),0)</f>
        <v>0</v>
      </c>
      <c r="K91" s="50">
        <f>IFERROR(ROUND(IF($D91="主任",VLOOKUP($B:$B,科室绩效工资核算1!$B:K,MATCH("临床路径积分", 科室绩效工资核算1!$B$3:$AN$3,0),0)/(中层绩效!$E91+VLOOKUP($B:$B,人员表!$B:$G,MATCH("医疗组",人员表!$B$3:$G$3,0),0))*中层绩效!$E91,0),0),0)</f>
        <v>0</v>
      </c>
      <c r="L91" s="50">
        <f>IFERROR(ROUND(IF($D91="主任",VLOOKUP($B:$B,科室绩效工资核算1!$B:L,MATCH("麻醉风险积分", 科室绩效工资核算1!$B$3:$AN$3,0),0)/(中层绩效!$E91+VLOOKUP($B:$B,人员表!$B:$G,MATCH("医疗组",人员表!$B$3:$G$3,0),0))*中层绩效!$E91,0),0),0)</f>
        <v>0</v>
      </c>
      <c r="M91" s="50">
        <f>IFERROR(ROUND(IF($D91="主任",VLOOKUP($B:$B,科室绩效工资核算1!$B:M,MATCH("分娩风险积分", 科室绩效工资核算1!$B$3:$AN$3,0),0)/(中层绩效!$E91+VLOOKUP($B:$B,人员表!$B:$G,MATCH("医疗组",人员表!$B$3:$G$3,0),0))*中层绩效!$E91,0),0),0)</f>
        <v>0</v>
      </c>
      <c r="N91" s="50">
        <f>IFERROR(ROUND(IF($D91="主任",VLOOKUP($B:$B,科室绩效工资核算1!$B:N,MATCH("肿瘤支气管镜", 科室绩效工资核算1!$B$3:$AN$3,0),0)/(中层绩效!$E91+VLOOKUP($B:$B,人员表!$B:$G,MATCH("医疗组",人员表!$B$3:$G$3,0),0))*中层绩效!$E91,0),0),0)</f>
        <v>0</v>
      </c>
      <c r="O91" s="50">
        <f>IFERROR(ROUND(IF($D91="主任",VLOOKUP($B:$B,科室绩效工资核算1!$B:O,MATCH("会诊风险积分", 科室绩效工资核算1!$B$3:$AN$3,0),0)/(中层绩效!$E91+VLOOKUP($B:$B,人员表!$B:$G,MATCH("医疗组",人员表!$B$3:$G$3,0),0))*中层绩效!$E91,0),0),0)</f>
        <v>0</v>
      </c>
      <c r="P91" s="50">
        <f>IFERROR(ROUND(IF($D91="主任",VLOOKUP($B:$B,科室绩效工资核算1!$B:P,MATCH("换药风险积分", 科室绩效工资核算1!$B$3:$AN$3,0),0)/(中层绩效!$E91+VLOOKUP($B:$B,人员表!$B:$G,MATCH("医疗组",人员表!$B$3:$G$3,0),0))*中层绩效!$E91,0),0),0)</f>
        <v>0</v>
      </c>
      <c r="Q91" s="50">
        <f>IFERROR(ROUND(IF($D91="主任",VLOOKUP($B:$B,科室绩效工资核算1!$B:Q,MATCH("功能康复积分", 科室绩效工资核算1!$B$3:$AN$3,0),0)/(中层绩效!$E91+VLOOKUP($B:$B,人员表!$B:$G,MATCH("医疗组",人员表!$B$3:$G$3,0),0))*中层绩效!$E91,0),0),0)</f>
        <v>0</v>
      </c>
      <c r="R91" s="50">
        <f>IFERROR(ROUND(IF($D91="主任",VLOOKUP($B:$B,科室绩效工资核算1!$B:R,MATCH("中医外治积分", 科室绩效工资核算1!$B$3:$AN$3,0),0)/(中层绩效!$E91+VLOOKUP($B:$B,人员表!$B:$G,MATCH("医疗组",人员表!$B$3:$G$3,0),0))*中层绩效!$E91,0),0),0)</f>
        <v>0</v>
      </c>
      <c r="S91" s="50">
        <f>IFERROR(ROUND(IF($D91="主任",VLOOKUP($B:$B,科室绩效工资核算1!$B:S,MATCH("中药积分", 科室绩效工资核算1!$B$3:$AN$3,0),0)/(中层绩效!$E91+VLOOKUP($B:$B,人员表!$B:$G,MATCH("医疗组",人员表!$B$3:$G$3,0),0))*中层绩效!$E91,0),0),0)</f>
        <v>0</v>
      </c>
      <c r="T91" s="50">
        <f>IFERROR(ROUND(IF($D91="护士长",VLOOKUP($B:$B,科室绩效工资核算1!$B:T,MATCH("护理风险积分", 科室绩效工资核算1!$B$3:$AN$3,0),0)/(中层绩效!$E91+VLOOKUP($B:$B,人员表!$B:$G,MATCH("护理组",人员表!$B$3:$G$3,0),0))*中层绩效!$E91,0),0),0)</f>
        <v>0</v>
      </c>
      <c r="U91" s="43">
        <f>F91*科室绩效工资核算1!AQ$7</f>
        <v>0</v>
      </c>
      <c r="V91" s="43">
        <f t="shared" si="1"/>
        <v>2093.9648000000002</v>
      </c>
      <c r="W91" s="43">
        <f>V91*科室绩效工资核算1!AQ$10</f>
        <v>2252.4779353600006</v>
      </c>
    </row>
    <row r="92" spans="2:23" x14ac:dyDescent="0.25">
      <c r="B92" s="51" t="str">
        <f>中层系数!B93</f>
        <v>信息科</v>
      </c>
      <c r="C92" s="5" t="str">
        <f>中层系数!C93</f>
        <v>测试90</v>
      </c>
      <c r="D92" s="5" t="str">
        <f>VLOOKUP(C:C,中层系数!C:I,7,0)</f>
        <v>主任</v>
      </c>
      <c r="E92" s="5">
        <f>VLOOKUP(C:C,中层系数!C:I,6,0)</f>
        <v>1.28</v>
      </c>
      <c r="F92" s="5">
        <f>VLOOKUP(C:C,中层系数!C:I,5,0)</f>
        <v>0</v>
      </c>
      <c r="G92" s="43">
        <f>E92*科室绩效工资核算1!AQ$7</f>
        <v>1970.7904000000001</v>
      </c>
      <c r="H92" s="50">
        <f>IFERROR(ROUND(IF(D92="主任",VLOOKUP($B:$B,科室绩效工资核算1!$B:H,MATCH("首诊风险积分", 科室绩效工资核算1!$B$3:$AN$3,0),0)/(中层绩效!$E92+VLOOKUP($B:$B,人员表!$B:$G,MATCH("医疗组",人员表!$B$3:$G$3,0),0))*中层绩效!$E92,0),0),0)</f>
        <v>0</v>
      </c>
      <c r="I92" s="50">
        <f>IFERROR(ROUND(IF($D92="主任",VLOOKUP($B:$B,科室绩效工资核算1!$B:I,MATCH("病历质量积分", 科室绩效工资核算1!$B$3:$AN$3,0),0)/(中层绩效!$E92+VLOOKUP($B:$B,人员表!$B:$G,MATCH("医疗组",人员表!$B$3:$G$3,0),0))*中层绩效!$E92,0),0),0)</f>
        <v>0</v>
      </c>
      <c r="J92" s="50">
        <f>IFERROR(ROUND(IF($D92="主任",VLOOKUP($B:$B,科室绩效工资核算1!$B:J,MATCH("门诊人次积分", 科室绩效工资核算1!$B$3:$AN$3,0),0)/(中层绩效!$E92+VLOOKUP($B:$B,人员表!$B:$G,MATCH("医疗组",人员表!$B$3:$G$3,0),0))*中层绩效!$E92,0),0),0)</f>
        <v>0</v>
      </c>
      <c r="K92" s="50">
        <f>IFERROR(ROUND(IF($D92="主任",VLOOKUP($B:$B,科室绩效工资核算1!$B:K,MATCH("临床路径积分", 科室绩效工资核算1!$B$3:$AN$3,0),0)/(中层绩效!$E92+VLOOKUP($B:$B,人员表!$B:$G,MATCH("医疗组",人员表!$B$3:$G$3,0),0))*中层绩效!$E92,0),0),0)</f>
        <v>0</v>
      </c>
      <c r="L92" s="50">
        <f>IFERROR(ROUND(IF($D92="主任",VLOOKUP($B:$B,科室绩效工资核算1!$B:L,MATCH("麻醉风险积分", 科室绩效工资核算1!$B$3:$AN$3,0),0)/(中层绩效!$E92+VLOOKUP($B:$B,人员表!$B:$G,MATCH("医疗组",人员表!$B$3:$G$3,0),0))*中层绩效!$E92,0),0),0)</f>
        <v>0</v>
      </c>
      <c r="M92" s="50">
        <f>IFERROR(ROUND(IF($D92="主任",VLOOKUP($B:$B,科室绩效工资核算1!$B:M,MATCH("分娩风险积分", 科室绩效工资核算1!$B$3:$AN$3,0),0)/(中层绩效!$E92+VLOOKUP($B:$B,人员表!$B:$G,MATCH("医疗组",人员表!$B$3:$G$3,0),0))*中层绩效!$E92,0),0),0)</f>
        <v>0</v>
      </c>
      <c r="N92" s="50">
        <f>IFERROR(ROUND(IF($D92="主任",VLOOKUP($B:$B,科室绩效工资核算1!$B:N,MATCH("肿瘤支气管镜", 科室绩效工资核算1!$B$3:$AN$3,0),0)/(中层绩效!$E92+VLOOKUP($B:$B,人员表!$B:$G,MATCH("医疗组",人员表!$B$3:$G$3,0),0))*中层绩效!$E92,0),0),0)</f>
        <v>0</v>
      </c>
      <c r="O92" s="50">
        <f>IFERROR(ROUND(IF($D92="主任",VLOOKUP($B:$B,科室绩效工资核算1!$B:O,MATCH("会诊风险积分", 科室绩效工资核算1!$B$3:$AN$3,0),0)/(中层绩效!$E92+VLOOKUP($B:$B,人员表!$B:$G,MATCH("医疗组",人员表!$B$3:$G$3,0),0))*中层绩效!$E92,0),0),0)</f>
        <v>0</v>
      </c>
      <c r="P92" s="50">
        <f>IFERROR(ROUND(IF($D92="主任",VLOOKUP($B:$B,科室绩效工资核算1!$B:P,MATCH("换药风险积分", 科室绩效工资核算1!$B$3:$AN$3,0),0)/(中层绩效!$E92+VLOOKUP($B:$B,人员表!$B:$G,MATCH("医疗组",人员表!$B$3:$G$3,0),0))*中层绩效!$E92,0),0),0)</f>
        <v>0</v>
      </c>
      <c r="Q92" s="50">
        <f>IFERROR(ROUND(IF($D92="主任",VLOOKUP($B:$B,科室绩效工资核算1!$B:Q,MATCH("功能康复积分", 科室绩效工资核算1!$B$3:$AN$3,0),0)/(中层绩效!$E92+VLOOKUP($B:$B,人员表!$B:$G,MATCH("医疗组",人员表!$B$3:$G$3,0),0))*中层绩效!$E92,0),0),0)</f>
        <v>0</v>
      </c>
      <c r="R92" s="50">
        <f>IFERROR(ROUND(IF($D92="主任",VLOOKUP($B:$B,科室绩效工资核算1!$B:R,MATCH("中医外治积分", 科室绩效工资核算1!$B$3:$AN$3,0),0)/(中层绩效!$E92+VLOOKUP($B:$B,人员表!$B:$G,MATCH("医疗组",人员表!$B$3:$G$3,0),0))*中层绩效!$E92,0),0),0)</f>
        <v>0</v>
      </c>
      <c r="S92" s="50">
        <f>IFERROR(ROUND(IF($D92="主任",VLOOKUP($B:$B,科室绩效工资核算1!$B:S,MATCH("中药积分", 科室绩效工资核算1!$B$3:$AN$3,0),0)/(中层绩效!$E92+VLOOKUP($B:$B,人员表!$B:$G,MATCH("医疗组",人员表!$B$3:$G$3,0),0))*中层绩效!$E92,0),0),0)</f>
        <v>0</v>
      </c>
      <c r="T92" s="50">
        <f>IFERROR(ROUND(IF($D92="护士长",VLOOKUP($B:$B,科室绩效工资核算1!$B:T,MATCH("护理风险积分", 科室绩效工资核算1!$B$3:$AN$3,0),0)/(中层绩效!$E92+VLOOKUP($B:$B,人员表!$B:$G,MATCH("护理组",人员表!$B$3:$G$3,0),0))*中层绩效!$E92,0),0),0)</f>
        <v>0</v>
      </c>
      <c r="U92" s="43">
        <f>F92*科室绩效工资核算1!AQ$7</f>
        <v>0</v>
      </c>
      <c r="V92" s="43">
        <f t="shared" si="1"/>
        <v>1970.7904000000001</v>
      </c>
      <c r="W92" s="43">
        <f>V92*科室绩效工资核算1!AQ$10</f>
        <v>2119.9792332800002</v>
      </c>
    </row>
    <row r="93" spans="2:23" x14ac:dyDescent="0.25">
      <c r="B93" s="51" t="str">
        <f>中层系数!B94</f>
        <v>信息科</v>
      </c>
      <c r="C93" s="5" t="str">
        <f>中层系数!C94</f>
        <v>测试91</v>
      </c>
      <c r="D93" s="5" t="str">
        <f>VLOOKUP(C:C,中层系数!C:I,7,0)</f>
        <v>副主任</v>
      </c>
      <c r="E93" s="5">
        <f>VLOOKUP(C:C,中层系数!C:I,6,0)</f>
        <v>1.04</v>
      </c>
      <c r="F93" s="5">
        <f>VLOOKUP(C:C,中层系数!C:I,5,0)</f>
        <v>0</v>
      </c>
      <c r="G93" s="43">
        <f>E93*科室绩效工资核算1!AQ$7</f>
        <v>1601.2672000000002</v>
      </c>
      <c r="H93" s="50">
        <f>IFERROR(ROUND(IF(D93="主任",VLOOKUP($B:$B,科室绩效工资核算1!$B:H,MATCH("首诊风险积分", 科室绩效工资核算1!$B$3:$AN$3,0),0)/(中层绩效!$E93+VLOOKUP($B:$B,人员表!$B:$G,MATCH("医疗组",人员表!$B$3:$G$3,0),0))*中层绩效!$E93,0),0),0)</f>
        <v>0</v>
      </c>
      <c r="I93" s="50">
        <f>IFERROR(ROUND(IF($D93="主任",VLOOKUP($B:$B,科室绩效工资核算1!$B:I,MATCH("病历质量积分", 科室绩效工资核算1!$B$3:$AN$3,0),0)/(中层绩效!$E93+VLOOKUP($B:$B,人员表!$B:$G,MATCH("医疗组",人员表!$B$3:$G$3,0),0))*中层绩效!$E93,0),0),0)</f>
        <v>0</v>
      </c>
      <c r="J93" s="50">
        <f>IFERROR(ROUND(IF($D93="主任",VLOOKUP($B:$B,科室绩效工资核算1!$B:J,MATCH("门诊人次积分", 科室绩效工资核算1!$B$3:$AN$3,0),0)/(中层绩效!$E93+VLOOKUP($B:$B,人员表!$B:$G,MATCH("医疗组",人员表!$B$3:$G$3,0),0))*中层绩效!$E93,0),0),0)</f>
        <v>0</v>
      </c>
      <c r="K93" s="50">
        <f>IFERROR(ROUND(IF($D93="主任",VLOOKUP($B:$B,科室绩效工资核算1!$B:K,MATCH("临床路径积分", 科室绩效工资核算1!$B$3:$AN$3,0),0)/(中层绩效!$E93+VLOOKUP($B:$B,人员表!$B:$G,MATCH("医疗组",人员表!$B$3:$G$3,0),0))*中层绩效!$E93,0),0),0)</f>
        <v>0</v>
      </c>
      <c r="L93" s="50">
        <f>IFERROR(ROUND(IF($D93="主任",VLOOKUP($B:$B,科室绩效工资核算1!$B:L,MATCH("麻醉风险积分", 科室绩效工资核算1!$B$3:$AN$3,0),0)/(中层绩效!$E93+VLOOKUP($B:$B,人员表!$B:$G,MATCH("医疗组",人员表!$B$3:$G$3,0),0))*中层绩效!$E93,0),0),0)</f>
        <v>0</v>
      </c>
      <c r="M93" s="50">
        <f>IFERROR(ROUND(IF($D93="主任",VLOOKUP($B:$B,科室绩效工资核算1!$B:M,MATCH("分娩风险积分", 科室绩效工资核算1!$B$3:$AN$3,0),0)/(中层绩效!$E93+VLOOKUP($B:$B,人员表!$B:$G,MATCH("医疗组",人员表!$B$3:$G$3,0),0))*中层绩效!$E93,0),0),0)</f>
        <v>0</v>
      </c>
      <c r="N93" s="50">
        <f>IFERROR(ROUND(IF($D93="主任",VLOOKUP($B:$B,科室绩效工资核算1!$B:N,MATCH("肿瘤支气管镜", 科室绩效工资核算1!$B$3:$AN$3,0),0)/(中层绩效!$E93+VLOOKUP($B:$B,人员表!$B:$G,MATCH("医疗组",人员表!$B$3:$G$3,0),0))*中层绩效!$E93,0),0),0)</f>
        <v>0</v>
      </c>
      <c r="O93" s="50">
        <f>IFERROR(ROUND(IF($D93="主任",VLOOKUP($B:$B,科室绩效工资核算1!$B:O,MATCH("会诊风险积分", 科室绩效工资核算1!$B$3:$AN$3,0),0)/(中层绩效!$E93+VLOOKUP($B:$B,人员表!$B:$G,MATCH("医疗组",人员表!$B$3:$G$3,0),0))*中层绩效!$E93,0),0),0)</f>
        <v>0</v>
      </c>
      <c r="P93" s="50">
        <f>IFERROR(ROUND(IF($D93="主任",VLOOKUP($B:$B,科室绩效工资核算1!$B:P,MATCH("换药风险积分", 科室绩效工资核算1!$B$3:$AN$3,0),0)/(中层绩效!$E93+VLOOKUP($B:$B,人员表!$B:$G,MATCH("医疗组",人员表!$B$3:$G$3,0),0))*中层绩效!$E93,0),0),0)</f>
        <v>0</v>
      </c>
      <c r="Q93" s="50">
        <f>IFERROR(ROUND(IF($D93="主任",VLOOKUP($B:$B,科室绩效工资核算1!$B:Q,MATCH("功能康复积分", 科室绩效工资核算1!$B$3:$AN$3,0),0)/(中层绩效!$E93+VLOOKUP($B:$B,人员表!$B:$G,MATCH("医疗组",人员表!$B$3:$G$3,0),0))*中层绩效!$E93,0),0),0)</f>
        <v>0</v>
      </c>
      <c r="R93" s="50">
        <f>IFERROR(ROUND(IF($D93="主任",VLOOKUP($B:$B,科室绩效工资核算1!$B:R,MATCH("中医外治积分", 科室绩效工资核算1!$B$3:$AN$3,0),0)/(中层绩效!$E93+VLOOKUP($B:$B,人员表!$B:$G,MATCH("医疗组",人员表!$B$3:$G$3,0),0))*中层绩效!$E93,0),0),0)</f>
        <v>0</v>
      </c>
      <c r="S93" s="50">
        <f>IFERROR(ROUND(IF($D93="主任",VLOOKUP($B:$B,科室绩效工资核算1!$B:S,MATCH("中药积分", 科室绩效工资核算1!$B$3:$AN$3,0),0)/(中层绩效!$E93+VLOOKUP($B:$B,人员表!$B:$G,MATCH("医疗组",人员表!$B$3:$G$3,0),0))*中层绩效!$E93,0),0),0)</f>
        <v>0</v>
      </c>
      <c r="T93" s="50">
        <f>IFERROR(ROUND(IF($D93="护士长",VLOOKUP($B:$B,科室绩效工资核算1!$B:T,MATCH("护理风险积分", 科室绩效工资核算1!$B$3:$AN$3,0),0)/(中层绩效!$E93+VLOOKUP($B:$B,人员表!$B:$G,MATCH("护理组",人员表!$B$3:$G$3,0),0))*中层绩效!$E93,0),0),0)</f>
        <v>0</v>
      </c>
      <c r="U93" s="43">
        <f>F93*科室绩效工资核算1!AQ$7</f>
        <v>0</v>
      </c>
      <c r="V93" s="43">
        <f t="shared" si="1"/>
        <v>1601.2672000000002</v>
      </c>
      <c r="W93" s="43">
        <f>V93*科室绩效工资核算1!AQ$10</f>
        <v>1722.4831270400005</v>
      </c>
    </row>
    <row r="94" spans="2:23" x14ac:dyDescent="0.25">
      <c r="B94" s="51" t="str">
        <f>中层系数!B95</f>
        <v>医保办</v>
      </c>
      <c r="C94" s="5" t="str">
        <f>中层系数!C95</f>
        <v>测试92</v>
      </c>
      <c r="D94" s="5" t="str">
        <f>VLOOKUP(C:C,中层系数!C:I,7,0)</f>
        <v>主任</v>
      </c>
      <c r="E94" s="5">
        <f>VLOOKUP(C:C,中层系数!C:I,6,0)</f>
        <v>1.28</v>
      </c>
      <c r="F94" s="5">
        <f>VLOOKUP(C:C,中层系数!C:I,5,0)</f>
        <v>0</v>
      </c>
      <c r="G94" s="43">
        <f>E94*科室绩效工资核算1!AQ$7</f>
        <v>1970.7904000000001</v>
      </c>
      <c r="H94" s="50">
        <f>IFERROR(ROUND(IF(D94="主任",VLOOKUP($B:$B,科室绩效工资核算1!$B:H,MATCH("首诊风险积分", 科室绩效工资核算1!$B$3:$AN$3,0),0)/(中层绩效!$E94+VLOOKUP($B:$B,人员表!$B:$G,MATCH("医疗组",人员表!$B$3:$G$3,0),0))*中层绩效!$E94,0),0),0)</f>
        <v>0</v>
      </c>
      <c r="I94" s="50">
        <f>IFERROR(ROUND(IF($D94="主任",VLOOKUP($B:$B,科室绩效工资核算1!$B:I,MATCH("病历质量积分", 科室绩效工资核算1!$B$3:$AN$3,0),0)/(中层绩效!$E94+VLOOKUP($B:$B,人员表!$B:$G,MATCH("医疗组",人员表!$B$3:$G$3,0),0))*中层绩效!$E94,0),0),0)</f>
        <v>0</v>
      </c>
      <c r="J94" s="50">
        <f>IFERROR(ROUND(IF($D94="主任",VLOOKUP($B:$B,科室绩效工资核算1!$B:J,MATCH("门诊人次积分", 科室绩效工资核算1!$B$3:$AN$3,0),0)/(中层绩效!$E94+VLOOKUP($B:$B,人员表!$B:$G,MATCH("医疗组",人员表!$B$3:$G$3,0),0))*中层绩效!$E94,0),0),0)</f>
        <v>0</v>
      </c>
      <c r="K94" s="50">
        <f>IFERROR(ROUND(IF($D94="主任",VLOOKUP($B:$B,科室绩效工资核算1!$B:K,MATCH("临床路径积分", 科室绩效工资核算1!$B$3:$AN$3,0),0)/(中层绩效!$E94+VLOOKUP($B:$B,人员表!$B:$G,MATCH("医疗组",人员表!$B$3:$G$3,0),0))*中层绩效!$E94,0),0),0)</f>
        <v>0</v>
      </c>
      <c r="L94" s="50">
        <f>IFERROR(ROUND(IF($D94="主任",VLOOKUP($B:$B,科室绩效工资核算1!$B:L,MATCH("麻醉风险积分", 科室绩效工资核算1!$B$3:$AN$3,0),0)/(中层绩效!$E94+VLOOKUP($B:$B,人员表!$B:$G,MATCH("医疗组",人员表!$B$3:$G$3,0),0))*中层绩效!$E94,0),0),0)</f>
        <v>0</v>
      </c>
      <c r="M94" s="50">
        <f>IFERROR(ROUND(IF($D94="主任",VLOOKUP($B:$B,科室绩效工资核算1!$B:M,MATCH("分娩风险积分", 科室绩效工资核算1!$B$3:$AN$3,0),0)/(中层绩效!$E94+VLOOKUP($B:$B,人员表!$B:$G,MATCH("医疗组",人员表!$B$3:$G$3,0),0))*中层绩效!$E94,0),0),0)</f>
        <v>0</v>
      </c>
      <c r="N94" s="50">
        <f>IFERROR(ROUND(IF($D94="主任",VLOOKUP($B:$B,科室绩效工资核算1!$B:N,MATCH("肿瘤支气管镜", 科室绩效工资核算1!$B$3:$AN$3,0),0)/(中层绩效!$E94+VLOOKUP($B:$B,人员表!$B:$G,MATCH("医疗组",人员表!$B$3:$G$3,0),0))*中层绩效!$E94,0),0),0)</f>
        <v>0</v>
      </c>
      <c r="O94" s="50">
        <f>IFERROR(ROUND(IF($D94="主任",VLOOKUP($B:$B,科室绩效工资核算1!$B:O,MATCH("会诊风险积分", 科室绩效工资核算1!$B$3:$AN$3,0),0)/(中层绩效!$E94+VLOOKUP($B:$B,人员表!$B:$G,MATCH("医疗组",人员表!$B$3:$G$3,0),0))*中层绩效!$E94,0),0),0)</f>
        <v>0</v>
      </c>
      <c r="P94" s="50">
        <f>IFERROR(ROUND(IF($D94="主任",VLOOKUP($B:$B,科室绩效工资核算1!$B:P,MATCH("换药风险积分", 科室绩效工资核算1!$B$3:$AN$3,0),0)/(中层绩效!$E94+VLOOKUP($B:$B,人员表!$B:$G,MATCH("医疗组",人员表!$B$3:$G$3,0),0))*中层绩效!$E94,0),0),0)</f>
        <v>0</v>
      </c>
      <c r="Q94" s="50">
        <f>IFERROR(ROUND(IF($D94="主任",VLOOKUP($B:$B,科室绩效工资核算1!$B:Q,MATCH("功能康复积分", 科室绩效工资核算1!$B$3:$AN$3,0),0)/(中层绩效!$E94+VLOOKUP($B:$B,人员表!$B:$G,MATCH("医疗组",人员表!$B$3:$G$3,0),0))*中层绩效!$E94,0),0),0)</f>
        <v>0</v>
      </c>
      <c r="R94" s="50">
        <f>IFERROR(ROUND(IF($D94="主任",VLOOKUP($B:$B,科室绩效工资核算1!$B:R,MATCH("中医外治积分", 科室绩效工资核算1!$B$3:$AN$3,0),0)/(中层绩效!$E94+VLOOKUP($B:$B,人员表!$B:$G,MATCH("医疗组",人员表!$B$3:$G$3,0),0))*中层绩效!$E94,0),0),0)</f>
        <v>0</v>
      </c>
      <c r="S94" s="50">
        <f>IFERROR(ROUND(IF($D94="主任",VLOOKUP($B:$B,科室绩效工资核算1!$B:S,MATCH("中药积分", 科室绩效工资核算1!$B$3:$AN$3,0),0)/(中层绩效!$E94+VLOOKUP($B:$B,人员表!$B:$G,MATCH("医疗组",人员表!$B$3:$G$3,0),0))*中层绩效!$E94,0),0),0)</f>
        <v>0</v>
      </c>
      <c r="T94" s="50">
        <f>IFERROR(ROUND(IF($D94="护士长",VLOOKUP($B:$B,科室绩效工资核算1!$B:T,MATCH("护理风险积分", 科室绩效工资核算1!$B$3:$AN$3,0),0)/(中层绩效!$E94+VLOOKUP($B:$B,人员表!$B:$G,MATCH("护理组",人员表!$B$3:$G$3,0),0))*中层绩效!$E94,0),0),0)</f>
        <v>0</v>
      </c>
      <c r="U94" s="43">
        <f>F94*科室绩效工资核算1!AQ$7</f>
        <v>0</v>
      </c>
      <c r="V94" s="43">
        <f t="shared" si="1"/>
        <v>1970.7904000000001</v>
      </c>
      <c r="W94" s="43">
        <f>V94*科室绩效工资核算1!AQ$10</f>
        <v>2119.9792332800002</v>
      </c>
    </row>
    <row r="95" spans="2:23" x14ac:dyDescent="0.25">
      <c r="B95" s="51" t="str">
        <f>中层系数!B96</f>
        <v>医保办</v>
      </c>
      <c r="C95" s="5" t="str">
        <f>中层系数!C96</f>
        <v>测试93</v>
      </c>
      <c r="D95" s="5" t="str">
        <f>VLOOKUP(C:C,中层系数!C:I,7,0)</f>
        <v>副主任</v>
      </c>
      <c r="E95" s="5">
        <f>VLOOKUP(C:C,中层系数!C:I,6,0)</f>
        <v>1.04</v>
      </c>
      <c r="F95" s="5">
        <f>VLOOKUP(C:C,中层系数!C:I,5,0)</f>
        <v>0</v>
      </c>
      <c r="G95" s="43">
        <f>E95*科室绩效工资核算1!AQ$7</f>
        <v>1601.2672000000002</v>
      </c>
      <c r="H95" s="50">
        <f>IFERROR(ROUND(IF(D95="主任",VLOOKUP($B:$B,科室绩效工资核算1!$B:H,MATCH("首诊风险积分", 科室绩效工资核算1!$B$3:$AN$3,0),0)/(中层绩效!$E95+VLOOKUP($B:$B,人员表!$B:$G,MATCH("医疗组",人员表!$B$3:$G$3,0),0))*中层绩效!$E95,0),0),0)</f>
        <v>0</v>
      </c>
      <c r="I95" s="50">
        <f>IFERROR(ROUND(IF($D95="主任",VLOOKUP($B:$B,科室绩效工资核算1!$B:I,MATCH("病历质量积分", 科室绩效工资核算1!$B$3:$AN$3,0),0)/(中层绩效!$E95+VLOOKUP($B:$B,人员表!$B:$G,MATCH("医疗组",人员表!$B$3:$G$3,0),0))*中层绩效!$E95,0),0),0)</f>
        <v>0</v>
      </c>
      <c r="J95" s="50">
        <f>IFERROR(ROUND(IF($D95="主任",VLOOKUP($B:$B,科室绩效工资核算1!$B:J,MATCH("门诊人次积分", 科室绩效工资核算1!$B$3:$AN$3,0),0)/(中层绩效!$E95+VLOOKUP($B:$B,人员表!$B:$G,MATCH("医疗组",人员表!$B$3:$G$3,0),0))*中层绩效!$E95,0),0),0)</f>
        <v>0</v>
      </c>
      <c r="K95" s="50">
        <f>IFERROR(ROUND(IF($D95="主任",VLOOKUP($B:$B,科室绩效工资核算1!$B:K,MATCH("临床路径积分", 科室绩效工资核算1!$B$3:$AN$3,0),0)/(中层绩效!$E95+VLOOKUP($B:$B,人员表!$B:$G,MATCH("医疗组",人员表!$B$3:$G$3,0),0))*中层绩效!$E95,0),0),0)</f>
        <v>0</v>
      </c>
      <c r="L95" s="50">
        <f>IFERROR(ROUND(IF($D95="主任",VLOOKUP($B:$B,科室绩效工资核算1!$B:L,MATCH("麻醉风险积分", 科室绩效工资核算1!$B$3:$AN$3,0),0)/(中层绩效!$E95+VLOOKUP($B:$B,人员表!$B:$G,MATCH("医疗组",人员表!$B$3:$G$3,0),0))*中层绩效!$E95,0),0),0)</f>
        <v>0</v>
      </c>
      <c r="M95" s="50">
        <f>IFERROR(ROUND(IF($D95="主任",VLOOKUP($B:$B,科室绩效工资核算1!$B:M,MATCH("分娩风险积分", 科室绩效工资核算1!$B$3:$AN$3,0),0)/(中层绩效!$E95+VLOOKUP($B:$B,人员表!$B:$G,MATCH("医疗组",人员表!$B$3:$G$3,0),0))*中层绩效!$E95,0),0),0)</f>
        <v>0</v>
      </c>
      <c r="N95" s="50">
        <f>IFERROR(ROUND(IF($D95="主任",VLOOKUP($B:$B,科室绩效工资核算1!$B:N,MATCH("肿瘤支气管镜", 科室绩效工资核算1!$B$3:$AN$3,0),0)/(中层绩效!$E95+VLOOKUP($B:$B,人员表!$B:$G,MATCH("医疗组",人员表!$B$3:$G$3,0),0))*中层绩效!$E95,0),0),0)</f>
        <v>0</v>
      </c>
      <c r="O95" s="50">
        <f>IFERROR(ROUND(IF($D95="主任",VLOOKUP($B:$B,科室绩效工资核算1!$B:O,MATCH("会诊风险积分", 科室绩效工资核算1!$B$3:$AN$3,0),0)/(中层绩效!$E95+VLOOKUP($B:$B,人员表!$B:$G,MATCH("医疗组",人员表!$B$3:$G$3,0),0))*中层绩效!$E95,0),0),0)</f>
        <v>0</v>
      </c>
      <c r="P95" s="50">
        <f>IFERROR(ROUND(IF($D95="主任",VLOOKUP($B:$B,科室绩效工资核算1!$B:P,MATCH("换药风险积分", 科室绩效工资核算1!$B$3:$AN$3,0),0)/(中层绩效!$E95+VLOOKUP($B:$B,人员表!$B:$G,MATCH("医疗组",人员表!$B$3:$G$3,0),0))*中层绩效!$E95,0),0),0)</f>
        <v>0</v>
      </c>
      <c r="Q95" s="50">
        <f>IFERROR(ROUND(IF($D95="主任",VLOOKUP($B:$B,科室绩效工资核算1!$B:Q,MATCH("功能康复积分", 科室绩效工资核算1!$B$3:$AN$3,0),0)/(中层绩效!$E95+VLOOKUP($B:$B,人员表!$B:$G,MATCH("医疗组",人员表!$B$3:$G$3,0),0))*中层绩效!$E95,0),0),0)</f>
        <v>0</v>
      </c>
      <c r="R95" s="50">
        <f>IFERROR(ROUND(IF($D95="主任",VLOOKUP($B:$B,科室绩效工资核算1!$B:R,MATCH("中医外治积分", 科室绩效工资核算1!$B$3:$AN$3,0),0)/(中层绩效!$E95+VLOOKUP($B:$B,人员表!$B:$G,MATCH("医疗组",人员表!$B$3:$G$3,0),0))*中层绩效!$E95,0),0),0)</f>
        <v>0</v>
      </c>
      <c r="S95" s="50">
        <f>IFERROR(ROUND(IF($D95="主任",VLOOKUP($B:$B,科室绩效工资核算1!$B:S,MATCH("中药积分", 科室绩效工资核算1!$B$3:$AN$3,0),0)/(中层绩效!$E95+VLOOKUP($B:$B,人员表!$B:$G,MATCH("医疗组",人员表!$B$3:$G$3,0),0))*中层绩效!$E95,0),0),0)</f>
        <v>0</v>
      </c>
      <c r="T95" s="50">
        <f>IFERROR(ROUND(IF($D95="护士长",VLOOKUP($B:$B,科室绩效工资核算1!$B:T,MATCH("护理风险积分", 科室绩效工资核算1!$B$3:$AN$3,0),0)/(中层绩效!$E95+VLOOKUP($B:$B,人员表!$B:$G,MATCH("护理组",人员表!$B$3:$G$3,0),0))*中层绩效!$E95,0),0),0)</f>
        <v>0</v>
      </c>
      <c r="U95" s="43">
        <f>F95*科室绩效工资核算1!AQ$7</f>
        <v>0</v>
      </c>
      <c r="V95" s="43">
        <f t="shared" si="1"/>
        <v>1601.2672000000002</v>
      </c>
      <c r="W95" s="43">
        <f>V95*科室绩效工资核算1!AQ$10</f>
        <v>1722.4831270400005</v>
      </c>
    </row>
    <row r="96" spans="2:23" x14ac:dyDescent="0.25">
      <c r="B96" s="51" t="str">
        <f>中层系数!B97</f>
        <v>院办</v>
      </c>
      <c r="C96" s="5" t="str">
        <f>中层系数!C97</f>
        <v>测试94</v>
      </c>
      <c r="D96" s="5" t="str">
        <f>VLOOKUP(C:C,中层系数!C:I,7,0)</f>
        <v>主任</v>
      </c>
      <c r="E96" s="5">
        <f>VLOOKUP(C:C,中层系数!C:I,6,0)</f>
        <v>2.56</v>
      </c>
      <c r="F96" s="5">
        <f>VLOOKUP(C:C,中层系数!C:I,5,0)</f>
        <v>0.3</v>
      </c>
      <c r="G96" s="43">
        <f>E96*科室绩效工资核算1!AQ$7</f>
        <v>3941.5808000000002</v>
      </c>
      <c r="H96" s="50">
        <f>IFERROR(ROUND(IF(D96="主任",VLOOKUP($B:$B,科室绩效工资核算1!$B:H,MATCH("首诊风险积分", 科室绩效工资核算1!$B$3:$AN$3,0),0)/(中层绩效!$E96+VLOOKUP($B:$B,人员表!$B:$G,MATCH("医疗组",人员表!$B$3:$G$3,0),0))*中层绩效!$E96,0),0),0)</f>
        <v>0</v>
      </c>
      <c r="I96" s="50">
        <f>IFERROR(ROUND(IF($D96="主任",VLOOKUP($B:$B,科室绩效工资核算1!$B:I,MATCH("病历质量积分", 科室绩效工资核算1!$B$3:$AN$3,0),0)/(中层绩效!$E96+VLOOKUP($B:$B,人员表!$B:$G,MATCH("医疗组",人员表!$B$3:$G$3,0),0))*中层绩效!$E96,0),0),0)</f>
        <v>0</v>
      </c>
      <c r="J96" s="50">
        <f>IFERROR(ROUND(IF($D96="主任",VLOOKUP($B:$B,科室绩效工资核算1!$B:J,MATCH("门诊人次积分", 科室绩效工资核算1!$B$3:$AN$3,0),0)/(中层绩效!$E96+VLOOKUP($B:$B,人员表!$B:$G,MATCH("医疗组",人员表!$B$3:$G$3,0),0))*中层绩效!$E96,0),0),0)</f>
        <v>0</v>
      </c>
      <c r="K96" s="50">
        <f>IFERROR(ROUND(IF($D96="主任",VLOOKUP($B:$B,科室绩效工资核算1!$B:K,MATCH("临床路径积分", 科室绩效工资核算1!$B$3:$AN$3,0),0)/(中层绩效!$E96+VLOOKUP($B:$B,人员表!$B:$G,MATCH("医疗组",人员表!$B$3:$G$3,0),0))*中层绩效!$E96,0),0),0)</f>
        <v>0</v>
      </c>
      <c r="L96" s="50">
        <f>IFERROR(ROUND(IF($D96="主任",VLOOKUP($B:$B,科室绩效工资核算1!$B:L,MATCH("麻醉风险积分", 科室绩效工资核算1!$B$3:$AN$3,0),0)/(中层绩效!$E96+VLOOKUP($B:$B,人员表!$B:$G,MATCH("医疗组",人员表!$B$3:$G$3,0),0))*中层绩效!$E96,0),0),0)</f>
        <v>0</v>
      </c>
      <c r="M96" s="50">
        <f>IFERROR(ROUND(IF($D96="主任",VLOOKUP($B:$B,科室绩效工资核算1!$B:M,MATCH("分娩风险积分", 科室绩效工资核算1!$B$3:$AN$3,0),0)/(中层绩效!$E96+VLOOKUP($B:$B,人员表!$B:$G,MATCH("医疗组",人员表!$B$3:$G$3,0),0))*中层绩效!$E96,0),0),0)</f>
        <v>0</v>
      </c>
      <c r="N96" s="50">
        <f>IFERROR(ROUND(IF($D96="主任",VLOOKUP($B:$B,科室绩效工资核算1!$B:N,MATCH("肿瘤支气管镜", 科室绩效工资核算1!$B$3:$AN$3,0),0)/(中层绩效!$E96+VLOOKUP($B:$B,人员表!$B:$G,MATCH("医疗组",人员表!$B$3:$G$3,0),0))*中层绩效!$E96,0),0),0)</f>
        <v>0</v>
      </c>
      <c r="O96" s="50">
        <f>IFERROR(ROUND(IF($D96="主任",VLOOKUP($B:$B,科室绩效工资核算1!$B:O,MATCH("会诊风险积分", 科室绩效工资核算1!$B$3:$AN$3,0),0)/(中层绩效!$E96+VLOOKUP($B:$B,人员表!$B:$G,MATCH("医疗组",人员表!$B$3:$G$3,0),0))*中层绩效!$E96,0),0),0)</f>
        <v>0</v>
      </c>
      <c r="P96" s="50">
        <f>IFERROR(ROUND(IF($D96="主任",VLOOKUP($B:$B,科室绩效工资核算1!$B:P,MATCH("换药风险积分", 科室绩效工资核算1!$B$3:$AN$3,0),0)/(中层绩效!$E96+VLOOKUP($B:$B,人员表!$B:$G,MATCH("医疗组",人员表!$B$3:$G$3,0),0))*中层绩效!$E96,0),0),0)</f>
        <v>0</v>
      </c>
      <c r="Q96" s="50">
        <f>IFERROR(ROUND(IF($D96="主任",VLOOKUP($B:$B,科室绩效工资核算1!$B:Q,MATCH("功能康复积分", 科室绩效工资核算1!$B$3:$AN$3,0),0)/(中层绩效!$E96+VLOOKUP($B:$B,人员表!$B:$G,MATCH("医疗组",人员表!$B$3:$G$3,0),0))*中层绩效!$E96,0),0),0)</f>
        <v>0</v>
      </c>
      <c r="R96" s="50">
        <f>IFERROR(ROUND(IF($D96="主任",VLOOKUP($B:$B,科室绩效工资核算1!$B:R,MATCH("中医外治积分", 科室绩效工资核算1!$B$3:$AN$3,0),0)/(中层绩效!$E96+VLOOKUP($B:$B,人员表!$B:$G,MATCH("医疗组",人员表!$B$3:$G$3,0),0))*中层绩效!$E96,0),0),0)</f>
        <v>0</v>
      </c>
      <c r="S96" s="50">
        <f>IFERROR(ROUND(IF($D96="主任",VLOOKUP($B:$B,科室绩效工资核算1!$B:S,MATCH("中药积分", 科室绩效工资核算1!$B$3:$AN$3,0),0)/(中层绩效!$E96+VLOOKUP($B:$B,人员表!$B:$G,MATCH("医疗组",人员表!$B$3:$G$3,0),0))*中层绩效!$E96,0),0),0)</f>
        <v>0</v>
      </c>
      <c r="T96" s="50">
        <f>IFERROR(ROUND(IF($D96="护士长",VLOOKUP($B:$B,科室绩效工资核算1!$B:T,MATCH("护理风险积分", 科室绩效工资核算1!$B$3:$AN$3,0),0)/(中层绩效!$E96+VLOOKUP($B:$B,人员表!$B:$G,MATCH("护理组",人员表!$B$3:$G$3,0),0))*中层绩效!$E96,0),0),0)</f>
        <v>0</v>
      </c>
      <c r="U96" s="43">
        <f>F96*科室绩效工资核算1!AQ$7</f>
        <v>461.904</v>
      </c>
      <c r="V96" s="43">
        <f t="shared" si="1"/>
        <v>4403.4848000000002</v>
      </c>
      <c r="W96" s="43">
        <f>V96*科室绩效工资核算1!AQ$10</f>
        <v>4736.8285993600002</v>
      </c>
    </row>
    <row r="97" spans="2:23" x14ac:dyDescent="0.25">
      <c r="B97" s="51" t="str">
        <f>中层系数!B98</f>
        <v>院办</v>
      </c>
      <c r="C97" s="5" t="str">
        <f>中层系数!C98</f>
        <v>测试95</v>
      </c>
      <c r="D97" s="5" t="str">
        <f>VLOOKUP(C:C,中层系数!C:I,7,0)</f>
        <v>副主任</v>
      </c>
      <c r="E97" s="5">
        <f>VLOOKUP(C:C,中层系数!C:I,6,0)</f>
        <v>1.04</v>
      </c>
      <c r="F97" s="5">
        <f>VLOOKUP(C:C,中层系数!C:I,5,0)</f>
        <v>0</v>
      </c>
      <c r="G97" s="43">
        <f>E97*科室绩效工资核算1!AQ$7</f>
        <v>1601.2672000000002</v>
      </c>
      <c r="H97" s="50">
        <f>IFERROR(ROUND(IF(D97="主任",VLOOKUP($B:$B,科室绩效工资核算1!$B:H,MATCH("首诊风险积分", 科室绩效工资核算1!$B$3:$AN$3,0),0)/(中层绩效!$E97+VLOOKUP($B:$B,人员表!$B:$G,MATCH("医疗组",人员表!$B$3:$G$3,0),0))*中层绩效!$E97,0),0),0)</f>
        <v>0</v>
      </c>
      <c r="I97" s="50">
        <f>IFERROR(ROUND(IF($D97="主任",VLOOKUP($B:$B,科室绩效工资核算1!$B:I,MATCH("病历质量积分", 科室绩效工资核算1!$B$3:$AN$3,0),0)/(中层绩效!$E97+VLOOKUP($B:$B,人员表!$B:$G,MATCH("医疗组",人员表!$B$3:$G$3,0),0))*中层绩效!$E97,0),0),0)</f>
        <v>0</v>
      </c>
      <c r="J97" s="50">
        <f>IFERROR(ROUND(IF($D97="主任",VLOOKUP($B:$B,科室绩效工资核算1!$B:J,MATCH("门诊人次积分", 科室绩效工资核算1!$B$3:$AN$3,0),0)/(中层绩效!$E97+VLOOKUP($B:$B,人员表!$B:$G,MATCH("医疗组",人员表!$B$3:$G$3,0),0))*中层绩效!$E97,0),0),0)</f>
        <v>0</v>
      </c>
      <c r="K97" s="50">
        <f>IFERROR(ROUND(IF($D97="主任",VLOOKUP($B:$B,科室绩效工资核算1!$B:K,MATCH("临床路径积分", 科室绩效工资核算1!$B$3:$AN$3,0),0)/(中层绩效!$E97+VLOOKUP($B:$B,人员表!$B:$G,MATCH("医疗组",人员表!$B$3:$G$3,0),0))*中层绩效!$E97,0),0),0)</f>
        <v>0</v>
      </c>
      <c r="L97" s="50">
        <f>IFERROR(ROUND(IF($D97="主任",VLOOKUP($B:$B,科室绩效工资核算1!$B:L,MATCH("麻醉风险积分", 科室绩效工资核算1!$B$3:$AN$3,0),0)/(中层绩效!$E97+VLOOKUP($B:$B,人员表!$B:$G,MATCH("医疗组",人员表!$B$3:$G$3,0),0))*中层绩效!$E97,0),0),0)</f>
        <v>0</v>
      </c>
      <c r="M97" s="50">
        <f>IFERROR(ROUND(IF($D97="主任",VLOOKUP($B:$B,科室绩效工资核算1!$B:M,MATCH("分娩风险积分", 科室绩效工资核算1!$B$3:$AN$3,0),0)/(中层绩效!$E97+VLOOKUP($B:$B,人员表!$B:$G,MATCH("医疗组",人员表!$B$3:$G$3,0),0))*中层绩效!$E97,0),0),0)</f>
        <v>0</v>
      </c>
      <c r="N97" s="50">
        <f>IFERROR(ROUND(IF($D97="主任",VLOOKUP($B:$B,科室绩效工资核算1!$B:N,MATCH("肿瘤支气管镜", 科室绩效工资核算1!$B$3:$AN$3,0),0)/(中层绩效!$E97+VLOOKUP($B:$B,人员表!$B:$G,MATCH("医疗组",人员表!$B$3:$G$3,0),0))*中层绩效!$E97,0),0),0)</f>
        <v>0</v>
      </c>
      <c r="O97" s="50">
        <f>IFERROR(ROUND(IF($D97="主任",VLOOKUP($B:$B,科室绩效工资核算1!$B:O,MATCH("会诊风险积分", 科室绩效工资核算1!$B$3:$AN$3,0),0)/(中层绩效!$E97+VLOOKUP($B:$B,人员表!$B:$G,MATCH("医疗组",人员表!$B$3:$G$3,0),0))*中层绩效!$E97,0),0),0)</f>
        <v>0</v>
      </c>
      <c r="P97" s="50">
        <f>IFERROR(ROUND(IF($D97="主任",VLOOKUP($B:$B,科室绩效工资核算1!$B:P,MATCH("换药风险积分", 科室绩效工资核算1!$B$3:$AN$3,0),0)/(中层绩效!$E97+VLOOKUP($B:$B,人员表!$B:$G,MATCH("医疗组",人员表!$B$3:$G$3,0),0))*中层绩效!$E97,0),0),0)</f>
        <v>0</v>
      </c>
      <c r="Q97" s="50">
        <f>IFERROR(ROUND(IF($D97="主任",VLOOKUP($B:$B,科室绩效工资核算1!$B:Q,MATCH("功能康复积分", 科室绩效工资核算1!$B$3:$AN$3,0),0)/(中层绩效!$E97+VLOOKUP($B:$B,人员表!$B:$G,MATCH("医疗组",人员表!$B$3:$G$3,0),0))*中层绩效!$E97,0),0),0)</f>
        <v>0</v>
      </c>
      <c r="R97" s="50">
        <f>IFERROR(ROUND(IF($D97="主任",VLOOKUP($B:$B,科室绩效工资核算1!$B:R,MATCH("中医外治积分", 科室绩效工资核算1!$B$3:$AN$3,0),0)/(中层绩效!$E97+VLOOKUP($B:$B,人员表!$B:$G,MATCH("医疗组",人员表!$B$3:$G$3,0),0))*中层绩效!$E97,0),0),0)</f>
        <v>0</v>
      </c>
      <c r="S97" s="50">
        <f>IFERROR(ROUND(IF($D97="主任",VLOOKUP($B:$B,科室绩效工资核算1!$B:S,MATCH("中药积分", 科室绩效工资核算1!$B$3:$AN$3,0),0)/(中层绩效!$E97+VLOOKUP($B:$B,人员表!$B:$G,MATCH("医疗组",人员表!$B$3:$G$3,0),0))*中层绩效!$E97,0),0),0)</f>
        <v>0</v>
      </c>
      <c r="T97" s="50">
        <f>IFERROR(ROUND(IF($D97="护士长",VLOOKUP($B:$B,科室绩效工资核算1!$B:T,MATCH("护理风险积分", 科室绩效工资核算1!$B$3:$AN$3,0),0)/(中层绩效!$E97+VLOOKUP($B:$B,人员表!$B:$G,MATCH("护理组",人员表!$B$3:$G$3,0),0))*中层绩效!$E97,0),0),0)</f>
        <v>0</v>
      </c>
      <c r="U97" s="43">
        <f>F97*科室绩效工资核算1!AQ$7</f>
        <v>0</v>
      </c>
      <c r="V97" s="43">
        <f t="shared" si="1"/>
        <v>1601.2672000000002</v>
      </c>
      <c r="W97" s="43">
        <f>V97*科室绩效工资核算1!AQ$10</f>
        <v>1722.4831270400005</v>
      </c>
    </row>
    <row r="98" spans="2:23" x14ac:dyDescent="0.25">
      <c r="B98" s="51" t="str">
        <f>中层系数!B99</f>
        <v>院办</v>
      </c>
      <c r="C98" s="5" t="str">
        <f>中层系数!C99</f>
        <v>测试96</v>
      </c>
      <c r="D98" s="5" t="str">
        <f>VLOOKUP(C:C,中层系数!C:I,7,0)</f>
        <v>副主任</v>
      </c>
      <c r="E98" s="5">
        <f>VLOOKUP(C:C,中层系数!C:I,6,0)</f>
        <v>1.04</v>
      </c>
      <c r="F98" s="5">
        <f>VLOOKUP(C:C,中层系数!C:I,5,0)</f>
        <v>0</v>
      </c>
      <c r="G98" s="43">
        <f>E98*科室绩效工资核算1!AQ$7</f>
        <v>1601.2672000000002</v>
      </c>
      <c r="H98" s="50">
        <f>IFERROR(ROUND(IF(D98="主任",VLOOKUP($B:$B,科室绩效工资核算1!$B:H,MATCH("首诊风险积分", 科室绩效工资核算1!$B$3:$AN$3,0),0)/(中层绩效!$E98+VLOOKUP($B:$B,人员表!$B:$G,MATCH("医疗组",人员表!$B$3:$G$3,0),0))*中层绩效!$E98,0),0),0)</f>
        <v>0</v>
      </c>
      <c r="I98" s="50">
        <f>IFERROR(ROUND(IF($D98="主任",VLOOKUP($B:$B,科室绩效工资核算1!$B:I,MATCH("病历质量积分", 科室绩效工资核算1!$B$3:$AN$3,0),0)/(中层绩效!$E98+VLOOKUP($B:$B,人员表!$B:$G,MATCH("医疗组",人员表!$B$3:$G$3,0),0))*中层绩效!$E98,0),0),0)</f>
        <v>0</v>
      </c>
      <c r="J98" s="50">
        <f>IFERROR(ROUND(IF($D98="主任",VLOOKUP($B:$B,科室绩效工资核算1!$B:J,MATCH("门诊人次积分", 科室绩效工资核算1!$B$3:$AN$3,0),0)/(中层绩效!$E98+VLOOKUP($B:$B,人员表!$B:$G,MATCH("医疗组",人员表!$B$3:$G$3,0),0))*中层绩效!$E98,0),0),0)</f>
        <v>0</v>
      </c>
      <c r="K98" s="50">
        <f>IFERROR(ROUND(IF($D98="主任",VLOOKUP($B:$B,科室绩效工资核算1!$B:K,MATCH("临床路径积分", 科室绩效工资核算1!$B$3:$AN$3,0),0)/(中层绩效!$E98+VLOOKUP($B:$B,人员表!$B:$G,MATCH("医疗组",人员表!$B$3:$G$3,0),0))*中层绩效!$E98,0),0),0)</f>
        <v>0</v>
      </c>
      <c r="L98" s="50">
        <f>IFERROR(ROUND(IF($D98="主任",VLOOKUP($B:$B,科室绩效工资核算1!$B:L,MATCH("麻醉风险积分", 科室绩效工资核算1!$B$3:$AN$3,0),0)/(中层绩效!$E98+VLOOKUP($B:$B,人员表!$B:$G,MATCH("医疗组",人员表!$B$3:$G$3,0),0))*中层绩效!$E98,0),0),0)</f>
        <v>0</v>
      </c>
      <c r="M98" s="50">
        <f>IFERROR(ROUND(IF($D98="主任",VLOOKUP($B:$B,科室绩效工资核算1!$B:M,MATCH("分娩风险积分", 科室绩效工资核算1!$B$3:$AN$3,0),0)/(中层绩效!$E98+VLOOKUP($B:$B,人员表!$B:$G,MATCH("医疗组",人员表!$B$3:$G$3,0),0))*中层绩效!$E98,0),0),0)</f>
        <v>0</v>
      </c>
      <c r="N98" s="50">
        <f>IFERROR(ROUND(IF($D98="主任",VLOOKUP($B:$B,科室绩效工资核算1!$B:N,MATCH("肿瘤支气管镜", 科室绩效工资核算1!$B$3:$AN$3,0),0)/(中层绩效!$E98+VLOOKUP($B:$B,人员表!$B:$G,MATCH("医疗组",人员表!$B$3:$G$3,0),0))*中层绩效!$E98,0),0),0)</f>
        <v>0</v>
      </c>
      <c r="O98" s="50">
        <f>IFERROR(ROUND(IF($D98="主任",VLOOKUP($B:$B,科室绩效工资核算1!$B:O,MATCH("会诊风险积分", 科室绩效工资核算1!$B$3:$AN$3,0),0)/(中层绩效!$E98+VLOOKUP($B:$B,人员表!$B:$G,MATCH("医疗组",人员表!$B$3:$G$3,0),0))*中层绩效!$E98,0),0),0)</f>
        <v>0</v>
      </c>
      <c r="P98" s="50">
        <f>IFERROR(ROUND(IF($D98="主任",VLOOKUP($B:$B,科室绩效工资核算1!$B:P,MATCH("换药风险积分", 科室绩效工资核算1!$B$3:$AN$3,0),0)/(中层绩效!$E98+VLOOKUP($B:$B,人员表!$B:$G,MATCH("医疗组",人员表!$B$3:$G$3,0),0))*中层绩效!$E98,0),0),0)</f>
        <v>0</v>
      </c>
      <c r="Q98" s="50">
        <f>IFERROR(ROUND(IF($D98="主任",VLOOKUP($B:$B,科室绩效工资核算1!$B:Q,MATCH("功能康复积分", 科室绩效工资核算1!$B$3:$AN$3,0),0)/(中层绩效!$E98+VLOOKUP($B:$B,人员表!$B:$G,MATCH("医疗组",人员表!$B$3:$G$3,0),0))*中层绩效!$E98,0),0),0)</f>
        <v>0</v>
      </c>
      <c r="R98" s="50">
        <f>IFERROR(ROUND(IF($D98="主任",VLOOKUP($B:$B,科室绩效工资核算1!$B:R,MATCH("中医外治积分", 科室绩效工资核算1!$B$3:$AN$3,0),0)/(中层绩效!$E98+VLOOKUP($B:$B,人员表!$B:$G,MATCH("医疗组",人员表!$B$3:$G$3,0),0))*中层绩效!$E98,0),0),0)</f>
        <v>0</v>
      </c>
      <c r="S98" s="50">
        <f>IFERROR(ROUND(IF($D98="主任",VLOOKUP($B:$B,科室绩效工资核算1!$B:S,MATCH("中药积分", 科室绩效工资核算1!$B$3:$AN$3,0),0)/(中层绩效!$E98+VLOOKUP($B:$B,人员表!$B:$G,MATCH("医疗组",人员表!$B$3:$G$3,0),0))*中层绩效!$E98,0),0),0)</f>
        <v>0</v>
      </c>
      <c r="T98" s="50">
        <f>IFERROR(ROUND(IF($D98="护士长",VLOOKUP($B:$B,科室绩效工资核算1!$B:T,MATCH("护理风险积分", 科室绩效工资核算1!$B$3:$AN$3,0),0)/(中层绩效!$E98+VLOOKUP($B:$B,人员表!$B:$G,MATCH("护理组",人员表!$B$3:$G$3,0),0))*中层绩效!$E98,0),0),0)</f>
        <v>0</v>
      </c>
      <c r="U98" s="43">
        <f>F98*科室绩效工资核算1!AQ$7</f>
        <v>0</v>
      </c>
      <c r="V98" s="43">
        <f t="shared" si="1"/>
        <v>1601.2672000000002</v>
      </c>
      <c r="W98" s="43">
        <f>V98*科室绩效工资核算1!AQ$10</f>
        <v>1722.4831270400005</v>
      </c>
    </row>
    <row r="99" spans="2:23" x14ac:dyDescent="0.25">
      <c r="B99" s="51" t="str">
        <f>中层系数!B100</f>
        <v>院办</v>
      </c>
      <c r="C99" s="5" t="str">
        <f>中层系数!C100</f>
        <v>测试97</v>
      </c>
      <c r="D99" s="5" t="str">
        <f>VLOOKUP(C:C,中层系数!C:I,7,0)</f>
        <v>副主任</v>
      </c>
      <c r="E99" s="5">
        <f>VLOOKUP(C:C,中层系数!C:I,6,0)</f>
        <v>1.04</v>
      </c>
      <c r="F99" s="5">
        <f>VLOOKUP(C:C,中层系数!C:I,5,0)</f>
        <v>0</v>
      </c>
      <c r="G99" s="43">
        <f>E99*科室绩效工资核算1!AQ$7</f>
        <v>1601.2672000000002</v>
      </c>
      <c r="H99" s="50">
        <f>IFERROR(ROUND(IF(D99="主任",VLOOKUP($B:$B,科室绩效工资核算1!$B:H,MATCH("首诊风险积分", 科室绩效工资核算1!$B$3:$AN$3,0),0)/(中层绩效!$E99+VLOOKUP($B:$B,人员表!$B:$G,MATCH("医疗组",人员表!$B$3:$G$3,0),0))*中层绩效!$E99,0),0),0)</f>
        <v>0</v>
      </c>
      <c r="I99" s="50">
        <f>IFERROR(ROUND(IF($D99="主任",VLOOKUP($B:$B,科室绩效工资核算1!$B:I,MATCH("病历质量积分", 科室绩效工资核算1!$B$3:$AN$3,0),0)/(中层绩效!$E99+VLOOKUP($B:$B,人员表!$B:$G,MATCH("医疗组",人员表!$B$3:$G$3,0),0))*中层绩效!$E99,0),0),0)</f>
        <v>0</v>
      </c>
      <c r="J99" s="50">
        <f>IFERROR(ROUND(IF($D99="主任",VLOOKUP($B:$B,科室绩效工资核算1!$B:J,MATCH("门诊人次积分", 科室绩效工资核算1!$B$3:$AN$3,0),0)/(中层绩效!$E99+VLOOKUP($B:$B,人员表!$B:$G,MATCH("医疗组",人员表!$B$3:$G$3,0),0))*中层绩效!$E99,0),0),0)</f>
        <v>0</v>
      </c>
      <c r="K99" s="50">
        <f>IFERROR(ROUND(IF($D99="主任",VLOOKUP($B:$B,科室绩效工资核算1!$B:K,MATCH("临床路径积分", 科室绩效工资核算1!$B$3:$AN$3,0),0)/(中层绩效!$E99+VLOOKUP($B:$B,人员表!$B:$G,MATCH("医疗组",人员表!$B$3:$G$3,0),0))*中层绩效!$E99,0),0),0)</f>
        <v>0</v>
      </c>
      <c r="L99" s="50">
        <f>IFERROR(ROUND(IF($D99="主任",VLOOKUP($B:$B,科室绩效工资核算1!$B:L,MATCH("麻醉风险积分", 科室绩效工资核算1!$B$3:$AN$3,0),0)/(中层绩效!$E99+VLOOKUP($B:$B,人员表!$B:$G,MATCH("医疗组",人员表!$B$3:$G$3,0),0))*中层绩效!$E99,0),0),0)</f>
        <v>0</v>
      </c>
      <c r="M99" s="50">
        <f>IFERROR(ROUND(IF($D99="主任",VLOOKUP($B:$B,科室绩效工资核算1!$B:M,MATCH("分娩风险积分", 科室绩效工资核算1!$B$3:$AN$3,0),0)/(中层绩效!$E99+VLOOKUP($B:$B,人员表!$B:$G,MATCH("医疗组",人员表!$B$3:$G$3,0),0))*中层绩效!$E99,0),0),0)</f>
        <v>0</v>
      </c>
      <c r="N99" s="50">
        <f>IFERROR(ROUND(IF($D99="主任",VLOOKUP($B:$B,科室绩效工资核算1!$B:N,MATCH("肿瘤支气管镜", 科室绩效工资核算1!$B$3:$AN$3,0),0)/(中层绩效!$E99+VLOOKUP($B:$B,人员表!$B:$G,MATCH("医疗组",人员表!$B$3:$G$3,0),0))*中层绩效!$E99,0),0),0)</f>
        <v>0</v>
      </c>
      <c r="O99" s="50">
        <f>IFERROR(ROUND(IF($D99="主任",VLOOKUP($B:$B,科室绩效工资核算1!$B:O,MATCH("会诊风险积分", 科室绩效工资核算1!$B$3:$AN$3,0),0)/(中层绩效!$E99+VLOOKUP($B:$B,人员表!$B:$G,MATCH("医疗组",人员表!$B$3:$G$3,0),0))*中层绩效!$E99,0),0),0)</f>
        <v>0</v>
      </c>
      <c r="P99" s="50">
        <f>IFERROR(ROUND(IF($D99="主任",VLOOKUP($B:$B,科室绩效工资核算1!$B:P,MATCH("换药风险积分", 科室绩效工资核算1!$B$3:$AN$3,0),0)/(中层绩效!$E99+VLOOKUP($B:$B,人员表!$B:$G,MATCH("医疗组",人员表!$B$3:$G$3,0),0))*中层绩效!$E99,0),0),0)</f>
        <v>0</v>
      </c>
      <c r="Q99" s="50">
        <f>IFERROR(ROUND(IF($D99="主任",VLOOKUP($B:$B,科室绩效工资核算1!$B:Q,MATCH("功能康复积分", 科室绩效工资核算1!$B$3:$AN$3,0),0)/(中层绩效!$E99+VLOOKUP($B:$B,人员表!$B:$G,MATCH("医疗组",人员表!$B$3:$G$3,0),0))*中层绩效!$E99,0),0),0)</f>
        <v>0</v>
      </c>
      <c r="R99" s="50">
        <f>IFERROR(ROUND(IF($D99="主任",VLOOKUP($B:$B,科室绩效工资核算1!$B:R,MATCH("中医外治积分", 科室绩效工资核算1!$B$3:$AN$3,0),0)/(中层绩效!$E99+VLOOKUP($B:$B,人员表!$B:$G,MATCH("医疗组",人员表!$B$3:$G$3,0),0))*中层绩效!$E99,0),0),0)</f>
        <v>0</v>
      </c>
      <c r="S99" s="50">
        <f>IFERROR(ROUND(IF($D99="主任",VLOOKUP($B:$B,科室绩效工资核算1!$B:S,MATCH("中药积分", 科室绩效工资核算1!$B$3:$AN$3,0),0)/(中层绩效!$E99+VLOOKUP($B:$B,人员表!$B:$G,MATCH("医疗组",人员表!$B$3:$G$3,0),0))*中层绩效!$E99,0),0),0)</f>
        <v>0</v>
      </c>
      <c r="T99" s="50">
        <f>IFERROR(ROUND(IF($D99="护士长",VLOOKUP($B:$B,科室绩效工资核算1!$B:T,MATCH("护理风险积分", 科室绩效工资核算1!$B$3:$AN$3,0),0)/(中层绩效!$E99+VLOOKUP($B:$B,人员表!$B:$G,MATCH("护理组",人员表!$B$3:$G$3,0),0))*中层绩效!$E99,0),0),0)</f>
        <v>0</v>
      </c>
      <c r="U99" s="43">
        <f>F99*科室绩效工资核算1!AQ$7</f>
        <v>0</v>
      </c>
      <c r="V99" s="43">
        <f t="shared" si="1"/>
        <v>1601.2672000000002</v>
      </c>
      <c r="W99" s="43">
        <f>V99*科室绩效工资核算1!AQ$10</f>
        <v>1722.4831270400005</v>
      </c>
    </row>
    <row r="100" spans="2:23" x14ac:dyDescent="0.25">
      <c r="B100" s="51" t="str">
        <f>中层系数!B101</f>
        <v>器械科</v>
      </c>
      <c r="C100" s="5" t="str">
        <f>中层系数!C101</f>
        <v>测试98</v>
      </c>
      <c r="D100" s="5" t="str">
        <f>VLOOKUP(C:C,中层系数!C:I,7,0)</f>
        <v>主任</v>
      </c>
      <c r="E100" s="5">
        <f>VLOOKUP(C:C,中层系数!C:I,6,0)</f>
        <v>1.28</v>
      </c>
      <c r="F100" s="5">
        <f>VLOOKUP(C:C,中层系数!C:I,5,0)</f>
        <v>0</v>
      </c>
      <c r="G100" s="43">
        <f>E100*科室绩效工资核算1!AQ$7</f>
        <v>1970.7904000000001</v>
      </c>
      <c r="H100" s="50">
        <f>IFERROR(ROUND(IF(D100="主任",VLOOKUP($B:$B,科室绩效工资核算1!$B:H,MATCH("首诊风险积分", 科室绩效工资核算1!$B$3:$AN$3,0),0)/(中层绩效!$E100+VLOOKUP($B:$B,人员表!$B:$G,MATCH("医疗组",人员表!$B$3:$G$3,0),0))*中层绩效!$E100,0),0),0)</f>
        <v>0</v>
      </c>
      <c r="I100" s="50">
        <f>IFERROR(ROUND(IF($D100="主任",VLOOKUP($B:$B,科室绩效工资核算1!$B:I,MATCH("病历质量积分", 科室绩效工资核算1!$B$3:$AN$3,0),0)/(中层绩效!$E100+VLOOKUP($B:$B,人员表!$B:$G,MATCH("医疗组",人员表!$B$3:$G$3,0),0))*中层绩效!$E100,0),0),0)</f>
        <v>0</v>
      </c>
      <c r="J100" s="50">
        <f>IFERROR(ROUND(IF($D100="主任",VLOOKUP($B:$B,科室绩效工资核算1!$B:J,MATCH("门诊人次积分", 科室绩效工资核算1!$B$3:$AN$3,0),0)/(中层绩效!$E100+VLOOKUP($B:$B,人员表!$B:$G,MATCH("医疗组",人员表!$B$3:$G$3,0),0))*中层绩效!$E100,0),0),0)</f>
        <v>0</v>
      </c>
      <c r="K100" s="50">
        <f>IFERROR(ROUND(IF($D100="主任",VLOOKUP($B:$B,科室绩效工资核算1!$B:K,MATCH("临床路径积分", 科室绩效工资核算1!$B$3:$AN$3,0),0)/(中层绩效!$E100+VLOOKUP($B:$B,人员表!$B:$G,MATCH("医疗组",人员表!$B$3:$G$3,0),0))*中层绩效!$E100,0),0),0)</f>
        <v>0</v>
      </c>
      <c r="L100" s="50">
        <f>IFERROR(ROUND(IF($D100="主任",VLOOKUP($B:$B,科室绩效工资核算1!$B:L,MATCH("麻醉风险积分", 科室绩效工资核算1!$B$3:$AN$3,0),0)/(中层绩效!$E100+VLOOKUP($B:$B,人员表!$B:$G,MATCH("医疗组",人员表!$B$3:$G$3,0),0))*中层绩效!$E100,0),0),0)</f>
        <v>0</v>
      </c>
      <c r="M100" s="50">
        <f>IFERROR(ROUND(IF($D100="主任",VLOOKUP($B:$B,科室绩效工资核算1!$B:M,MATCH("分娩风险积分", 科室绩效工资核算1!$B$3:$AN$3,0),0)/(中层绩效!$E100+VLOOKUP($B:$B,人员表!$B:$G,MATCH("医疗组",人员表!$B$3:$G$3,0),0))*中层绩效!$E100,0),0),0)</f>
        <v>0</v>
      </c>
      <c r="N100" s="50">
        <f>IFERROR(ROUND(IF($D100="主任",VLOOKUP($B:$B,科室绩效工资核算1!$B:N,MATCH("肿瘤支气管镜", 科室绩效工资核算1!$B$3:$AN$3,0),0)/(中层绩效!$E100+VLOOKUP($B:$B,人员表!$B:$G,MATCH("医疗组",人员表!$B$3:$G$3,0),0))*中层绩效!$E100,0),0),0)</f>
        <v>0</v>
      </c>
      <c r="O100" s="50">
        <f>IFERROR(ROUND(IF($D100="主任",VLOOKUP($B:$B,科室绩效工资核算1!$B:O,MATCH("会诊风险积分", 科室绩效工资核算1!$B$3:$AN$3,0),0)/(中层绩效!$E100+VLOOKUP($B:$B,人员表!$B:$G,MATCH("医疗组",人员表!$B$3:$G$3,0),0))*中层绩效!$E100,0),0),0)</f>
        <v>0</v>
      </c>
      <c r="P100" s="50">
        <f>IFERROR(ROUND(IF($D100="主任",VLOOKUP($B:$B,科室绩效工资核算1!$B:P,MATCH("换药风险积分", 科室绩效工资核算1!$B$3:$AN$3,0),0)/(中层绩效!$E100+VLOOKUP($B:$B,人员表!$B:$G,MATCH("医疗组",人员表!$B$3:$G$3,0),0))*中层绩效!$E100,0),0),0)</f>
        <v>0</v>
      </c>
      <c r="Q100" s="50">
        <f>IFERROR(ROUND(IF($D100="主任",VLOOKUP($B:$B,科室绩效工资核算1!$B:Q,MATCH("功能康复积分", 科室绩效工资核算1!$B$3:$AN$3,0),0)/(中层绩效!$E100+VLOOKUP($B:$B,人员表!$B:$G,MATCH("医疗组",人员表!$B$3:$G$3,0),0))*中层绩效!$E100,0),0),0)</f>
        <v>0</v>
      </c>
      <c r="R100" s="50">
        <f>IFERROR(ROUND(IF($D100="主任",VLOOKUP($B:$B,科室绩效工资核算1!$B:R,MATCH("中医外治积分", 科室绩效工资核算1!$B$3:$AN$3,0),0)/(中层绩效!$E100+VLOOKUP($B:$B,人员表!$B:$G,MATCH("医疗组",人员表!$B$3:$G$3,0),0))*中层绩效!$E100,0),0),0)</f>
        <v>0</v>
      </c>
      <c r="S100" s="50">
        <f>IFERROR(ROUND(IF($D100="主任",VLOOKUP($B:$B,科室绩效工资核算1!$B:S,MATCH("中药积分", 科室绩效工资核算1!$B$3:$AN$3,0),0)/(中层绩效!$E100+VLOOKUP($B:$B,人员表!$B:$G,MATCH("医疗组",人员表!$B$3:$G$3,0),0))*中层绩效!$E100,0),0),0)</f>
        <v>0</v>
      </c>
      <c r="T100" s="50">
        <f>IFERROR(ROUND(IF($D100="护士长",VLOOKUP($B:$B,科室绩效工资核算1!$B:T,MATCH("护理风险积分", 科室绩效工资核算1!$B$3:$AN$3,0),0)/(中层绩效!$E100+VLOOKUP($B:$B,人员表!$B:$G,MATCH("护理组",人员表!$B$3:$G$3,0),0))*中层绩效!$E100,0),0),0)</f>
        <v>0</v>
      </c>
      <c r="U100" s="43">
        <f>F100*科室绩效工资核算1!AQ$7</f>
        <v>0</v>
      </c>
      <c r="V100" s="43">
        <f t="shared" si="1"/>
        <v>1970.7904000000001</v>
      </c>
      <c r="W100" s="43">
        <f>V100*科室绩效工资核算1!AQ$10</f>
        <v>2119.9792332800002</v>
      </c>
    </row>
    <row r="101" spans="2:23" x14ac:dyDescent="0.25">
      <c r="B101" s="51" t="str">
        <f>中层系数!B102</f>
        <v>器械科</v>
      </c>
      <c r="C101" s="5" t="str">
        <f>中层系数!C102</f>
        <v>测试99</v>
      </c>
      <c r="D101" s="5" t="str">
        <f>VLOOKUP(C:C,中层系数!C:I,7,0)</f>
        <v>副主任</v>
      </c>
      <c r="E101" s="5">
        <f>VLOOKUP(C:C,中层系数!C:I,6,0)</f>
        <v>1.04</v>
      </c>
      <c r="F101" s="5">
        <f>VLOOKUP(C:C,中层系数!C:I,5,0)</f>
        <v>0</v>
      </c>
      <c r="G101" s="43">
        <f>E101*科室绩效工资核算1!AQ$7</f>
        <v>1601.2672000000002</v>
      </c>
      <c r="H101" s="50">
        <f>IFERROR(ROUND(IF(D101="主任",VLOOKUP($B:$B,科室绩效工资核算1!$B:H,MATCH("首诊风险积分", 科室绩效工资核算1!$B$3:$AN$3,0),0)/(中层绩效!$E101+VLOOKUP($B:$B,人员表!$B:$G,MATCH("医疗组",人员表!$B$3:$G$3,0),0))*中层绩效!$E101,0),0),0)</f>
        <v>0</v>
      </c>
      <c r="I101" s="50">
        <f>IFERROR(ROUND(IF($D101="主任",VLOOKUP($B:$B,科室绩效工资核算1!$B:I,MATCH("病历质量积分", 科室绩效工资核算1!$B$3:$AN$3,0),0)/(中层绩效!$E101+VLOOKUP($B:$B,人员表!$B:$G,MATCH("医疗组",人员表!$B$3:$G$3,0),0))*中层绩效!$E101,0),0),0)</f>
        <v>0</v>
      </c>
      <c r="J101" s="50">
        <f>IFERROR(ROUND(IF($D101="主任",VLOOKUP($B:$B,科室绩效工资核算1!$B:J,MATCH("门诊人次积分", 科室绩效工资核算1!$B$3:$AN$3,0),0)/(中层绩效!$E101+VLOOKUP($B:$B,人员表!$B:$G,MATCH("医疗组",人员表!$B$3:$G$3,0),0))*中层绩效!$E101,0),0),0)</f>
        <v>0</v>
      </c>
      <c r="K101" s="50">
        <f>IFERROR(ROUND(IF($D101="主任",VLOOKUP($B:$B,科室绩效工资核算1!$B:K,MATCH("临床路径积分", 科室绩效工资核算1!$B$3:$AN$3,0),0)/(中层绩效!$E101+VLOOKUP($B:$B,人员表!$B:$G,MATCH("医疗组",人员表!$B$3:$G$3,0),0))*中层绩效!$E101,0),0),0)</f>
        <v>0</v>
      </c>
      <c r="L101" s="50">
        <f>IFERROR(ROUND(IF($D101="主任",VLOOKUP($B:$B,科室绩效工资核算1!$B:L,MATCH("麻醉风险积分", 科室绩效工资核算1!$B$3:$AN$3,0),0)/(中层绩效!$E101+VLOOKUP($B:$B,人员表!$B:$G,MATCH("医疗组",人员表!$B$3:$G$3,0),0))*中层绩效!$E101,0),0),0)</f>
        <v>0</v>
      </c>
      <c r="M101" s="50">
        <f>IFERROR(ROUND(IF($D101="主任",VLOOKUP($B:$B,科室绩效工资核算1!$B:M,MATCH("分娩风险积分", 科室绩效工资核算1!$B$3:$AN$3,0),0)/(中层绩效!$E101+VLOOKUP($B:$B,人员表!$B:$G,MATCH("医疗组",人员表!$B$3:$G$3,0),0))*中层绩效!$E101,0),0),0)</f>
        <v>0</v>
      </c>
      <c r="N101" s="50">
        <f>IFERROR(ROUND(IF($D101="主任",VLOOKUP($B:$B,科室绩效工资核算1!$B:N,MATCH("肿瘤支气管镜", 科室绩效工资核算1!$B$3:$AN$3,0),0)/(中层绩效!$E101+VLOOKUP($B:$B,人员表!$B:$G,MATCH("医疗组",人员表!$B$3:$G$3,0),0))*中层绩效!$E101,0),0),0)</f>
        <v>0</v>
      </c>
      <c r="O101" s="50">
        <f>IFERROR(ROUND(IF($D101="主任",VLOOKUP($B:$B,科室绩效工资核算1!$B:O,MATCH("会诊风险积分", 科室绩效工资核算1!$B$3:$AN$3,0),0)/(中层绩效!$E101+VLOOKUP($B:$B,人员表!$B:$G,MATCH("医疗组",人员表!$B$3:$G$3,0),0))*中层绩效!$E101,0),0),0)</f>
        <v>0</v>
      </c>
      <c r="P101" s="50">
        <f>IFERROR(ROUND(IF($D101="主任",VLOOKUP($B:$B,科室绩效工资核算1!$B:P,MATCH("换药风险积分", 科室绩效工资核算1!$B$3:$AN$3,0),0)/(中层绩效!$E101+VLOOKUP($B:$B,人员表!$B:$G,MATCH("医疗组",人员表!$B$3:$G$3,0),0))*中层绩效!$E101,0),0),0)</f>
        <v>0</v>
      </c>
      <c r="Q101" s="50">
        <f>IFERROR(ROUND(IF($D101="主任",VLOOKUP($B:$B,科室绩效工资核算1!$B:Q,MATCH("功能康复积分", 科室绩效工资核算1!$B$3:$AN$3,0),0)/(中层绩效!$E101+VLOOKUP($B:$B,人员表!$B:$G,MATCH("医疗组",人员表!$B$3:$G$3,0),0))*中层绩效!$E101,0),0),0)</f>
        <v>0</v>
      </c>
      <c r="R101" s="50">
        <f>IFERROR(ROUND(IF($D101="主任",VLOOKUP($B:$B,科室绩效工资核算1!$B:R,MATCH("中医外治积分", 科室绩效工资核算1!$B$3:$AN$3,0),0)/(中层绩效!$E101+VLOOKUP($B:$B,人员表!$B:$G,MATCH("医疗组",人员表!$B$3:$G$3,0),0))*中层绩效!$E101,0),0),0)</f>
        <v>0</v>
      </c>
      <c r="S101" s="50">
        <f>IFERROR(ROUND(IF($D101="主任",VLOOKUP($B:$B,科室绩效工资核算1!$B:S,MATCH("中药积分", 科室绩效工资核算1!$B$3:$AN$3,0),0)/(中层绩效!$E101+VLOOKUP($B:$B,人员表!$B:$G,MATCH("医疗组",人员表!$B$3:$G$3,0),0))*中层绩效!$E101,0),0),0)</f>
        <v>0</v>
      </c>
      <c r="T101" s="50">
        <f>IFERROR(ROUND(IF($D101="护士长",VLOOKUP($B:$B,科室绩效工资核算1!$B:T,MATCH("护理风险积分", 科室绩效工资核算1!$B$3:$AN$3,0),0)/(中层绩效!$E101+VLOOKUP($B:$B,人员表!$B:$G,MATCH("护理组",人员表!$B$3:$G$3,0),0))*中层绩效!$E101,0),0),0)</f>
        <v>0</v>
      </c>
      <c r="U101" s="43">
        <f>F101*科室绩效工资核算1!AQ$7</f>
        <v>0</v>
      </c>
      <c r="V101" s="43">
        <f t="shared" si="1"/>
        <v>1601.2672000000002</v>
      </c>
      <c r="W101" s="43">
        <f>V101*科室绩效工资核算1!AQ$10</f>
        <v>1722.4831270400005</v>
      </c>
    </row>
    <row r="102" spans="2:23" x14ac:dyDescent="0.25">
      <c r="B102" s="51" t="str">
        <f>中层系数!B103</f>
        <v>总务科</v>
      </c>
      <c r="C102" s="5" t="str">
        <f>中层系数!C103</f>
        <v>测试100</v>
      </c>
      <c r="D102" s="5" t="str">
        <f>VLOOKUP(C:C,中层系数!C:I,7,0)</f>
        <v>副主任</v>
      </c>
      <c r="E102" s="5">
        <f>VLOOKUP(C:C,中层系数!C:I,6,0)</f>
        <v>1.04</v>
      </c>
      <c r="F102" s="5">
        <f>VLOOKUP(C:C,中层系数!C:I,5,0)</f>
        <v>0</v>
      </c>
      <c r="G102" s="43">
        <f>E102*科室绩效工资核算1!AQ$7</f>
        <v>1601.2672000000002</v>
      </c>
      <c r="H102" s="50">
        <f>IFERROR(ROUND(IF(D102="主任",VLOOKUP($B:$B,科室绩效工资核算1!$B:H,MATCH("首诊风险积分", 科室绩效工资核算1!$B$3:$AN$3,0),0)/(中层绩效!$E102+VLOOKUP($B:$B,人员表!$B:$G,MATCH("医疗组",人员表!$B$3:$G$3,0),0))*中层绩效!$E102,0),0),0)</f>
        <v>0</v>
      </c>
      <c r="I102" s="50">
        <f>IFERROR(ROUND(IF($D102="主任",VLOOKUP($B:$B,科室绩效工资核算1!$B:I,MATCH("病历质量积分", 科室绩效工资核算1!$B$3:$AN$3,0),0)/(中层绩效!$E102+VLOOKUP($B:$B,人员表!$B:$G,MATCH("医疗组",人员表!$B$3:$G$3,0),0))*中层绩效!$E102,0),0),0)</f>
        <v>0</v>
      </c>
      <c r="J102" s="50">
        <f>IFERROR(ROUND(IF($D102="主任",VLOOKUP($B:$B,科室绩效工资核算1!$B:J,MATCH("门诊人次积分", 科室绩效工资核算1!$B$3:$AN$3,0),0)/(中层绩效!$E102+VLOOKUP($B:$B,人员表!$B:$G,MATCH("医疗组",人员表!$B$3:$G$3,0),0))*中层绩效!$E102,0),0),0)</f>
        <v>0</v>
      </c>
      <c r="K102" s="50">
        <f>IFERROR(ROUND(IF($D102="主任",VLOOKUP($B:$B,科室绩效工资核算1!$B:K,MATCH("临床路径积分", 科室绩效工资核算1!$B$3:$AN$3,0),0)/(中层绩效!$E102+VLOOKUP($B:$B,人员表!$B:$G,MATCH("医疗组",人员表!$B$3:$G$3,0),0))*中层绩效!$E102,0),0),0)</f>
        <v>0</v>
      </c>
      <c r="L102" s="50">
        <f>IFERROR(ROUND(IF($D102="主任",VLOOKUP($B:$B,科室绩效工资核算1!$B:L,MATCH("麻醉风险积分", 科室绩效工资核算1!$B$3:$AN$3,0),0)/(中层绩效!$E102+VLOOKUP($B:$B,人员表!$B:$G,MATCH("医疗组",人员表!$B$3:$G$3,0),0))*中层绩效!$E102,0),0),0)</f>
        <v>0</v>
      </c>
      <c r="M102" s="50">
        <f>IFERROR(ROUND(IF($D102="主任",VLOOKUP($B:$B,科室绩效工资核算1!$B:M,MATCH("分娩风险积分", 科室绩效工资核算1!$B$3:$AN$3,0),0)/(中层绩效!$E102+VLOOKUP($B:$B,人员表!$B:$G,MATCH("医疗组",人员表!$B$3:$G$3,0),0))*中层绩效!$E102,0),0),0)</f>
        <v>0</v>
      </c>
      <c r="N102" s="50">
        <f>IFERROR(ROUND(IF($D102="主任",VLOOKUP($B:$B,科室绩效工资核算1!$B:N,MATCH("肿瘤支气管镜", 科室绩效工资核算1!$B$3:$AN$3,0),0)/(中层绩效!$E102+VLOOKUP($B:$B,人员表!$B:$G,MATCH("医疗组",人员表!$B$3:$G$3,0),0))*中层绩效!$E102,0),0),0)</f>
        <v>0</v>
      </c>
      <c r="O102" s="50">
        <f>IFERROR(ROUND(IF($D102="主任",VLOOKUP($B:$B,科室绩效工资核算1!$B:O,MATCH("会诊风险积分", 科室绩效工资核算1!$B$3:$AN$3,0),0)/(中层绩效!$E102+VLOOKUP($B:$B,人员表!$B:$G,MATCH("医疗组",人员表!$B$3:$G$3,0),0))*中层绩效!$E102,0),0),0)</f>
        <v>0</v>
      </c>
      <c r="P102" s="50">
        <f>IFERROR(ROUND(IF($D102="主任",VLOOKUP($B:$B,科室绩效工资核算1!$B:P,MATCH("换药风险积分", 科室绩效工资核算1!$B$3:$AN$3,0),0)/(中层绩效!$E102+VLOOKUP($B:$B,人员表!$B:$G,MATCH("医疗组",人员表!$B$3:$G$3,0),0))*中层绩效!$E102,0),0),0)</f>
        <v>0</v>
      </c>
      <c r="Q102" s="50">
        <f>IFERROR(ROUND(IF($D102="主任",VLOOKUP($B:$B,科室绩效工资核算1!$B:Q,MATCH("功能康复积分", 科室绩效工资核算1!$B$3:$AN$3,0),0)/(中层绩效!$E102+VLOOKUP($B:$B,人员表!$B:$G,MATCH("医疗组",人员表!$B$3:$G$3,0),0))*中层绩效!$E102,0),0),0)</f>
        <v>0</v>
      </c>
      <c r="R102" s="50">
        <f>IFERROR(ROUND(IF($D102="主任",VLOOKUP($B:$B,科室绩效工资核算1!$B:R,MATCH("中医外治积分", 科室绩效工资核算1!$B$3:$AN$3,0),0)/(中层绩效!$E102+VLOOKUP($B:$B,人员表!$B:$G,MATCH("医疗组",人员表!$B$3:$G$3,0),0))*中层绩效!$E102,0),0),0)</f>
        <v>0</v>
      </c>
      <c r="S102" s="50">
        <f>IFERROR(ROUND(IF($D102="主任",VLOOKUP($B:$B,科室绩效工资核算1!$B:S,MATCH("中药积分", 科室绩效工资核算1!$B$3:$AN$3,0),0)/(中层绩效!$E102+VLOOKUP($B:$B,人员表!$B:$G,MATCH("医疗组",人员表!$B$3:$G$3,0),0))*中层绩效!$E102,0),0),0)</f>
        <v>0</v>
      </c>
      <c r="T102" s="50">
        <f>IFERROR(ROUND(IF($D102="护士长",VLOOKUP($B:$B,科室绩效工资核算1!$B:T,MATCH("护理风险积分", 科室绩效工资核算1!$B$3:$AN$3,0),0)/(中层绩效!$E102+VLOOKUP($B:$B,人员表!$B:$G,MATCH("护理组",人员表!$B$3:$G$3,0),0))*中层绩效!$E102,0),0),0)</f>
        <v>0</v>
      </c>
      <c r="U102" s="43">
        <f>F102*科室绩效工资核算1!AQ$7</f>
        <v>0</v>
      </c>
      <c r="V102" s="43">
        <f t="shared" si="1"/>
        <v>1601.2672000000002</v>
      </c>
      <c r="W102" s="43">
        <f>V102*科室绩效工资核算1!AQ$10</f>
        <v>1722.4831270400005</v>
      </c>
    </row>
    <row r="103" spans="2:23" x14ac:dyDescent="0.25">
      <c r="B103" s="51" t="str">
        <f>中层系数!B104</f>
        <v>总务科</v>
      </c>
      <c r="C103" s="5" t="str">
        <f>中层系数!C104</f>
        <v>测试101</v>
      </c>
      <c r="D103" s="5" t="str">
        <f>VLOOKUP(C:C,中层系数!C:I,7,0)</f>
        <v>副主任</v>
      </c>
      <c r="E103" s="5">
        <v>0</v>
      </c>
      <c r="F103" s="5">
        <f>VLOOKUP(C:C,中层系数!C:I,5,0)</f>
        <v>0</v>
      </c>
      <c r="G103" s="43">
        <f>E103*科室绩效工资核算1!AQ$7</f>
        <v>0</v>
      </c>
      <c r="H103" s="50">
        <f>IFERROR(ROUND(IF(D103="主任",VLOOKUP($B:$B,科室绩效工资核算1!$B:H,MATCH("首诊风险积分", 科室绩效工资核算1!$B$3:$AN$3,0),0)/(中层绩效!$E103+VLOOKUP($B:$B,人员表!$B:$G,MATCH("医疗组",人员表!$B$3:$G$3,0),0))*中层绩效!$E103,0),0),0)</f>
        <v>0</v>
      </c>
      <c r="I103" s="50">
        <f>IFERROR(ROUND(IF($D103="主任",VLOOKUP($B:$B,科室绩效工资核算1!$B:I,MATCH("病历质量积分", 科室绩效工资核算1!$B$3:$AN$3,0),0)/(中层绩效!$E103+VLOOKUP($B:$B,人员表!$B:$G,MATCH("医疗组",人员表!$B$3:$G$3,0),0))*中层绩效!$E103,0),0),0)</f>
        <v>0</v>
      </c>
      <c r="J103" s="50">
        <f>IFERROR(ROUND(IF($D103="主任",VLOOKUP($B:$B,科室绩效工资核算1!$B:J,MATCH("门诊人次积分", 科室绩效工资核算1!$B$3:$AN$3,0),0)/(中层绩效!$E103+VLOOKUP($B:$B,人员表!$B:$G,MATCH("医疗组",人员表!$B$3:$G$3,0),0))*中层绩效!$E103,0),0),0)</f>
        <v>0</v>
      </c>
      <c r="K103" s="50">
        <f>IFERROR(ROUND(IF($D103="主任",VLOOKUP($B:$B,科室绩效工资核算1!$B:K,MATCH("临床路径积分", 科室绩效工资核算1!$B$3:$AN$3,0),0)/(中层绩效!$E103+VLOOKUP($B:$B,人员表!$B:$G,MATCH("医疗组",人员表!$B$3:$G$3,0),0))*中层绩效!$E103,0),0),0)</f>
        <v>0</v>
      </c>
      <c r="L103" s="50">
        <f>IFERROR(ROUND(IF($D103="主任",VLOOKUP($B:$B,科室绩效工资核算1!$B:L,MATCH("麻醉风险积分", 科室绩效工资核算1!$B$3:$AN$3,0),0)/(中层绩效!$E103+VLOOKUP($B:$B,人员表!$B:$G,MATCH("医疗组",人员表!$B$3:$G$3,0),0))*中层绩效!$E103,0),0),0)</f>
        <v>0</v>
      </c>
      <c r="M103" s="50">
        <f>IFERROR(ROUND(IF($D103="主任",VLOOKUP($B:$B,科室绩效工资核算1!$B:M,MATCH("分娩风险积分", 科室绩效工资核算1!$B$3:$AN$3,0),0)/(中层绩效!$E103+VLOOKUP($B:$B,人员表!$B:$G,MATCH("医疗组",人员表!$B$3:$G$3,0),0))*中层绩效!$E103,0),0),0)</f>
        <v>0</v>
      </c>
      <c r="N103" s="50">
        <f>IFERROR(ROUND(IF($D103="主任",VLOOKUP($B:$B,科室绩效工资核算1!$B:N,MATCH("肿瘤支气管镜", 科室绩效工资核算1!$B$3:$AN$3,0),0)/(中层绩效!$E103+VLOOKUP($B:$B,人员表!$B:$G,MATCH("医疗组",人员表!$B$3:$G$3,0),0))*中层绩效!$E103,0),0),0)</f>
        <v>0</v>
      </c>
      <c r="O103" s="50">
        <f>IFERROR(ROUND(IF($D103="主任",VLOOKUP($B:$B,科室绩效工资核算1!$B:O,MATCH("会诊风险积分", 科室绩效工资核算1!$B$3:$AN$3,0),0)/(中层绩效!$E103+VLOOKUP($B:$B,人员表!$B:$G,MATCH("医疗组",人员表!$B$3:$G$3,0),0))*中层绩效!$E103,0),0),0)</f>
        <v>0</v>
      </c>
      <c r="P103" s="50">
        <f>IFERROR(ROUND(IF($D103="主任",VLOOKUP($B:$B,科室绩效工资核算1!$B:P,MATCH("换药风险积分", 科室绩效工资核算1!$B$3:$AN$3,0),0)/(中层绩效!$E103+VLOOKUP($B:$B,人员表!$B:$G,MATCH("医疗组",人员表!$B$3:$G$3,0),0))*中层绩效!$E103,0),0),0)</f>
        <v>0</v>
      </c>
      <c r="Q103" s="50">
        <f>IFERROR(ROUND(IF($D103="主任",VLOOKUP($B:$B,科室绩效工资核算1!$B:Q,MATCH("功能康复积分", 科室绩效工资核算1!$B$3:$AN$3,0),0)/(中层绩效!$E103+VLOOKUP($B:$B,人员表!$B:$G,MATCH("医疗组",人员表!$B$3:$G$3,0),0))*中层绩效!$E103,0),0),0)</f>
        <v>0</v>
      </c>
      <c r="R103" s="50">
        <f>IFERROR(ROUND(IF($D103="主任",VLOOKUP($B:$B,科室绩效工资核算1!$B:R,MATCH("中医外治积分", 科室绩效工资核算1!$B$3:$AN$3,0),0)/(中层绩效!$E103+VLOOKUP($B:$B,人员表!$B:$G,MATCH("医疗组",人员表!$B$3:$G$3,0),0))*中层绩效!$E103,0),0),0)</f>
        <v>0</v>
      </c>
      <c r="S103" s="50">
        <f>IFERROR(ROUND(IF($D103="主任",VLOOKUP($B:$B,科室绩效工资核算1!$B:S,MATCH("中药积分", 科室绩效工资核算1!$B$3:$AN$3,0),0)/(中层绩效!$E103+VLOOKUP($B:$B,人员表!$B:$G,MATCH("医疗组",人员表!$B$3:$G$3,0),0))*中层绩效!$E103,0),0),0)</f>
        <v>0</v>
      </c>
      <c r="T103" s="50">
        <f>IFERROR(ROUND(IF($D103="护士长",VLOOKUP($B:$B,科室绩效工资核算1!$B:T,MATCH("护理风险积分", 科室绩效工资核算1!$B$3:$AN$3,0),0)/(中层绩效!$E103+VLOOKUP($B:$B,人员表!$B:$G,MATCH("护理组",人员表!$B$3:$G$3,0),0))*中层绩效!$E103,0),0),0)</f>
        <v>0</v>
      </c>
      <c r="U103" s="43">
        <f>F103*科室绩效工资核算1!AQ$7</f>
        <v>0</v>
      </c>
      <c r="V103" s="43">
        <f t="shared" si="1"/>
        <v>0</v>
      </c>
      <c r="W103" s="43">
        <f>V103*科室绩效工资核算1!AQ$10</f>
        <v>0</v>
      </c>
    </row>
    <row r="104" spans="2:23" x14ac:dyDescent="0.25">
      <c r="B104" s="51" t="str">
        <f>中层系数!B105</f>
        <v>总务科</v>
      </c>
      <c r="C104" s="5" t="str">
        <f>中层系数!C105</f>
        <v>测试102</v>
      </c>
      <c r="D104" s="5" t="str">
        <f>VLOOKUP(C:C,中层系数!C:I,7,0)</f>
        <v>主任</v>
      </c>
      <c r="E104" s="5">
        <f>VLOOKUP(C:C,中层系数!C:I,6,0)</f>
        <v>1.28</v>
      </c>
      <c r="F104" s="5">
        <f>VLOOKUP(C:C,中层系数!C:I,5,0)</f>
        <v>0</v>
      </c>
      <c r="G104" s="43">
        <f>E104*科室绩效工资核算1!AQ$7</f>
        <v>1970.7904000000001</v>
      </c>
      <c r="H104" s="50">
        <f>IFERROR(ROUND(IF(D104="主任",VLOOKUP($B:$B,科室绩效工资核算1!$B:H,MATCH("首诊风险积分", 科室绩效工资核算1!$B$3:$AN$3,0),0)/(中层绩效!$E104+VLOOKUP($B:$B,人员表!$B:$G,MATCH("医疗组",人员表!$B$3:$G$3,0),0))*中层绩效!$E104,0),0),0)</f>
        <v>0</v>
      </c>
      <c r="I104" s="50">
        <f>IFERROR(ROUND(IF($D104="主任",VLOOKUP($B:$B,科室绩效工资核算1!$B:I,MATCH("病历质量积分", 科室绩效工资核算1!$B$3:$AN$3,0),0)/(中层绩效!$E104+VLOOKUP($B:$B,人员表!$B:$G,MATCH("医疗组",人员表!$B$3:$G$3,0),0))*中层绩效!$E104,0),0),0)</f>
        <v>0</v>
      </c>
      <c r="J104" s="50">
        <f>IFERROR(ROUND(IF($D104="主任",VLOOKUP($B:$B,科室绩效工资核算1!$B:J,MATCH("门诊人次积分", 科室绩效工资核算1!$B$3:$AN$3,0),0)/(中层绩效!$E104+VLOOKUP($B:$B,人员表!$B:$G,MATCH("医疗组",人员表!$B$3:$G$3,0),0))*中层绩效!$E104,0),0),0)</f>
        <v>0</v>
      </c>
      <c r="K104" s="50">
        <f>IFERROR(ROUND(IF($D104="主任",VLOOKUP($B:$B,科室绩效工资核算1!$B:K,MATCH("临床路径积分", 科室绩效工资核算1!$B$3:$AN$3,0),0)/(中层绩效!$E104+VLOOKUP($B:$B,人员表!$B:$G,MATCH("医疗组",人员表!$B$3:$G$3,0),0))*中层绩效!$E104,0),0),0)</f>
        <v>0</v>
      </c>
      <c r="L104" s="50">
        <f>IFERROR(ROUND(IF($D104="主任",VLOOKUP($B:$B,科室绩效工资核算1!$B:L,MATCH("麻醉风险积分", 科室绩效工资核算1!$B$3:$AN$3,0),0)/(中层绩效!$E104+VLOOKUP($B:$B,人员表!$B:$G,MATCH("医疗组",人员表!$B$3:$G$3,0),0))*中层绩效!$E104,0),0),0)</f>
        <v>0</v>
      </c>
      <c r="M104" s="50">
        <f>IFERROR(ROUND(IF($D104="主任",VLOOKUP($B:$B,科室绩效工资核算1!$B:M,MATCH("分娩风险积分", 科室绩效工资核算1!$B$3:$AN$3,0),0)/(中层绩效!$E104+VLOOKUP($B:$B,人员表!$B:$G,MATCH("医疗组",人员表!$B$3:$G$3,0),0))*中层绩效!$E104,0),0),0)</f>
        <v>0</v>
      </c>
      <c r="N104" s="50">
        <f>IFERROR(ROUND(IF($D104="主任",VLOOKUP($B:$B,科室绩效工资核算1!$B:N,MATCH("肿瘤支气管镜", 科室绩效工资核算1!$B$3:$AN$3,0),0)/(中层绩效!$E104+VLOOKUP($B:$B,人员表!$B:$G,MATCH("医疗组",人员表!$B$3:$G$3,0),0))*中层绩效!$E104,0),0),0)</f>
        <v>0</v>
      </c>
      <c r="O104" s="50">
        <f>IFERROR(ROUND(IF($D104="主任",VLOOKUP($B:$B,科室绩效工资核算1!$B:O,MATCH("会诊风险积分", 科室绩效工资核算1!$B$3:$AN$3,0),0)/(中层绩效!$E104+VLOOKUP($B:$B,人员表!$B:$G,MATCH("医疗组",人员表!$B$3:$G$3,0),0))*中层绩效!$E104,0),0),0)</f>
        <v>0</v>
      </c>
      <c r="P104" s="50">
        <f>IFERROR(ROUND(IF($D104="主任",VLOOKUP($B:$B,科室绩效工资核算1!$B:P,MATCH("换药风险积分", 科室绩效工资核算1!$B$3:$AN$3,0),0)/(中层绩效!$E104+VLOOKUP($B:$B,人员表!$B:$G,MATCH("医疗组",人员表!$B$3:$G$3,0),0))*中层绩效!$E104,0),0),0)</f>
        <v>0</v>
      </c>
      <c r="Q104" s="50">
        <f>IFERROR(ROUND(IF($D104="主任",VLOOKUP($B:$B,科室绩效工资核算1!$B:Q,MATCH("功能康复积分", 科室绩效工资核算1!$B$3:$AN$3,0),0)/(中层绩效!$E104+VLOOKUP($B:$B,人员表!$B:$G,MATCH("医疗组",人员表!$B$3:$G$3,0),0))*中层绩效!$E104,0),0),0)</f>
        <v>0</v>
      </c>
      <c r="R104" s="50">
        <f>IFERROR(ROUND(IF($D104="主任",VLOOKUP($B:$B,科室绩效工资核算1!$B:R,MATCH("中医外治积分", 科室绩效工资核算1!$B$3:$AN$3,0),0)/(中层绩效!$E104+VLOOKUP($B:$B,人员表!$B:$G,MATCH("医疗组",人员表!$B$3:$G$3,0),0))*中层绩效!$E104,0),0),0)</f>
        <v>0</v>
      </c>
      <c r="S104" s="50">
        <f>IFERROR(ROUND(IF($D104="主任",VLOOKUP($B:$B,科室绩效工资核算1!$B:S,MATCH("中药积分", 科室绩效工资核算1!$B$3:$AN$3,0),0)/(中层绩效!$E104+VLOOKUP($B:$B,人员表!$B:$G,MATCH("医疗组",人员表!$B$3:$G$3,0),0))*中层绩效!$E104,0),0),0)</f>
        <v>0</v>
      </c>
      <c r="T104" s="50">
        <f>IFERROR(ROUND(IF($D104="护士长",VLOOKUP($B:$B,科室绩效工资核算1!$B:T,MATCH("护理风险积分", 科室绩效工资核算1!$B$3:$AN$3,0),0)/(中层绩效!$E104+VLOOKUP($B:$B,人员表!$B:$G,MATCH("护理组",人员表!$B$3:$G$3,0),0))*中层绩效!$E104,0),0),0)</f>
        <v>0</v>
      </c>
      <c r="U104" s="43">
        <f>F104*科室绩效工资核算1!AQ$7</f>
        <v>0</v>
      </c>
      <c r="V104" s="43">
        <f t="shared" si="1"/>
        <v>1970.7904000000001</v>
      </c>
      <c r="W104" s="43">
        <f>V104*科室绩效工资核算1!AQ$10</f>
        <v>2119.9792332800002</v>
      </c>
    </row>
    <row r="105" spans="2:23" x14ac:dyDescent="0.25">
      <c r="B105" s="51" t="str">
        <f>中层系数!B106</f>
        <v>保卫科</v>
      </c>
      <c r="C105" s="5" t="str">
        <f>中层系数!C106</f>
        <v>测试103</v>
      </c>
      <c r="D105" s="5" t="str">
        <f>VLOOKUP(C:C,中层系数!C:I,7,0)</f>
        <v>副主任</v>
      </c>
      <c r="E105" s="5">
        <f>VLOOKUP(C:C,中层系数!C:I,6,0)</f>
        <v>0.97499999999999998</v>
      </c>
      <c r="F105" s="5">
        <f>VLOOKUP(C:C,中层系数!C:I,5,0)</f>
        <v>0.2</v>
      </c>
      <c r="G105" s="43">
        <f>E105*科室绩效工资核算1!AQ$7</f>
        <v>1501.1880000000001</v>
      </c>
      <c r="H105" s="50">
        <f>IFERROR(ROUND(IF(D105="主任",VLOOKUP($B:$B,科室绩效工资核算1!$B:H,MATCH("首诊风险积分", 科室绩效工资核算1!$B$3:$AN$3,0),0)/(中层绩效!$E105+VLOOKUP($B:$B,人员表!$B:$G,MATCH("医疗组",人员表!$B$3:$G$3,0),0))*中层绩效!$E105,0),0),0)</f>
        <v>0</v>
      </c>
      <c r="I105" s="50">
        <f>IFERROR(ROUND(IF($D105="主任",VLOOKUP($B:$B,科室绩效工资核算1!$B:I,MATCH("病历质量积分", 科室绩效工资核算1!$B$3:$AN$3,0),0)/(中层绩效!$E105+VLOOKUP($B:$B,人员表!$B:$G,MATCH("医疗组",人员表!$B$3:$G$3,0),0))*中层绩效!$E105,0),0),0)</f>
        <v>0</v>
      </c>
      <c r="J105" s="50">
        <f>IFERROR(ROUND(IF($D105="主任",VLOOKUP($B:$B,科室绩效工资核算1!$B:J,MATCH("门诊人次积分", 科室绩效工资核算1!$B$3:$AN$3,0),0)/(中层绩效!$E105+VLOOKUP($B:$B,人员表!$B:$G,MATCH("医疗组",人员表!$B$3:$G$3,0),0))*中层绩效!$E105,0),0),0)</f>
        <v>0</v>
      </c>
      <c r="K105" s="50">
        <f>IFERROR(ROUND(IF($D105="主任",VLOOKUP($B:$B,科室绩效工资核算1!$B:K,MATCH("临床路径积分", 科室绩效工资核算1!$B$3:$AN$3,0),0)/(中层绩效!$E105+VLOOKUP($B:$B,人员表!$B:$G,MATCH("医疗组",人员表!$B$3:$G$3,0),0))*中层绩效!$E105,0),0),0)</f>
        <v>0</v>
      </c>
      <c r="L105" s="50">
        <f>IFERROR(ROUND(IF($D105="主任",VLOOKUP($B:$B,科室绩效工资核算1!$B:L,MATCH("麻醉风险积分", 科室绩效工资核算1!$B$3:$AN$3,0),0)/(中层绩效!$E105+VLOOKUP($B:$B,人员表!$B:$G,MATCH("医疗组",人员表!$B$3:$G$3,0),0))*中层绩效!$E105,0),0),0)</f>
        <v>0</v>
      </c>
      <c r="M105" s="50">
        <f>IFERROR(ROUND(IF($D105="主任",VLOOKUP($B:$B,科室绩效工资核算1!$B:M,MATCH("分娩风险积分", 科室绩效工资核算1!$B$3:$AN$3,0),0)/(中层绩效!$E105+VLOOKUP($B:$B,人员表!$B:$G,MATCH("医疗组",人员表!$B$3:$G$3,0),0))*中层绩效!$E105,0),0),0)</f>
        <v>0</v>
      </c>
      <c r="N105" s="50">
        <f>IFERROR(ROUND(IF($D105="主任",VLOOKUP($B:$B,科室绩效工资核算1!$B:N,MATCH("肿瘤支气管镜", 科室绩效工资核算1!$B$3:$AN$3,0),0)/(中层绩效!$E105+VLOOKUP($B:$B,人员表!$B:$G,MATCH("医疗组",人员表!$B$3:$G$3,0),0))*中层绩效!$E105,0),0),0)</f>
        <v>0</v>
      </c>
      <c r="O105" s="50">
        <f>IFERROR(ROUND(IF($D105="主任",VLOOKUP($B:$B,科室绩效工资核算1!$B:O,MATCH("会诊风险积分", 科室绩效工资核算1!$B$3:$AN$3,0),0)/(中层绩效!$E105+VLOOKUP($B:$B,人员表!$B:$G,MATCH("医疗组",人员表!$B$3:$G$3,0),0))*中层绩效!$E105,0),0),0)</f>
        <v>0</v>
      </c>
      <c r="P105" s="50">
        <f>IFERROR(ROUND(IF($D105="主任",VLOOKUP($B:$B,科室绩效工资核算1!$B:P,MATCH("换药风险积分", 科室绩效工资核算1!$B$3:$AN$3,0),0)/(中层绩效!$E105+VLOOKUP($B:$B,人员表!$B:$G,MATCH("医疗组",人员表!$B$3:$G$3,0),0))*中层绩效!$E105,0),0),0)</f>
        <v>0</v>
      </c>
      <c r="Q105" s="50">
        <f>IFERROR(ROUND(IF($D105="主任",VLOOKUP($B:$B,科室绩效工资核算1!$B:Q,MATCH("功能康复积分", 科室绩效工资核算1!$B$3:$AN$3,0),0)/(中层绩效!$E105+VLOOKUP($B:$B,人员表!$B:$G,MATCH("医疗组",人员表!$B$3:$G$3,0),0))*中层绩效!$E105,0),0),0)</f>
        <v>0</v>
      </c>
      <c r="R105" s="50">
        <f>IFERROR(ROUND(IF($D105="主任",VLOOKUP($B:$B,科室绩效工资核算1!$B:R,MATCH("中医外治积分", 科室绩效工资核算1!$B$3:$AN$3,0),0)/(中层绩效!$E105+VLOOKUP($B:$B,人员表!$B:$G,MATCH("医疗组",人员表!$B$3:$G$3,0),0))*中层绩效!$E105,0),0),0)</f>
        <v>0</v>
      </c>
      <c r="S105" s="50">
        <f>IFERROR(ROUND(IF($D105="主任",VLOOKUP($B:$B,科室绩效工资核算1!$B:S,MATCH("中药积分", 科室绩效工资核算1!$B$3:$AN$3,0),0)/(中层绩效!$E105+VLOOKUP($B:$B,人员表!$B:$G,MATCH("医疗组",人员表!$B$3:$G$3,0),0))*中层绩效!$E105,0),0),0)</f>
        <v>0</v>
      </c>
      <c r="T105" s="50">
        <f>IFERROR(ROUND(IF($D105="护士长",VLOOKUP($B:$B,科室绩效工资核算1!$B:T,MATCH("护理风险积分", 科室绩效工资核算1!$B$3:$AN$3,0),0)/(中层绩效!$E105+VLOOKUP($B:$B,人员表!$B:$G,MATCH("护理组",人员表!$B$3:$G$3,0),0))*中层绩效!$E105,0),0),0)</f>
        <v>0</v>
      </c>
      <c r="U105" s="43">
        <f>F105*科室绩效工资核算1!AQ$7</f>
        <v>307.93600000000004</v>
      </c>
      <c r="V105" s="43">
        <f t="shared" si="1"/>
        <v>1809.1240000000003</v>
      </c>
      <c r="W105" s="43">
        <f>V105*科室绩效工资核算1!AQ$10</f>
        <v>1946.0746868000006</v>
      </c>
    </row>
    <row r="106" spans="2:23" x14ac:dyDescent="0.25">
      <c r="B106" s="51" t="str">
        <f>中层系数!B107</f>
        <v>保卫科</v>
      </c>
      <c r="C106" s="5" t="str">
        <f>中层系数!C107</f>
        <v>测试104</v>
      </c>
      <c r="D106" s="5" t="str">
        <f>VLOOKUP(C:C,中层系数!C:I,7,0)</f>
        <v>主任</v>
      </c>
      <c r="E106" s="5">
        <f>VLOOKUP(C:C,中层系数!C:I,6,0)</f>
        <v>1.2</v>
      </c>
      <c r="F106" s="5">
        <f>VLOOKUP(C:C,中层系数!C:I,5,0)</f>
        <v>0.2</v>
      </c>
      <c r="G106" s="43">
        <f>E106*科室绩效工资核算1!AQ$7</f>
        <v>1847.616</v>
      </c>
      <c r="H106" s="50">
        <f>IFERROR(ROUND(IF(D106="主任",VLOOKUP($B:$B,科室绩效工资核算1!$B:H,MATCH("首诊风险积分", 科室绩效工资核算1!$B$3:$AN$3,0),0)/(中层绩效!$E106+VLOOKUP($B:$B,人员表!$B:$G,MATCH("医疗组",人员表!$B$3:$G$3,0),0))*中层绩效!$E106,0),0),0)</f>
        <v>0</v>
      </c>
      <c r="I106" s="50">
        <f>IFERROR(ROUND(IF($D106="主任",VLOOKUP($B:$B,科室绩效工资核算1!$B:I,MATCH("病历质量积分", 科室绩效工资核算1!$B$3:$AN$3,0),0)/(中层绩效!$E106+VLOOKUP($B:$B,人员表!$B:$G,MATCH("医疗组",人员表!$B$3:$G$3,0),0))*中层绩效!$E106,0),0),0)</f>
        <v>0</v>
      </c>
      <c r="J106" s="50">
        <f>IFERROR(ROUND(IF($D106="主任",VLOOKUP($B:$B,科室绩效工资核算1!$B:J,MATCH("门诊人次积分", 科室绩效工资核算1!$B$3:$AN$3,0),0)/(中层绩效!$E106+VLOOKUP($B:$B,人员表!$B:$G,MATCH("医疗组",人员表!$B$3:$G$3,0),0))*中层绩效!$E106,0),0),0)</f>
        <v>0</v>
      </c>
      <c r="K106" s="50">
        <f>IFERROR(ROUND(IF($D106="主任",VLOOKUP($B:$B,科室绩效工资核算1!$B:K,MATCH("临床路径积分", 科室绩效工资核算1!$B$3:$AN$3,0),0)/(中层绩效!$E106+VLOOKUP($B:$B,人员表!$B:$G,MATCH("医疗组",人员表!$B$3:$G$3,0),0))*中层绩效!$E106,0),0),0)</f>
        <v>0</v>
      </c>
      <c r="L106" s="50">
        <f>IFERROR(ROUND(IF($D106="主任",VLOOKUP($B:$B,科室绩效工资核算1!$B:L,MATCH("麻醉风险积分", 科室绩效工资核算1!$B$3:$AN$3,0),0)/(中层绩效!$E106+VLOOKUP($B:$B,人员表!$B:$G,MATCH("医疗组",人员表!$B$3:$G$3,0),0))*中层绩效!$E106,0),0),0)</f>
        <v>0</v>
      </c>
      <c r="M106" s="50">
        <f>IFERROR(ROUND(IF($D106="主任",VLOOKUP($B:$B,科室绩效工资核算1!$B:M,MATCH("分娩风险积分", 科室绩效工资核算1!$B$3:$AN$3,0),0)/(中层绩效!$E106+VLOOKUP($B:$B,人员表!$B:$G,MATCH("医疗组",人员表!$B$3:$G$3,0),0))*中层绩效!$E106,0),0),0)</f>
        <v>0</v>
      </c>
      <c r="N106" s="50">
        <f>IFERROR(ROUND(IF($D106="主任",VLOOKUP($B:$B,科室绩效工资核算1!$B:N,MATCH("肿瘤支气管镜", 科室绩效工资核算1!$B$3:$AN$3,0),0)/(中层绩效!$E106+VLOOKUP($B:$B,人员表!$B:$G,MATCH("医疗组",人员表!$B$3:$G$3,0),0))*中层绩效!$E106,0),0),0)</f>
        <v>0</v>
      </c>
      <c r="O106" s="50">
        <f>IFERROR(ROUND(IF($D106="主任",VLOOKUP($B:$B,科室绩效工资核算1!$B:O,MATCH("会诊风险积分", 科室绩效工资核算1!$B$3:$AN$3,0),0)/(中层绩效!$E106+VLOOKUP($B:$B,人员表!$B:$G,MATCH("医疗组",人员表!$B$3:$G$3,0),0))*中层绩效!$E106,0),0),0)</f>
        <v>0</v>
      </c>
      <c r="P106" s="50">
        <f>IFERROR(ROUND(IF($D106="主任",VLOOKUP($B:$B,科室绩效工资核算1!$B:P,MATCH("换药风险积分", 科室绩效工资核算1!$B$3:$AN$3,0),0)/(中层绩效!$E106+VLOOKUP($B:$B,人员表!$B:$G,MATCH("医疗组",人员表!$B$3:$G$3,0),0))*中层绩效!$E106,0),0),0)</f>
        <v>0</v>
      </c>
      <c r="Q106" s="50">
        <f>IFERROR(ROUND(IF($D106="主任",VLOOKUP($B:$B,科室绩效工资核算1!$B:Q,MATCH("功能康复积分", 科室绩效工资核算1!$B$3:$AN$3,0),0)/(中层绩效!$E106+VLOOKUP($B:$B,人员表!$B:$G,MATCH("医疗组",人员表!$B$3:$G$3,0),0))*中层绩效!$E106,0),0),0)</f>
        <v>0</v>
      </c>
      <c r="R106" s="50">
        <f>IFERROR(ROUND(IF($D106="主任",VLOOKUP($B:$B,科室绩效工资核算1!$B:R,MATCH("中医外治积分", 科室绩效工资核算1!$B$3:$AN$3,0),0)/(中层绩效!$E106+VLOOKUP($B:$B,人员表!$B:$G,MATCH("医疗组",人员表!$B$3:$G$3,0),0))*中层绩效!$E106,0),0),0)</f>
        <v>0</v>
      </c>
      <c r="S106" s="50">
        <f>IFERROR(ROUND(IF($D106="主任",VLOOKUP($B:$B,科室绩效工资核算1!$B:S,MATCH("中药积分", 科室绩效工资核算1!$B$3:$AN$3,0),0)/(中层绩效!$E106+VLOOKUP($B:$B,人员表!$B:$G,MATCH("医疗组",人员表!$B$3:$G$3,0),0))*中层绩效!$E106,0),0),0)</f>
        <v>0</v>
      </c>
      <c r="T106" s="50">
        <f>IFERROR(ROUND(IF($D106="护士长",VLOOKUP($B:$B,科室绩效工资核算1!$B:T,MATCH("护理风险积分", 科室绩效工资核算1!$B$3:$AN$3,0),0)/(中层绩效!$E106+VLOOKUP($B:$B,人员表!$B:$G,MATCH("护理组",人员表!$B$3:$G$3,0),0))*中层绩效!$E106,0),0),0)</f>
        <v>0</v>
      </c>
      <c r="U106" s="43">
        <f>F106*科室绩效工资核算1!AQ$7</f>
        <v>307.93600000000004</v>
      </c>
      <c r="V106" s="43">
        <f t="shared" si="1"/>
        <v>2155.5520000000001</v>
      </c>
      <c r="W106" s="43">
        <f>V106*科室绩效工资核算1!AQ$10</f>
        <v>2318.7272864000001</v>
      </c>
    </row>
    <row r="107" spans="2:23" x14ac:dyDescent="0.25">
      <c r="B107" s="51" t="str">
        <f>中层系数!B108</f>
        <v>病案室</v>
      </c>
      <c r="C107" s="5" t="str">
        <f>中层系数!C108</f>
        <v>测试105</v>
      </c>
      <c r="D107" s="5" t="str">
        <f>VLOOKUP(C:C,中层系数!C:I,7,0)</f>
        <v>副主任</v>
      </c>
      <c r="E107" s="5">
        <f>VLOOKUP(C:C,中层系数!C:I,6,0)</f>
        <v>0.97499999999999998</v>
      </c>
      <c r="F107" s="5">
        <f>VLOOKUP(C:C,中层系数!C:I,5,0)</f>
        <v>0</v>
      </c>
      <c r="G107" s="43">
        <f>E107*科室绩效工资核算1!AQ$7</f>
        <v>1501.1880000000001</v>
      </c>
      <c r="H107" s="50">
        <f>IFERROR(ROUND(IF(D107="主任",VLOOKUP($B:$B,科室绩效工资核算1!$B:H,MATCH("首诊风险积分", 科室绩效工资核算1!$B$3:$AN$3,0),0)/(中层绩效!$E107+VLOOKUP($B:$B,人员表!$B:$G,MATCH("医疗组",人员表!$B$3:$G$3,0),0))*中层绩效!$E107,0),0),0)</f>
        <v>0</v>
      </c>
      <c r="I107" s="50">
        <f>IFERROR(ROUND(IF($D107="主任",VLOOKUP($B:$B,科室绩效工资核算1!$B:I,MATCH("病历质量积分", 科室绩效工资核算1!$B$3:$AN$3,0),0)/(中层绩效!$E107+VLOOKUP($B:$B,人员表!$B:$G,MATCH("医疗组",人员表!$B$3:$G$3,0),0))*中层绩效!$E107,0),0),0)</f>
        <v>0</v>
      </c>
      <c r="J107" s="50">
        <f>IFERROR(ROUND(IF($D107="主任",VLOOKUP($B:$B,科室绩效工资核算1!$B:J,MATCH("门诊人次积分", 科室绩效工资核算1!$B$3:$AN$3,0),0)/(中层绩效!$E107+VLOOKUP($B:$B,人员表!$B:$G,MATCH("医疗组",人员表!$B$3:$G$3,0),0))*中层绩效!$E107,0),0),0)</f>
        <v>0</v>
      </c>
      <c r="K107" s="50">
        <f>IFERROR(ROUND(IF($D107="主任",VLOOKUP($B:$B,科室绩效工资核算1!$B:K,MATCH("临床路径积分", 科室绩效工资核算1!$B$3:$AN$3,0),0)/(中层绩效!$E107+VLOOKUP($B:$B,人员表!$B:$G,MATCH("医疗组",人员表!$B$3:$G$3,0),0))*中层绩效!$E107,0),0),0)</f>
        <v>0</v>
      </c>
      <c r="L107" s="50">
        <f>IFERROR(ROUND(IF($D107="主任",VLOOKUP($B:$B,科室绩效工资核算1!$B:L,MATCH("麻醉风险积分", 科室绩效工资核算1!$B$3:$AN$3,0),0)/(中层绩效!$E107+VLOOKUP($B:$B,人员表!$B:$G,MATCH("医疗组",人员表!$B$3:$G$3,0),0))*中层绩效!$E107,0),0),0)</f>
        <v>0</v>
      </c>
      <c r="M107" s="50">
        <f>IFERROR(ROUND(IF($D107="主任",VLOOKUP($B:$B,科室绩效工资核算1!$B:M,MATCH("分娩风险积分", 科室绩效工资核算1!$B$3:$AN$3,0),0)/(中层绩效!$E107+VLOOKUP($B:$B,人员表!$B:$G,MATCH("医疗组",人员表!$B$3:$G$3,0),0))*中层绩效!$E107,0),0),0)</f>
        <v>0</v>
      </c>
      <c r="N107" s="50">
        <f>IFERROR(ROUND(IF($D107="主任",VLOOKUP($B:$B,科室绩效工资核算1!$B:N,MATCH("肿瘤支气管镜", 科室绩效工资核算1!$B$3:$AN$3,0),0)/(中层绩效!$E107+VLOOKUP($B:$B,人员表!$B:$G,MATCH("医疗组",人员表!$B$3:$G$3,0),0))*中层绩效!$E107,0),0),0)</f>
        <v>0</v>
      </c>
      <c r="O107" s="50">
        <f>IFERROR(ROUND(IF($D107="主任",VLOOKUP($B:$B,科室绩效工资核算1!$B:O,MATCH("会诊风险积分", 科室绩效工资核算1!$B$3:$AN$3,0),0)/(中层绩效!$E107+VLOOKUP($B:$B,人员表!$B:$G,MATCH("医疗组",人员表!$B$3:$G$3,0),0))*中层绩效!$E107,0),0),0)</f>
        <v>0</v>
      </c>
      <c r="P107" s="50">
        <f>IFERROR(ROUND(IF($D107="主任",VLOOKUP($B:$B,科室绩效工资核算1!$B:P,MATCH("换药风险积分", 科室绩效工资核算1!$B$3:$AN$3,0),0)/(中层绩效!$E107+VLOOKUP($B:$B,人员表!$B:$G,MATCH("医疗组",人员表!$B$3:$G$3,0),0))*中层绩效!$E107,0),0),0)</f>
        <v>0</v>
      </c>
      <c r="Q107" s="50">
        <f>IFERROR(ROUND(IF($D107="主任",VLOOKUP($B:$B,科室绩效工资核算1!$B:Q,MATCH("功能康复积分", 科室绩效工资核算1!$B$3:$AN$3,0),0)/(中层绩效!$E107+VLOOKUP($B:$B,人员表!$B:$G,MATCH("医疗组",人员表!$B$3:$G$3,0),0))*中层绩效!$E107,0),0),0)</f>
        <v>0</v>
      </c>
      <c r="R107" s="50">
        <f>IFERROR(ROUND(IF($D107="主任",VLOOKUP($B:$B,科室绩效工资核算1!$B:R,MATCH("中医外治积分", 科室绩效工资核算1!$B$3:$AN$3,0),0)/(中层绩效!$E107+VLOOKUP($B:$B,人员表!$B:$G,MATCH("医疗组",人员表!$B$3:$G$3,0),0))*中层绩效!$E107,0),0),0)</f>
        <v>0</v>
      </c>
      <c r="S107" s="50">
        <f>IFERROR(ROUND(IF($D107="主任",VLOOKUP($B:$B,科室绩效工资核算1!$B:S,MATCH("中药积分", 科室绩效工资核算1!$B$3:$AN$3,0),0)/(中层绩效!$E107+VLOOKUP($B:$B,人员表!$B:$G,MATCH("医疗组",人员表!$B$3:$G$3,0),0))*中层绩效!$E107,0),0),0)</f>
        <v>0</v>
      </c>
      <c r="T107" s="50">
        <f>IFERROR(ROUND(IF($D107="护士长",VLOOKUP($B:$B,科室绩效工资核算1!$B:T,MATCH("护理风险积分", 科室绩效工资核算1!$B$3:$AN$3,0),0)/(中层绩效!$E107+VLOOKUP($B:$B,人员表!$B:$G,MATCH("护理组",人员表!$B$3:$G$3,0),0))*中层绩效!$E107,0),0),0)</f>
        <v>0</v>
      </c>
      <c r="U107" s="43">
        <f>F107*科室绩效工资核算1!AQ$7</f>
        <v>0</v>
      </c>
      <c r="V107" s="43">
        <f t="shared" si="1"/>
        <v>1501.1880000000001</v>
      </c>
      <c r="W107" s="43">
        <f>V107*科室绩效工资核算1!AQ$10</f>
        <v>1614.8279316000003</v>
      </c>
    </row>
    <row r="108" spans="2:23" x14ac:dyDescent="0.25">
      <c r="B108" s="51" t="str">
        <f>中层系数!B109</f>
        <v>医疗发展部</v>
      </c>
      <c r="C108" s="5" t="str">
        <f>中层系数!C109</f>
        <v>测试106</v>
      </c>
      <c r="D108" s="5" t="str">
        <f>VLOOKUP(C:C,中层系数!C:I,7,0)</f>
        <v>主任</v>
      </c>
      <c r="E108" s="5">
        <f>VLOOKUP(C:C,中层系数!C:I,6,0)</f>
        <v>1.28</v>
      </c>
      <c r="F108" s="5">
        <f>VLOOKUP(C:C,中层系数!C:I,5,0)</f>
        <v>0</v>
      </c>
      <c r="G108" s="43">
        <f>E108*科室绩效工资核算1!AQ$7</f>
        <v>1970.7904000000001</v>
      </c>
      <c r="H108" s="50">
        <f>IFERROR(ROUND(IF(D108="主任",VLOOKUP($B:$B,科室绩效工资核算1!$B:H,MATCH("首诊风险积分", 科室绩效工资核算1!$B$3:$AN$3,0),0)/(中层绩效!$E108+VLOOKUP($B:$B,人员表!$B:$G,MATCH("医疗组",人员表!$B$3:$G$3,0),0))*中层绩效!$E108,0),0),0)</f>
        <v>0</v>
      </c>
      <c r="I108" s="50">
        <f>IFERROR(ROUND(IF($D108="主任",VLOOKUP($B:$B,科室绩效工资核算1!$B:I,MATCH("病历质量积分", 科室绩效工资核算1!$B$3:$AN$3,0),0)/(中层绩效!$E108+VLOOKUP($B:$B,人员表!$B:$G,MATCH("医疗组",人员表!$B$3:$G$3,0),0))*中层绩效!$E108,0),0),0)</f>
        <v>0</v>
      </c>
      <c r="J108" s="50">
        <f>IFERROR(ROUND(IF($D108="主任",VLOOKUP($B:$B,科室绩效工资核算1!$B:J,MATCH("门诊人次积分", 科室绩效工资核算1!$B$3:$AN$3,0),0)/(中层绩效!$E108+VLOOKUP($B:$B,人员表!$B:$G,MATCH("医疗组",人员表!$B$3:$G$3,0),0))*中层绩效!$E108,0),0),0)</f>
        <v>0</v>
      </c>
      <c r="K108" s="50">
        <f>IFERROR(ROUND(IF($D108="主任",VLOOKUP($B:$B,科室绩效工资核算1!$B:K,MATCH("临床路径积分", 科室绩效工资核算1!$B$3:$AN$3,0),0)/(中层绩效!$E108+VLOOKUP($B:$B,人员表!$B:$G,MATCH("医疗组",人员表!$B$3:$G$3,0),0))*中层绩效!$E108,0),0),0)</f>
        <v>0</v>
      </c>
      <c r="L108" s="50">
        <f>IFERROR(ROUND(IF($D108="主任",VLOOKUP($B:$B,科室绩效工资核算1!$B:L,MATCH("麻醉风险积分", 科室绩效工资核算1!$B$3:$AN$3,0),0)/(中层绩效!$E108+VLOOKUP($B:$B,人员表!$B:$G,MATCH("医疗组",人员表!$B$3:$G$3,0),0))*中层绩效!$E108,0),0),0)</f>
        <v>0</v>
      </c>
      <c r="M108" s="50">
        <f>IFERROR(ROUND(IF($D108="主任",VLOOKUP($B:$B,科室绩效工资核算1!$B:M,MATCH("分娩风险积分", 科室绩效工资核算1!$B$3:$AN$3,0),0)/(中层绩效!$E108+VLOOKUP($B:$B,人员表!$B:$G,MATCH("医疗组",人员表!$B$3:$G$3,0),0))*中层绩效!$E108,0),0),0)</f>
        <v>0</v>
      </c>
      <c r="N108" s="50">
        <f>IFERROR(ROUND(IF($D108="主任",VLOOKUP($B:$B,科室绩效工资核算1!$B:N,MATCH("肿瘤支气管镜", 科室绩效工资核算1!$B$3:$AN$3,0),0)/(中层绩效!$E108+VLOOKUP($B:$B,人员表!$B:$G,MATCH("医疗组",人员表!$B$3:$G$3,0),0))*中层绩效!$E108,0),0),0)</f>
        <v>0</v>
      </c>
      <c r="O108" s="50">
        <f>IFERROR(ROUND(IF($D108="主任",VLOOKUP($B:$B,科室绩效工资核算1!$B:O,MATCH("会诊风险积分", 科室绩效工资核算1!$B$3:$AN$3,0),0)/(中层绩效!$E108+VLOOKUP($B:$B,人员表!$B:$G,MATCH("医疗组",人员表!$B$3:$G$3,0),0))*中层绩效!$E108,0),0),0)</f>
        <v>0</v>
      </c>
      <c r="P108" s="50">
        <f>IFERROR(ROUND(IF($D108="主任",VLOOKUP($B:$B,科室绩效工资核算1!$B:P,MATCH("换药风险积分", 科室绩效工资核算1!$B$3:$AN$3,0),0)/(中层绩效!$E108+VLOOKUP($B:$B,人员表!$B:$G,MATCH("医疗组",人员表!$B$3:$G$3,0),0))*中层绩效!$E108,0),0),0)</f>
        <v>0</v>
      </c>
      <c r="Q108" s="50">
        <f>IFERROR(ROUND(IF($D108="主任",VLOOKUP($B:$B,科室绩效工资核算1!$B:Q,MATCH("功能康复积分", 科室绩效工资核算1!$B$3:$AN$3,0),0)/(中层绩效!$E108+VLOOKUP($B:$B,人员表!$B:$G,MATCH("医疗组",人员表!$B$3:$G$3,0),0))*中层绩效!$E108,0),0),0)</f>
        <v>0</v>
      </c>
      <c r="R108" s="50">
        <f>IFERROR(ROUND(IF($D108="主任",VLOOKUP($B:$B,科室绩效工资核算1!$B:R,MATCH("中医外治积分", 科室绩效工资核算1!$B$3:$AN$3,0),0)/(中层绩效!$E108+VLOOKUP($B:$B,人员表!$B:$G,MATCH("医疗组",人员表!$B$3:$G$3,0),0))*中层绩效!$E108,0),0),0)</f>
        <v>0</v>
      </c>
      <c r="S108" s="50">
        <f>IFERROR(ROUND(IF($D108="主任",VLOOKUP($B:$B,科室绩效工资核算1!$B:S,MATCH("中药积分", 科室绩效工资核算1!$B$3:$AN$3,0),0)/(中层绩效!$E108+VLOOKUP($B:$B,人员表!$B:$G,MATCH("医疗组",人员表!$B$3:$G$3,0),0))*中层绩效!$E108,0),0),0)</f>
        <v>0</v>
      </c>
      <c r="T108" s="50">
        <f>IFERROR(ROUND(IF($D108="护士长",VLOOKUP($B:$B,科室绩效工资核算1!$B:T,MATCH("护理风险积分", 科室绩效工资核算1!$B$3:$AN$3,0),0)/(中层绩效!$E108+VLOOKUP($B:$B,人员表!$B:$G,MATCH("护理组",人员表!$B$3:$G$3,0),0))*中层绩效!$E108,0),0),0)</f>
        <v>0</v>
      </c>
      <c r="U108" s="43">
        <f>F108*科室绩效工资核算1!AQ$7</f>
        <v>0</v>
      </c>
      <c r="V108" s="43">
        <f t="shared" si="1"/>
        <v>1970.7904000000001</v>
      </c>
      <c r="W108" s="43">
        <f>V108*科室绩效工资核算1!AQ$10</f>
        <v>2119.9792332800002</v>
      </c>
    </row>
    <row r="109" spans="2:23" x14ac:dyDescent="0.25">
      <c r="B109" s="51" t="str">
        <f>中层系数!B110</f>
        <v>调度中心</v>
      </c>
      <c r="C109" s="5" t="str">
        <f>中层系数!C110</f>
        <v>测试107</v>
      </c>
      <c r="D109" s="5" t="str">
        <f>VLOOKUP(C:C,中层系数!C:I,7,0)</f>
        <v>护士长</v>
      </c>
      <c r="E109" s="5">
        <f>VLOOKUP(C:C,中层系数!C:I,6,0)</f>
        <v>0.97499999999999998</v>
      </c>
      <c r="F109" s="5">
        <f>VLOOKUP(C:C,中层系数!C:I,5,0)</f>
        <v>0</v>
      </c>
      <c r="G109" s="43">
        <f>E109*科室绩效工资核算1!AQ$7</f>
        <v>1501.1880000000001</v>
      </c>
      <c r="H109" s="50">
        <f>IFERROR(ROUND(IF(D109="主任",VLOOKUP($B:$B,科室绩效工资核算1!$B:H,MATCH("首诊风险积分", 科室绩效工资核算1!$B$3:$AN$3,0),0)/(中层绩效!$E109+VLOOKUP($B:$B,人员表!$B:$G,MATCH("医疗组",人员表!$B$3:$G$3,0),0))*中层绩效!$E109,0),0),0)</f>
        <v>0</v>
      </c>
      <c r="I109" s="50">
        <f>IFERROR(ROUND(IF($D109="主任",VLOOKUP($B:$B,科室绩效工资核算1!$B:I,MATCH("病历质量积分", 科室绩效工资核算1!$B$3:$AN$3,0),0)/(中层绩效!$E109+VLOOKUP($B:$B,人员表!$B:$G,MATCH("医疗组",人员表!$B$3:$G$3,0),0))*中层绩效!$E109,0),0),0)</f>
        <v>0</v>
      </c>
      <c r="J109" s="50">
        <f>IFERROR(ROUND(IF($D109="主任",VLOOKUP($B:$B,科室绩效工资核算1!$B:J,MATCH("门诊人次积分", 科室绩效工资核算1!$B$3:$AN$3,0),0)/(中层绩效!$E109+VLOOKUP($B:$B,人员表!$B:$G,MATCH("医疗组",人员表!$B$3:$G$3,0),0))*中层绩效!$E109,0),0),0)</f>
        <v>0</v>
      </c>
      <c r="K109" s="50">
        <f>IFERROR(ROUND(IF($D109="主任",VLOOKUP($B:$B,科室绩效工资核算1!$B:K,MATCH("临床路径积分", 科室绩效工资核算1!$B$3:$AN$3,0),0)/(中层绩效!$E109+VLOOKUP($B:$B,人员表!$B:$G,MATCH("医疗组",人员表!$B$3:$G$3,0),0))*中层绩效!$E109,0),0),0)</f>
        <v>0</v>
      </c>
      <c r="L109" s="50">
        <f>IFERROR(ROUND(IF($D109="主任",VLOOKUP($B:$B,科室绩效工资核算1!$B:L,MATCH("麻醉风险积分", 科室绩效工资核算1!$B$3:$AN$3,0),0)/(中层绩效!$E109+VLOOKUP($B:$B,人员表!$B:$G,MATCH("医疗组",人员表!$B$3:$G$3,0),0))*中层绩效!$E109,0),0),0)</f>
        <v>0</v>
      </c>
      <c r="M109" s="50">
        <f>IFERROR(ROUND(IF($D109="主任",VLOOKUP($B:$B,科室绩效工资核算1!$B:M,MATCH("分娩风险积分", 科室绩效工资核算1!$B$3:$AN$3,0),0)/(中层绩效!$E109+VLOOKUP($B:$B,人员表!$B:$G,MATCH("医疗组",人员表!$B$3:$G$3,0),0))*中层绩效!$E109,0),0),0)</f>
        <v>0</v>
      </c>
      <c r="N109" s="50">
        <f>IFERROR(ROUND(IF($D109="主任",VLOOKUP($B:$B,科室绩效工资核算1!$B:N,MATCH("肿瘤支气管镜", 科室绩效工资核算1!$B$3:$AN$3,0),0)/(中层绩效!$E109+VLOOKUP($B:$B,人员表!$B:$G,MATCH("医疗组",人员表!$B$3:$G$3,0),0))*中层绩效!$E109,0),0),0)</f>
        <v>0</v>
      </c>
      <c r="O109" s="50">
        <f>IFERROR(ROUND(IF($D109="主任",VLOOKUP($B:$B,科室绩效工资核算1!$B:O,MATCH("会诊风险积分", 科室绩效工资核算1!$B$3:$AN$3,0),0)/(中层绩效!$E109+VLOOKUP($B:$B,人员表!$B:$G,MATCH("医疗组",人员表!$B$3:$G$3,0),0))*中层绩效!$E109,0),0),0)</f>
        <v>0</v>
      </c>
      <c r="P109" s="50">
        <f>IFERROR(ROUND(IF($D109="主任",VLOOKUP($B:$B,科室绩效工资核算1!$B:P,MATCH("换药风险积分", 科室绩效工资核算1!$B$3:$AN$3,0),0)/(中层绩效!$E109+VLOOKUP($B:$B,人员表!$B:$G,MATCH("医疗组",人员表!$B$3:$G$3,0),0))*中层绩效!$E109,0),0),0)</f>
        <v>0</v>
      </c>
      <c r="Q109" s="50">
        <f>IFERROR(ROUND(IF($D109="主任",VLOOKUP($B:$B,科室绩效工资核算1!$B:Q,MATCH("功能康复积分", 科室绩效工资核算1!$B$3:$AN$3,0),0)/(中层绩效!$E109+VLOOKUP($B:$B,人员表!$B:$G,MATCH("医疗组",人员表!$B$3:$G$3,0),0))*中层绩效!$E109,0),0),0)</f>
        <v>0</v>
      </c>
      <c r="R109" s="50">
        <f>IFERROR(ROUND(IF($D109="主任",VLOOKUP($B:$B,科室绩效工资核算1!$B:R,MATCH("中医外治积分", 科室绩效工资核算1!$B$3:$AN$3,0),0)/(中层绩效!$E109+VLOOKUP($B:$B,人员表!$B:$G,MATCH("医疗组",人员表!$B$3:$G$3,0),0))*中层绩效!$E109,0),0),0)</f>
        <v>0</v>
      </c>
      <c r="S109" s="50">
        <f>IFERROR(ROUND(IF($D109="主任",VLOOKUP($B:$B,科室绩效工资核算1!$B:S,MATCH("中药积分", 科室绩效工资核算1!$B$3:$AN$3,0),0)/(中层绩效!$E109+VLOOKUP($B:$B,人员表!$B:$G,MATCH("医疗组",人员表!$B$3:$G$3,0),0))*中层绩效!$E109,0),0),0)</f>
        <v>0</v>
      </c>
      <c r="T109" s="50">
        <f>IFERROR(ROUND(IF($D109="护士长",VLOOKUP($B:$B,科室绩效工资核算1!$B:T,MATCH("护理风险积分", 科室绩效工资核算1!$B$3:$AN$3,0),0)/(中层绩效!$E109+VLOOKUP($B:$B,人员表!$B:$G,MATCH("护理组",人员表!$B$3:$G$3,0),0))*中层绩效!$E109,0),0),0)</f>
        <v>0</v>
      </c>
      <c r="U109" s="43">
        <f>F109*科室绩效工资核算1!AQ$7</f>
        <v>0</v>
      </c>
      <c r="V109" s="43">
        <f t="shared" si="1"/>
        <v>1501.1880000000001</v>
      </c>
      <c r="W109" s="43">
        <f>V109*科室绩效工资核算1!AQ$10</f>
        <v>1614.8279316000003</v>
      </c>
    </row>
    <row r="110" spans="2:23" x14ac:dyDescent="0.25">
      <c r="B110" s="70" t="str">
        <f>中层系数!B111</f>
        <v>医院高管</v>
      </c>
      <c r="C110" s="5" t="str">
        <f>中层系数!C111</f>
        <v>测试108</v>
      </c>
      <c r="D110" s="5" t="s">
        <v>433</v>
      </c>
      <c r="E110" s="5">
        <f>VLOOKUP(C:C,中层系数!C:I,6,0)</f>
        <v>2.8</v>
      </c>
      <c r="F110" s="5">
        <f>VLOOKUP(C:C,中层系数!C:I,5,0)</f>
        <v>0.3</v>
      </c>
      <c r="G110" s="43">
        <f>SUMIF(D$4:D$58,"主任",G$4:G$58)/SUMIF(D$4:D$58,"主任",E$4:E$58)*E110</f>
        <v>7273.080769230769</v>
      </c>
      <c r="H110" s="50">
        <f>IFERROR(ROUND(IF(D110="主任",VLOOKUP($B:$B,科室绩效工资核算1!$B:H,MATCH("首诊风险积分", 科室绩效工资核算1!$B$3:$AN$3,0),0)/(中层绩效!$E110+VLOOKUP($B:$B,人员表!$B:$G,MATCH("医疗组",人员表!$B$3:$G$3,0),0))*中层绩效!$E110,0),0),0)</f>
        <v>0</v>
      </c>
      <c r="I110" s="50">
        <f>IFERROR(ROUND(IF($D110="主任",VLOOKUP($B:$B,科室绩效工资核算1!$B:I,MATCH("病历质量积分", 科室绩效工资核算1!$B$3:$AN$3,0),0)/(中层绩效!$E110+VLOOKUP($B:$B,人员表!$B:$G,MATCH("医疗组",人员表!$B$3:$G$3,0),0))*中层绩效!$E110,0),0),0)</f>
        <v>0</v>
      </c>
      <c r="J110" s="50">
        <f>IFERROR(ROUND(IF($D110="主任",VLOOKUP($B:$B,科室绩效工资核算1!$B:J,MATCH("门诊人次积分", 科室绩效工资核算1!$B$3:$AN$3,0),0)/(中层绩效!$E110+VLOOKUP($B:$B,人员表!$B:$G,MATCH("医疗组",人员表!$B$3:$G$3,0),0))*中层绩效!$E110,0),0),0)</f>
        <v>0</v>
      </c>
      <c r="K110" s="50">
        <f>IFERROR(ROUND(IF($D110="主任",VLOOKUP($B:$B,科室绩效工资核算1!$B:K,MATCH("临床路径积分", 科室绩效工资核算1!$B$3:$AN$3,0),0)/(中层绩效!$E110+VLOOKUP($B:$B,人员表!$B:$G,MATCH("医疗组",人员表!$B$3:$G$3,0),0))*中层绩效!$E110,0),0),0)</f>
        <v>0</v>
      </c>
      <c r="L110" s="50">
        <f>IFERROR(ROUND(IF($D110="主任",VLOOKUP($B:$B,科室绩效工资核算1!$B:L,MATCH("麻醉风险积分", 科室绩效工资核算1!$B$3:$AN$3,0),0)/(中层绩效!$E110+VLOOKUP($B:$B,人员表!$B:$G,MATCH("医疗组",人员表!$B$3:$G$3,0),0))*中层绩效!$E110,0),0),0)</f>
        <v>0</v>
      </c>
      <c r="M110" s="50">
        <f>IFERROR(ROUND(IF($D110="主任",VLOOKUP($B:$B,科室绩效工资核算1!$B:M,MATCH("分娩风险积分", 科室绩效工资核算1!$B$3:$AN$3,0),0)/(中层绩效!$E110+VLOOKUP($B:$B,人员表!$B:$G,MATCH("医疗组",人员表!$B$3:$G$3,0),0))*中层绩效!$E110,0),0),0)</f>
        <v>0</v>
      </c>
      <c r="N110" s="50">
        <f>IFERROR(ROUND(IF($D110="主任",VLOOKUP($B:$B,科室绩效工资核算1!$B:N,MATCH("肿瘤支气管镜", 科室绩效工资核算1!$B$3:$AN$3,0),0)/(中层绩效!$E110+VLOOKUP($B:$B,人员表!$B:$G,MATCH("医疗组",人员表!$B$3:$G$3,0),0))*中层绩效!$E110,0),0),0)</f>
        <v>0</v>
      </c>
      <c r="O110" s="50">
        <f>IFERROR(ROUND(IF($D110="主任",VLOOKUP($B:$B,科室绩效工资核算1!$B:O,MATCH("会诊风险积分", 科室绩效工资核算1!$B$3:$AN$3,0),0)/(中层绩效!$E110+VLOOKUP($B:$B,人员表!$B:$G,MATCH("医疗组",人员表!$B$3:$G$3,0),0))*中层绩效!$E110,0),0),0)</f>
        <v>0</v>
      </c>
      <c r="P110" s="50">
        <f>IFERROR(ROUND(IF($D110="主任",VLOOKUP($B:$B,科室绩效工资核算1!$B:P,MATCH("换药风险积分", 科室绩效工资核算1!$B$3:$AN$3,0),0)/(中层绩效!$E110+VLOOKUP($B:$B,人员表!$B:$G,MATCH("医疗组",人员表!$B$3:$G$3,0),0))*中层绩效!$E110,0),0),0)</f>
        <v>0</v>
      </c>
      <c r="Q110" s="50">
        <f>IFERROR(ROUND(IF($D110="主任",VLOOKUP($B:$B,科室绩效工资核算1!$B:Q,MATCH("功能康复积分", 科室绩效工资核算1!$B$3:$AN$3,0),0)/(中层绩效!$E110+VLOOKUP($B:$B,人员表!$B:$G,MATCH("医疗组",人员表!$B$3:$G$3,0),0))*中层绩效!$E110,0),0),0)</f>
        <v>0</v>
      </c>
      <c r="R110" s="50">
        <f>IFERROR(ROUND(IF($D110="主任",VLOOKUP($B:$B,科室绩效工资核算1!$B:R,MATCH("中医外治积分", 科室绩效工资核算1!$B$3:$AN$3,0),0)/(中层绩效!$E110+VLOOKUP($B:$B,人员表!$B:$G,MATCH("医疗组",人员表!$B$3:$G$3,0),0))*中层绩效!$E110,0),0),0)</f>
        <v>0</v>
      </c>
      <c r="S110" s="50">
        <f>IFERROR(ROUND(IF($D110="主任",VLOOKUP($B:$B,科室绩效工资核算1!$B:S,MATCH("中药积分", 科室绩效工资核算1!$B$3:$AN$3,0),0)/(中层绩效!$E110+VLOOKUP($B:$B,人员表!$B:$G,MATCH("医疗组",人员表!$B$3:$G$3,0),0))*中层绩效!$E110,0),0),0)</f>
        <v>0</v>
      </c>
      <c r="T110" s="50">
        <f>IFERROR(ROUND(IF($D110="护士长",VLOOKUP($B:$B,科室绩效工资核算1!$B:T,MATCH("护理风险积分", 科室绩效工资核算1!$B$3:$AN$3,0),0)/(中层绩效!$E110+VLOOKUP($B:$B,人员表!$B:$G,MATCH("护理组",人员表!$B$3:$G$3,0),0))*中层绩效!$E110,0),0),0)</f>
        <v>0</v>
      </c>
      <c r="U110" s="43">
        <f>SUMIF(D$4:D$58,"主任",G$4:G$58)/COUNTIF(D$4:D$58,D$4)*F110</f>
        <v>1447.194642857143</v>
      </c>
      <c r="V110" s="43">
        <f t="shared" si="1"/>
        <v>8720.2754120879126</v>
      </c>
      <c r="W110" s="43">
        <f>V110*科室绩效工资核算1!AQ$10</f>
        <v>9380.400260782968</v>
      </c>
    </row>
    <row r="111" spans="2:23" x14ac:dyDescent="0.25">
      <c r="B111" s="70" t="str">
        <f>中层系数!B112</f>
        <v>医院高管</v>
      </c>
      <c r="C111" s="5" t="str">
        <f>中层系数!C112</f>
        <v>测试109</v>
      </c>
      <c r="D111" s="5" t="s">
        <v>433</v>
      </c>
      <c r="E111" s="5">
        <f>VLOOKUP(C:C,中层系数!C:I,6,0)</f>
        <v>2.4</v>
      </c>
      <c r="F111" s="5">
        <f>VLOOKUP(C:C,中层系数!C:I,5,0)</f>
        <v>0.1</v>
      </c>
      <c r="G111" s="43">
        <f>SUMIF(D$4:D$58,"主任",G$4:G$58)/SUMIF(D$4:D$58,"主任",E$4:E$58)*E111</f>
        <v>6234.0692307692307</v>
      </c>
      <c r="H111" s="50">
        <f>IFERROR(ROUND(IF(D111="主任",VLOOKUP($B:$B,科室绩效工资核算1!$B:H,MATCH("首诊风险积分", 科室绩效工资核算1!$B$3:$AN$3,0),0)/(中层绩效!$E111+VLOOKUP($B:$B,人员表!$B:$G,MATCH("医疗组",人员表!$B$3:$G$3,0),0))*中层绩效!$E111,0),0),0)</f>
        <v>0</v>
      </c>
      <c r="I111" s="50">
        <f>IFERROR(ROUND(IF($D111="主任",VLOOKUP($B:$B,科室绩效工资核算1!$B:I,MATCH("病历质量积分", 科室绩效工资核算1!$B$3:$AN$3,0),0)/(中层绩效!$E111+VLOOKUP($B:$B,人员表!$B:$G,MATCH("医疗组",人员表!$B$3:$G$3,0),0))*中层绩效!$E111,0),0),0)</f>
        <v>0</v>
      </c>
      <c r="J111" s="50">
        <f>IFERROR(ROUND(IF($D111="主任",VLOOKUP($B:$B,科室绩效工资核算1!$B:J,MATCH("门诊人次积分", 科室绩效工资核算1!$B$3:$AN$3,0),0)/(中层绩效!$E111+VLOOKUP($B:$B,人员表!$B:$G,MATCH("医疗组",人员表!$B$3:$G$3,0),0))*中层绩效!$E111,0),0),0)</f>
        <v>0</v>
      </c>
      <c r="K111" s="50">
        <f>IFERROR(ROUND(IF($D111="主任",VLOOKUP($B:$B,科室绩效工资核算1!$B:K,MATCH("临床路径积分", 科室绩效工资核算1!$B$3:$AN$3,0),0)/(中层绩效!$E111+VLOOKUP($B:$B,人员表!$B:$G,MATCH("医疗组",人员表!$B$3:$G$3,0),0))*中层绩效!$E111,0),0),0)</f>
        <v>0</v>
      </c>
      <c r="L111" s="50">
        <f>IFERROR(ROUND(IF($D111="主任",VLOOKUP($B:$B,科室绩效工资核算1!$B:L,MATCH("麻醉风险积分", 科室绩效工资核算1!$B$3:$AN$3,0),0)/(中层绩效!$E111+VLOOKUP($B:$B,人员表!$B:$G,MATCH("医疗组",人员表!$B$3:$G$3,0),0))*中层绩效!$E111,0),0),0)</f>
        <v>0</v>
      </c>
      <c r="M111" s="50">
        <f>IFERROR(ROUND(IF($D111="主任",VLOOKUP($B:$B,科室绩效工资核算1!$B:M,MATCH("分娩风险积分", 科室绩效工资核算1!$B$3:$AN$3,0),0)/(中层绩效!$E111+VLOOKUP($B:$B,人员表!$B:$G,MATCH("医疗组",人员表!$B$3:$G$3,0),0))*中层绩效!$E111,0),0),0)</f>
        <v>0</v>
      </c>
      <c r="N111" s="50">
        <f>IFERROR(ROUND(IF($D111="主任",VLOOKUP($B:$B,科室绩效工资核算1!$B:N,MATCH("肿瘤支气管镜", 科室绩效工资核算1!$B$3:$AN$3,0),0)/(中层绩效!$E111+VLOOKUP($B:$B,人员表!$B:$G,MATCH("医疗组",人员表!$B$3:$G$3,0),0))*中层绩效!$E111,0),0),0)</f>
        <v>0</v>
      </c>
      <c r="O111" s="50">
        <f>IFERROR(ROUND(IF($D111="主任",VLOOKUP($B:$B,科室绩效工资核算1!$B:O,MATCH("会诊风险积分", 科室绩效工资核算1!$B$3:$AN$3,0),0)/(中层绩效!$E111+VLOOKUP($B:$B,人员表!$B:$G,MATCH("医疗组",人员表!$B$3:$G$3,0),0))*中层绩效!$E111,0),0),0)</f>
        <v>0</v>
      </c>
      <c r="P111" s="50">
        <f>IFERROR(ROUND(IF($D111="主任",VLOOKUP($B:$B,科室绩效工资核算1!$B:P,MATCH("换药风险积分", 科室绩效工资核算1!$B$3:$AN$3,0),0)/(中层绩效!$E111+VLOOKUP($B:$B,人员表!$B:$G,MATCH("医疗组",人员表!$B$3:$G$3,0),0))*中层绩效!$E111,0),0),0)</f>
        <v>0</v>
      </c>
      <c r="Q111" s="50">
        <f>IFERROR(ROUND(IF($D111="主任",VLOOKUP($B:$B,科室绩效工资核算1!$B:Q,MATCH("功能康复积分", 科室绩效工资核算1!$B$3:$AN$3,0),0)/(中层绩效!$E111+VLOOKUP($B:$B,人员表!$B:$G,MATCH("医疗组",人员表!$B$3:$G$3,0),0))*中层绩效!$E111,0),0),0)</f>
        <v>0</v>
      </c>
      <c r="R111" s="50">
        <f>IFERROR(ROUND(IF($D111="主任",VLOOKUP($B:$B,科室绩效工资核算1!$B:R,MATCH("中医外治积分", 科室绩效工资核算1!$B$3:$AN$3,0),0)/(中层绩效!$E111+VLOOKUP($B:$B,人员表!$B:$G,MATCH("医疗组",人员表!$B$3:$G$3,0),0))*中层绩效!$E111,0),0),0)</f>
        <v>0</v>
      </c>
      <c r="S111" s="50">
        <f>IFERROR(ROUND(IF($D111="主任",VLOOKUP($B:$B,科室绩效工资核算1!$B:S,MATCH("中药积分", 科室绩效工资核算1!$B$3:$AN$3,0),0)/(中层绩效!$E111+VLOOKUP($B:$B,人员表!$B:$G,MATCH("医疗组",人员表!$B$3:$G$3,0),0))*中层绩效!$E111,0),0),0)</f>
        <v>0</v>
      </c>
      <c r="T111" s="50">
        <f>IFERROR(ROUND(IF($D111="护士长",VLOOKUP($B:$B,科室绩效工资核算1!$B:T,MATCH("护理风险积分", 科室绩效工资核算1!$B$3:$AN$3,0),0)/(中层绩效!$E111+VLOOKUP($B:$B,人员表!$B:$G,MATCH("护理组",人员表!$B$3:$G$3,0),0))*中层绩效!$E111,0),0),0)</f>
        <v>0</v>
      </c>
      <c r="U111" s="43">
        <f>SUMIF(D$4:D$58,"主任",G$4:G$58)/COUNTIF(D$4:D$58,D$4)*F111</f>
        <v>482.39821428571435</v>
      </c>
      <c r="V111" s="43">
        <f t="shared" si="1"/>
        <v>6716.4674450549446</v>
      </c>
      <c r="W111" s="43">
        <f>V111*科室绩效工资核算1!AQ$10</f>
        <v>7224.9040306456045</v>
      </c>
    </row>
    <row r="112" spans="2:23" x14ac:dyDescent="0.25">
      <c r="B112" s="51" t="str">
        <f>中层系数!B113</f>
        <v>调度中心</v>
      </c>
      <c r="C112" s="70" t="str">
        <f>中层系数!C113</f>
        <v>测试110</v>
      </c>
      <c r="D112" s="5" t="str">
        <f>VLOOKUP(C:C,中层系数!C:I,7,0)</f>
        <v>主任</v>
      </c>
      <c r="E112" s="5">
        <f>VLOOKUP(C:C,中层系数!C:I,6,0)</f>
        <v>1.28</v>
      </c>
      <c r="F112" s="5">
        <f>VLOOKUP(C:C,中层系数!C:I,5,0)</f>
        <v>0</v>
      </c>
      <c r="G112" s="43">
        <f>(科室绩效工资核算2!V85+科室绩效工资核算2!V81)/(人员表!E81+人员表!E85)*中层绩效!E112</f>
        <v>1437.0420168067228</v>
      </c>
      <c r="H112" s="50">
        <f>IFERROR(ROUND(IF(D112="主任",VLOOKUP($B:$B,科室绩效工资核算1!$B:H,MATCH("首诊风险积分", 科室绩效工资核算1!$B$3:$AN$3,0),0)/(中层绩效!$E112+VLOOKUP($B:$B,人员表!$B:$G,MATCH("医疗组",人员表!$B$3:$G$3,0),0))*中层绩效!$E112,0),0),0)</f>
        <v>0</v>
      </c>
      <c r="I112" s="50">
        <f>IFERROR(ROUND(IF($D112="主任",VLOOKUP($B:$B,科室绩效工资核算1!$B:I,MATCH("病历质量积分", 科室绩效工资核算1!$B$3:$AN$3,0),0)/(中层绩效!$E112+VLOOKUP($B:$B,人员表!$B:$G,MATCH("医疗组",人员表!$B$3:$G$3,0),0))*中层绩效!$E112,0),0),0)</f>
        <v>0</v>
      </c>
      <c r="J112" s="50">
        <f>IFERROR(ROUND(IF($D112="主任",VLOOKUP($B:$B,科室绩效工资核算1!$B:J,MATCH("门诊人次积分", 科室绩效工资核算1!$B$3:$AN$3,0),0)/(中层绩效!$E112+VLOOKUP($B:$B,人员表!$B:$G,MATCH("医疗组",人员表!$B$3:$G$3,0),0))*中层绩效!$E112,0),0),0)</f>
        <v>0</v>
      </c>
      <c r="K112" s="50">
        <f>IFERROR(ROUND(IF($D112="主任",VLOOKUP($B:$B,科室绩效工资核算1!$B:K,MATCH("临床路径积分", 科室绩效工资核算1!$B$3:$AN$3,0),0)/(中层绩效!$E112+VLOOKUP($B:$B,人员表!$B:$G,MATCH("医疗组",人员表!$B$3:$G$3,0),0))*中层绩效!$E112,0),0),0)</f>
        <v>0</v>
      </c>
      <c r="L112" s="50">
        <f>IFERROR(ROUND(IF($D112="主任",VLOOKUP($B:$B,科室绩效工资核算1!$B:L,MATCH("麻醉风险积分", 科室绩效工资核算1!$B$3:$AN$3,0),0)/(中层绩效!$E112+VLOOKUP($B:$B,人员表!$B:$G,MATCH("医疗组",人员表!$B$3:$G$3,0),0))*中层绩效!$E112,0),0),0)</f>
        <v>0</v>
      </c>
      <c r="M112" s="50">
        <f>IFERROR(ROUND(IF($D112="主任",VLOOKUP($B:$B,科室绩效工资核算1!$B:M,MATCH("分娩风险积分", 科室绩效工资核算1!$B$3:$AN$3,0),0)/(中层绩效!$E112+VLOOKUP($B:$B,人员表!$B:$G,MATCH("医疗组",人员表!$B$3:$G$3,0),0))*中层绩效!$E112,0),0),0)</f>
        <v>0</v>
      </c>
      <c r="N112" s="50">
        <f>IFERROR(ROUND(IF($D112="主任",VLOOKUP($B:$B,科室绩效工资核算1!$B:N,MATCH("肿瘤支气管镜", 科室绩效工资核算1!$B$3:$AN$3,0),0)/(中层绩效!$E112+VLOOKUP($B:$B,人员表!$B:$G,MATCH("医疗组",人员表!$B$3:$G$3,0),0))*中层绩效!$E112,0),0),0)</f>
        <v>0</v>
      </c>
      <c r="O112" s="50">
        <f>IFERROR(ROUND(IF($D112="主任",VLOOKUP($B:$B,科室绩效工资核算1!$B:O,MATCH("会诊风险积分", 科室绩效工资核算1!$B$3:$AN$3,0),0)/(中层绩效!$E112+VLOOKUP($B:$B,人员表!$B:$G,MATCH("医疗组",人员表!$B$3:$G$3,0),0))*中层绩效!$E112,0),0),0)</f>
        <v>0</v>
      </c>
      <c r="P112" s="50">
        <f>IFERROR(ROUND(IF($D112="主任",VLOOKUP($B:$B,科室绩效工资核算1!$B:P,MATCH("换药风险积分", 科室绩效工资核算1!$B$3:$AN$3,0),0)/(中层绩效!$E112+VLOOKUP($B:$B,人员表!$B:$G,MATCH("医疗组",人员表!$B$3:$G$3,0),0))*中层绩效!$E112,0),0),0)</f>
        <v>0</v>
      </c>
      <c r="Q112" s="50">
        <f>IFERROR(ROUND(IF($D112="主任",VLOOKUP($B:$B,科室绩效工资核算1!$B:Q,MATCH("功能康复积分", 科室绩效工资核算1!$B$3:$AN$3,0),0)/(中层绩效!$E112+VLOOKUP($B:$B,人员表!$B:$G,MATCH("医疗组",人员表!$B$3:$G$3,0),0))*中层绩效!$E112,0),0),0)</f>
        <v>0</v>
      </c>
      <c r="R112" s="50">
        <f>IFERROR(ROUND(IF($D112="主任",VLOOKUP($B:$B,科室绩效工资核算1!$B:R,MATCH("中医外治积分", 科室绩效工资核算1!$B$3:$AN$3,0),0)/(中层绩效!$E112+VLOOKUP($B:$B,人员表!$B:$G,MATCH("医疗组",人员表!$B$3:$G$3,0),0))*中层绩效!$E112,0),0),0)</f>
        <v>0</v>
      </c>
      <c r="S112" s="50">
        <f>IFERROR(ROUND(IF($D112="主任",VLOOKUP($B:$B,科室绩效工资核算1!$B:S,MATCH("中药积分", 科室绩效工资核算1!$B$3:$AN$3,0),0)/(中层绩效!$E112+VLOOKUP($B:$B,人员表!$B:$G,MATCH("医疗组",人员表!$B$3:$G$3,0),0))*中层绩效!$E112,0),0),0)</f>
        <v>0</v>
      </c>
      <c r="T112" s="50">
        <f>IFERROR(ROUND(IF($D112="护士长",VLOOKUP($B:$B,科室绩效工资核算1!$B:T,MATCH("护理风险积分", 科室绩效工资核算1!$B$3:$AN$3,0),0)/(中层绩效!$E112+VLOOKUP($B:$B,人员表!$B:$G,MATCH("护理组",人员表!$B$3:$G$3,0),0))*中层绩效!$E112,0),0),0)</f>
        <v>0</v>
      </c>
      <c r="U112" s="43">
        <f>F112*科室绩效工资核算1!AQ$7</f>
        <v>0</v>
      </c>
      <c r="V112" s="43">
        <f t="shared" si="1"/>
        <v>1437.0420168067228</v>
      </c>
      <c r="W112" s="43">
        <f>V112*科室绩效工资核算1!AQ$10</f>
        <v>1545.8260974789919</v>
      </c>
    </row>
    <row r="113" spans="2:23" x14ac:dyDescent="0.25">
      <c r="B113" s="70" t="str">
        <f>中层系数!B114</f>
        <v>医院高管</v>
      </c>
      <c r="C113" s="5" t="str">
        <f>中层系数!C114</f>
        <v>测试111</v>
      </c>
      <c r="D113" s="5" t="s">
        <v>433</v>
      </c>
      <c r="E113" s="5">
        <f>VLOOKUP(C:C,中层系数!C:I,6,0)</f>
        <v>2.8</v>
      </c>
      <c r="F113" s="5">
        <f>VLOOKUP(C:C,中层系数!C:I,5,0)</f>
        <v>0.3</v>
      </c>
      <c r="G113" s="43">
        <f>SUMIF(D$4:D$58,"主任",G$4:G$58)/SUMIF(D$4:D$58,"主任",E$4:E$58)*E113</f>
        <v>7273.080769230769</v>
      </c>
      <c r="H113" s="50">
        <f>IFERROR(ROUND(IF(D113="主任",VLOOKUP($B:$B,科室绩效工资核算1!$B:H,MATCH("首诊风险积分", 科室绩效工资核算1!$B$3:$AN$3,0),0)/(中层绩效!$E113+VLOOKUP($B:$B,人员表!$B:$G,MATCH("医疗组",人员表!$B$3:$G$3,0),0))*中层绩效!$E113,0),0),0)</f>
        <v>0</v>
      </c>
      <c r="I113" s="50">
        <f>IFERROR(ROUND(IF($D113="主任",VLOOKUP($B:$B,科室绩效工资核算1!$B:I,MATCH("病历质量积分", 科室绩效工资核算1!$B$3:$AN$3,0),0)/(中层绩效!$E113+VLOOKUP($B:$B,人员表!$B:$G,MATCH("医疗组",人员表!$B$3:$G$3,0),0))*中层绩效!$E113,0),0),0)</f>
        <v>0</v>
      </c>
      <c r="J113" s="50">
        <f>IFERROR(ROUND(IF($D113="主任",VLOOKUP($B:$B,科室绩效工资核算1!$B:J,MATCH("门诊人次积分", 科室绩效工资核算1!$B$3:$AN$3,0),0)/(中层绩效!$E113+VLOOKUP($B:$B,人员表!$B:$G,MATCH("医疗组",人员表!$B$3:$G$3,0),0))*中层绩效!$E113,0),0),0)</f>
        <v>0</v>
      </c>
      <c r="K113" s="50">
        <f>IFERROR(ROUND(IF($D113="主任",VLOOKUP($B:$B,科室绩效工资核算1!$B:K,MATCH("临床路径积分", 科室绩效工资核算1!$B$3:$AN$3,0),0)/(中层绩效!$E113+VLOOKUP($B:$B,人员表!$B:$G,MATCH("医疗组",人员表!$B$3:$G$3,0),0))*中层绩效!$E113,0),0),0)</f>
        <v>0</v>
      </c>
      <c r="L113" s="50">
        <f>IFERROR(ROUND(IF($D113="主任",VLOOKUP($B:$B,科室绩效工资核算1!$B:L,MATCH("麻醉风险积分", 科室绩效工资核算1!$B$3:$AN$3,0),0)/(中层绩效!$E113+VLOOKUP($B:$B,人员表!$B:$G,MATCH("医疗组",人员表!$B$3:$G$3,0),0))*中层绩效!$E113,0),0),0)</f>
        <v>0</v>
      </c>
      <c r="M113" s="50">
        <f>IFERROR(ROUND(IF($D113="主任",VLOOKUP($B:$B,科室绩效工资核算1!$B:M,MATCH("分娩风险积分", 科室绩效工资核算1!$B$3:$AN$3,0),0)/(中层绩效!$E113+VLOOKUP($B:$B,人员表!$B:$G,MATCH("医疗组",人员表!$B$3:$G$3,0),0))*中层绩效!$E113,0),0),0)</f>
        <v>0</v>
      </c>
      <c r="N113" s="50">
        <f>IFERROR(ROUND(IF($D113="主任",VLOOKUP($B:$B,科室绩效工资核算1!$B:N,MATCH("肿瘤支气管镜", 科室绩效工资核算1!$B$3:$AN$3,0),0)/(中层绩效!$E113+VLOOKUP($B:$B,人员表!$B:$G,MATCH("医疗组",人员表!$B$3:$G$3,0),0))*中层绩效!$E113,0),0),0)</f>
        <v>0</v>
      </c>
      <c r="O113" s="50">
        <f>IFERROR(ROUND(IF($D113="主任",VLOOKUP($B:$B,科室绩效工资核算1!$B:O,MATCH("会诊风险积分", 科室绩效工资核算1!$B$3:$AN$3,0),0)/(中层绩效!$E113+VLOOKUP($B:$B,人员表!$B:$G,MATCH("医疗组",人员表!$B$3:$G$3,0),0))*中层绩效!$E113,0),0),0)</f>
        <v>0</v>
      </c>
      <c r="P113" s="50">
        <f>IFERROR(ROUND(IF($D113="主任",VLOOKUP($B:$B,科室绩效工资核算1!$B:P,MATCH("换药风险积分", 科室绩效工资核算1!$B$3:$AN$3,0),0)/(中层绩效!$E113+VLOOKUP($B:$B,人员表!$B:$G,MATCH("医疗组",人员表!$B$3:$G$3,0),0))*中层绩效!$E113,0),0),0)</f>
        <v>0</v>
      </c>
      <c r="Q113" s="50">
        <f>IFERROR(ROUND(IF($D113="主任",VLOOKUP($B:$B,科室绩效工资核算1!$B:Q,MATCH("功能康复积分", 科室绩效工资核算1!$B$3:$AN$3,0),0)/(中层绩效!$E113+VLOOKUP($B:$B,人员表!$B:$G,MATCH("医疗组",人员表!$B$3:$G$3,0),0))*中层绩效!$E113,0),0),0)</f>
        <v>0</v>
      </c>
      <c r="R113" s="50">
        <f>IFERROR(ROUND(IF($D113="主任",VLOOKUP($B:$B,科室绩效工资核算1!$B:R,MATCH("中医外治积分", 科室绩效工资核算1!$B$3:$AN$3,0),0)/(中层绩效!$E113+VLOOKUP($B:$B,人员表!$B:$G,MATCH("医疗组",人员表!$B$3:$G$3,0),0))*中层绩效!$E113,0),0),0)</f>
        <v>0</v>
      </c>
      <c r="S113" s="50">
        <f>IFERROR(ROUND(IF($D113="主任",VLOOKUP($B:$B,科室绩效工资核算1!$B:S,MATCH("中药积分", 科室绩效工资核算1!$B$3:$AN$3,0),0)/(中层绩效!$E113+VLOOKUP($B:$B,人员表!$B:$G,MATCH("医疗组",人员表!$B$3:$G$3,0),0))*中层绩效!$E113,0),0),0)</f>
        <v>0</v>
      </c>
      <c r="T113" s="50">
        <f>IFERROR(ROUND(IF($D113="护士长",VLOOKUP($B:$B,科室绩效工资核算1!$B:T,MATCH("护理风险积分", 科室绩效工资核算1!$B$3:$AN$3,0),0)/(中层绩效!$E113+VLOOKUP($B:$B,人员表!$B:$G,MATCH("护理组",人员表!$B$3:$G$3,0),0))*中层绩效!$E113,0),0),0)</f>
        <v>0</v>
      </c>
      <c r="U113" s="43">
        <f>SUMIF(D$4:D$58,"主任",G$4:G$58)/COUNTIF(D$4:D$58,D$4)*F113</f>
        <v>1447.194642857143</v>
      </c>
      <c r="V113" s="43">
        <f t="shared" si="1"/>
        <v>8720.2754120879126</v>
      </c>
      <c r="W113" s="43">
        <f>V113*科室绩效工资核算1!AQ$10</f>
        <v>9380.400260782968</v>
      </c>
    </row>
    <row r="114" spans="2:23" x14ac:dyDescent="0.25">
      <c r="B114" s="70" t="str">
        <f>中层系数!B115</f>
        <v>医院高管</v>
      </c>
      <c r="C114" s="5" t="str">
        <f>中层系数!C115</f>
        <v>测试112</v>
      </c>
      <c r="D114" s="5" t="s">
        <v>433</v>
      </c>
      <c r="E114" s="5">
        <f>VLOOKUP(C:C,中层系数!C:I,6,0)</f>
        <v>2.8</v>
      </c>
      <c r="F114" s="5">
        <f>VLOOKUP(C:C,中层系数!C:I,5,0)</f>
        <v>0.3</v>
      </c>
      <c r="G114" s="43">
        <f>SUMIF(D$4:D$58,"主任",G$4:G$58)/SUMIF(D$4:D$58,"主任",E$4:E$58)*E114</f>
        <v>7273.080769230769</v>
      </c>
      <c r="H114" s="50">
        <f>IFERROR(ROUND(IF(D114="主任",VLOOKUP($B:$B,科室绩效工资核算1!$B:H,MATCH("首诊风险积分", 科室绩效工资核算1!$B$3:$AN$3,0),0)/(中层绩效!$E114+VLOOKUP($B:$B,人员表!$B:$G,MATCH("医疗组",人员表!$B$3:$G$3,0),0))*中层绩效!$E114,0),0),0)</f>
        <v>0</v>
      </c>
      <c r="I114" s="50">
        <f>IFERROR(ROUND(IF($D114="主任",VLOOKUP($B:$B,科室绩效工资核算1!$B:I,MATCH("病历质量积分", 科室绩效工资核算1!$B$3:$AN$3,0),0)/(中层绩效!$E114+VLOOKUP($B:$B,人员表!$B:$G,MATCH("医疗组",人员表!$B$3:$G$3,0),0))*中层绩效!$E114,0),0),0)</f>
        <v>0</v>
      </c>
      <c r="J114" s="50">
        <f>IFERROR(ROUND(IF($D114="主任",VLOOKUP($B:$B,科室绩效工资核算1!$B:J,MATCH("门诊人次积分", 科室绩效工资核算1!$B$3:$AN$3,0),0)/(中层绩效!$E114+VLOOKUP($B:$B,人员表!$B:$G,MATCH("医疗组",人员表!$B$3:$G$3,0),0))*中层绩效!$E114,0),0),0)</f>
        <v>0</v>
      </c>
      <c r="K114" s="50">
        <f>IFERROR(ROUND(IF($D114="主任",VLOOKUP($B:$B,科室绩效工资核算1!$B:K,MATCH("临床路径积分", 科室绩效工资核算1!$B$3:$AN$3,0),0)/(中层绩效!$E114+VLOOKUP($B:$B,人员表!$B:$G,MATCH("医疗组",人员表!$B$3:$G$3,0),0))*中层绩效!$E114,0),0),0)</f>
        <v>0</v>
      </c>
      <c r="L114" s="50">
        <f>IFERROR(ROUND(IF($D114="主任",VLOOKUP($B:$B,科室绩效工资核算1!$B:L,MATCH("麻醉风险积分", 科室绩效工资核算1!$B$3:$AN$3,0),0)/(中层绩效!$E114+VLOOKUP($B:$B,人员表!$B:$G,MATCH("医疗组",人员表!$B$3:$G$3,0),0))*中层绩效!$E114,0),0),0)</f>
        <v>0</v>
      </c>
      <c r="M114" s="50">
        <f>IFERROR(ROUND(IF($D114="主任",VLOOKUP($B:$B,科室绩效工资核算1!$B:M,MATCH("分娩风险积分", 科室绩效工资核算1!$B$3:$AN$3,0),0)/(中层绩效!$E114+VLOOKUP($B:$B,人员表!$B:$G,MATCH("医疗组",人员表!$B$3:$G$3,0),0))*中层绩效!$E114,0),0),0)</f>
        <v>0</v>
      </c>
      <c r="N114" s="50">
        <f>IFERROR(ROUND(IF($D114="主任",VLOOKUP($B:$B,科室绩效工资核算1!$B:N,MATCH("肿瘤支气管镜", 科室绩效工资核算1!$B$3:$AN$3,0),0)/(中层绩效!$E114+VLOOKUP($B:$B,人员表!$B:$G,MATCH("医疗组",人员表!$B$3:$G$3,0),0))*中层绩效!$E114,0),0),0)</f>
        <v>0</v>
      </c>
      <c r="O114" s="50">
        <f>IFERROR(ROUND(IF($D114="主任",VLOOKUP($B:$B,科室绩效工资核算1!$B:O,MATCH("会诊风险积分", 科室绩效工资核算1!$B$3:$AN$3,0),0)/(中层绩效!$E114+VLOOKUP($B:$B,人员表!$B:$G,MATCH("医疗组",人员表!$B$3:$G$3,0),0))*中层绩效!$E114,0),0),0)</f>
        <v>0</v>
      </c>
      <c r="P114" s="50">
        <f>IFERROR(ROUND(IF($D114="主任",VLOOKUP($B:$B,科室绩效工资核算1!$B:P,MATCH("换药风险积分", 科室绩效工资核算1!$B$3:$AN$3,0),0)/(中层绩效!$E114+VLOOKUP($B:$B,人员表!$B:$G,MATCH("医疗组",人员表!$B$3:$G$3,0),0))*中层绩效!$E114,0),0),0)</f>
        <v>0</v>
      </c>
      <c r="Q114" s="50">
        <f>IFERROR(ROUND(IF($D114="主任",VLOOKUP($B:$B,科室绩效工资核算1!$B:Q,MATCH("功能康复积分", 科室绩效工资核算1!$B$3:$AN$3,0),0)/(中层绩效!$E114+VLOOKUP($B:$B,人员表!$B:$G,MATCH("医疗组",人员表!$B$3:$G$3,0),0))*中层绩效!$E114,0),0),0)</f>
        <v>0</v>
      </c>
      <c r="R114" s="50">
        <f>IFERROR(ROUND(IF($D114="主任",VLOOKUP($B:$B,科室绩效工资核算1!$B:R,MATCH("中医外治积分", 科室绩效工资核算1!$B$3:$AN$3,0),0)/(中层绩效!$E114+VLOOKUP($B:$B,人员表!$B:$G,MATCH("医疗组",人员表!$B$3:$G$3,0),0))*中层绩效!$E114,0),0),0)</f>
        <v>0</v>
      </c>
      <c r="S114" s="50">
        <f>IFERROR(ROUND(IF($D114="主任",VLOOKUP($B:$B,科室绩效工资核算1!$B:S,MATCH("中药积分", 科室绩效工资核算1!$B$3:$AN$3,0),0)/(中层绩效!$E114+VLOOKUP($B:$B,人员表!$B:$G,MATCH("医疗组",人员表!$B$3:$G$3,0),0))*中层绩效!$E114,0),0),0)</f>
        <v>0</v>
      </c>
      <c r="T114" s="50">
        <f>IFERROR(ROUND(IF($D114="护士长",VLOOKUP($B:$B,科室绩效工资核算1!$B:T,MATCH("护理风险积分", 科室绩效工资核算1!$B$3:$AN$3,0),0)/(中层绩效!$E114+VLOOKUP($B:$B,人员表!$B:$G,MATCH("护理组",人员表!$B$3:$G$3,0),0))*中层绩效!$E114,0),0),0)</f>
        <v>0</v>
      </c>
      <c r="U114" s="43">
        <f>SUMIF(D$4:D$58,"主任",G$4:G$58)/COUNTIF(D$4:D$58,D$4)*F114</f>
        <v>1447.194642857143</v>
      </c>
      <c r="V114" s="43">
        <f t="shared" si="1"/>
        <v>8720.2754120879126</v>
      </c>
      <c r="W114" s="43">
        <f>V114*科室绩效工资核算1!AQ$10</f>
        <v>9380.400260782968</v>
      </c>
    </row>
    <row r="115" spans="2:23" x14ac:dyDescent="0.25">
      <c r="B115" s="51" t="str">
        <f>中层系数!B116</f>
        <v>调度中心</v>
      </c>
      <c r="C115" s="5" t="str">
        <f>中层系数!C116</f>
        <v>测试113</v>
      </c>
      <c r="D115" s="5" t="str">
        <f>VLOOKUP(C:C,中层系数!C:I,7,0)</f>
        <v>副主任</v>
      </c>
      <c r="E115" s="5">
        <f>VLOOKUP(C:C,中层系数!C:I,6,0)</f>
        <v>1.17</v>
      </c>
      <c r="F115" s="5">
        <f>VLOOKUP(C:C,中层系数!C:I,5,0)</f>
        <v>0</v>
      </c>
      <c r="G115" s="43">
        <f>E115*科室绩效工资核算1!AQ$7</f>
        <v>1801.4256</v>
      </c>
      <c r="H115" s="50">
        <f>IFERROR(ROUND(IF(D115="主任",VLOOKUP($B:$B,科室绩效工资核算1!$B:H,MATCH("首诊风险积分", 科室绩效工资核算1!$B$3:$AN$3,0),0)/(中层绩效!$E115+VLOOKUP($B:$B,人员表!$B:$G,MATCH("医疗组",人员表!$B$3:$G$3,0),0))*中层绩效!$E115,0),0),0)</f>
        <v>0</v>
      </c>
      <c r="I115" s="50">
        <f>IFERROR(ROUND(IF($D115="主任",VLOOKUP($B:$B,科室绩效工资核算1!$B:I,MATCH("病历质量积分", 科室绩效工资核算1!$B$3:$AN$3,0),0)/(中层绩效!$E115+VLOOKUP($B:$B,人员表!$B:$G,MATCH("医疗组",人员表!$B$3:$G$3,0),0))*中层绩效!$E115,0),0),0)</f>
        <v>0</v>
      </c>
      <c r="J115" s="50">
        <f>IFERROR(ROUND(IF($D115="主任",VLOOKUP($B:$B,科室绩效工资核算1!$B:J,MATCH("门诊人次积分", 科室绩效工资核算1!$B$3:$AN$3,0),0)/(中层绩效!$E115+VLOOKUP($B:$B,人员表!$B:$G,MATCH("医疗组",人员表!$B$3:$G$3,0),0))*中层绩效!$E115,0),0),0)</f>
        <v>0</v>
      </c>
      <c r="K115" s="50">
        <f>IFERROR(ROUND(IF($D115="主任",VLOOKUP($B:$B,科室绩效工资核算1!$B:K,MATCH("临床路径积分", 科室绩效工资核算1!$B$3:$AN$3,0),0)/(中层绩效!$E115+VLOOKUP($B:$B,人员表!$B:$G,MATCH("医疗组",人员表!$B$3:$G$3,0),0))*中层绩效!$E115,0),0),0)</f>
        <v>0</v>
      </c>
      <c r="L115" s="50">
        <f>IFERROR(ROUND(IF($D115="主任",VLOOKUP($B:$B,科室绩效工资核算1!$B:L,MATCH("麻醉风险积分", 科室绩效工资核算1!$B$3:$AN$3,0),0)/(中层绩效!$E115+VLOOKUP($B:$B,人员表!$B:$G,MATCH("医疗组",人员表!$B$3:$G$3,0),0))*中层绩效!$E115,0),0),0)</f>
        <v>0</v>
      </c>
      <c r="M115" s="50">
        <f>IFERROR(ROUND(IF($D115="主任",VLOOKUP($B:$B,科室绩效工资核算1!$B:M,MATCH("分娩风险积分", 科室绩效工资核算1!$B$3:$AN$3,0),0)/(中层绩效!$E115+VLOOKUP($B:$B,人员表!$B:$G,MATCH("医疗组",人员表!$B$3:$G$3,0),0))*中层绩效!$E115,0),0),0)</f>
        <v>0</v>
      </c>
      <c r="N115" s="50">
        <f>IFERROR(ROUND(IF($D115="主任",VLOOKUP($B:$B,科室绩效工资核算1!$B:N,MATCH("肿瘤支气管镜", 科室绩效工资核算1!$B$3:$AN$3,0),0)/(中层绩效!$E115+VLOOKUP($B:$B,人员表!$B:$G,MATCH("医疗组",人员表!$B$3:$G$3,0),0))*中层绩效!$E115,0),0),0)</f>
        <v>0</v>
      </c>
      <c r="O115" s="50">
        <f>IFERROR(ROUND(IF($D115="主任",VLOOKUP($B:$B,科室绩效工资核算1!$B:O,MATCH("会诊风险积分", 科室绩效工资核算1!$B$3:$AN$3,0),0)/(中层绩效!$E115+VLOOKUP($B:$B,人员表!$B:$G,MATCH("医疗组",人员表!$B$3:$G$3,0),0))*中层绩效!$E115,0),0),0)</f>
        <v>0</v>
      </c>
      <c r="P115" s="50">
        <f>IFERROR(ROUND(IF($D115="主任",VLOOKUP($B:$B,科室绩效工资核算1!$B:P,MATCH("换药风险积分", 科室绩效工资核算1!$B$3:$AN$3,0),0)/(中层绩效!$E115+VLOOKUP($B:$B,人员表!$B:$G,MATCH("医疗组",人员表!$B$3:$G$3,0),0))*中层绩效!$E115,0),0),0)</f>
        <v>0</v>
      </c>
      <c r="Q115" s="50">
        <f>IFERROR(ROUND(IF($D115="主任",VLOOKUP($B:$B,科室绩效工资核算1!$B:Q,MATCH("功能康复积分", 科室绩效工资核算1!$B$3:$AN$3,0),0)/(中层绩效!$E115+VLOOKUP($B:$B,人员表!$B:$G,MATCH("医疗组",人员表!$B$3:$G$3,0),0))*中层绩效!$E115,0),0),0)</f>
        <v>0</v>
      </c>
      <c r="R115" s="50">
        <f>IFERROR(ROUND(IF($D115="主任",VLOOKUP($B:$B,科室绩效工资核算1!$B:R,MATCH("中医外治积分", 科室绩效工资核算1!$B$3:$AN$3,0),0)/(中层绩效!$E115+VLOOKUP($B:$B,人员表!$B:$G,MATCH("医疗组",人员表!$B$3:$G$3,0),0))*中层绩效!$E115,0),0),0)</f>
        <v>0</v>
      </c>
      <c r="S115" s="50">
        <f>IFERROR(ROUND(IF($D115="主任",VLOOKUP($B:$B,科室绩效工资核算1!$B:S,MATCH("中药积分", 科室绩效工资核算1!$B$3:$AN$3,0),0)/(中层绩效!$E115+VLOOKUP($B:$B,人员表!$B:$G,MATCH("医疗组",人员表!$B$3:$G$3,0),0))*中层绩效!$E115,0),0),0)</f>
        <v>0</v>
      </c>
      <c r="T115" s="50">
        <f>IFERROR(ROUND(IF($D115="护士长",VLOOKUP($B:$B,科室绩效工资核算1!$B:T,MATCH("护理风险积分", 科室绩效工资核算1!$B$3:$AN$3,0),0)/(中层绩效!$E115+VLOOKUP($B:$B,人员表!$B:$G,MATCH("护理组",人员表!$B$3:$G$3,0),0))*中层绩效!$E115,0),0),0)</f>
        <v>0</v>
      </c>
      <c r="U115" s="43">
        <f>F115*科室绩效工资核算1!AQ$7</f>
        <v>0</v>
      </c>
      <c r="V115" s="43">
        <f t="shared" si="1"/>
        <v>1801.4256</v>
      </c>
      <c r="W115" s="43">
        <f>V115*科室绩效工资核算1!AQ$10</f>
        <v>1937.7935179200001</v>
      </c>
    </row>
    <row r="116" spans="2:23" x14ac:dyDescent="0.25">
      <c r="B116" s="70" t="str">
        <f>中层系数!B117</f>
        <v>医院高管</v>
      </c>
      <c r="C116" s="5" t="str">
        <f>中层系数!C117</f>
        <v>测试114</v>
      </c>
      <c r="D116" s="5" t="s">
        <v>433</v>
      </c>
      <c r="E116" s="5">
        <f>VLOOKUP(C:C,中层系数!C:I,6,0)</f>
        <v>3.2</v>
      </c>
      <c r="F116" s="5">
        <f>VLOOKUP(C:C,中层系数!C:I,5,0)</f>
        <v>0.4</v>
      </c>
      <c r="G116" s="43">
        <f>SUMIF(D$4:D$58,"主任",G$4:G$58)/SUMIF(D$4:D$58,"主任",E$4:E$58)*E116</f>
        <v>8312.0923076923082</v>
      </c>
      <c r="H116" s="50">
        <f>IFERROR(ROUND(IF(D116="主任",VLOOKUP($B:$B,科室绩效工资核算1!$B:H,MATCH("首诊风险积分", 科室绩效工资核算1!$B$3:$AN$3,0),0)/(中层绩效!$E116+VLOOKUP($B:$B,人员表!$B:$G,MATCH("医疗组",人员表!$B$3:$G$3,0),0))*中层绩效!$E116,0),0),0)</f>
        <v>0</v>
      </c>
      <c r="I116" s="50">
        <f>IFERROR(ROUND(IF($D116="主任",VLOOKUP($B:$B,科室绩效工资核算1!$B:I,MATCH("病历质量积分", 科室绩效工资核算1!$B$3:$AN$3,0),0)/(中层绩效!$E116+VLOOKUP($B:$B,人员表!$B:$G,MATCH("医疗组",人员表!$B$3:$G$3,0),0))*中层绩效!$E116,0),0),0)</f>
        <v>0</v>
      </c>
      <c r="J116" s="50">
        <f>IFERROR(ROUND(IF($D116="主任",VLOOKUP($B:$B,科室绩效工资核算1!$B:J,MATCH("门诊人次积分", 科室绩效工资核算1!$B$3:$AN$3,0),0)/(中层绩效!$E116+VLOOKUP($B:$B,人员表!$B:$G,MATCH("医疗组",人员表!$B$3:$G$3,0),0))*中层绩效!$E116,0),0),0)</f>
        <v>0</v>
      </c>
      <c r="K116" s="50">
        <f>IFERROR(ROUND(IF($D116="主任",VLOOKUP($B:$B,科室绩效工资核算1!$B:K,MATCH("临床路径积分", 科室绩效工资核算1!$B$3:$AN$3,0),0)/(中层绩效!$E116+VLOOKUP($B:$B,人员表!$B:$G,MATCH("医疗组",人员表!$B$3:$G$3,0),0))*中层绩效!$E116,0),0),0)</f>
        <v>0</v>
      </c>
      <c r="L116" s="50">
        <f>IFERROR(ROUND(IF($D116="主任",VLOOKUP($B:$B,科室绩效工资核算1!$B:L,MATCH("麻醉风险积分", 科室绩效工资核算1!$B$3:$AN$3,0),0)/(中层绩效!$E116+VLOOKUP($B:$B,人员表!$B:$G,MATCH("医疗组",人员表!$B$3:$G$3,0),0))*中层绩效!$E116,0),0),0)</f>
        <v>0</v>
      </c>
      <c r="M116" s="50">
        <f>IFERROR(ROUND(IF($D116="主任",VLOOKUP($B:$B,科室绩效工资核算1!$B:M,MATCH("分娩风险积分", 科室绩效工资核算1!$B$3:$AN$3,0),0)/(中层绩效!$E116+VLOOKUP($B:$B,人员表!$B:$G,MATCH("医疗组",人员表!$B$3:$G$3,0),0))*中层绩效!$E116,0),0),0)</f>
        <v>0</v>
      </c>
      <c r="N116" s="50">
        <f>IFERROR(ROUND(IF($D116="主任",VLOOKUP($B:$B,科室绩效工资核算1!$B:N,MATCH("肿瘤支气管镜", 科室绩效工资核算1!$B$3:$AN$3,0),0)/(中层绩效!$E116+VLOOKUP($B:$B,人员表!$B:$G,MATCH("医疗组",人员表!$B$3:$G$3,0),0))*中层绩效!$E116,0),0),0)</f>
        <v>0</v>
      </c>
      <c r="O116" s="50">
        <f>IFERROR(ROUND(IF($D116="主任",VLOOKUP($B:$B,科室绩效工资核算1!$B:O,MATCH("会诊风险积分", 科室绩效工资核算1!$B$3:$AN$3,0),0)/(中层绩效!$E116+VLOOKUP($B:$B,人员表!$B:$G,MATCH("医疗组",人员表!$B$3:$G$3,0),0))*中层绩效!$E116,0),0),0)</f>
        <v>0</v>
      </c>
      <c r="P116" s="50">
        <f>IFERROR(ROUND(IF($D116="主任",VLOOKUP($B:$B,科室绩效工资核算1!$B:P,MATCH("换药风险积分", 科室绩效工资核算1!$B$3:$AN$3,0),0)/(中层绩效!$E116+VLOOKUP($B:$B,人员表!$B:$G,MATCH("医疗组",人员表!$B$3:$G$3,0),0))*中层绩效!$E116,0),0),0)</f>
        <v>0</v>
      </c>
      <c r="Q116" s="50">
        <f>IFERROR(ROUND(IF($D116="主任",VLOOKUP($B:$B,科室绩效工资核算1!$B:Q,MATCH("功能康复积分", 科室绩效工资核算1!$B$3:$AN$3,0),0)/(中层绩效!$E116+VLOOKUP($B:$B,人员表!$B:$G,MATCH("医疗组",人员表!$B$3:$G$3,0),0))*中层绩效!$E116,0),0),0)</f>
        <v>0</v>
      </c>
      <c r="R116" s="50">
        <f>IFERROR(ROUND(IF($D116="主任",VLOOKUP($B:$B,科室绩效工资核算1!$B:R,MATCH("中医外治积分", 科室绩效工资核算1!$B$3:$AN$3,0),0)/(中层绩效!$E116+VLOOKUP($B:$B,人员表!$B:$G,MATCH("医疗组",人员表!$B$3:$G$3,0),0))*中层绩效!$E116,0),0),0)</f>
        <v>0</v>
      </c>
      <c r="S116" s="50">
        <f>IFERROR(ROUND(IF($D116="主任",VLOOKUP($B:$B,科室绩效工资核算1!$B:S,MATCH("中药积分", 科室绩效工资核算1!$B$3:$AN$3,0),0)/(中层绩效!$E116+VLOOKUP($B:$B,人员表!$B:$G,MATCH("医疗组",人员表!$B$3:$G$3,0),0))*中层绩效!$E116,0),0),0)</f>
        <v>0</v>
      </c>
      <c r="T116" s="50">
        <f>IFERROR(ROUND(IF($D116="护士长",VLOOKUP($B:$B,科室绩效工资核算1!$B:T,MATCH("护理风险积分", 科室绩效工资核算1!$B$3:$AN$3,0),0)/(中层绩效!$E116+VLOOKUP($B:$B,人员表!$B:$G,MATCH("护理组",人员表!$B$3:$G$3,0),0))*中层绩效!$E116,0),0),0)</f>
        <v>0</v>
      </c>
      <c r="U116" s="43">
        <f>SUMIF(D$4:D$58,"主任",G$4:G$58)/COUNTIF(D$4:D$58,D$4)*F116</f>
        <v>1929.5928571428574</v>
      </c>
      <c r="V116" s="43">
        <f t="shared" si="1"/>
        <v>10241.685164835166</v>
      </c>
      <c r="W116" s="43">
        <f>V116*科室绩效工资核算1!AQ$10</f>
        <v>11016.980731813188</v>
      </c>
    </row>
    <row r="117" spans="2:23" x14ac:dyDescent="0.25">
      <c r="B117" s="70" t="str">
        <f>中层系数!B118</f>
        <v>医院高管</v>
      </c>
      <c r="C117" s="5" t="str">
        <f>中层系数!C118</f>
        <v>测试115</v>
      </c>
      <c r="D117" s="5" t="s">
        <v>433</v>
      </c>
      <c r="E117" s="5">
        <f>VLOOKUP(C:C,中层系数!C:I,6,0)</f>
        <v>2.8</v>
      </c>
      <c r="F117" s="5">
        <f>VLOOKUP(C:C,中层系数!C:I,5,0)</f>
        <v>0.3</v>
      </c>
      <c r="G117" s="43">
        <f>SUMIF(D$4:D$58,"主任",G$4:G$58)/SUMIF(D$4:D$58,"主任",E$4:E$58)*E117</f>
        <v>7273.080769230769</v>
      </c>
      <c r="H117" s="50">
        <f>IFERROR(ROUND(IF(D117="主任",VLOOKUP($B:$B,科室绩效工资核算1!$B:H,MATCH("首诊风险积分", 科室绩效工资核算1!$B$3:$AN$3,0),0)/(中层绩效!$E117+VLOOKUP($B:$B,人员表!$B:$G,MATCH("医疗组",人员表!$B$3:$G$3,0),0))*中层绩效!$E117,0),0),0)</f>
        <v>0</v>
      </c>
      <c r="I117" s="50">
        <f>IFERROR(ROUND(IF($D117="主任",VLOOKUP($B:$B,科室绩效工资核算1!$B:I,MATCH("病历质量积分", 科室绩效工资核算1!$B$3:$AN$3,0),0)/(中层绩效!$E117+VLOOKUP($B:$B,人员表!$B:$G,MATCH("医疗组",人员表!$B$3:$G$3,0),0))*中层绩效!$E117,0),0),0)</f>
        <v>0</v>
      </c>
      <c r="J117" s="50">
        <f>IFERROR(ROUND(IF($D117="主任",VLOOKUP($B:$B,科室绩效工资核算1!$B:J,MATCH("门诊人次积分", 科室绩效工资核算1!$B$3:$AN$3,0),0)/(中层绩效!$E117+VLOOKUP($B:$B,人员表!$B:$G,MATCH("医疗组",人员表!$B$3:$G$3,0),0))*中层绩效!$E117,0),0),0)</f>
        <v>0</v>
      </c>
      <c r="K117" s="50">
        <f>IFERROR(ROUND(IF($D117="主任",VLOOKUP($B:$B,科室绩效工资核算1!$B:K,MATCH("临床路径积分", 科室绩效工资核算1!$B$3:$AN$3,0),0)/(中层绩效!$E117+VLOOKUP($B:$B,人员表!$B:$G,MATCH("医疗组",人员表!$B$3:$G$3,0),0))*中层绩效!$E117,0),0),0)</f>
        <v>0</v>
      </c>
      <c r="L117" s="50">
        <f>IFERROR(ROUND(IF($D117="主任",VLOOKUP($B:$B,科室绩效工资核算1!$B:L,MATCH("麻醉风险积分", 科室绩效工资核算1!$B$3:$AN$3,0),0)/(中层绩效!$E117+VLOOKUP($B:$B,人员表!$B:$G,MATCH("医疗组",人员表!$B$3:$G$3,0),0))*中层绩效!$E117,0),0),0)</f>
        <v>0</v>
      </c>
      <c r="M117" s="50">
        <f>IFERROR(ROUND(IF($D117="主任",VLOOKUP($B:$B,科室绩效工资核算1!$B:M,MATCH("分娩风险积分", 科室绩效工资核算1!$B$3:$AN$3,0),0)/(中层绩效!$E117+VLOOKUP($B:$B,人员表!$B:$G,MATCH("医疗组",人员表!$B$3:$G$3,0),0))*中层绩效!$E117,0),0),0)</f>
        <v>0</v>
      </c>
      <c r="N117" s="50">
        <f>IFERROR(ROUND(IF($D117="主任",VLOOKUP($B:$B,科室绩效工资核算1!$B:N,MATCH("肿瘤支气管镜", 科室绩效工资核算1!$B$3:$AN$3,0),0)/(中层绩效!$E117+VLOOKUP($B:$B,人员表!$B:$G,MATCH("医疗组",人员表!$B$3:$G$3,0),0))*中层绩效!$E117,0),0),0)</f>
        <v>0</v>
      </c>
      <c r="O117" s="50">
        <f>IFERROR(ROUND(IF($D117="主任",VLOOKUP($B:$B,科室绩效工资核算1!$B:O,MATCH("会诊风险积分", 科室绩效工资核算1!$B$3:$AN$3,0),0)/(中层绩效!$E117+VLOOKUP($B:$B,人员表!$B:$G,MATCH("医疗组",人员表!$B$3:$G$3,0),0))*中层绩效!$E117,0),0),0)</f>
        <v>0</v>
      </c>
      <c r="P117" s="50">
        <f>IFERROR(ROUND(IF($D117="主任",VLOOKUP($B:$B,科室绩效工资核算1!$B:P,MATCH("换药风险积分", 科室绩效工资核算1!$B$3:$AN$3,0),0)/(中层绩效!$E117+VLOOKUP($B:$B,人员表!$B:$G,MATCH("医疗组",人员表!$B$3:$G$3,0),0))*中层绩效!$E117,0),0),0)</f>
        <v>0</v>
      </c>
      <c r="Q117" s="50">
        <f>IFERROR(ROUND(IF($D117="主任",VLOOKUP($B:$B,科室绩效工资核算1!$B:Q,MATCH("功能康复积分", 科室绩效工资核算1!$B$3:$AN$3,0),0)/(中层绩效!$E117+VLOOKUP($B:$B,人员表!$B:$G,MATCH("医疗组",人员表!$B$3:$G$3,0),0))*中层绩效!$E117,0),0),0)</f>
        <v>0</v>
      </c>
      <c r="R117" s="50">
        <f>IFERROR(ROUND(IF($D117="主任",VLOOKUP($B:$B,科室绩效工资核算1!$B:R,MATCH("中医外治积分", 科室绩效工资核算1!$B$3:$AN$3,0),0)/(中层绩效!$E117+VLOOKUP($B:$B,人员表!$B:$G,MATCH("医疗组",人员表!$B$3:$G$3,0),0))*中层绩效!$E117,0),0),0)</f>
        <v>0</v>
      </c>
      <c r="S117" s="50">
        <f>IFERROR(ROUND(IF($D117="主任",VLOOKUP($B:$B,科室绩效工资核算1!$B:S,MATCH("中药积分", 科室绩效工资核算1!$B$3:$AN$3,0),0)/(中层绩效!$E117+VLOOKUP($B:$B,人员表!$B:$G,MATCH("医疗组",人员表!$B$3:$G$3,0),0))*中层绩效!$E117,0),0),0)</f>
        <v>0</v>
      </c>
      <c r="T117" s="50">
        <f>IFERROR(ROUND(IF($D117="护士长",VLOOKUP($B:$B,科室绩效工资核算1!$B:T,MATCH("护理风险积分", 科室绩效工资核算1!$B$3:$AN$3,0),0)/(中层绩效!$E117+VLOOKUP($B:$B,人员表!$B:$G,MATCH("护理组",人员表!$B$3:$G$3,0),0))*中层绩效!$E117,0),0),0)</f>
        <v>0</v>
      </c>
      <c r="U117" s="43">
        <f>SUMIF(D$4:D$58,"主任",G$4:G$58)/COUNTIF(D$4:D$58,D$4)*F117</f>
        <v>1447.194642857143</v>
      </c>
      <c r="V117" s="43">
        <f t="shared" si="1"/>
        <v>8720.2754120879126</v>
      </c>
      <c r="W117" s="43">
        <f>V117*科室绩效工资核算1!AQ$10</f>
        <v>9380.400260782968</v>
      </c>
    </row>
    <row r="118" spans="2:23" x14ac:dyDescent="0.25">
      <c r="B118" s="51" t="str">
        <f>中层系数!B119</f>
        <v>二甲办</v>
      </c>
      <c r="C118" s="70" t="str">
        <f>中层系数!C119</f>
        <v>测试116</v>
      </c>
      <c r="D118" s="5" t="str">
        <f>VLOOKUP(C:C,中层系数!C:I,7,0)</f>
        <v>主任</v>
      </c>
      <c r="E118" s="5">
        <f>VLOOKUP(C:C,中层系数!C:I,6,0)</f>
        <v>1.17</v>
      </c>
      <c r="F118" s="5">
        <f>VLOOKUP(C:C,中层系数!C:I,5,0)</f>
        <v>0</v>
      </c>
      <c r="G118" s="43">
        <f>人员表!F45*中层绩效!E118</f>
        <v>5626.53</v>
      </c>
      <c r="H118" s="50">
        <f>IFERROR(ROUND(IF(D118="主任",VLOOKUP($B:$B,科室绩效工资核算1!$B:H,MATCH("首诊风险积分", 科室绩效工资核算1!$B$3:$AN$3,0),0)/(中层绩效!$E118+VLOOKUP($B:$B,人员表!$B:$G,MATCH("医疗组",人员表!$B$3:$G$3,0),0))*中层绩效!$E118,0),0),0)</f>
        <v>0</v>
      </c>
      <c r="I118" s="50">
        <f>IFERROR(ROUND(IF($D118="主任",VLOOKUP($B:$B,科室绩效工资核算1!$B:I,MATCH("病历质量积分", 科室绩效工资核算1!$B$3:$AN$3,0),0)/(中层绩效!$E118+VLOOKUP($B:$B,人员表!$B:$G,MATCH("医疗组",人员表!$B$3:$G$3,0),0))*中层绩效!$E118,0),0),0)</f>
        <v>0</v>
      </c>
      <c r="J118" s="50">
        <f>IFERROR(ROUND(IF($D118="主任",VLOOKUP($B:$B,科室绩效工资核算1!$B:J,MATCH("门诊人次积分", 科室绩效工资核算1!$B$3:$AN$3,0),0)/(中层绩效!$E118+VLOOKUP($B:$B,人员表!$B:$G,MATCH("医疗组",人员表!$B$3:$G$3,0),0))*中层绩效!$E118,0),0),0)</f>
        <v>0</v>
      </c>
      <c r="K118" s="50">
        <f>IFERROR(ROUND(IF($D118="主任",VLOOKUP($B:$B,科室绩效工资核算1!$B:K,MATCH("临床路径积分", 科室绩效工资核算1!$B$3:$AN$3,0),0)/(中层绩效!$E118+VLOOKUP($B:$B,人员表!$B:$G,MATCH("医疗组",人员表!$B$3:$G$3,0),0))*中层绩效!$E118,0),0),0)</f>
        <v>0</v>
      </c>
      <c r="L118" s="50">
        <f>IFERROR(ROUND(IF($D118="主任",VLOOKUP($B:$B,科室绩效工资核算1!$B:L,MATCH("麻醉风险积分", 科室绩效工资核算1!$B$3:$AN$3,0),0)/(中层绩效!$E118+VLOOKUP($B:$B,人员表!$B:$G,MATCH("医疗组",人员表!$B$3:$G$3,0),0))*中层绩效!$E118,0),0),0)</f>
        <v>0</v>
      </c>
      <c r="M118" s="50">
        <f>IFERROR(ROUND(IF($D118="主任",VLOOKUP($B:$B,科室绩效工资核算1!$B:M,MATCH("分娩风险积分", 科室绩效工资核算1!$B$3:$AN$3,0),0)/(中层绩效!$E118+VLOOKUP($B:$B,人员表!$B:$G,MATCH("医疗组",人员表!$B$3:$G$3,0),0))*中层绩效!$E118,0),0),0)</f>
        <v>0</v>
      </c>
      <c r="N118" s="50">
        <f>IFERROR(ROUND(IF($D118="主任",VLOOKUP($B:$B,科室绩效工资核算1!$B:N,MATCH("肿瘤支气管镜", 科室绩效工资核算1!$B$3:$AN$3,0),0)/(中层绩效!$E118+VLOOKUP($B:$B,人员表!$B:$G,MATCH("医疗组",人员表!$B$3:$G$3,0),0))*中层绩效!$E118,0),0),0)</f>
        <v>0</v>
      </c>
      <c r="O118" s="50">
        <f>IFERROR(ROUND(IF($D118="主任",VLOOKUP($B:$B,科室绩效工资核算1!$B:O,MATCH("会诊风险积分", 科室绩效工资核算1!$B$3:$AN$3,0),0)/(中层绩效!$E118+VLOOKUP($B:$B,人员表!$B:$G,MATCH("医疗组",人员表!$B$3:$G$3,0),0))*中层绩效!$E118,0),0),0)</f>
        <v>0</v>
      </c>
      <c r="P118" s="50">
        <f>IFERROR(ROUND(IF($D118="主任",VLOOKUP($B:$B,科室绩效工资核算1!$B:P,MATCH("换药风险积分", 科室绩效工资核算1!$B$3:$AN$3,0),0)/(中层绩效!$E118+VLOOKUP($B:$B,人员表!$B:$G,MATCH("医疗组",人员表!$B$3:$G$3,0),0))*中层绩效!$E118,0),0),0)</f>
        <v>0</v>
      </c>
      <c r="Q118" s="50">
        <f>IFERROR(ROUND(IF($D118="主任",VLOOKUP($B:$B,科室绩效工资核算1!$B:Q,MATCH("功能康复积分", 科室绩效工资核算1!$B$3:$AN$3,0),0)/(中层绩效!$E118+VLOOKUP($B:$B,人员表!$B:$G,MATCH("医疗组",人员表!$B$3:$G$3,0),0))*中层绩效!$E118,0),0),0)</f>
        <v>0</v>
      </c>
      <c r="R118" s="50">
        <f>IFERROR(ROUND(IF($D118="主任",VLOOKUP($B:$B,科室绩效工资核算1!$B:R,MATCH("中医外治积分", 科室绩效工资核算1!$B$3:$AN$3,0),0)/(中层绩效!$E118+VLOOKUP($B:$B,人员表!$B:$G,MATCH("医疗组",人员表!$B$3:$G$3,0),0))*中层绩效!$E118,0),0),0)</f>
        <v>0</v>
      </c>
      <c r="S118" s="50">
        <f>IFERROR(ROUND(IF($D118="主任",VLOOKUP($B:$B,科室绩效工资核算1!$B:S,MATCH("中药积分", 科室绩效工资核算1!$B$3:$AN$3,0),0)/(中层绩效!$E118+VLOOKUP($B:$B,人员表!$B:$G,MATCH("医疗组",人员表!$B$3:$G$3,0),0))*中层绩效!$E118,0),0),0)</f>
        <v>0</v>
      </c>
      <c r="T118" s="50">
        <f>IFERROR(ROUND(IF($D118="护士长",VLOOKUP($B:$B,科室绩效工资核算1!$B:T,MATCH("护理风险积分", 科室绩效工资核算1!$B$3:$AN$3,0),0)/(中层绩效!$E118+VLOOKUP($B:$B,人员表!$B:$G,MATCH("护理组",人员表!$B$3:$G$3,0),0))*中层绩效!$E118,0),0),0)</f>
        <v>0</v>
      </c>
      <c r="U118" s="43">
        <f>F118*科室绩效工资核算1!AQ$7</f>
        <v>0</v>
      </c>
      <c r="V118" s="43">
        <f t="shared" si="1"/>
        <v>5626.53</v>
      </c>
      <c r="W118" s="43">
        <f>V118*科室绩效工资核算1!AQ$10</f>
        <v>6052.4583210000001</v>
      </c>
    </row>
    <row r="119" spans="2:23" x14ac:dyDescent="0.25">
      <c r="B119" s="51" t="str">
        <f>中层系数!B120</f>
        <v>二甲办</v>
      </c>
      <c r="C119" s="70" t="str">
        <f>中层系数!C120</f>
        <v>测试117</v>
      </c>
      <c r="D119" s="5" t="str">
        <f>VLOOKUP(C:C,中层系数!C:I,7,0)</f>
        <v>副主任</v>
      </c>
      <c r="E119" s="5">
        <f>VLOOKUP(C:C,中层系数!C:I,6,0)</f>
        <v>1.105</v>
      </c>
      <c r="F119" s="5">
        <f>VLOOKUP(C:C,中层系数!C:I,5,0)</f>
        <v>0</v>
      </c>
      <c r="G119" s="43">
        <f>E119*人员表!F52</f>
        <v>2328.2350000000001</v>
      </c>
      <c r="H119" s="50">
        <f>IFERROR(ROUND(IF(D119="主任",VLOOKUP($B:$B,科室绩效工资核算1!$B:H,MATCH("首诊风险积分", 科室绩效工资核算1!$B$3:$AN$3,0),0)/(中层绩效!$E119+VLOOKUP($B:$B,人员表!$B:$G,MATCH("医疗组",人员表!$B$3:$G$3,0),0))*中层绩效!$E119,0),0),0)</f>
        <v>0</v>
      </c>
      <c r="I119" s="50">
        <f>IFERROR(ROUND(IF($D119="主任",VLOOKUP($B:$B,科室绩效工资核算1!$B:I,MATCH("病历质量积分", 科室绩效工资核算1!$B$3:$AN$3,0),0)/(中层绩效!$E119+VLOOKUP($B:$B,人员表!$B:$G,MATCH("医疗组",人员表!$B$3:$G$3,0),0))*中层绩效!$E119,0),0),0)</f>
        <v>0</v>
      </c>
      <c r="J119" s="50">
        <f>IFERROR(ROUND(IF($D119="主任",VLOOKUP($B:$B,科室绩效工资核算1!$B:J,MATCH("门诊人次积分", 科室绩效工资核算1!$B$3:$AN$3,0),0)/(中层绩效!$E119+VLOOKUP($B:$B,人员表!$B:$G,MATCH("医疗组",人员表!$B$3:$G$3,0),0))*中层绩效!$E119,0),0),0)</f>
        <v>0</v>
      </c>
      <c r="K119" s="50">
        <f>IFERROR(ROUND(IF($D119="主任",VLOOKUP($B:$B,科室绩效工资核算1!$B:K,MATCH("临床路径积分", 科室绩效工资核算1!$B$3:$AN$3,0),0)/(中层绩效!$E119+VLOOKUP($B:$B,人员表!$B:$G,MATCH("医疗组",人员表!$B$3:$G$3,0),0))*中层绩效!$E119,0),0),0)</f>
        <v>0</v>
      </c>
      <c r="L119" s="50">
        <f>IFERROR(ROUND(IF($D119="主任",VLOOKUP($B:$B,科室绩效工资核算1!$B:L,MATCH("麻醉风险积分", 科室绩效工资核算1!$B$3:$AN$3,0),0)/(中层绩效!$E119+VLOOKUP($B:$B,人员表!$B:$G,MATCH("医疗组",人员表!$B$3:$G$3,0),0))*中层绩效!$E119,0),0),0)</f>
        <v>0</v>
      </c>
      <c r="M119" s="50">
        <f>IFERROR(ROUND(IF($D119="主任",VLOOKUP($B:$B,科室绩效工资核算1!$B:M,MATCH("分娩风险积分", 科室绩效工资核算1!$B$3:$AN$3,0),0)/(中层绩效!$E119+VLOOKUP($B:$B,人员表!$B:$G,MATCH("医疗组",人员表!$B$3:$G$3,0),0))*中层绩效!$E119,0),0),0)</f>
        <v>0</v>
      </c>
      <c r="N119" s="50">
        <f>IFERROR(ROUND(IF($D119="主任",VLOOKUP($B:$B,科室绩效工资核算1!$B:N,MATCH("肿瘤支气管镜", 科室绩效工资核算1!$B$3:$AN$3,0),0)/(中层绩效!$E119+VLOOKUP($B:$B,人员表!$B:$G,MATCH("医疗组",人员表!$B$3:$G$3,0),0))*中层绩效!$E119,0),0),0)</f>
        <v>0</v>
      </c>
      <c r="O119" s="50">
        <f>IFERROR(ROUND(IF($D119="主任",VLOOKUP($B:$B,科室绩效工资核算1!$B:O,MATCH("会诊风险积分", 科室绩效工资核算1!$B$3:$AN$3,0),0)/(中层绩效!$E119+VLOOKUP($B:$B,人员表!$B:$G,MATCH("医疗组",人员表!$B$3:$G$3,0),0))*中层绩效!$E119,0),0),0)</f>
        <v>0</v>
      </c>
      <c r="P119" s="50">
        <f>IFERROR(ROUND(IF($D119="主任",VLOOKUP($B:$B,科室绩效工资核算1!$B:P,MATCH("换药风险积分", 科室绩效工资核算1!$B$3:$AN$3,0),0)/(中层绩效!$E119+VLOOKUP($B:$B,人员表!$B:$G,MATCH("医疗组",人员表!$B$3:$G$3,0),0))*中层绩效!$E119,0),0),0)</f>
        <v>0</v>
      </c>
      <c r="Q119" s="50">
        <f>IFERROR(ROUND(IF($D119="主任",VLOOKUP($B:$B,科室绩效工资核算1!$B:Q,MATCH("功能康复积分", 科室绩效工资核算1!$B$3:$AN$3,0),0)/(中层绩效!$E119+VLOOKUP($B:$B,人员表!$B:$G,MATCH("医疗组",人员表!$B$3:$G$3,0),0))*中层绩效!$E119,0),0),0)</f>
        <v>0</v>
      </c>
      <c r="R119" s="50">
        <f>IFERROR(ROUND(IF($D119="主任",VLOOKUP($B:$B,科室绩效工资核算1!$B:R,MATCH("中医外治积分", 科室绩效工资核算1!$B$3:$AN$3,0),0)/(中层绩效!$E119+VLOOKUP($B:$B,人员表!$B:$G,MATCH("医疗组",人员表!$B$3:$G$3,0),0))*中层绩效!$E119,0),0),0)</f>
        <v>0</v>
      </c>
      <c r="S119" s="50">
        <f>IFERROR(ROUND(IF($D119="主任",VLOOKUP($B:$B,科室绩效工资核算1!$B:S,MATCH("中药积分", 科室绩效工资核算1!$B$3:$AN$3,0),0)/(中层绩效!$E119+VLOOKUP($B:$B,人员表!$B:$G,MATCH("医疗组",人员表!$B$3:$G$3,0),0))*中层绩效!$E119,0),0),0)</f>
        <v>0</v>
      </c>
      <c r="T119" s="50">
        <f>IFERROR(ROUND(IF($D119="护士长",VLOOKUP($B:$B,科室绩效工资核算1!$B:T,MATCH("护理风险积分", 科室绩效工资核算1!$B$3:$AN$3,0),0)/(中层绩效!$E119+VLOOKUP($B:$B,人员表!$B:$G,MATCH("护理组",人员表!$B$3:$G$3,0),0))*中层绩效!$E119,0),0),0)</f>
        <v>0</v>
      </c>
      <c r="U119" s="43">
        <f>F119*科室绩效工资核算1!AQ$7</f>
        <v>0</v>
      </c>
      <c r="V119" s="43">
        <f t="shared" si="1"/>
        <v>2328.2350000000001</v>
      </c>
      <c r="W119" s="43">
        <f>V119*科室绩效工资核算1!AQ$10</f>
        <v>2504.4823895000004</v>
      </c>
    </row>
    <row r="120" spans="2:23" x14ac:dyDescent="0.25">
      <c r="B120" s="51" t="str">
        <f>中层系数!B121</f>
        <v>二甲办</v>
      </c>
      <c r="C120" s="70" t="str">
        <f>中层系数!C121</f>
        <v>测试118</v>
      </c>
      <c r="D120" s="5" t="str">
        <f>VLOOKUP(C:C,中层系数!C:I,7,0)</f>
        <v>护士长</v>
      </c>
      <c r="E120" s="5">
        <f>VLOOKUP(C:C,中层系数!C:I,6,0)</f>
        <v>1.04</v>
      </c>
      <c r="F120" s="5">
        <f>VLOOKUP(C:C,中层系数!C:I,5,0)</f>
        <v>0</v>
      </c>
      <c r="G120" s="43">
        <f>E120*科室绩效工资核算1!AQ$7</f>
        <v>1601.2672000000002</v>
      </c>
      <c r="H120" s="50">
        <f>IFERROR(ROUND(IF(D120="主任",VLOOKUP($B:$B,科室绩效工资核算1!$B:H,MATCH("首诊风险积分", 科室绩效工资核算1!$B$3:$AN$3,0),0)/(中层绩效!$E120+VLOOKUP($B:$B,人员表!$B:$G,MATCH("医疗组",人员表!$B$3:$G$3,0),0))*中层绩效!$E120,0),0),0)</f>
        <v>0</v>
      </c>
      <c r="I120" s="50">
        <f>IFERROR(ROUND(IF($D120="主任",VLOOKUP($B:$B,科室绩效工资核算1!$B:I,MATCH("病历质量积分", 科室绩效工资核算1!$B$3:$AN$3,0),0)/(中层绩效!$E120+VLOOKUP($B:$B,人员表!$B:$G,MATCH("医疗组",人员表!$B$3:$G$3,0),0))*中层绩效!$E120,0),0),0)</f>
        <v>0</v>
      </c>
      <c r="J120" s="50">
        <f>IFERROR(ROUND(IF($D120="主任",VLOOKUP($B:$B,科室绩效工资核算1!$B:J,MATCH("门诊人次积分", 科室绩效工资核算1!$B$3:$AN$3,0),0)/(中层绩效!$E120+VLOOKUP($B:$B,人员表!$B:$G,MATCH("医疗组",人员表!$B$3:$G$3,0),0))*中层绩效!$E120,0),0),0)</f>
        <v>0</v>
      </c>
      <c r="K120" s="50">
        <f>IFERROR(ROUND(IF($D120="主任",VLOOKUP($B:$B,科室绩效工资核算1!$B:K,MATCH("临床路径积分", 科室绩效工资核算1!$B$3:$AN$3,0),0)/(中层绩效!$E120+VLOOKUP($B:$B,人员表!$B:$G,MATCH("医疗组",人员表!$B$3:$G$3,0),0))*中层绩效!$E120,0),0),0)</f>
        <v>0</v>
      </c>
      <c r="L120" s="50">
        <f>IFERROR(ROUND(IF($D120="主任",VLOOKUP($B:$B,科室绩效工资核算1!$B:L,MATCH("麻醉风险积分", 科室绩效工资核算1!$B$3:$AN$3,0),0)/(中层绩效!$E120+VLOOKUP($B:$B,人员表!$B:$G,MATCH("医疗组",人员表!$B$3:$G$3,0),0))*中层绩效!$E120,0),0),0)</f>
        <v>0</v>
      </c>
      <c r="M120" s="50">
        <f>IFERROR(ROUND(IF($D120="主任",VLOOKUP($B:$B,科室绩效工资核算1!$B:M,MATCH("分娩风险积分", 科室绩效工资核算1!$B$3:$AN$3,0),0)/(中层绩效!$E120+VLOOKUP($B:$B,人员表!$B:$G,MATCH("医疗组",人员表!$B$3:$G$3,0),0))*中层绩效!$E120,0),0),0)</f>
        <v>0</v>
      </c>
      <c r="N120" s="50">
        <f>IFERROR(ROUND(IF($D120="主任",VLOOKUP($B:$B,科室绩效工资核算1!$B:N,MATCH("肿瘤支气管镜", 科室绩效工资核算1!$B$3:$AN$3,0),0)/(中层绩效!$E120+VLOOKUP($B:$B,人员表!$B:$G,MATCH("医疗组",人员表!$B$3:$G$3,0),0))*中层绩效!$E120,0),0),0)</f>
        <v>0</v>
      </c>
      <c r="O120" s="50">
        <f>IFERROR(ROUND(IF($D120="主任",VLOOKUP($B:$B,科室绩效工资核算1!$B:O,MATCH("会诊风险积分", 科室绩效工资核算1!$B$3:$AN$3,0),0)/(中层绩效!$E120+VLOOKUP($B:$B,人员表!$B:$G,MATCH("医疗组",人员表!$B$3:$G$3,0),0))*中层绩效!$E120,0),0),0)</f>
        <v>0</v>
      </c>
      <c r="P120" s="50">
        <f>IFERROR(ROUND(IF($D120="主任",VLOOKUP($B:$B,科室绩效工资核算1!$B:P,MATCH("换药风险积分", 科室绩效工资核算1!$B$3:$AN$3,0),0)/(中层绩效!$E120+VLOOKUP($B:$B,人员表!$B:$G,MATCH("医疗组",人员表!$B$3:$G$3,0),0))*中层绩效!$E120,0),0),0)</f>
        <v>0</v>
      </c>
      <c r="Q120" s="50">
        <f>IFERROR(ROUND(IF($D120="主任",VLOOKUP($B:$B,科室绩效工资核算1!$B:Q,MATCH("功能康复积分", 科室绩效工资核算1!$B$3:$AN$3,0),0)/(中层绩效!$E120+VLOOKUP($B:$B,人员表!$B:$G,MATCH("医疗组",人员表!$B$3:$G$3,0),0))*中层绩效!$E120,0),0),0)</f>
        <v>0</v>
      </c>
      <c r="R120" s="50">
        <f>IFERROR(ROUND(IF($D120="主任",VLOOKUP($B:$B,科室绩效工资核算1!$B:R,MATCH("中医外治积分", 科室绩效工资核算1!$B$3:$AN$3,0),0)/(中层绩效!$E120+VLOOKUP($B:$B,人员表!$B:$G,MATCH("医疗组",人员表!$B$3:$G$3,0),0))*中层绩效!$E120,0),0),0)</f>
        <v>0</v>
      </c>
      <c r="S120" s="50">
        <f>IFERROR(ROUND(IF($D120="主任",VLOOKUP($B:$B,科室绩效工资核算1!$B:S,MATCH("中药积分", 科室绩效工资核算1!$B$3:$AN$3,0),0)/(中层绩效!$E120+VLOOKUP($B:$B,人员表!$B:$G,MATCH("医疗组",人员表!$B$3:$G$3,0),0))*中层绩效!$E120,0),0),0)</f>
        <v>0</v>
      </c>
      <c r="T120" s="50">
        <f>IFERROR(ROUND(IF($D120="护士长",VLOOKUP($B:$B,科室绩效工资核算1!$B:T,MATCH("护理风险积分", 科室绩效工资核算1!$B$3:$AN$3,0),0)/(中层绩效!$E120+VLOOKUP($B:$B,人员表!$B:$G,MATCH("护理组",人员表!$B$3:$G$3,0),0))*中层绩效!$E120,0),0),0)</f>
        <v>0</v>
      </c>
      <c r="U120" s="43">
        <f>F120*科室绩效工资核算1!AQ$7</f>
        <v>0</v>
      </c>
      <c r="V120" s="43">
        <f t="shared" si="1"/>
        <v>1601.2672000000002</v>
      </c>
      <c r="W120" s="43">
        <f>V120*科室绩效工资核算1!AQ$10</f>
        <v>1722.4831270400005</v>
      </c>
    </row>
    <row r="121" spans="2:23" x14ac:dyDescent="0.25">
      <c r="B121" s="51" t="str">
        <f>中层系数!B122</f>
        <v>招标办</v>
      </c>
      <c r="C121" s="70" t="str">
        <f>中层系数!C122</f>
        <v>测试119</v>
      </c>
      <c r="D121" s="5" t="str">
        <f>VLOOKUP(C:C,中层系数!C:I,7,0)</f>
        <v>主任</v>
      </c>
      <c r="E121" s="5">
        <f>VLOOKUP(C:C,中层系数!C:I,6,0)</f>
        <v>2.4</v>
      </c>
      <c r="F121" s="5">
        <f>VLOOKUP(C:C,中层系数!C:I,5,0)</f>
        <v>0.1</v>
      </c>
      <c r="G121" s="43">
        <f>SUMIF(D$4:D$58,"主任",G$4:G$58)/SUMIF(D$4:D$58,"主任",E$4:E$58)*E121</f>
        <v>6234.0692307692307</v>
      </c>
      <c r="H121" s="50">
        <f>IFERROR(ROUND(IF(D121="主任",VLOOKUP($B:$B,科室绩效工资核算1!$B:H,MATCH("首诊风险积分", 科室绩效工资核算1!$B$3:$AN$3,0),0)/(中层绩效!$E121+VLOOKUP($B:$B,人员表!$B:$G,MATCH("医疗组",人员表!$B$3:$G$3,0),0))*中层绩效!$E121,0),0),0)</f>
        <v>0</v>
      </c>
      <c r="I121" s="50">
        <f>IFERROR(ROUND(IF($D121="主任",VLOOKUP($B:$B,科室绩效工资核算1!$B:I,MATCH("病历质量积分", 科室绩效工资核算1!$B$3:$AN$3,0),0)/(中层绩效!$E121+VLOOKUP($B:$B,人员表!$B:$G,MATCH("医疗组",人员表!$B$3:$G$3,0),0))*中层绩效!$E121,0),0),0)</f>
        <v>0</v>
      </c>
      <c r="J121" s="50">
        <f>IFERROR(ROUND(IF($D121="主任",VLOOKUP($B:$B,科室绩效工资核算1!$B:J,MATCH("门诊人次积分", 科室绩效工资核算1!$B$3:$AN$3,0),0)/(中层绩效!$E121+VLOOKUP($B:$B,人员表!$B:$G,MATCH("医疗组",人员表!$B$3:$G$3,0),0))*中层绩效!$E121,0),0),0)</f>
        <v>0</v>
      </c>
      <c r="K121" s="50">
        <f>IFERROR(ROUND(IF($D121="主任",VLOOKUP($B:$B,科室绩效工资核算1!$B:K,MATCH("临床路径积分", 科室绩效工资核算1!$B$3:$AN$3,0),0)/(中层绩效!$E121+VLOOKUP($B:$B,人员表!$B:$G,MATCH("医疗组",人员表!$B$3:$G$3,0),0))*中层绩效!$E121,0),0),0)</f>
        <v>0</v>
      </c>
      <c r="L121" s="50">
        <f>IFERROR(ROUND(IF($D121="主任",VLOOKUP($B:$B,科室绩效工资核算1!$B:L,MATCH("麻醉风险积分", 科室绩效工资核算1!$B$3:$AN$3,0),0)/(中层绩效!$E121+VLOOKUP($B:$B,人员表!$B:$G,MATCH("医疗组",人员表!$B$3:$G$3,0),0))*中层绩效!$E121,0),0),0)</f>
        <v>0</v>
      </c>
      <c r="M121" s="50">
        <f>IFERROR(ROUND(IF($D121="主任",VLOOKUP($B:$B,科室绩效工资核算1!$B:M,MATCH("分娩风险积分", 科室绩效工资核算1!$B$3:$AN$3,0),0)/(中层绩效!$E121+VLOOKUP($B:$B,人员表!$B:$G,MATCH("医疗组",人员表!$B$3:$G$3,0),0))*中层绩效!$E121,0),0),0)</f>
        <v>0</v>
      </c>
      <c r="N121" s="50">
        <f>IFERROR(ROUND(IF($D121="主任",VLOOKUP($B:$B,科室绩效工资核算1!$B:N,MATCH("肿瘤支气管镜", 科室绩效工资核算1!$B$3:$AN$3,0),0)/(中层绩效!$E121+VLOOKUP($B:$B,人员表!$B:$G,MATCH("医疗组",人员表!$B$3:$G$3,0),0))*中层绩效!$E121,0),0),0)</f>
        <v>0</v>
      </c>
      <c r="O121" s="50">
        <f>IFERROR(ROUND(IF($D121="主任",VLOOKUP($B:$B,科室绩效工资核算1!$B:O,MATCH("会诊风险积分", 科室绩效工资核算1!$B$3:$AN$3,0),0)/(中层绩效!$E121+VLOOKUP($B:$B,人员表!$B:$G,MATCH("医疗组",人员表!$B$3:$G$3,0),0))*中层绩效!$E121,0),0),0)</f>
        <v>0</v>
      </c>
      <c r="P121" s="50">
        <f>IFERROR(ROUND(IF($D121="主任",VLOOKUP($B:$B,科室绩效工资核算1!$B:P,MATCH("换药风险积分", 科室绩效工资核算1!$B$3:$AN$3,0),0)/(中层绩效!$E121+VLOOKUP($B:$B,人员表!$B:$G,MATCH("医疗组",人员表!$B$3:$G$3,0),0))*中层绩效!$E121,0),0),0)</f>
        <v>0</v>
      </c>
      <c r="Q121" s="50">
        <f>IFERROR(ROUND(IF($D121="主任",VLOOKUP($B:$B,科室绩效工资核算1!$B:Q,MATCH("功能康复积分", 科室绩效工资核算1!$B$3:$AN$3,0),0)/(中层绩效!$E121+VLOOKUP($B:$B,人员表!$B:$G,MATCH("医疗组",人员表!$B$3:$G$3,0),0))*中层绩效!$E121,0),0),0)</f>
        <v>0</v>
      </c>
      <c r="R121" s="50">
        <f>IFERROR(ROUND(IF($D121="主任",VLOOKUP($B:$B,科室绩效工资核算1!$B:R,MATCH("中医外治积分", 科室绩效工资核算1!$B$3:$AN$3,0),0)/(中层绩效!$E121+VLOOKUP($B:$B,人员表!$B:$G,MATCH("医疗组",人员表!$B$3:$G$3,0),0))*中层绩效!$E121,0),0),0)</f>
        <v>0</v>
      </c>
      <c r="S121" s="50">
        <f>IFERROR(ROUND(IF($D121="主任",VLOOKUP($B:$B,科室绩效工资核算1!$B:S,MATCH("中药积分", 科室绩效工资核算1!$B$3:$AN$3,0),0)/(中层绩效!$E121+VLOOKUP($B:$B,人员表!$B:$G,MATCH("医疗组",人员表!$B$3:$G$3,0),0))*中层绩效!$E121,0),0),0)</f>
        <v>0</v>
      </c>
      <c r="T121" s="50">
        <f>IFERROR(ROUND(IF($D121="护士长",VLOOKUP($B:$B,科室绩效工资核算1!$B:T,MATCH("护理风险积分", 科室绩效工资核算1!$B$3:$AN$3,0),0)/(中层绩效!$E121+VLOOKUP($B:$B,人员表!$B:$G,MATCH("护理组",人员表!$B$3:$G$3,0),0))*中层绩效!$E121,0),0),0)</f>
        <v>0</v>
      </c>
      <c r="U121" s="43">
        <f>SUMIF(D$4:D$58,"主任",G$4:G$58)/COUNTIF(D$4:D$58,D$4)*F121</f>
        <v>482.39821428571435</v>
      </c>
      <c r="V121" s="43">
        <f t="shared" ref="V121:V122" si="2">SUM(G121:U121)</f>
        <v>6716.4674450549446</v>
      </c>
      <c r="W121" s="43">
        <f>V121*科室绩效工资核算1!AQ$10</f>
        <v>7224.9040306456045</v>
      </c>
    </row>
    <row r="122" spans="2:23" x14ac:dyDescent="0.25">
      <c r="B122" s="51" t="str">
        <f>中层系数!B123</f>
        <v>绩效办</v>
      </c>
      <c r="C122" s="5" t="str">
        <f>中层系数!C123</f>
        <v>测试120</v>
      </c>
      <c r="D122" s="5" t="str">
        <f>VLOOKUP(C:C,中层系数!C:I,7,0)</f>
        <v>主任</v>
      </c>
      <c r="E122" s="5">
        <f>VLOOKUP(C:C,中层系数!C:I,6,0)</f>
        <v>1.58</v>
      </c>
      <c r="F122" s="5">
        <f>VLOOKUP(C:C,中层系数!C:I,5,0)</f>
        <v>0</v>
      </c>
      <c r="G122" s="43">
        <f>人员表!F63*中层绩效!E122</f>
        <v>4384.5</v>
      </c>
      <c r="H122" s="50">
        <f>IFERROR(ROUND(IF(D122="主任",VLOOKUP($B:$B,科室绩效工资核算1!$B:H,MATCH("首诊风险积分", 科室绩效工资核算1!$B$3:$AN$3,0),0)/(中层绩效!$E122+VLOOKUP($B:$B,人员表!$B:$G,MATCH("医疗组",人员表!$B$3:$G$3,0),0))*中层绩效!$E122,0),0),0)</f>
        <v>0</v>
      </c>
      <c r="I122" s="50">
        <f>IFERROR(ROUND(IF($D122="主任",VLOOKUP($B:$B,科室绩效工资核算1!$B:I,MATCH("病历质量积分", 科室绩效工资核算1!$B$3:$AN$3,0),0)/(中层绩效!$E122+VLOOKUP($B:$B,人员表!$B:$G,MATCH("医疗组",人员表!$B$3:$G$3,0),0))*中层绩效!$E122,0),0),0)</f>
        <v>0</v>
      </c>
      <c r="J122" s="50">
        <f>IFERROR(ROUND(IF($D122="主任",VLOOKUP($B:$B,科室绩效工资核算1!$B:J,MATCH("门诊人次积分", 科室绩效工资核算1!$B$3:$AN$3,0),0)/(中层绩效!$E122+VLOOKUP($B:$B,人员表!$B:$G,MATCH("医疗组",人员表!$B$3:$G$3,0),0))*中层绩效!$E122,0),0),0)</f>
        <v>0</v>
      </c>
      <c r="K122" s="50">
        <f>IFERROR(ROUND(IF($D122="主任",VLOOKUP($B:$B,科室绩效工资核算1!$B:K,MATCH("临床路径积分", 科室绩效工资核算1!$B$3:$AN$3,0),0)/(中层绩效!$E122+VLOOKUP($B:$B,人员表!$B:$G,MATCH("医疗组",人员表!$B$3:$G$3,0),0))*中层绩效!$E122,0),0),0)</f>
        <v>0</v>
      </c>
      <c r="L122" s="50">
        <f>IFERROR(ROUND(IF($D122="主任",VLOOKUP($B:$B,科室绩效工资核算1!$B:L,MATCH("麻醉风险积分", 科室绩效工资核算1!$B$3:$AN$3,0),0)/(中层绩效!$E122+VLOOKUP($B:$B,人员表!$B:$G,MATCH("医疗组",人员表!$B$3:$G$3,0),0))*中层绩效!$E122,0),0),0)</f>
        <v>0</v>
      </c>
      <c r="M122" s="50">
        <f>IFERROR(ROUND(IF($D122="主任",VLOOKUP($B:$B,科室绩效工资核算1!$B:M,MATCH("分娩风险积分", 科室绩效工资核算1!$B$3:$AN$3,0),0)/(中层绩效!$E122+VLOOKUP($B:$B,人员表!$B:$G,MATCH("医疗组",人员表!$B$3:$G$3,0),0))*中层绩效!$E122,0),0),0)</f>
        <v>0</v>
      </c>
      <c r="N122" s="50">
        <f>IFERROR(ROUND(IF($D122="主任",VLOOKUP($B:$B,科室绩效工资核算1!$B:N,MATCH("肿瘤支气管镜", 科室绩效工资核算1!$B$3:$AN$3,0),0)/(中层绩效!$E122+VLOOKUP($B:$B,人员表!$B:$G,MATCH("医疗组",人员表!$B$3:$G$3,0),0))*中层绩效!$E122,0),0),0)</f>
        <v>0</v>
      </c>
      <c r="O122" s="50">
        <f>IFERROR(ROUND(IF($D122="主任",VLOOKUP($B:$B,科室绩效工资核算1!$B:O,MATCH("会诊风险积分", 科室绩效工资核算1!$B$3:$AN$3,0),0)/(中层绩效!$E122+VLOOKUP($B:$B,人员表!$B:$G,MATCH("医疗组",人员表!$B$3:$G$3,0),0))*中层绩效!$E122,0),0),0)</f>
        <v>0</v>
      </c>
      <c r="P122" s="50">
        <f>IFERROR(ROUND(IF($D122="主任",VLOOKUP($B:$B,科室绩效工资核算1!$B:P,MATCH("换药风险积分", 科室绩效工资核算1!$B$3:$AN$3,0),0)/(中层绩效!$E122+VLOOKUP($B:$B,人员表!$B:$G,MATCH("医疗组",人员表!$B$3:$G$3,0),0))*中层绩效!$E122,0),0),0)</f>
        <v>0</v>
      </c>
      <c r="Q122" s="50">
        <f>IFERROR(ROUND(IF($D122="主任",VLOOKUP($B:$B,科室绩效工资核算1!$B:Q,MATCH("功能康复积分", 科室绩效工资核算1!$B$3:$AN$3,0),0)/(中层绩效!$E122+VLOOKUP($B:$B,人员表!$B:$G,MATCH("医疗组",人员表!$B$3:$G$3,0),0))*中层绩效!$E122,0),0),0)</f>
        <v>0</v>
      </c>
      <c r="R122" s="50">
        <f>IFERROR(ROUND(IF($D122="主任",VLOOKUP($B:$B,科室绩效工资核算1!$B:R,MATCH("中医外治积分", 科室绩效工资核算1!$B$3:$AN$3,0),0)/(中层绩效!$E122+VLOOKUP($B:$B,人员表!$B:$G,MATCH("医疗组",人员表!$B$3:$G$3,0),0))*中层绩效!$E122,0),0),0)</f>
        <v>0</v>
      </c>
      <c r="S122" s="50">
        <f>IFERROR(ROUND(IF($D122="主任",VLOOKUP($B:$B,科室绩效工资核算1!$B:S,MATCH("中药积分", 科室绩效工资核算1!$B$3:$AN$3,0),0)/(中层绩效!$E122+VLOOKUP($B:$B,人员表!$B:$G,MATCH("医疗组",人员表!$B$3:$G$3,0),0))*中层绩效!$E122,0),0),0)</f>
        <v>0</v>
      </c>
      <c r="T122" s="50">
        <f>IFERROR(ROUND(IF($D122="护士长",VLOOKUP($B:$B,科室绩效工资核算1!$B:T,MATCH("护理风险积分", 科室绩效工资核算1!$B$3:$AN$3,0),0)/(中层绩效!$E122+VLOOKUP($B:$B,人员表!$B:$G,MATCH("护理组",人员表!$B$3:$G$3,0),0))*中层绩效!$E122,0),0),0)</f>
        <v>0</v>
      </c>
      <c r="U122" s="43">
        <f>F122*科室绩效工资核算1!AQ$7</f>
        <v>0</v>
      </c>
      <c r="V122" s="43">
        <f t="shared" si="2"/>
        <v>4384.5</v>
      </c>
      <c r="W122" s="43">
        <f>V122*科室绩效工资核算1!AQ$10</f>
        <v>4716.4066500000008</v>
      </c>
    </row>
    <row r="123" spans="2:23" x14ac:dyDescent="0.25">
      <c r="B123" s="51" t="e">
        <f>中层系数!#REF!</f>
        <v>#REF!</v>
      </c>
      <c r="C123" s="5"/>
      <c r="D123" s="5"/>
      <c r="E123" s="5"/>
      <c r="F123" s="5"/>
      <c r="G123" s="5"/>
      <c r="H123" s="50"/>
      <c r="I123" s="5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43">
        <f>SUM(V4:V122)</f>
        <v>448024.98254238942</v>
      </c>
      <c r="W123" s="5"/>
    </row>
  </sheetData>
  <autoFilter ref="C3:C123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4" x14ac:dyDescent="0.25"/>
  <sheetData>
    <row r="2" spans="2:3" x14ac:dyDescent="0.25">
      <c r="B2" t="s">
        <v>0</v>
      </c>
    </row>
    <row r="3" spans="2:3" x14ac:dyDescent="0.25">
      <c r="B3" t="s">
        <v>78</v>
      </c>
      <c r="C3">
        <f>VLOOKUP(B:B,科室绩效工资核算2!B:U,20,0)*0.8%</f>
        <v>197.57599999999999</v>
      </c>
    </row>
    <row r="4" spans="2:3" x14ac:dyDescent="0.25">
      <c r="B4" t="s">
        <v>79</v>
      </c>
      <c r="C4">
        <f>VLOOKUP(B:B,科室绩效工资核算2!B:U,20,0)*0.8%</f>
        <v>258.56</v>
      </c>
    </row>
    <row r="5" spans="2:3" x14ac:dyDescent="0.25">
      <c r="B5" t="s">
        <v>80</v>
      </c>
      <c r="C5">
        <f>VLOOKUP(B:B,科室绩效工资核算2!B:U,20,0)*0.8%</f>
        <v>211.77600000000001</v>
      </c>
    </row>
    <row r="6" spans="2:3" x14ac:dyDescent="0.25">
      <c r="B6" t="s">
        <v>108</v>
      </c>
      <c r="C6">
        <f>VLOOKUP(B:B,科室绩效工资核算2!B:U,20,0)*0.8%</f>
        <v>542.13599999999997</v>
      </c>
    </row>
    <row r="7" spans="2:3" x14ac:dyDescent="0.25">
      <c r="B7" t="s">
        <v>82</v>
      </c>
      <c r="C7">
        <f>VLOOKUP(B:B,科室绩效工资核算2!B:U,20,0)*0.8%</f>
        <v>291.64800000000002</v>
      </c>
    </row>
    <row r="8" spans="2:3" x14ac:dyDescent="0.25">
      <c r="B8" t="s">
        <v>83</v>
      </c>
      <c r="C8">
        <f>VLOOKUP(B:B,科室绩效工资核算2!B:U,20,0)*0.8%</f>
        <v>257.34399999999999</v>
      </c>
    </row>
    <row r="9" spans="2:3" x14ac:dyDescent="0.25">
      <c r="B9" t="s">
        <v>109</v>
      </c>
      <c r="C9">
        <f>VLOOKUP(B:B,科室绩效工资核算2!B:U,20,0)*0.8%</f>
        <v>191.488</v>
      </c>
    </row>
    <row r="10" spans="2:3" x14ac:dyDescent="0.25">
      <c r="B10" t="s">
        <v>84</v>
      </c>
      <c r="C10">
        <f>VLOOKUP(B:B,科室绩效工资核算2!B:U,20,0)*0.8%</f>
        <v>403.87200000000001</v>
      </c>
    </row>
    <row r="11" spans="2:3" x14ac:dyDescent="0.25">
      <c r="B11" t="s">
        <v>85</v>
      </c>
      <c r="C11">
        <f>VLOOKUP(B:B,科室绩效工资核算2!B:U,20,0)*0.8%</f>
        <v>293.08</v>
      </c>
    </row>
    <row r="12" spans="2:3" x14ac:dyDescent="0.25">
      <c r="B12" t="s">
        <v>86</v>
      </c>
      <c r="C12">
        <f>VLOOKUP(B:B,科室绩效工资核算2!B:U,20,0)*0.8%</f>
        <v>172.16</v>
      </c>
    </row>
    <row r="13" spans="2:3" x14ac:dyDescent="0.25">
      <c r="B13" t="s">
        <v>87</v>
      </c>
      <c r="C13">
        <f>VLOOKUP(B:B,科室绩效工资核算2!B:U,20,0)*0.8%</f>
        <v>268.57600000000002</v>
      </c>
    </row>
    <row r="14" spans="2:3" x14ac:dyDescent="0.25">
      <c r="B14" t="s">
        <v>88</v>
      </c>
      <c r="C14">
        <f>VLOOKUP(B:B,科室绩效工资核算2!B:U,20,0)*0.8%</f>
        <v>73.664000000000001</v>
      </c>
    </row>
    <row r="15" spans="2:3" x14ac:dyDescent="0.25">
      <c r="B15" t="s">
        <v>101</v>
      </c>
      <c r="C15">
        <f>VLOOKUP(B:B,科室绩效工资核算2!B:U,20,0)*0.8%</f>
        <v>159.696</v>
      </c>
    </row>
    <row r="16" spans="2:3" x14ac:dyDescent="0.25">
      <c r="B16" t="s">
        <v>89</v>
      </c>
      <c r="C16">
        <f>VLOOKUP(B:B,科室绩效工资核算2!B:U,20,0)*0.8%</f>
        <v>556.41600000000005</v>
      </c>
    </row>
    <row r="17" spans="2:3" x14ac:dyDescent="0.25">
      <c r="B17" t="s">
        <v>110</v>
      </c>
      <c r="C17">
        <f>VLOOKUP(B:B,科室绩效工资核算2!B:U,20,0)*0.8%</f>
        <v>359.81600000000003</v>
      </c>
    </row>
    <row r="18" spans="2:3" x14ac:dyDescent="0.25">
      <c r="B18" t="s">
        <v>111</v>
      </c>
      <c r="C18">
        <f>VLOOKUP(B:B,科室绩效工资核算2!B:U,20,0)*0.8%</f>
        <v>233.16</v>
      </c>
    </row>
    <row r="19" spans="2:3" x14ac:dyDescent="0.25">
      <c r="B19" t="s">
        <v>90</v>
      </c>
      <c r="C19">
        <f>VLOOKUP(B:B,科室绩效工资核算2!B:U,20,0)*0.8%</f>
        <v>209.42400000000001</v>
      </c>
    </row>
    <row r="20" spans="2:3" x14ac:dyDescent="0.25">
      <c r="B20" t="s">
        <v>91</v>
      </c>
      <c r="C20">
        <f>VLOOKUP(B:B,科室绩效工资核算2!B:U,20,0)*0.8%</f>
        <v>507.91200000000003</v>
      </c>
    </row>
    <row r="21" spans="2:3" x14ac:dyDescent="0.25">
      <c r="B21" t="s">
        <v>92</v>
      </c>
      <c r="C21">
        <f>VLOOKUP(B:B,科室绩效工资核算2!B:U,20,0)*0.8%</f>
        <v>118.24000000000001</v>
      </c>
    </row>
    <row r="22" spans="2:3" x14ac:dyDescent="0.25">
      <c r="B22" t="s">
        <v>93</v>
      </c>
      <c r="C22">
        <f>VLOOKUP(B:B,科室绩效工资核算2!B:U,20,0)*0.8%</f>
        <v>242.10400000000001</v>
      </c>
    </row>
    <row r="23" spans="2:3" x14ac:dyDescent="0.25">
      <c r="B23" t="s">
        <v>94</v>
      </c>
      <c r="C23">
        <f>VLOOKUP(B:B,科室绩效工资核算2!B:U,20,0)*0.8%</f>
        <v>93.103999999999999</v>
      </c>
    </row>
    <row r="24" spans="2:3" x14ac:dyDescent="0.25">
      <c r="B24" t="s">
        <v>435</v>
      </c>
      <c r="C24">
        <f>VLOOKUP(B:B,科室绩效工资核算2!B:U,20,0)*0.8%</f>
        <v>212.49600000000001</v>
      </c>
    </row>
    <row r="25" spans="2:3" x14ac:dyDescent="0.25">
      <c r="B25" t="s">
        <v>387</v>
      </c>
      <c r="C25">
        <f>SUM(C3:C24)</f>
        <v>5854.2480000000005</v>
      </c>
    </row>
    <row r="26" spans="2:3" x14ac:dyDescent="0.25">
      <c r="B26" t="s">
        <v>437</v>
      </c>
      <c r="C26">
        <f>C25*科室绩效工资核算1!AQ10</f>
        <v>6297.4145736000009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8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24" sqref="R24"/>
    </sheetView>
  </sheetViews>
  <sheetFormatPr defaultColWidth="9" defaultRowHeight="13" x14ac:dyDescent="0.25"/>
  <cols>
    <col min="1" max="1" width="9" style="58"/>
    <col min="2" max="2" width="9.6328125" style="61" bestFit="1" customWidth="1"/>
    <col min="3" max="3" width="7.54296875" style="58" bestFit="1" customWidth="1"/>
    <col min="4" max="4" width="8.453125" style="58" bestFit="1" customWidth="1"/>
    <col min="5" max="5" width="8.90625" style="58" customWidth="1"/>
    <col min="6" max="7" width="6.6328125" style="58" bestFit="1" customWidth="1"/>
    <col min="8" max="8" width="6.36328125" style="58" bestFit="1" customWidth="1"/>
    <col min="9" max="9" width="7.7265625" style="58" customWidth="1"/>
    <col min="10" max="10" width="6.36328125" style="58" bestFit="1" customWidth="1"/>
    <col min="11" max="11" width="6.36328125" style="58" customWidth="1"/>
    <col min="12" max="12" width="5.81640625" style="58" bestFit="1" customWidth="1"/>
    <col min="13" max="13" width="6.54296875" style="58" customWidth="1"/>
    <col min="14" max="15" width="6.6328125" style="58" bestFit="1" customWidth="1"/>
    <col min="16" max="16" width="4.90625" style="58" bestFit="1" customWidth="1"/>
    <col min="17" max="17" width="7.81640625" style="58" customWidth="1"/>
    <col min="18" max="19" width="6.6328125" style="58" bestFit="1" customWidth="1"/>
    <col min="20" max="21" width="6.36328125" style="58" bestFit="1" customWidth="1"/>
    <col min="22" max="22" width="7.54296875" style="58" bestFit="1" customWidth="1"/>
    <col min="23" max="23" width="6.6328125" style="61" bestFit="1" customWidth="1"/>
    <col min="24" max="25" width="6.6328125" style="58" bestFit="1" customWidth="1"/>
    <col min="26" max="26" width="5.81640625" style="61" bestFit="1" customWidth="1"/>
    <col min="27" max="27" width="29" style="65" bestFit="1" customWidth="1"/>
    <col min="28" max="28" width="9.54296875" style="58" bestFit="1" customWidth="1"/>
    <col min="29" max="30" width="7.54296875" style="58" bestFit="1" customWidth="1"/>
    <col min="31" max="16384" width="9" style="58"/>
  </cols>
  <sheetData>
    <row r="1" spans="2:29" ht="12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</row>
    <row r="2" spans="2:29" s="61" customFormat="1" ht="27.15" customHeight="1" x14ac:dyDescent="0.25">
      <c r="B2" s="59" t="s">
        <v>372</v>
      </c>
      <c r="C2" s="60" t="s">
        <v>394</v>
      </c>
      <c r="D2" s="60" t="s">
        <v>395</v>
      </c>
      <c r="E2" s="60" t="s">
        <v>396</v>
      </c>
      <c r="F2" s="60" t="s">
        <v>397</v>
      </c>
      <c r="G2" s="60" t="s">
        <v>398</v>
      </c>
      <c r="H2" s="60" t="s">
        <v>399</v>
      </c>
      <c r="I2" s="60" t="s">
        <v>400</v>
      </c>
      <c r="J2" s="60" t="s">
        <v>401</v>
      </c>
      <c r="K2" s="60" t="s">
        <v>420</v>
      </c>
      <c r="L2" s="60" t="s">
        <v>402</v>
      </c>
      <c r="M2" s="60" t="s">
        <v>403</v>
      </c>
      <c r="N2" s="60" t="s">
        <v>404</v>
      </c>
      <c r="O2" s="60" t="s">
        <v>405</v>
      </c>
      <c r="P2" s="60" t="s">
        <v>406</v>
      </c>
      <c r="Q2" s="60" t="s">
        <v>407</v>
      </c>
      <c r="R2" s="60" t="s">
        <v>408</v>
      </c>
      <c r="S2" s="60" t="s">
        <v>409</v>
      </c>
      <c r="T2" s="60" t="s">
        <v>410</v>
      </c>
      <c r="U2" s="60" t="s">
        <v>411</v>
      </c>
      <c r="V2" s="60" t="s">
        <v>412</v>
      </c>
      <c r="W2" s="60" t="s">
        <v>413</v>
      </c>
      <c r="X2" s="60" t="s">
        <v>414</v>
      </c>
      <c r="Y2" s="60" t="s">
        <v>415</v>
      </c>
      <c r="Z2" s="60" t="s">
        <v>416</v>
      </c>
      <c r="AA2" s="60" t="s">
        <v>4</v>
      </c>
      <c r="AB2" s="60" t="s">
        <v>77</v>
      </c>
      <c r="AC2" s="58"/>
    </row>
    <row r="3" spans="2:29" ht="27.15" customHeight="1" x14ac:dyDescent="0.25">
      <c r="B3" s="59" t="s">
        <v>78</v>
      </c>
      <c r="C3" s="59">
        <f>VLOOKUP(B:B,科室绩效工资核算2!B:C,2,0)*科室绩效工资核算1!AQ$10</f>
        <v>5085.9096000000009</v>
      </c>
      <c r="D3" s="59">
        <f>VLOOKUP(B:B,科室绩效工资核算2!B:D,3,0)*科室绩效工资核算1!AQ$10</f>
        <v>16882.035800000001</v>
      </c>
      <c r="E3" s="59">
        <f>VLOOKUP($B:$B,科室绩效工资核算2!$B:E,4,0)*科室绩效工资核算1!$AQ$10</f>
        <v>1549.008</v>
      </c>
      <c r="F3" s="59">
        <f>VLOOKUP($B:$B,科室绩效工资核算2!$B:F,5,0)*科室绩效工资核算1!$AQ$10</f>
        <v>806.77500000000009</v>
      </c>
      <c r="G3" s="59">
        <f>VLOOKUP($B:$B,科室绩效工资核算2!$B:G,6,0)*科室绩效工资核算1!$AQ$10</f>
        <v>318.40720000000005</v>
      </c>
      <c r="H3" s="59">
        <f>VLOOKUP($B:$B,科室绩效工资核算2!$B:H,7,0)*科室绩效工资核算1!$AQ$10</f>
        <v>96.813000000000002</v>
      </c>
      <c r="I3" s="59">
        <f>VLOOKUP($B:$B,科室绩效工资核算2!$B:I,8,0)*科室绩效工资核算1!$AQ$10</f>
        <v>0</v>
      </c>
      <c r="J3" s="59">
        <f>VLOOKUP($B:$B,科室绩效工资核算2!$B:J,9,0)*科室绩效工资核算1!$AQ$10</f>
        <v>0</v>
      </c>
      <c r="K3" s="59">
        <f>VLOOKUP($B:$B,科室绩效工资核算2!$B:K,10,0)*科室绩效工资核算1!$AQ$10</f>
        <v>0</v>
      </c>
      <c r="L3" s="59">
        <f>VLOOKUP($B:$B,科室绩效工资核算2!$B:L,11,0)*科室绩效工资核算1!$AQ$10</f>
        <v>96.813000000000002</v>
      </c>
      <c r="M3" s="59">
        <f>VLOOKUP($B:$B,科室绩效工资核算2!$B:M,12,0)*科室绩效工资核算1!$AQ$10</f>
        <v>0</v>
      </c>
      <c r="N3" s="59">
        <f>VLOOKUP($B:$B,科室绩效工资核算2!$B:N,13,0)*科室绩效工资核算1!$AQ$10</f>
        <v>74.223300000000009</v>
      </c>
      <c r="O3" s="59">
        <f>VLOOKUP($B:$B,科室绩效工资核算2!$B:O,14,0)*科室绩效工资核算1!$AQ$10</f>
        <v>17.211200000000002</v>
      </c>
      <c r="P3" s="59">
        <f>VLOOKUP($B:$B,科室绩效工资核算2!$B:P,15,0)*科室绩效工资核算1!$AQ$10</f>
        <v>4.3028000000000004</v>
      </c>
      <c r="Q3" s="59">
        <f>VLOOKUP($B:$B,科室绩效工资核算2!$B:Q,16,0)*科室绩效工资核算1!$AQ$10</f>
        <v>1635.0640000000001</v>
      </c>
      <c r="R3" s="59">
        <f>VLOOKUP($B:$B,科室绩效工资核算2!$B:T,19,0)*科室绩效工资核算1!$AQ$10</f>
        <v>0</v>
      </c>
      <c r="S3" s="59">
        <f>VLOOKUP($B:$B,科室绩效工资核算1!$B:AJ,35,0)*科室绩效工资核算1!$AQ$10</f>
        <v>296.89320000000004</v>
      </c>
      <c r="T3" s="59">
        <f>VLOOKUP($B:$B,科室绩效工资核算1!$B:AK,36,0)*科室绩效工资核算1!$AQ$10</f>
        <v>129.084</v>
      </c>
      <c r="U3" s="59">
        <f>VLOOKUP($B:$B,科室绩效工资核算1!$B:AL,37,0)*科室绩效工资核算1!$AQ$10</f>
        <v>107.57000000000001</v>
      </c>
      <c r="V3" s="59">
        <f>SUMIFS(中层绩效!$W:$W,中层绩效!$B:$B,绩效明细表!$B3,中层绩效!$D:$D,"主任")</f>
        <v>6434.2995500000006</v>
      </c>
      <c r="W3" s="59">
        <f>SUMIFS(中层绩效!$W:$W,中层绩效!$B:$B,绩效明细表!$B3,中层绩效!$D:$D,"副主任")</f>
        <v>0</v>
      </c>
      <c r="X3" s="59">
        <f>SUMIFS(中层绩效!$W:$W,中层绩效!$B:$B,绩效明细表!$B3,中层绩效!$D:$D,"护士长")</f>
        <v>2268.9524959999999</v>
      </c>
      <c r="Y3" s="59"/>
      <c r="Z3" s="59"/>
      <c r="AA3" s="62"/>
      <c r="AB3" s="59">
        <f>SUM(C3:X3)-Y3+Z3</f>
        <v>35803.362146000007</v>
      </c>
    </row>
    <row r="4" spans="2:29" ht="27.15" customHeight="1" x14ac:dyDescent="0.25">
      <c r="B4" s="59" t="s">
        <v>436</v>
      </c>
      <c r="C4" s="59">
        <f>VLOOKUP(B:B,科室绩效工资核算2!B:C,2,0)*科室绩效工资核算1!AQ$10</f>
        <v>8571.1776000000009</v>
      </c>
      <c r="D4" s="59">
        <f>VLOOKUP(B:B,科室绩效工资核算2!B:D,3,0)*科室绩效工资核算1!AQ$10</f>
        <v>19523.955000000002</v>
      </c>
      <c r="E4" s="59">
        <f>VLOOKUP(B:B,科室绩效工资核算2!B:E,4,0)*科室绩效工资核算1!AQ$10</f>
        <v>1598.4902000000002</v>
      </c>
      <c r="F4" s="59">
        <f>VLOOKUP($B:$B,科室绩效工资核算2!$B:F,5,0)*科室绩效工资核算1!$AQ$10</f>
        <v>806.77500000000009</v>
      </c>
      <c r="G4" s="59">
        <f>VLOOKUP($B:$B,科室绩效工资核算2!$B:G,6,0)*科室绩效工资核算1!$AQ$10</f>
        <v>432.43140000000005</v>
      </c>
      <c r="H4" s="59">
        <f>VLOOKUP($B:$B,科室绩效工资核算2!$B:H,7,0)*科室绩效工资核算1!$AQ$10</f>
        <v>92.510200000000012</v>
      </c>
      <c r="I4" s="59">
        <f>VLOOKUP($B:$B,科室绩效工资核算2!$B:I,8,0)*科室绩效工资核算1!$AQ$10</f>
        <v>0</v>
      </c>
      <c r="J4" s="59">
        <f>VLOOKUP($B:$B,科室绩效工资核算2!$B:J,9,0)*科室绩效工资核算1!$AQ$10</f>
        <v>0</v>
      </c>
      <c r="K4" s="59">
        <f>VLOOKUP($B:$B,科室绩效工资核算2!$B:K,10,0)*科室绩效工资核算1!$AQ$10</f>
        <v>0</v>
      </c>
      <c r="L4" s="59">
        <f>VLOOKUP($B:$B,科室绩效工资核算2!$B:L,11,0)*科室绩效工资核算1!$AQ$10</f>
        <v>54.860700000000008</v>
      </c>
      <c r="M4" s="59">
        <f>VLOOKUP($B:$B,科室绩效工资核算2!$B:M,12,0)*科室绩效工资核算1!$AQ$10</f>
        <v>11.832700000000001</v>
      </c>
      <c r="N4" s="59">
        <f>VLOOKUP($B:$B,科室绩效工资核算2!$B:N,13,0)*科室绩效工资核算1!$AQ$10</f>
        <v>1095.0626000000002</v>
      </c>
      <c r="O4" s="59">
        <f>VLOOKUP($B:$B,科室绩效工资核算2!$B:O,14,0)*科室绩效工资核算1!$AQ$10</f>
        <v>886.37680000000012</v>
      </c>
      <c r="P4" s="59">
        <f>VLOOKUP($B:$B,科室绩效工资核算2!$B:P,15,0)*科室绩效工资核算1!$AQ$10</f>
        <v>0</v>
      </c>
      <c r="Q4" s="59">
        <f>VLOOKUP($B:$B,科室绩效工资核算2!$B:Q,16,0)*科室绩效工资核算1!$AQ$10</f>
        <v>1693.1518000000001</v>
      </c>
      <c r="R4" s="59">
        <f>VLOOKUP($B:$B,科室绩效工资核算2!$B:T,19,0)*科室绩效工资核算1!$AQ$10</f>
        <v>0</v>
      </c>
      <c r="S4" s="59">
        <f>VLOOKUP($B:$B,科室绩效工资核算1!$B:AJ,35,0)*科室绩效工资核算1!$AQ$10</f>
        <v>148.44660000000002</v>
      </c>
      <c r="T4" s="59">
        <f>VLOOKUP($B:$B,科室绩效工资核算1!$B:AK,36,0)*科室绩效工资核算1!$AQ$10</f>
        <v>64.542000000000002</v>
      </c>
      <c r="U4" s="59">
        <f>VLOOKUP($B:$B,科室绩效工资核算1!$B:AL,37,0)*科室绩效工资核算1!$AQ$10</f>
        <v>53.785000000000004</v>
      </c>
      <c r="V4" s="59">
        <f>SUMIFS(中层绩效!$W:$W,中层绩效!$B:$B,绩效明细表!$B4,中层绩效!$D:$D,"主任")</f>
        <v>8758.349400000001</v>
      </c>
      <c r="W4" s="59">
        <f>SUMIFS(中层绩效!$W:$W,中层绩效!$B:$B,绩效明细表!$B4,中层绩效!$D:$D,"副主任")</f>
        <v>0</v>
      </c>
      <c r="X4" s="59">
        <f>SUMIFS(中层绩效!$W:$W,中层绩效!$B:$B,绩效明细表!$B4,中层绩效!$D:$D,"护士长")</f>
        <v>2769.1960239999999</v>
      </c>
      <c r="Y4" s="59"/>
      <c r="Z4" s="59"/>
      <c r="AA4" s="62"/>
      <c r="AB4" s="59">
        <f t="shared" ref="AB4:AB34" si="0">SUM(C4:X4)-Y4+Z4</f>
        <v>46560.943024000015</v>
      </c>
    </row>
    <row r="5" spans="2:29" ht="27.15" customHeight="1" x14ac:dyDescent="0.25">
      <c r="B5" s="59" t="s">
        <v>80</v>
      </c>
      <c r="C5" s="59">
        <f>VLOOKUP(B:B,科室绩效工资核算2!B:C,2,0)*科室绩效工资核算1!AQ$10</f>
        <v>4526.5456000000004</v>
      </c>
      <c r="D5" s="59">
        <f>VLOOKUP(B:B,科室绩效工资核算2!B:D,3,0)*科室绩效工资核算1!AQ$10</f>
        <v>17875.982600000003</v>
      </c>
      <c r="E5" s="59">
        <f>VLOOKUP(B:B,科室绩效工资核算2!B:E,4,0)*科室绩效工资核算1!AQ$10</f>
        <v>2271.8784000000001</v>
      </c>
      <c r="F5" s="59">
        <f>VLOOKUP($B:$B,科室绩效工资核算2!$B:F,5,0)*科室绩效工资核算1!$AQ$10</f>
        <v>797.09370000000013</v>
      </c>
      <c r="G5" s="59">
        <f>VLOOKUP($B:$B,科室绩效工资核算2!$B:G,6,0)*科室绩效工资核算1!$AQ$10</f>
        <v>359.28380000000004</v>
      </c>
      <c r="H5" s="59">
        <f>VLOOKUP($B:$B,科室绩效工资核算2!$B:H,7,0)*科室绩效工资核算1!$AQ$10</f>
        <v>0</v>
      </c>
      <c r="I5" s="59">
        <f>VLOOKUP($B:$B,科室绩效工资核算2!$B:I,8,0)*科室绩效工资核算1!$AQ$10</f>
        <v>0</v>
      </c>
      <c r="J5" s="59">
        <f>VLOOKUP($B:$B,科室绩效工资核算2!$B:J,9,0)*科室绩效工资核算1!$AQ$10</f>
        <v>0</v>
      </c>
      <c r="K5" s="59">
        <f>VLOOKUP($B:$B,科室绩效工资核算2!$B:K,10,0)*科室绩效工资核算1!$AQ$10</f>
        <v>0</v>
      </c>
      <c r="L5" s="59">
        <f>VLOOKUP($B:$B,科室绩效工资核算2!$B:L,11,0)*科室绩效工资核算1!$AQ$10</f>
        <v>119.40270000000001</v>
      </c>
      <c r="M5" s="59">
        <f>VLOOKUP($B:$B,科室绩效工资核算2!$B:M,12,0)*科室绩效工资核算1!$AQ$10</f>
        <v>0</v>
      </c>
      <c r="N5" s="59">
        <f>VLOOKUP($B:$B,科室绩效工资核算2!$B:N,13,0)*科室绩效工资核算1!$AQ$10</f>
        <v>211.91290000000001</v>
      </c>
      <c r="O5" s="59">
        <f>VLOOKUP($B:$B,科室绩效工资核算2!$B:O,14,0)*科室绩效工资核算1!$AQ$10</f>
        <v>102.1915</v>
      </c>
      <c r="P5" s="59">
        <f>VLOOKUP($B:$B,科室绩效工资核算2!$B:P,15,0)*科室绩效工资核算1!$AQ$10</f>
        <v>130.15970000000002</v>
      </c>
      <c r="Q5" s="59">
        <f>VLOOKUP($B:$B,科室绩效工资核算2!$B:Q,16,0)*科室绩效工资核算1!$AQ$10</f>
        <v>2081.4795000000004</v>
      </c>
      <c r="R5" s="59">
        <f>VLOOKUP($B:$B,科室绩效工资核算2!$B:T,19,0)*科室绩效工资核算1!$AQ$10</f>
        <v>0</v>
      </c>
      <c r="S5" s="59">
        <f>VLOOKUP($B:$B,科室绩效工资核算1!$B:AJ,35,0)*科室绩效工资核算1!$AQ$10</f>
        <v>148.44660000000002</v>
      </c>
      <c r="T5" s="59">
        <f>VLOOKUP($B:$B,科室绩效工资核算1!$B:AK,36,0)*科室绩效工资核算1!$AQ$10</f>
        <v>64.542000000000002</v>
      </c>
      <c r="U5" s="59">
        <f>VLOOKUP($B:$B,科室绩效工资核算1!$B:AL,37,0)*科室绩效工资核算1!$AQ$10</f>
        <v>53.785000000000004</v>
      </c>
      <c r="V5" s="59">
        <f>SUMIFS(中层绩效!$W:$W,中层绩效!$B:$B,绩效明细表!$B5,中层绩效!$D:$D,"主任")</f>
        <v>6028.2228000000005</v>
      </c>
      <c r="W5" s="59">
        <f>SUMIFS(中层绩效!$W:$W,中层绩效!$B:$B,绩效明细表!$B5,中层绩效!$D:$D,"副主任")</f>
        <v>0</v>
      </c>
      <c r="X5" s="59">
        <f>SUMIFS(中层绩效!$W:$W,中层绩效!$B:$B,绩效明细表!$B5,中层绩效!$D:$D,"护士长")</f>
        <v>2559.8648040000007</v>
      </c>
      <c r="Y5" s="63"/>
      <c r="Z5" s="59"/>
      <c r="AA5" s="62"/>
      <c r="AB5" s="59">
        <f t="shared" si="0"/>
        <v>37330.791604000013</v>
      </c>
    </row>
    <row r="6" spans="2:29" ht="27.15" customHeight="1" x14ac:dyDescent="0.25">
      <c r="B6" s="59" t="s">
        <v>108</v>
      </c>
      <c r="C6" s="59">
        <f>VLOOKUP(B:B,科室绩效工资核算2!B:C,2,0)*科室绩效工资核算1!AQ$10</f>
        <v>6809.1810000000005</v>
      </c>
      <c r="D6" s="59">
        <f>VLOOKUP(B:B,科室绩效工资核算2!B:D,3,0)*科室绩效工资核算1!AQ$10</f>
        <v>49860.846400000002</v>
      </c>
      <c r="E6" s="59">
        <f>VLOOKUP(B:B,科室绩效工资核算2!B:E,4,0)*科室绩效工资核算1!AQ$10</f>
        <v>5133.2404000000006</v>
      </c>
      <c r="F6" s="59">
        <f>VLOOKUP($B:$B,科室绩效工资核算2!$B:F,5,0)*科室绩效工资核算1!$AQ$10</f>
        <v>2584.9071000000004</v>
      </c>
      <c r="G6" s="59">
        <f>VLOOKUP($B:$B,科室绩效工资核算2!$B:G,6,0)*科室绩效工资核算1!$AQ$10</f>
        <v>754.06570000000011</v>
      </c>
      <c r="H6" s="59">
        <f>VLOOKUP($B:$B,科室绩效工资核算2!$B:H,7,0)*科室绩效工资核算1!$AQ$10</f>
        <v>0</v>
      </c>
      <c r="I6" s="59">
        <f>VLOOKUP($B:$B,科室绩效工资核算2!$B:I,8,0)*科室绩效工资核算1!$AQ$10</f>
        <v>0</v>
      </c>
      <c r="J6" s="59">
        <f>VLOOKUP($B:$B,科室绩效工资核算2!$B:J,9,0)*科室绩效工资核算1!$AQ$10</f>
        <v>0</v>
      </c>
      <c r="K6" s="59">
        <f>VLOOKUP($B:$B,科室绩效工资核算2!$B:K,10,0)*科室绩效工资核算1!$AQ$10</f>
        <v>0</v>
      </c>
      <c r="L6" s="59">
        <f>VLOOKUP($B:$B,科室绩效工资核算2!$B:L,11,0)*科室绩效工资核算1!$AQ$10</f>
        <v>512.03320000000008</v>
      </c>
      <c r="M6" s="59">
        <f>VLOOKUP($B:$B,科室绩效工资核算2!$B:M,12,0)*科室绩效工资核算1!$AQ$10</f>
        <v>0</v>
      </c>
      <c r="N6" s="59">
        <f>VLOOKUP($B:$B,科室绩效工资核算2!$B:N,13,0)*科室绩效工资核算1!$AQ$10</f>
        <v>0</v>
      </c>
      <c r="O6" s="59">
        <f>VLOOKUP($B:$B,科室绩效工资核算2!$B:O,14,0)*科室绩效工资核算1!$AQ$10</f>
        <v>0</v>
      </c>
      <c r="P6" s="59">
        <f>VLOOKUP($B:$B,科室绩效工资核算2!$B:P,15,0)*科室绩效工资核算1!$AQ$10</f>
        <v>11.832700000000001</v>
      </c>
      <c r="Q6" s="59">
        <f>VLOOKUP($B:$B,科室绩效工资核算2!$B:Q,16,0)*科室绩效工资核算1!$AQ$10</f>
        <v>7230.8554000000004</v>
      </c>
      <c r="R6" s="59">
        <f>VLOOKUP($B:$B,科室绩效工资核算2!$B:T,19,0)*科室绩效工资核算1!$AQ$10</f>
        <v>0</v>
      </c>
      <c r="S6" s="59">
        <f>VLOOKUP($B:$B,科室绩效工资核算1!$B:AJ,35,0)*科室绩效工资核算1!$AQ$10</f>
        <v>15848.288100000002</v>
      </c>
      <c r="T6" s="59">
        <f>VLOOKUP($B:$B,科室绩效工资核算1!$B:AK,36,0)*科室绩效工资核算1!$AQ$10</f>
        <v>4259.7720000000008</v>
      </c>
      <c r="U6" s="59">
        <f>VLOOKUP($B:$B,科室绩效工资核算1!$B:AL,37,0)*科室绩效工资核算1!$AQ$10</f>
        <v>3549.8100000000004</v>
      </c>
      <c r="V6" s="59">
        <f>SUMIFS(中层绩效!$W:$W,中层绩效!$B:$B,绩效明细表!$B6,中层绩效!$D:$D,"主任")</f>
        <v>19323.771532800001</v>
      </c>
      <c r="W6" s="59">
        <f>SUMIFS(中层绩效!$W:$W,中层绩效!$B:$B,绩效明细表!$B6,中层绩效!$D:$D,"副主任")</f>
        <v>0</v>
      </c>
      <c r="X6" s="59">
        <f>SUMIFS(中层绩效!$W:$W,中层绩效!$B:$B,绩效明细表!$B6,中层绩效!$D:$D,"护士长")</f>
        <v>10177.412839999999</v>
      </c>
      <c r="Y6" s="63"/>
      <c r="Z6" s="59"/>
      <c r="AA6" s="62"/>
      <c r="AB6" s="59">
        <f t="shared" si="0"/>
        <v>126056.01637280002</v>
      </c>
    </row>
    <row r="7" spans="2:29" ht="27.15" customHeight="1" x14ac:dyDescent="0.25">
      <c r="B7" s="59" t="s">
        <v>82</v>
      </c>
      <c r="C7" s="59">
        <f>VLOOKUP(B:B,科室绩效工资核算2!B:C,2,0)*科室绩效工资核算1!AQ$10</f>
        <v>10067.4763</v>
      </c>
      <c r="D7" s="59">
        <f>VLOOKUP(B:B,科室绩效工资核算2!B:D,3,0)*科室绩效工资核算1!AQ$10</f>
        <v>22284.201200000003</v>
      </c>
      <c r="E7" s="59">
        <f>VLOOKUP(B:B,科室绩效工资核算2!B:E,4,0)*科室绩效工资核算1!AQ$10</f>
        <v>2122.3561000000004</v>
      </c>
      <c r="F7" s="59">
        <f>VLOOKUP($B:$B,科室绩效工资核算2!$B:F,5,0)*科室绩效工资核算1!$AQ$10</f>
        <v>882.07400000000007</v>
      </c>
      <c r="G7" s="59">
        <f>VLOOKUP($B:$B,科室绩效工资核算2!$B:G,6,0)*科室绩效工资核算1!$AQ$10</f>
        <v>1255.3419000000001</v>
      </c>
      <c r="H7" s="59">
        <f>VLOOKUP($B:$B,科室绩效工资核算2!$B:H,7,0)*科室绩效工资核算1!$AQ$10</f>
        <v>0</v>
      </c>
      <c r="I7" s="59">
        <f>VLOOKUP($B:$B,科室绩效工资核算2!$B:I,8,0)*科室绩效工资核算1!$AQ$10</f>
        <v>0</v>
      </c>
      <c r="J7" s="59">
        <f>VLOOKUP($B:$B,科室绩效工资核算2!$B:J,9,0)*科室绩效工资核算1!$AQ$10</f>
        <v>0</v>
      </c>
      <c r="K7" s="59">
        <f>VLOOKUP($B:$B,科室绩效工资核算2!$B:K,10,0)*科室绩效工资核算1!$AQ$10</f>
        <v>0</v>
      </c>
      <c r="L7" s="59">
        <f>VLOOKUP($B:$B,科室绩效工资核算2!$B:L,11,0)*科室绩效工资核算1!$AQ$10</f>
        <v>155.97650000000002</v>
      </c>
      <c r="M7" s="59">
        <f>VLOOKUP($B:$B,科室绩效工资核算2!$B:M,12,0)*科室绩效工资核算1!$AQ$10</f>
        <v>0</v>
      </c>
      <c r="N7" s="59">
        <f>VLOOKUP($B:$B,科室绩效工资核算2!$B:N,13,0)*科室绩效工资核算1!$AQ$10</f>
        <v>0</v>
      </c>
      <c r="O7" s="59">
        <f>VLOOKUP($B:$B,科室绩效工资核算2!$B:O,14,0)*科室绩效工资核算1!$AQ$10</f>
        <v>0</v>
      </c>
      <c r="P7" s="59">
        <f>VLOOKUP($B:$B,科室绩效工资核算2!$B:P,15,0)*科室绩效工资核算1!$AQ$10</f>
        <v>5.3785000000000007</v>
      </c>
      <c r="Q7" s="59">
        <f>VLOOKUP($B:$B,科室绩效工资核算2!$B:Q,16,0)*科室绩效工资核算1!$AQ$10</f>
        <v>2442.9147000000003</v>
      </c>
      <c r="R7" s="59">
        <f>VLOOKUP($B:$B,科室绩效工资核算2!$B:T,19,0)*科室绩效工资核算1!$AQ$10</f>
        <v>0</v>
      </c>
      <c r="S7" s="59">
        <f>VLOOKUP($B:$B,科室绩效工资核算1!$B:AJ,35,0)*科室绩效工资核算1!$AQ$10</f>
        <v>0</v>
      </c>
      <c r="T7" s="59">
        <f>VLOOKUP($B:$B,科室绩效工资核算1!$B:AK,36,0)*科室绩效工资核算1!$AQ$10</f>
        <v>0</v>
      </c>
      <c r="U7" s="59">
        <f>VLOOKUP($B:$B,科室绩效工资核算1!$B:AL,37,0)*科室绩效工资核算1!$AQ$10</f>
        <v>0</v>
      </c>
      <c r="V7" s="59">
        <f>SUMIFS(中层绩效!$W:$W,中层绩效!$B:$B,绩效明细表!$B7,中层绩效!$D:$D,"主任")</f>
        <v>11415.3284</v>
      </c>
      <c r="W7" s="59">
        <f>SUMIFS(中层绩效!$W:$W,中层绩效!$B:$B,绩效明细表!$B7,中层绩效!$D:$D,"副主任")</f>
        <v>0</v>
      </c>
      <c r="X7" s="59">
        <f>SUMIFS(中层绩效!$W:$W,中层绩效!$B:$B,绩效明细表!$B7,中层绩效!$D:$D,"护士长")</f>
        <v>2866.1596220000001</v>
      </c>
      <c r="Y7" s="59"/>
      <c r="Z7" s="59"/>
      <c r="AA7" s="62"/>
      <c r="AB7" s="59">
        <f t="shared" si="0"/>
        <v>53497.207221999997</v>
      </c>
    </row>
    <row r="8" spans="2:29" ht="27.15" customHeight="1" x14ac:dyDescent="0.25">
      <c r="B8" s="59" t="s">
        <v>83</v>
      </c>
      <c r="C8" s="59">
        <f>VLOOKUP(B:B,科室绩效工资核算2!B:C,2,0)*科室绩效工资核算1!AQ$10</f>
        <v>8886.3577000000005</v>
      </c>
      <c r="D8" s="59">
        <f>VLOOKUP(B:B,科室绩效工资核算2!B:D,3,0)*科室绩效工资核算1!AQ$10</f>
        <v>20565.232600000003</v>
      </c>
      <c r="E8" s="59">
        <f>VLOOKUP(B:B,科室绩效工资核算2!B:E,4,0)*科室绩效工资核算1!AQ$10</f>
        <v>1874.9451000000001</v>
      </c>
      <c r="F8" s="59">
        <f>VLOOKUP($B:$B,科室绩效工资核算2!$B:F,5,0)*科室绩效工资核算1!$AQ$10</f>
        <v>799.24510000000009</v>
      </c>
      <c r="G8" s="59">
        <f>VLOOKUP($B:$B,科室绩效工资核算2!$B:G,6,0)*科室绩效工资核算1!$AQ$10</f>
        <v>762.67130000000009</v>
      </c>
      <c r="H8" s="59">
        <f>VLOOKUP($B:$B,科室绩效工资核算2!$B:H,7,0)*科室绩效工资核算1!$AQ$10</f>
        <v>0</v>
      </c>
      <c r="I8" s="59">
        <f>VLOOKUP($B:$B,科室绩效工资核算2!$B:I,8,0)*科室绩效工资核算1!$AQ$10</f>
        <v>0</v>
      </c>
      <c r="J8" s="59">
        <f>VLOOKUP($B:$B,科室绩效工资核算2!$B:J,9,0)*科室绩效工资核算1!$AQ$10</f>
        <v>0</v>
      </c>
      <c r="K8" s="59">
        <f>VLOOKUP($B:$B,科室绩效工资核算2!$B:K,10,0)*科室绩效工资核算1!$AQ$10</f>
        <v>0</v>
      </c>
      <c r="L8" s="59">
        <f>VLOOKUP($B:$B,科室绩效工资核算2!$B:L,11,0)*科室绩效工资核算1!$AQ$10</f>
        <v>196.85310000000001</v>
      </c>
      <c r="M8" s="59">
        <f>VLOOKUP($B:$B,科室绩效工资核算2!$B:M,12,0)*科室绩效工资核算1!$AQ$10</f>
        <v>0</v>
      </c>
      <c r="N8" s="59">
        <f>VLOOKUP($B:$B,科室绩效工资核算2!$B:N,13,0)*科室绩效工资核算1!$AQ$10</f>
        <v>0</v>
      </c>
      <c r="O8" s="59">
        <f>VLOOKUP($B:$B,科室绩效工资核算2!$B:O,14,0)*科室绩效工资核算1!$AQ$10</f>
        <v>0</v>
      </c>
      <c r="P8" s="59">
        <f>VLOOKUP($B:$B,科室绩效工资核算2!$B:P,15,0)*科室绩效工资核算1!$AQ$10</f>
        <v>0</v>
      </c>
      <c r="Q8" s="59">
        <f>VLOOKUP($B:$B,科室绩效工资核算2!$B:Q,16,0)*科室绩效工资核算1!$AQ$10</f>
        <v>1517.8127000000002</v>
      </c>
      <c r="R8" s="59">
        <f>VLOOKUP($B:$B,科室绩效工资核算2!$B:T,19,0)*科室绩效工资核算1!$AQ$10</f>
        <v>0</v>
      </c>
      <c r="S8" s="59">
        <f>VLOOKUP($B:$B,科室绩效工资核算1!$B:AJ,35,0)*科室绩效工资核算1!$AQ$10</f>
        <v>0</v>
      </c>
      <c r="T8" s="59">
        <f>VLOOKUP($B:$B,科室绩效工资核算1!$B:AK,36,0)*科室绩效工资核算1!$AQ$10</f>
        <v>0</v>
      </c>
      <c r="U8" s="59">
        <f>VLOOKUP($B:$B,科室绩效工资核算1!$B:AL,37,0)*科室绩效工资核算1!$AQ$10</f>
        <v>0</v>
      </c>
      <c r="V8" s="59">
        <f>SUMIFS(中层绩效!$W:$W,中层绩效!$B:$B,绩效明细表!$B8,中层绩效!$D:$D,"主任")</f>
        <v>8525.9982</v>
      </c>
      <c r="W8" s="59">
        <f>SUMIFS(中层绩效!$W:$W,中层绩效!$B:$B,绩效明细表!$B8,中层绩效!$D:$D,"副主任")</f>
        <v>0</v>
      </c>
      <c r="X8" s="59">
        <f>SUMIFS(中层绩效!$W:$W,中层绩效!$B:$B,绩效明细表!$B8,中层绩效!$D:$D,"护士长")</f>
        <v>2859.6408800000004</v>
      </c>
      <c r="Y8" s="63"/>
      <c r="Z8" s="59"/>
      <c r="AA8" s="62"/>
      <c r="AB8" s="59">
        <f t="shared" si="0"/>
        <v>45988.756680000006</v>
      </c>
    </row>
    <row r="9" spans="2:29" ht="27.15" customHeight="1" x14ac:dyDescent="0.25">
      <c r="B9" s="59" t="s">
        <v>109</v>
      </c>
      <c r="C9" s="59">
        <f>VLOOKUP(B:B,科室绩效工资核算2!B:C,2,0)*科室绩效工资核算1!AQ$10</f>
        <v>4353.3579</v>
      </c>
      <c r="D9" s="59">
        <f>VLOOKUP(B:B,科室绩效工资核算2!B:D,3,0)*科室绩效工资核算1!AQ$10</f>
        <v>16710.999500000002</v>
      </c>
      <c r="E9" s="59">
        <f>VLOOKUP(B:B,科室绩效工资核算2!B:E,4,0)*科室绩效工资核算1!AQ$10</f>
        <v>1710.3630000000001</v>
      </c>
      <c r="F9" s="59">
        <f>VLOOKUP($B:$B,科室绩效工资核算2!$B:F,5,0)*科室绩效工资核算1!$AQ$10</f>
        <v>758.36850000000004</v>
      </c>
      <c r="G9" s="59">
        <f>VLOOKUP($B:$B,科室绩效工资核算2!$B:G,6,0)*科室绩效工资核算1!$AQ$10</f>
        <v>308.72590000000002</v>
      </c>
      <c r="H9" s="59">
        <f>VLOOKUP($B:$B,科室绩效工资核算2!$B:H,7,0)*科室绩效工资核算1!$AQ$10</f>
        <v>0</v>
      </c>
      <c r="I9" s="59">
        <f>VLOOKUP($B:$B,科室绩效工资核算2!$B:I,8,0)*科室绩效工资核算1!$AQ$10</f>
        <v>0</v>
      </c>
      <c r="J9" s="59">
        <f>VLOOKUP($B:$B,科室绩效工资核算2!$B:J,9,0)*科室绩效工资核算1!$AQ$10</f>
        <v>0</v>
      </c>
      <c r="K9" s="59">
        <f>VLOOKUP($B:$B,科室绩效工资核算2!$B:K,10,0)*科室绩效工资核算1!$AQ$10</f>
        <v>0</v>
      </c>
      <c r="L9" s="59">
        <f>VLOOKUP($B:$B,科室绩效工资核算2!$B:L,11,0)*科室绩效工资核算1!$AQ$10</f>
        <v>167.8092</v>
      </c>
      <c r="M9" s="59">
        <f>VLOOKUP($B:$B,科室绩效工资核算2!$B:M,12,0)*科室绩效工资核算1!$AQ$10</f>
        <v>0</v>
      </c>
      <c r="N9" s="59">
        <f>VLOOKUP($B:$B,科室绩效工资核算2!$B:N,13,0)*科室绩效工资核算1!$AQ$10</f>
        <v>0</v>
      </c>
      <c r="O9" s="59">
        <f>VLOOKUP($B:$B,科室绩效工资核算2!$B:O,14,0)*科室绩效工资核算1!$AQ$10</f>
        <v>0</v>
      </c>
      <c r="P9" s="59">
        <f>VLOOKUP($B:$B,科室绩效工资核算2!$B:P,15,0)*科室绩效工资核算1!$AQ$10</f>
        <v>0</v>
      </c>
      <c r="Q9" s="59">
        <f>VLOOKUP($B:$B,科室绩效工资核算2!$B:Q,16,0)*科室绩效工资核算1!$AQ$10</f>
        <v>1738.3312000000001</v>
      </c>
      <c r="R9" s="59">
        <f>VLOOKUP($B:$B,科室绩效工资核算2!$B:T,19,0)*科室绩效工资核算1!$AQ$10</f>
        <v>0</v>
      </c>
      <c r="S9" s="59">
        <f>VLOOKUP($B:$B,科室绩效工资核算1!$B:AJ,35,0)*科室绩效工资核算1!$AQ$10</f>
        <v>0</v>
      </c>
      <c r="T9" s="59">
        <f>VLOOKUP($B:$B,科室绩效工资核算1!$B:AK,36,0)*科室绩效工资核算1!$AQ$10</f>
        <v>0</v>
      </c>
      <c r="U9" s="59">
        <f>VLOOKUP($B:$B,科室绩效工资核算1!$B:AL,37,0)*科室绩效工资核算1!$AQ$10</f>
        <v>0</v>
      </c>
      <c r="V9" s="59">
        <f>SUMIFS(中层绩效!$W:$W,中层绩效!$B:$B,绩效明细表!$B9,中层绩效!$D:$D,"主任")</f>
        <v>5067.6227000000008</v>
      </c>
      <c r="W9" s="59">
        <f>SUMIFS(中层绩效!$W:$W,中层绩效!$B:$B,绩效明细表!$B9,中层绩效!$D:$D,"副主任")</f>
        <v>0</v>
      </c>
      <c r="X9" s="59">
        <f>SUMIFS(中层绩效!$W:$W,中层绩效!$B:$B,绩效明细表!$B9,中层绩效!$D:$D,"护士长")</f>
        <v>2270.3293920000001</v>
      </c>
      <c r="Y9" s="59"/>
      <c r="Z9" s="59"/>
      <c r="AA9" s="62"/>
      <c r="AB9" s="59">
        <f t="shared" si="0"/>
        <v>33085.907292000004</v>
      </c>
    </row>
    <row r="10" spans="2:29" ht="27.15" customHeight="1" x14ac:dyDescent="0.25">
      <c r="B10" s="59" t="s">
        <v>84</v>
      </c>
      <c r="C10" s="59">
        <f>VLOOKUP(B:B,科室绩效工资核算2!B:C,2,0)*科室绩效工资核算1!AQ$10</f>
        <v>5948.621000000001</v>
      </c>
      <c r="D10" s="59">
        <f>VLOOKUP(B:B,科室绩效工资核算2!B:D,3,0)*科室绩效工资核算1!AQ$10</f>
        <v>27636.884400000003</v>
      </c>
      <c r="E10" s="59">
        <f>VLOOKUP(B:B,科室绩效工资核算2!B:E,4,0)*科室绩效工资核算1!AQ$10</f>
        <v>4584.6334000000006</v>
      </c>
      <c r="F10" s="59">
        <f>VLOOKUP($B:$B,科室绩效工资核算2!$B:F,5,0)*科室绩效工资核算1!$AQ$10</f>
        <v>2735.5051000000003</v>
      </c>
      <c r="G10" s="59">
        <f>VLOOKUP($B:$B,科室绩效工资核算2!$B:G,6,0)*科室绩效工资核算1!$AQ$10</f>
        <v>524.94159999999999</v>
      </c>
      <c r="H10" s="59">
        <f>VLOOKUP($B:$B,科室绩效工资核算2!$B:H,7,0)*科室绩效工资核算1!$AQ$10</f>
        <v>0</v>
      </c>
      <c r="I10" s="59">
        <f>VLOOKUP($B:$B,科室绩效工资核算2!$B:I,8,0)*科室绩效工资核算1!$AQ$10</f>
        <v>0</v>
      </c>
      <c r="J10" s="59">
        <f>VLOOKUP($B:$B,科室绩效工资核算2!$B:J,9,0)*科室绩效工资核算1!$AQ$10</f>
        <v>0</v>
      </c>
      <c r="K10" s="59">
        <f>VLOOKUP($B:$B,科室绩效工资核算2!$B:K,10,0)*科室绩效工资核算1!$AQ$10</f>
        <v>0</v>
      </c>
      <c r="L10" s="59">
        <f>VLOOKUP($B:$B,科室绩效工资核算2!$B:L,11,0)*科室绩效工资核算1!$AQ$10</f>
        <v>10.757000000000001</v>
      </c>
      <c r="M10" s="59">
        <f>VLOOKUP($B:$B,科室绩效工资核算2!$B:M,12,0)*科室绩效工资核算1!$AQ$10</f>
        <v>0</v>
      </c>
      <c r="N10" s="59">
        <f>VLOOKUP($B:$B,科室绩效工资核算2!$B:N,13,0)*科室绩效工资核算1!$AQ$10</f>
        <v>2758.0948000000003</v>
      </c>
      <c r="O10" s="59">
        <f>VLOOKUP($B:$B,科室绩效工资核算2!$B:O,14,0)*科室绩效工资核算1!$AQ$10</f>
        <v>7074.8789000000006</v>
      </c>
      <c r="P10" s="59">
        <f>VLOOKUP($B:$B,科室绩效工资核算2!$B:P,15,0)*科室绩效工资核算1!$AQ$10</f>
        <v>0</v>
      </c>
      <c r="Q10" s="59">
        <f>VLOOKUP($B:$B,科室绩效工资核算2!$B:Q,16,0)*科室绩效工资核算1!$AQ$10</f>
        <v>3031.3226000000004</v>
      </c>
      <c r="R10" s="59">
        <f>VLOOKUP($B:$B,科室绩效工资核算2!$B:T,19,0)*科室绩效工资核算1!$AQ$10</f>
        <v>0</v>
      </c>
      <c r="S10" s="59">
        <f>VLOOKUP($B:$B,科室绩效工资核算1!$B:AJ,35,0)*科室绩效工资核算1!$AQ$10</f>
        <v>0</v>
      </c>
      <c r="T10" s="59">
        <f>VLOOKUP($B:$B,科室绩效工资核算1!$B:AK,36,0)*科室绩效工资核算1!$AQ$10</f>
        <v>0</v>
      </c>
      <c r="U10" s="59">
        <f>VLOOKUP($B:$B,科室绩效工资核算1!$B:AL,37,0)*科室绩效工资核算1!$AQ$10</f>
        <v>0</v>
      </c>
      <c r="V10" s="59">
        <f>SUMIFS(中层绩效!$W:$W,中层绩效!$B:$B,绩效明细表!$B10,中层绩效!$D:$D,"主任")</f>
        <v>10004.01</v>
      </c>
      <c r="W10" s="59">
        <f>SUMIFS(中层绩效!$W:$W,中层绩效!$B:$B,绩效明细表!$B10,中层绩效!$D:$D,"副主任")</f>
        <v>0</v>
      </c>
      <c r="X10" s="59">
        <f>SUMIFS(中层绩效!$W:$W,中层绩效!$B:$B,绩效明细表!$B10,中层绩效!$D:$D,"护士长")</f>
        <v>3559.3622160000004</v>
      </c>
      <c r="Y10" s="59"/>
      <c r="Z10" s="59"/>
      <c r="AA10" s="62"/>
      <c r="AB10" s="59">
        <f t="shared" si="0"/>
        <v>67869.011016000004</v>
      </c>
    </row>
    <row r="11" spans="2:29" ht="27.15" customHeight="1" x14ac:dyDescent="0.25">
      <c r="B11" s="59" t="s">
        <v>85</v>
      </c>
      <c r="C11" s="59">
        <f>VLOOKUP(B:B,科室绩效工资核算2!B:C,2,0)*科室绩效工资核算1!AQ$10</f>
        <v>4207.0627000000004</v>
      </c>
      <c r="D11" s="59">
        <f>VLOOKUP(B:B,科室绩效工资核算2!B:D,3,0)*科室绩效工资核算1!AQ$10</f>
        <v>20816.946400000001</v>
      </c>
      <c r="E11" s="59">
        <f>VLOOKUP(B:B,科室绩效工资核算2!B:E,4,0)*科室绩效工资核算1!AQ$10</f>
        <v>4027.4208000000003</v>
      </c>
      <c r="F11" s="59">
        <f>VLOOKUP($B:$B,科室绩效工资核算2!$B:F,5,0)*科室绩效工资核算1!$AQ$10</f>
        <v>2452.596</v>
      </c>
      <c r="G11" s="59">
        <f>VLOOKUP($B:$B,科室绩效工资核算2!$B:G,6,0)*科室绩效工资核算1!$AQ$10</f>
        <v>389.40340000000003</v>
      </c>
      <c r="H11" s="59">
        <f>VLOOKUP($B:$B,科室绩效工资核算2!$B:H,7,0)*科室绩效工资核算1!$AQ$10</f>
        <v>0</v>
      </c>
      <c r="I11" s="59">
        <f>VLOOKUP($B:$B,科室绩效工资核算2!$B:I,8,0)*科室绩效工资核算1!$AQ$10</f>
        <v>0</v>
      </c>
      <c r="J11" s="59">
        <f>VLOOKUP($B:$B,科室绩效工资核算2!$B:J,9,0)*科室绩效工资核算1!$AQ$10</f>
        <v>0</v>
      </c>
      <c r="K11" s="59">
        <f>VLOOKUP($B:$B,科室绩效工资核算2!$B:K,10,0)*科室绩效工资核算1!$AQ$10</f>
        <v>0</v>
      </c>
      <c r="L11" s="59">
        <f>VLOOKUP($B:$B,科室绩效工资核算2!$B:L,11,0)*科室绩效工资核算1!$AQ$10</f>
        <v>0</v>
      </c>
      <c r="M11" s="59">
        <f>VLOOKUP($B:$B,科室绩效工资核算2!$B:M,12,0)*科室绩效工资核算1!$AQ$10</f>
        <v>0</v>
      </c>
      <c r="N11" s="59">
        <f>VLOOKUP($B:$B,科室绩效工资核算2!$B:N,13,0)*科室绩效工资核算1!$AQ$10</f>
        <v>0</v>
      </c>
      <c r="O11" s="59">
        <f>VLOOKUP($B:$B,科室绩效工资核算2!$B:O,14,0)*科室绩效工资核算1!$AQ$10</f>
        <v>5006.3078000000005</v>
      </c>
      <c r="P11" s="59">
        <f>VLOOKUP($B:$B,科室绩效工资核算2!$B:P,15,0)*科室绩效工资核算1!$AQ$10</f>
        <v>0</v>
      </c>
      <c r="Q11" s="59">
        <f>VLOOKUP($B:$B,科室绩效工资核算2!$B:Q,16,0)*科室绩效工资核算1!$AQ$10</f>
        <v>2508.5324000000001</v>
      </c>
      <c r="R11" s="59">
        <f>VLOOKUP($B:$B,科室绩效工资核算2!$B:T,19,0)*科室绩效工资核算1!$AQ$10</f>
        <v>0</v>
      </c>
      <c r="S11" s="59">
        <f>VLOOKUP($B:$B,科室绩效工资核算1!$B:AJ,35,0)*科室绩效工资核算1!$AQ$10</f>
        <v>0</v>
      </c>
      <c r="T11" s="59">
        <f>VLOOKUP($B:$B,科室绩效工资核算1!$B:AK,36,0)*科室绩效工资核算1!$AQ$10</f>
        <v>0</v>
      </c>
      <c r="U11" s="59">
        <f>VLOOKUP($B:$B,科室绩效工资核算1!$B:AL,37,0)*科室绩效工资核算1!$AQ$10</f>
        <v>0</v>
      </c>
      <c r="V11" s="59">
        <f>SUMIFS(中层绩效!$W:$W,中层绩效!$B:$B,绩效明细表!$B11,中层绩效!$D:$D,"主任")</f>
        <v>6853.2847000000011</v>
      </c>
      <c r="W11" s="59">
        <f>SUMIFS(中层绩效!$W:$W,中层绩效!$B:$B,绩效明细表!$B11,中层绩效!$D:$D,"副主任")</f>
        <v>0</v>
      </c>
      <c r="X11" s="59">
        <f>SUMIFS(中层绩效!$W:$W,中层绩效!$B:$B,绩效明细表!$B11,中层绩效!$D:$D,"护士长")</f>
        <v>2580.0449360000002</v>
      </c>
      <c r="Y11" s="59"/>
      <c r="Z11" s="59"/>
      <c r="AA11" s="62"/>
      <c r="AB11" s="59">
        <f t="shared" si="0"/>
        <v>48841.599136000012</v>
      </c>
    </row>
    <row r="12" spans="2:29" ht="27.15" customHeight="1" x14ac:dyDescent="0.25">
      <c r="B12" s="59" t="s">
        <v>86</v>
      </c>
      <c r="C12" s="59">
        <f>VLOOKUP(B:B,科室绩效工资核算2!B:C,2,0)*科室绩效工资核算1!AQ$10</f>
        <v>2215.942</v>
      </c>
      <c r="D12" s="59">
        <f>VLOOKUP(B:B,科室绩效工资核算2!B:D,3,0)*科室绩效工资核算1!AQ$10</f>
        <v>11929.513000000001</v>
      </c>
      <c r="E12" s="59">
        <f>VLOOKUP(B:B,科室绩效工资核算2!B:E,4,0)*科室绩效工资核算1!AQ$10</f>
        <v>1812.5545000000002</v>
      </c>
      <c r="F12" s="59">
        <f>VLOOKUP($B:$B,科室绩效工资核算2!$B:F,5,0)*科室绩效工资核算1!$AQ$10</f>
        <v>1759.8452000000002</v>
      </c>
      <c r="G12" s="59">
        <f>VLOOKUP($B:$B,科室绩效工资核算2!$B:G,6,0)*科室绩效工资核算1!$AQ$10</f>
        <v>250.63810000000004</v>
      </c>
      <c r="H12" s="59">
        <f>VLOOKUP($B:$B,科室绩效工资核算2!$B:H,7,0)*科室绩效工资核算1!$AQ$10</f>
        <v>0</v>
      </c>
      <c r="I12" s="59">
        <f>VLOOKUP($B:$B,科室绩效工资核算2!$B:I,8,0)*科室绩效工资核算1!$AQ$10</f>
        <v>0</v>
      </c>
      <c r="J12" s="59">
        <f>VLOOKUP($B:$B,科室绩效工资核算2!$B:J,9,0)*科室绩效工资核算1!$AQ$10</f>
        <v>0</v>
      </c>
      <c r="K12" s="59">
        <f>VLOOKUP($B:$B,科室绩效工资核算2!$B:K,10,0)*科室绩效工资核算1!$AQ$10</f>
        <v>0</v>
      </c>
      <c r="L12" s="59">
        <f>VLOOKUP($B:$B,科室绩效工资核算2!$B:L,11,0)*科室绩效工资核算1!$AQ$10</f>
        <v>0</v>
      </c>
      <c r="M12" s="59">
        <f>VLOOKUP($B:$B,科室绩效工资核算2!$B:M,12,0)*科室绩效工资核算1!$AQ$10</f>
        <v>0</v>
      </c>
      <c r="N12" s="59">
        <f>VLOOKUP($B:$B,科室绩效工资核算2!$B:N,13,0)*科室绩效工资核算1!$AQ$10</f>
        <v>1911.5189000000003</v>
      </c>
      <c r="O12" s="59">
        <f>VLOOKUP($B:$B,科室绩效工资核算2!$B:O,14,0)*科室绩效工资核算1!$AQ$10</f>
        <v>0</v>
      </c>
      <c r="P12" s="59">
        <f>VLOOKUP($B:$B,科室绩效工资核算2!$B:P,15,0)*科室绩效工资核算1!$AQ$10</f>
        <v>0</v>
      </c>
      <c r="Q12" s="59">
        <f>VLOOKUP($B:$B,科室绩效工资核算2!$B:Q,16,0)*科室绩效工资核算1!$AQ$10</f>
        <v>3269.0523000000003</v>
      </c>
      <c r="R12" s="59">
        <f>VLOOKUP($B:$B,科室绩效工资核算2!$B:T,19,0)*科室绩效工资核算1!$AQ$10</f>
        <v>0</v>
      </c>
      <c r="S12" s="59">
        <f>VLOOKUP($B:$B,科室绩效工资核算1!$B:AJ,35,0)*科室绩效工资核算1!$AQ$10</f>
        <v>0</v>
      </c>
      <c r="T12" s="59">
        <f>VLOOKUP($B:$B,科室绩效工资核算1!$B:AK,36,0)*科室绩效工资核算1!$AQ$10</f>
        <v>0</v>
      </c>
      <c r="U12" s="59">
        <f>VLOOKUP($B:$B,科室绩效工资核算1!$B:AL,37,0)*科室绩效工资核算1!$AQ$10</f>
        <v>0</v>
      </c>
      <c r="V12" s="59">
        <f>SUMIFS(中层绩效!$W:$W,中层绩效!$B:$B,绩效明细表!$B12,中层绩效!$D:$D,"主任")</f>
        <v>3289.4906000000001</v>
      </c>
      <c r="W12" s="59">
        <f>SUMIFS(中层绩效!$W:$W,中层绩效!$B:$B,绩效明细表!$B12,中层绩效!$D:$D,"副主任")</f>
        <v>0</v>
      </c>
      <c r="X12" s="59">
        <f>SUMIFS(中层绩效!$W:$W,中层绩效!$B:$B,绩效明细表!$B12,中层绩效!$D:$D,"护士长")</f>
        <v>1798.6564560000002</v>
      </c>
      <c r="Y12" s="59"/>
      <c r="Z12" s="59"/>
      <c r="AA12" s="62"/>
      <c r="AB12" s="59">
        <f t="shared" si="0"/>
        <v>28237.211056000004</v>
      </c>
    </row>
    <row r="13" spans="2:29" ht="27.15" customHeight="1" x14ac:dyDescent="0.25">
      <c r="B13" s="59" t="s">
        <v>87</v>
      </c>
      <c r="C13" s="59">
        <f>VLOOKUP(B:B,科室绩效工资核算2!B:C,2,0)*科室绩效工资核算1!AQ$10</f>
        <v>5543.0821000000005</v>
      </c>
      <c r="D13" s="59">
        <f>VLOOKUP(B:B,科室绩效工资核算2!B:D,3,0)*科室绩效工资核算1!AQ$10</f>
        <v>11610.030100000002</v>
      </c>
      <c r="E13" s="59">
        <f>VLOOKUP(B:B,科室绩效工资核算2!B:E,4,0)*科室绩效工资核算1!AQ$10</f>
        <v>430.28000000000003</v>
      </c>
      <c r="F13" s="59">
        <f>VLOOKUP($B:$B,科室绩效工资核算2!$B:F,5,0)*科室绩效工资核算1!$AQ$10</f>
        <v>260.31940000000003</v>
      </c>
      <c r="G13" s="59">
        <f>VLOOKUP($B:$B,科室绩效工资核算2!$B:G,6,0)*科室绩效工资核算1!$AQ$10</f>
        <v>125.85690000000001</v>
      </c>
      <c r="H13" s="59">
        <f>VLOOKUP($B:$B,科室绩效工资核算2!$B:H,7,0)*科室绩效工资核算1!$AQ$10</f>
        <v>0</v>
      </c>
      <c r="I13" s="59">
        <f>VLOOKUP($B:$B,科室绩效工资核算2!$B:I,8,0)*科室绩效工资核算1!$AQ$10</f>
        <v>0</v>
      </c>
      <c r="J13" s="59">
        <f>VLOOKUP($B:$B,科室绩效工资核算2!$B:J,9,0)*科室绩效工资核算1!$AQ$10</f>
        <v>0</v>
      </c>
      <c r="K13" s="59">
        <f>VLOOKUP($B:$B,科室绩效工资核算2!$B:K,10,0)*科室绩效工资核算1!$AQ$10</f>
        <v>0</v>
      </c>
      <c r="L13" s="59">
        <f>VLOOKUP($B:$B,科室绩效工资核算2!$B:L,11,0)*科室绩效工资核算1!$AQ$10</f>
        <v>45.179400000000001</v>
      </c>
      <c r="M13" s="59">
        <f>VLOOKUP($B:$B,科室绩效工资核算2!$B:M,12,0)*科室绩效工资核算1!$AQ$10</f>
        <v>0</v>
      </c>
      <c r="N13" s="59">
        <f>VLOOKUP($B:$B,科室绩效工资核算2!$B:N,13,0)*科室绩效工资核算1!$AQ$10</f>
        <v>5351.6075000000001</v>
      </c>
      <c r="O13" s="59">
        <f>VLOOKUP($B:$B,科室绩效工资核算2!$B:O,14,0)*科室绩效工资核算1!$AQ$10</f>
        <v>11781.066400000002</v>
      </c>
      <c r="P13" s="59">
        <f>VLOOKUP($B:$B,科室绩效工资核算2!$B:P,15,0)*科室绩效工资核算1!$AQ$10</f>
        <v>40.876600000000003</v>
      </c>
      <c r="Q13" s="59">
        <f>VLOOKUP($B:$B,科室绩效工资核算2!$B:Q,16,0)*科室绩效工资核算1!$AQ$10</f>
        <v>925.10200000000009</v>
      </c>
      <c r="R13" s="59">
        <f>VLOOKUP($B:$B,科室绩效工资核算2!$B:T,19,0)*科室绩效工资核算1!$AQ$10</f>
        <v>0</v>
      </c>
      <c r="S13" s="59">
        <f>VLOOKUP($B:$B,科室绩效工资核算1!$B:AJ,35,0)*科室绩效工资核算1!$AQ$10</f>
        <v>0</v>
      </c>
      <c r="T13" s="59">
        <f>VLOOKUP($B:$B,科室绩效工资核算1!$B:AK,36,0)*科室绩效工资核算1!$AQ$10</f>
        <v>0</v>
      </c>
      <c r="U13" s="59">
        <f>VLOOKUP($B:$B,科室绩效工资核算1!$B:AL,37,0)*科室绩效工资核算1!$AQ$10</f>
        <v>0</v>
      </c>
      <c r="V13" s="59">
        <f>SUMIFS(中层绩效!$W:$W,中层绩效!$B:$B,绩效明细表!$B13,中层绩效!$D:$D,"主任")</f>
        <v>6106.7489000000005</v>
      </c>
      <c r="W13" s="59">
        <f>SUMIFS(中层绩效!$W:$W,中层绩效!$B:$B,绩效明细表!$B13,中层绩效!$D:$D,"副主任")</f>
        <v>0</v>
      </c>
      <c r="X13" s="59">
        <f>SUMIFS(中层绩效!$W:$W,中层绩效!$B:$B,绩效明细表!$B13,中层绩效!$D:$D,"护士长")</f>
        <v>1201.2126759999999</v>
      </c>
      <c r="Y13" s="59"/>
      <c r="Z13" s="59"/>
      <c r="AA13" s="62"/>
      <c r="AB13" s="59">
        <f t="shared" si="0"/>
        <v>43421.361976000007</v>
      </c>
    </row>
    <row r="14" spans="2:29" ht="27.15" customHeight="1" x14ac:dyDescent="0.25">
      <c r="B14" s="59" t="s">
        <v>88</v>
      </c>
      <c r="C14" s="59">
        <f>VLOOKUP(B:B,科室绩效工资核算2!B:C,2,0)*科室绩效工资核算1!AQ$10</f>
        <v>3648.7744000000002</v>
      </c>
      <c r="D14" s="59">
        <f>VLOOKUP(B:B,科室绩效工资核算2!B:D,3,0)*科室绩效工资核算1!AQ$10</f>
        <v>4012.3610000000003</v>
      </c>
      <c r="E14" s="59">
        <f>VLOOKUP(B:B,科室绩效工资核算2!B:E,4,0)*科室绩效工资核算1!AQ$10</f>
        <v>464.70240000000007</v>
      </c>
      <c r="F14" s="59">
        <f>VLOOKUP($B:$B,科室绩效工资核算2!$B:F,5,0)*科室绩效工资核算1!$AQ$10</f>
        <v>174.26340000000002</v>
      </c>
      <c r="G14" s="59">
        <f>VLOOKUP($B:$B,科室绩效工资核算2!$B:G,6,0)*科室绩效工资核算1!$AQ$10</f>
        <v>194.70170000000002</v>
      </c>
      <c r="H14" s="59">
        <f>VLOOKUP($B:$B,科室绩效工资核算2!$B:H,7,0)*科室绩效工资核算1!$AQ$10</f>
        <v>0</v>
      </c>
      <c r="I14" s="59">
        <f>VLOOKUP($B:$B,科室绩效工资核算2!$B:I,8,0)*科室绩效工资核算1!$AQ$10</f>
        <v>0</v>
      </c>
      <c r="J14" s="59">
        <f>VLOOKUP($B:$B,科室绩效工资核算2!$B:J,9,0)*科室绩效工资核算1!$AQ$10</f>
        <v>0</v>
      </c>
      <c r="K14" s="59">
        <f>VLOOKUP($B:$B,科室绩效工资核算2!$B:K,10,0)*科室绩效工资核算1!$AQ$10</f>
        <v>0</v>
      </c>
      <c r="L14" s="59">
        <f>VLOOKUP($B:$B,科室绩效工资核算2!$B:L,11,0)*科室绩效工资核算1!$AQ$10</f>
        <v>0</v>
      </c>
      <c r="M14" s="59">
        <f>VLOOKUP($B:$B,科室绩效工资核算2!$B:M,12,0)*科室绩效工资核算1!$AQ$10</f>
        <v>0</v>
      </c>
      <c r="N14" s="59">
        <f>VLOOKUP($B:$B,科室绩效工资核算2!$B:N,13,0)*科室绩效工资核算1!$AQ$10</f>
        <v>0</v>
      </c>
      <c r="O14" s="59">
        <f>VLOOKUP($B:$B,科室绩效工资核算2!$B:O,14,0)*科室绩效工资核算1!$AQ$10</f>
        <v>592.71070000000009</v>
      </c>
      <c r="P14" s="59">
        <f>VLOOKUP($B:$B,科室绩效工资核算2!$B:P,15,0)*科室绩效工资核算1!$AQ$10</f>
        <v>289.36330000000004</v>
      </c>
      <c r="Q14" s="59">
        <f>VLOOKUP($B:$B,科室绩效工资核算2!$B:Q,16,0)*科室绩效工资核算1!$AQ$10</f>
        <v>528.16870000000006</v>
      </c>
      <c r="R14" s="59">
        <f>VLOOKUP($B:$B,科室绩效工资核算2!$B:T,19,0)*科室绩效工资核算1!$AQ$10</f>
        <v>0</v>
      </c>
      <c r="S14" s="59">
        <f>VLOOKUP($B:$B,科室绩效工资核算1!$B:AJ,35,0)*科室绩效工资核算1!$AQ$10</f>
        <v>0</v>
      </c>
      <c r="T14" s="59">
        <f>VLOOKUP($B:$B,科室绩效工资核算1!$B:AK,36,0)*科室绩效工资核算1!$AQ$10</f>
        <v>0</v>
      </c>
      <c r="U14" s="59">
        <f>VLOOKUP($B:$B,科室绩效工资核算1!$B:AL,37,0)*科室绩效工资核算1!$AQ$10</f>
        <v>0</v>
      </c>
      <c r="V14" s="59">
        <f>SUMIFS(中层绩效!$W:$W,中层绩效!$B:$B,绩效明细表!$B14,中层绩效!$D:$D,"主任")</f>
        <v>4406.0672000000004</v>
      </c>
      <c r="W14" s="59">
        <f>SUMIFS(中层绩效!$W:$W,中层绩效!$B:$B,绩效明细表!$B14,中层绩效!$D:$D,"副主任")</f>
        <v>0</v>
      </c>
      <c r="X14" s="59">
        <f>SUMIFS(中层绩效!$W:$W,中层绩效!$B:$B,绩效明细表!$B14,中层绩效!$D:$D,"护士长")</f>
        <v>710.39228000000003</v>
      </c>
      <c r="Y14" s="63"/>
      <c r="Z14" s="59"/>
      <c r="AA14" s="62"/>
      <c r="AB14" s="59">
        <f t="shared" si="0"/>
        <v>15021.505080000003</v>
      </c>
    </row>
    <row r="15" spans="2:29" ht="27.15" customHeight="1" x14ac:dyDescent="0.25">
      <c r="B15" s="59" t="s">
        <v>101</v>
      </c>
      <c r="C15" s="59">
        <f>VLOOKUP(B:B,科室绩效工资核算2!B:C,2,0)*科室绩效工资核算1!AQ$10</f>
        <v>1917.9731000000002</v>
      </c>
      <c r="D15" s="59">
        <f>VLOOKUP(B:B,科室绩效工资核算2!B:D,3,0)*科室绩效工资核算1!AQ$10</f>
        <v>15669.721900000002</v>
      </c>
      <c r="E15" s="59">
        <f>VLOOKUP(B:B,科室绩效工资核算2!B:E,4,0)*科室绩效工资核算1!AQ$10</f>
        <v>744.38440000000003</v>
      </c>
      <c r="F15" s="59">
        <f>VLOOKUP($B:$B,科室绩效工资核算2!$B:F,5,0)*科室绩效工资核算1!$AQ$10</f>
        <v>336.69410000000005</v>
      </c>
      <c r="G15" s="59">
        <f>VLOOKUP($B:$B,科室绩效工资核算2!$B:G,6,0)*科室绩效工资核算1!$AQ$10</f>
        <v>188.24750000000003</v>
      </c>
      <c r="H15" s="59">
        <f>VLOOKUP($B:$B,科室绩效工资核算2!$B:H,7,0)*科室绩效工资核算1!$AQ$10</f>
        <v>107.57000000000001</v>
      </c>
      <c r="I15" s="59">
        <f>VLOOKUP($B:$B,科室绩效工资核算2!$B:I,8,0)*科室绩效工资核算1!$AQ$10</f>
        <v>0</v>
      </c>
      <c r="J15" s="59">
        <f>VLOOKUP($B:$B,科室绩效工资核算2!$B:J,9,0)*科室绩效工资核算1!$AQ$10</f>
        <v>0</v>
      </c>
      <c r="K15" s="59">
        <f>VLOOKUP($B:$B,科室绩效工资核算2!$B:K,10,0)*科室绩效工资核算1!$AQ$10</f>
        <v>0</v>
      </c>
      <c r="L15" s="59">
        <f>VLOOKUP($B:$B,科室绩效工资核算2!$B:L,11,0)*科室绩效工资核算1!$AQ$10</f>
        <v>130.15970000000002</v>
      </c>
      <c r="M15" s="59">
        <f>VLOOKUP($B:$B,科室绩效工资核算2!$B:M,12,0)*科室绩效工资核算1!$AQ$10</f>
        <v>231.27550000000002</v>
      </c>
      <c r="N15" s="59">
        <f>VLOOKUP($B:$B,科室绩效工资核算2!$B:N,13,0)*科室绩效工资核算1!$AQ$10</f>
        <v>377.57070000000004</v>
      </c>
      <c r="O15" s="59">
        <f>VLOOKUP($B:$B,科室绩效工资核算2!$B:O,14,0)*科室绩效工资核算1!$AQ$10</f>
        <v>0</v>
      </c>
      <c r="P15" s="59">
        <f>VLOOKUP($B:$B,科室绩效工资核算2!$B:P,15,0)*科室绩效工资核算1!$AQ$10</f>
        <v>0</v>
      </c>
      <c r="Q15" s="59">
        <f>VLOOKUP($B:$B,科室绩效工资核算2!$B:Q,16,0)*科室绩效工资核算1!$AQ$10</f>
        <v>1769.5265000000002</v>
      </c>
      <c r="R15" s="59">
        <f>VLOOKUP($B:$B,科室绩效工资核算2!$B:T,19,0)*科室绩效工资核算1!$AQ$10</f>
        <v>4560.9680000000008</v>
      </c>
      <c r="S15" s="59">
        <f>VLOOKUP($B:$B,科室绩效工资核算1!$B:AJ,35,0)*科室绩效工资核算1!$AQ$10</f>
        <v>0</v>
      </c>
      <c r="T15" s="59">
        <f>VLOOKUP($B:$B,科室绩效工资核算1!$B:AK,36,0)*科室绩效工资核算1!$AQ$10</f>
        <v>0</v>
      </c>
      <c r="U15" s="59">
        <f>VLOOKUP($B:$B,科室绩效工资核算1!$B:AL,37,0)*科室绩效工资核算1!$AQ$10</f>
        <v>0</v>
      </c>
      <c r="V15" s="59">
        <f>SUMIFS(中层绩效!$W:$W,中层绩效!$B:$B,绩效明细表!$B15,中层绩效!$D:$D,"主任")</f>
        <v>4971.8854000000001</v>
      </c>
      <c r="W15" s="59">
        <f>SUMIFS(中层绩效!$W:$W,中层绩效!$B:$B,绩效明细表!$B15,中层绩效!$D:$D,"副主任")</f>
        <v>0</v>
      </c>
      <c r="X15" s="59">
        <f>SUMIFS(中层绩效!$W:$W,中层绩效!$B:$B,绩效明细表!$B15,中层绩效!$D:$D,"护士长")</f>
        <v>1249.1458680000001</v>
      </c>
      <c r="Y15" s="59"/>
      <c r="Z15" s="59"/>
      <c r="AA15" s="62"/>
      <c r="AB15" s="59">
        <f t="shared" si="0"/>
        <v>32255.122668000004</v>
      </c>
    </row>
    <row r="16" spans="2:29" ht="27.15" customHeight="1" x14ac:dyDescent="0.25">
      <c r="B16" s="59" t="s">
        <v>102</v>
      </c>
      <c r="C16" s="59">
        <f>VLOOKUP(B:B,科室绩效工资核算2!B:C,2,0)*科室绩效工资核算1!AQ$10</f>
        <v>6312.2076000000006</v>
      </c>
      <c r="D16" s="59">
        <f>VLOOKUP(B:B,科室绩效工资核算2!B:D,3,0)*科室绩效工资核算1!AQ$10</f>
        <v>17956.660100000001</v>
      </c>
      <c r="E16" s="59">
        <f>VLOOKUP(B:B,科室绩效工资核算2!B:E,4,0)*科室绩效工资核算1!AQ$10</f>
        <v>848.72730000000013</v>
      </c>
      <c r="F16" s="59">
        <f>VLOOKUP($B:$B,科室绩效工资核算2!$B:F,5,0)*科室绩效工资核算1!$AQ$10</f>
        <v>410.91740000000004</v>
      </c>
      <c r="G16" s="59">
        <f>VLOOKUP($B:$B,科室绩效工资核算2!$B:G,6,0)*科室绩效工资核算1!$AQ$10</f>
        <v>252.78950000000003</v>
      </c>
      <c r="H16" s="59">
        <f>VLOOKUP($B:$B,科室绩效工资核算2!$B:H,7,0)*科室绩效工资核算1!$AQ$10</f>
        <v>81.753200000000007</v>
      </c>
      <c r="I16" s="59">
        <f>VLOOKUP($B:$B,科室绩效工资核算2!$B:I,8,0)*科室绩效工资核算1!$AQ$10</f>
        <v>0</v>
      </c>
      <c r="J16" s="59">
        <f>VLOOKUP($B:$B,科室绩效工资核算2!$B:J,9,0)*科室绩效工资核算1!$AQ$10</f>
        <v>0</v>
      </c>
      <c r="K16" s="59">
        <f>VLOOKUP($B:$B,科室绩效工资核算2!$B:K,10,0)*科室绩效工资核算1!$AQ$10</f>
        <v>0</v>
      </c>
      <c r="L16" s="59">
        <f>VLOOKUP($B:$B,科室绩效工资核算2!$B:L,11,0)*科室绩效工资核算1!$AQ$10</f>
        <v>159.20360000000002</v>
      </c>
      <c r="M16" s="59">
        <f>VLOOKUP($B:$B,科室绩效工资核算2!$B:M,12,0)*科室绩效工资核算1!$AQ$10</f>
        <v>268.92500000000001</v>
      </c>
      <c r="N16" s="59">
        <f>VLOOKUP($B:$B,科室绩效工资核算2!$B:N,13,0)*科室绩效工资核算1!$AQ$10</f>
        <v>437.80990000000003</v>
      </c>
      <c r="O16" s="59">
        <f>VLOOKUP($B:$B,科室绩效工资核算2!$B:O,14,0)*科室绩效工资核算1!$AQ$10</f>
        <v>88.207400000000007</v>
      </c>
      <c r="P16" s="59">
        <f>VLOOKUP($B:$B,科室绩效工资核算2!$B:P,15,0)*科室绩效工资核算1!$AQ$10</f>
        <v>0</v>
      </c>
      <c r="Q16" s="59">
        <f>VLOOKUP($B:$B,科室绩效工资核算2!$B:Q,16,0)*科室绩效工资核算1!$AQ$10</f>
        <v>1755.5424000000003</v>
      </c>
      <c r="R16" s="59">
        <f>VLOOKUP($B:$B,科室绩效工资核算2!$B:T,19,0)*科室绩效工资核算1!$AQ$10</f>
        <v>5315.0337000000009</v>
      </c>
      <c r="S16" s="59">
        <f>VLOOKUP($B:$B,科室绩效工资核算1!$B:AJ,35,0)*科室绩效工资核算1!$AQ$10</f>
        <v>0</v>
      </c>
      <c r="T16" s="59">
        <f>VLOOKUP($B:$B,科室绩效工资核算1!$B:AK,36,0)*科室绩效工资核算1!$AQ$10</f>
        <v>0</v>
      </c>
      <c r="U16" s="59">
        <f>VLOOKUP($B:$B,科室绩效工资核算1!$B:AL,37,0)*科室绩效工资核算1!$AQ$10</f>
        <v>0</v>
      </c>
      <c r="V16" s="59">
        <f>SUMIFS(中层绩效!$W:$W,中层绩效!$B:$B,绩效明细表!$B16,中层绩效!$D:$D,"主任")</f>
        <v>10121.2613</v>
      </c>
      <c r="W16" s="59">
        <f>SUMIFS(中层绩效!$W:$W,中层绩效!$B:$B,绩效明细表!$B16,中层绩效!$D:$D,"副主任")</f>
        <v>0</v>
      </c>
      <c r="X16" s="59">
        <f>SUMIFS(中层绩效!$W:$W,中层绩效!$B:$B,绩效明细表!$B16,中层绩效!$D:$D,"护士长")</f>
        <v>2171.5371040000005</v>
      </c>
      <c r="Y16" s="63"/>
      <c r="Z16" s="59"/>
      <c r="AA16" s="62"/>
      <c r="AB16" s="59">
        <f t="shared" si="0"/>
        <v>46180.575504</v>
      </c>
    </row>
    <row r="17" spans="2:28" ht="27.15" customHeight="1" x14ac:dyDescent="0.25">
      <c r="B17" s="59" t="s">
        <v>89</v>
      </c>
      <c r="C17" s="59">
        <f>VLOOKUP(B:B,科室绩效工资核算2!B:C,2,0)*科室绩效工资核算1!AQ$10</f>
        <v>2647.2977000000001</v>
      </c>
      <c r="D17" s="59">
        <f>VLOOKUP(B:B,科室绩效工资核算2!B:D,3,0)*科室绩效工资核算1!AQ$10</f>
        <v>58422.342700000008</v>
      </c>
      <c r="E17" s="59">
        <f>VLOOKUP(B:B,科室绩效工资核算2!B:E,4,0)*科室绩效工资核算1!AQ$10</f>
        <v>1876.0208000000002</v>
      </c>
      <c r="F17" s="59">
        <f>VLOOKUP($B:$B,科室绩效工资核算2!$B:F,5,0)*科室绩效工资核算1!$AQ$10</f>
        <v>774.50400000000002</v>
      </c>
      <c r="G17" s="59">
        <f>VLOOKUP($B:$B,科室绩效工资核算2!$B:G,6,0)*科室绩效工资核算1!$AQ$10</f>
        <v>202.23160000000001</v>
      </c>
      <c r="H17" s="59">
        <f>VLOOKUP($B:$B,科室绩效工资核算2!$B:H,7,0)*科室绩效工资核算1!$AQ$10</f>
        <v>0</v>
      </c>
      <c r="I17" s="59">
        <f>VLOOKUP($B:$B,科室绩效工资核算2!$B:I,8,0)*科室绩效工资核算1!$AQ$10</f>
        <v>0</v>
      </c>
      <c r="J17" s="59">
        <f>VLOOKUP($B:$B,科室绩效工资核算2!$B:J,9,0)*科室绩效工资核算1!$AQ$10</f>
        <v>0</v>
      </c>
      <c r="K17" s="59">
        <f>VLOOKUP($B:$B,科室绩效工资核算2!$B:K,10,0)*科室绩效工资核算1!$AQ$10</f>
        <v>0</v>
      </c>
      <c r="L17" s="59">
        <f>VLOOKUP($B:$B,科室绩效工资核算2!$B:L,11,0)*科室绩效工资核算1!$AQ$10</f>
        <v>153.82510000000002</v>
      </c>
      <c r="M17" s="59">
        <f>VLOOKUP($B:$B,科室绩效工资核算2!$B:M,12,0)*科室绩效工资核算1!$AQ$10</f>
        <v>621.7546000000001</v>
      </c>
      <c r="N17" s="59">
        <f>VLOOKUP($B:$B,科室绩效工资核算2!$B:N,13,0)*科室绩效工资核算1!$AQ$10</f>
        <v>3014.1114000000002</v>
      </c>
      <c r="O17" s="59">
        <f>VLOOKUP($B:$B,科室绩效工资核算2!$B:O,14,0)*科室绩效工资核算1!$AQ$10</f>
        <v>0</v>
      </c>
      <c r="P17" s="59">
        <f>VLOOKUP($B:$B,科室绩效工资核算2!$B:P,15,0)*科室绩效工资核算1!$AQ$10</f>
        <v>0</v>
      </c>
      <c r="Q17" s="59">
        <f>VLOOKUP($B:$B,科室绩效工资核算2!$B:Q,16,0)*科室绩效工资核算1!$AQ$10</f>
        <v>7104.9985000000006</v>
      </c>
      <c r="R17" s="59">
        <f>VLOOKUP($B:$B,科室绩效工资核算2!$B:T,19,0)*科室绩效工资核算1!$AQ$10</f>
        <v>1830.8414000000002</v>
      </c>
      <c r="S17" s="59">
        <f>VLOOKUP($B:$B,科室绩效工资核算1!$B:AJ,35,0)*科室绩效工资核算1!$AQ$10</f>
        <v>0</v>
      </c>
      <c r="T17" s="59">
        <f>VLOOKUP($B:$B,科室绩效工资核算1!$B:AK,36,0)*科室绩效工资核算1!$AQ$10</f>
        <v>0</v>
      </c>
      <c r="U17" s="59">
        <f>VLOOKUP($B:$B,科室绩效工资核算1!$B:AL,37,0)*科室绩效工资核算1!$AQ$10</f>
        <v>0</v>
      </c>
      <c r="V17" s="59">
        <f>SUMIFS(中层绩效!$W:$W,中层绩效!$B:$B,绩效明细表!$B17,中层绩效!$D:$D,"主任")</f>
        <v>10276.162100000001</v>
      </c>
      <c r="W17" s="59">
        <f>SUMIFS(中层绩效!$W:$W,中层绩效!$B:$B,绩效明细表!$B17,中层绩效!$D:$D,"副主任")</f>
        <v>0</v>
      </c>
      <c r="X17" s="59">
        <f>SUMIFS(中层绩效!$W:$W,中层绩效!$B:$B,绩效明细表!$B17,中层绩效!$D:$D,"护士长")</f>
        <v>7256.3279759999996</v>
      </c>
      <c r="Y17" s="59"/>
      <c r="Z17" s="59"/>
      <c r="AA17" s="62"/>
      <c r="AB17" s="59">
        <f t="shared" si="0"/>
        <v>94180.417876000021</v>
      </c>
    </row>
    <row r="18" spans="2:28" ht="27.15" customHeight="1" x14ac:dyDescent="0.25">
      <c r="B18" s="59" t="s">
        <v>110</v>
      </c>
      <c r="C18" s="59">
        <f>VLOOKUP(B:B,科室绩效工资核算2!B:C,2,0)*科室绩效工资核算1!AQ$10</f>
        <v>17844.7873</v>
      </c>
      <c r="D18" s="59">
        <f>VLOOKUP(B:B,科室绩效工资核算2!B:D,3,0)*科室绩效工资核算1!AQ$10</f>
        <v>18304.111200000003</v>
      </c>
      <c r="E18" s="59">
        <f>VLOOKUP(B:B,科室绩效工资核算2!B:E,4,0)*科室绩效工资核算1!AQ$10</f>
        <v>1496.2987000000001</v>
      </c>
      <c r="F18" s="59">
        <f>VLOOKUP($B:$B,科室绩效工资核算2!$B:F,5,0)*科室绩效工资核算1!$AQ$10</f>
        <v>521.71450000000004</v>
      </c>
      <c r="G18" s="59">
        <f>VLOOKUP($B:$B,科室绩效工资核算2!$B:G,6,0)*科室绩效工资核算1!$AQ$10</f>
        <v>416.29590000000002</v>
      </c>
      <c r="H18" s="59">
        <f>VLOOKUP($B:$B,科室绩效工资核算2!$B:H,7,0)*科室绩效工资核算1!$AQ$10</f>
        <v>0</v>
      </c>
      <c r="I18" s="59">
        <f>VLOOKUP($B:$B,科室绩效工资核算2!$B:I,8,0)*科室绩效工资核算1!$AQ$10</f>
        <v>1560.8407000000002</v>
      </c>
      <c r="J18" s="59">
        <f>VLOOKUP($B:$B,科室绩效工资核算2!$B:J,9,0)*科室绩效工资核算1!$AQ$10</f>
        <v>5081.6068000000005</v>
      </c>
      <c r="K18" s="59">
        <f>VLOOKUP($B:$B,科室绩效工资核算2!$B:K,10,0)*科室绩效工资核算1!$AQ$10</f>
        <v>0</v>
      </c>
      <c r="L18" s="59">
        <f>VLOOKUP($B:$B,科室绩效工资核算2!$B:L,11,0)*科室绩效工资核算1!$AQ$10</f>
        <v>311.95300000000003</v>
      </c>
      <c r="M18" s="59">
        <f>VLOOKUP($B:$B,科室绩效工资核算2!$B:M,12,0)*科室绩效工资核算1!$AQ$10</f>
        <v>1389.8044000000002</v>
      </c>
      <c r="N18" s="59">
        <f>VLOOKUP($B:$B,科室绩效工资核算2!$B:N,13,0)*科室绩效工资核算1!$AQ$10</f>
        <v>0</v>
      </c>
      <c r="O18" s="59">
        <f>VLOOKUP($B:$B,科室绩效工资核算2!$B:O,14,0)*科室绩效工资核算1!$AQ$10</f>
        <v>86.056000000000012</v>
      </c>
      <c r="P18" s="59">
        <f>VLOOKUP($B:$B,科室绩效工资核算2!$B:P,15,0)*科室绩效工资核算1!$AQ$10</f>
        <v>0</v>
      </c>
      <c r="Q18" s="59">
        <f>VLOOKUP($B:$B,科室绩效工资核算2!$B:Q,16,0)*科室绩效工资核算1!$AQ$10</f>
        <v>1368.2904000000001</v>
      </c>
      <c r="R18" s="59">
        <f>VLOOKUP($B:$B,科室绩效工资核算2!$B:T,19,0)*科室绩效工资核算1!$AQ$10</f>
        <v>1539.3267000000001</v>
      </c>
      <c r="S18" s="59">
        <f>VLOOKUP($B:$B,科室绩效工资核算1!$B:AJ,35,0)*科室绩效工资核算1!$AQ$10</f>
        <v>0</v>
      </c>
      <c r="T18" s="59">
        <f>VLOOKUP($B:$B,科室绩效工资核算1!$B:AK,36,0)*科室绩效工资核算1!$AQ$10</f>
        <v>0</v>
      </c>
      <c r="U18" s="59">
        <f>VLOOKUP($B:$B,科室绩效工资核算1!$B:AL,37,0)*科室绩效工资核算1!$AQ$10</f>
        <v>0</v>
      </c>
      <c r="V18" s="59">
        <f>SUMIFS(中层绩效!$W:$W,中层绩效!$B:$B,绩效明细表!$B18,中层绩效!$D:$D,"主任")</f>
        <v>7088.8630000000003</v>
      </c>
      <c r="W18" s="59">
        <f>SUMIFS(中层绩效!$W:$W,中层绩效!$B:$B,绩效明细表!$B18,中层绩效!$D:$D,"副主任")</f>
        <v>0</v>
      </c>
      <c r="X18" s="59">
        <f>SUMIFS(中层绩效!$W:$W,中层绩效!$B:$B,绩效明细表!$B18,中层绩效!$D:$D,"护士长")</f>
        <v>3955.0477040000001</v>
      </c>
      <c r="Y18" s="59"/>
      <c r="Z18" s="59"/>
      <c r="AA18" s="62"/>
      <c r="AB18" s="59">
        <f t="shared" si="0"/>
        <v>60964.996303999993</v>
      </c>
    </row>
    <row r="19" spans="2:28" ht="27.15" customHeight="1" x14ac:dyDescent="0.25">
      <c r="B19" s="59" t="s">
        <v>111</v>
      </c>
      <c r="C19" s="59">
        <f>VLOOKUP(B:B,科室绩效工资核算2!B:C,2,0)*科室绩效工资核算1!AQ$10</f>
        <v>3065.7450000000003</v>
      </c>
      <c r="D19" s="59">
        <f>VLOOKUP(B:B,科室绩效工资核算2!B:D,3,0)*科室绩效工资核算1!AQ$10</f>
        <v>22550.974800000004</v>
      </c>
      <c r="E19" s="59">
        <f>VLOOKUP(B:B,科室绩效工资核算2!B:E,4,0)*科室绩效工资核算1!AQ$10</f>
        <v>831.51610000000005</v>
      </c>
      <c r="F19" s="59">
        <f>VLOOKUP($B:$B,科室绩效工资核算2!$B:F,5,0)*科室绩效工资核算1!$AQ$10</f>
        <v>394.78190000000006</v>
      </c>
      <c r="G19" s="59">
        <f>VLOOKUP($B:$B,科室绩效工资核算2!$B:G,6,0)*科室绩效工资核算1!$AQ$10</f>
        <v>190.39890000000003</v>
      </c>
      <c r="H19" s="59">
        <f>VLOOKUP($B:$B,科室绩效工资核算2!$B:H,7,0)*科室绩效工资核算1!$AQ$10</f>
        <v>0</v>
      </c>
      <c r="I19" s="59">
        <f>VLOOKUP($B:$B,科室绩效工资核算2!$B:I,8,0)*科室绩效工资核算1!$AQ$10</f>
        <v>0</v>
      </c>
      <c r="J19" s="59">
        <f>VLOOKUP($B:$B,科室绩效工资核算2!$B:J,9,0)*科室绩效工资核算1!$AQ$10</f>
        <v>0</v>
      </c>
      <c r="K19" s="59">
        <f>VLOOKUP($B:$B,科室绩效工资核算2!$B:K,10,0)*科室绩效工资核算1!$AQ$10</f>
        <v>0</v>
      </c>
      <c r="L19" s="59">
        <f>VLOOKUP($B:$B,科室绩效工资核算2!$B:L,11,0)*科室绩效工资核算1!$AQ$10</f>
        <v>87.131700000000009</v>
      </c>
      <c r="M19" s="59">
        <f>VLOOKUP($B:$B,科室绩效工资核算2!$B:M,12,0)*科室绩效工资核算1!$AQ$10</f>
        <v>897.13380000000006</v>
      </c>
      <c r="N19" s="59">
        <f>VLOOKUP($B:$B,科室绩效工资核算2!$B:N,13,0)*科室绩效工资核算1!$AQ$10</f>
        <v>0</v>
      </c>
      <c r="O19" s="59">
        <f>VLOOKUP($B:$B,科室绩效工资核算2!$B:O,14,0)*科室绩效工资核算1!$AQ$10</f>
        <v>118.32700000000001</v>
      </c>
      <c r="P19" s="59">
        <f>VLOOKUP($B:$B,科室绩效工资核算2!$B:P,15,0)*科室绩效工资核算1!$AQ$10</f>
        <v>0</v>
      </c>
      <c r="Q19" s="59">
        <f>VLOOKUP($B:$B,科室绩效工资核算2!$B:Q,16,0)*科室绩效工资核算1!$AQ$10</f>
        <v>3215.2673000000004</v>
      </c>
      <c r="R19" s="59">
        <f>VLOOKUP($B:$B,科室绩效工资核算2!$B:T,19,0)*科室绩效工资核算1!$AQ$10</f>
        <v>7866.5941000000012</v>
      </c>
      <c r="S19" s="59">
        <f>VLOOKUP($B:$B,科室绩效工资核算1!$B:AJ,35,0)*科室绩效工资核算1!$AQ$10</f>
        <v>1110.1224000000002</v>
      </c>
      <c r="T19" s="59">
        <f>VLOOKUP($B:$B,科室绩效工资核算1!$B:AK,36,0)*科室绩效工资核算1!$AQ$10</f>
        <v>258.16800000000001</v>
      </c>
      <c r="U19" s="59">
        <f>VLOOKUP($B:$B,科室绩效工资核算1!$B:AL,37,0)*科室绩效工资核算1!$AQ$10</f>
        <v>215.14000000000001</v>
      </c>
      <c r="V19" s="59">
        <f>SUMIFS(中层绩效!$W:$W,中层绩效!$B:$B,绩效明细表!$B19,中层绩效!$D:$D,"主任")</f>
        <v>7013.5640000000003</v>
      </c>
      <c r="W19" s="59">
        <f>SUMIFS(中层绩效!$W:$W,中层绩效!$B:$B,绩效明细表!$B19,中层绩效!$D:$D,"副主任")</f>
        <v>0</v>
      </c>
      <c r="X19" s="59">
        <f>SUMIFS(中层绩效!$W:$W,中层绩效!$B:$B,绩效明细表!$B19,中层绩效!$D:$D,"护士长")</f>
        <v>1169.8842301568002</v>
      </c>
      <c r="Y19" s="63"/>
      <c r="Z19" s="59"/>
      <c r="AA19" s="62"/>
      <c r="AB19" s="59">
        <f t="shared" si="0"/>
        <v>48984.749230156805</v>
      </c>
    </row>
    <row r="20" spans="2:28" ht="27.15" customHeight="1" x14ac:dyDescent="0.25">
      <c r="B20" s="59" t="s">
        <v>90</v>
      </c>
      <c r="C20" s="59">
        <f>VLOOKUP(B:B,科室绩效工资核算2!B:C,2,0)*科室绩效工资核算1!AQ$10</f>
        <v>4423.2784000000001</v>
      </c>
      <c r="D20" s="59">
        <f>VLOOKUP(B:B,科室绩效工资核算2!B:D,3,0)*科室绩效工资核算1!AQ$10</f>
        <v>18767.7379</v>
      </c>
      <c r="E20" s="59">
        <f>VLOOKUP(B:B,科室绩效工资核算2!B:E,4,0)*科室绩效工资核算1!AQ$10</f>
        <v>889.60390000000007</v>
      </c>
      <c r="F20" s="59">
        <f>VLOOKUP($B:$B,科室绩效工资核算2!$B:F,5,0)*科室绩效工资核算1!$AQ$10</f>
        <v>445.33980000000003</v>
      </c>
      <c r="G20" s="59">
        <f>VLOOKUP($B:$B,科室绩效工资核算2!$B:G,6,0)*科室绩效工资核算1!$AQ$10</f>
        <v>181.79330000000002</v>
      </c>
      <c r="H20" s="59">
        <f>VLOOKUP($B:$B,科室绩效工资核算2!$B:H,7,0)*科室绩效工资核算1!$AQ$10</f>
        <v>0</v>
      </c>
      <c r="I20" s="59">
        <f>VLOOKUP($B:$B,科室绩效工资核算2!$B:I,8,0)*科室绩效工资核算1!$AQ$10</f>
        <v>129.084</v>
      </c>
      <c r="J20" s="59">
        <f>VLOOKUP($B:$B,科室绩效工资核算2!$B:J,9,0)*科室绩效工资核算1!$AQ$10</f>
        <v>0</v>
      </c>
      <c r="K20" s="59">
        <f>VLOOKUP($B:$B,科室绩效工资核算2!$B:K,10,0)*科室绩效工资核算1!$AQ$10</f>
        <v>0</v>
      </c>
      <c r="L20" s="59">
        <f>VLOOKUP($B:$B,科室绩效工资核算2!$B:L,11,0)*科室绩效工资核算1!$AQ$10</f>
        <v>157.05220000000003</v>
      </c>
      <c r="M20" s="59">
        <f>VLOOKUP($B:$B,科室绩效工资核算2!$B:M,12,0)*科室绩效工资核算1!$AQ$10</f>
        <v>1328.4895000000001</v>
      </c>
      <c r="N20" s="59">
        <f>VLOOKUP($B:$B,科室绩效工资核算2!$B:N,13,0)*科室绩效工资核算1!$AQ$10</f>
        <v>239.88110000000003</v>
      </c>
      <c r="O20" s="59">
        <f>VLOOKUP($B:$B,科室绩效工资核算2!$B:O,14,0)*科室绩效工资核算1!$AQ$10</f>
        <v>151.67370000000003</v>
      </c>
      <c r="P20" s="59">
        <f>VLOOKUP($B:$B,科室绩效工资核算2!$B:P,15,0)*科室绩效工资核算1!$AQ$10</f>
        <v>0</v>
      </c>
      <c r="Q20" s="59">
        <f>VLOOKUP($B:$B,科室绩效工资核算2!$B:Q,16,0)*科室绩效工资核算1!$AQ$10</f>
        <v>1445.7408</v>
      </c>
      <c r="R20" s="59">
        <f>VLOOKUP($B:$B,科室绩效工资核算2!$B:T,19,0)*科室绩效工资核算1!$AQ$10</f>
        <v>7024.3210000000008</v>
      </c>
      <c r="S20" s="59">
        <f>VLOOKUP($B:$B,科室绩效工资核算1!$B:AJ,35,0)*科室绩效工资核算1!$AQ$10</f>
        <v>832.59180000000003</v>
      </c>
      <c r="T20" s="59">
        <f>VLOOKUP($B:$B,科室绩效工资核算1!$B:AK,36,0)*科室绩效工资核算1!$AQ$10</f>
        <v>387.25200000000001</v>
      </c>
      <c r="U20" s="59">
        <f>VLOOKUP($B:$B,科室绩效工资核算1!$B:AL,37,0)*科室绩效工资核算1!$AQ$10</f>
        <v>322.71000000000004</v>
      </c>
      <c r="V20" s="59">
        <f>SUMIFS(中层绩效!$W:$W,中层绩效!$B:$B,绩效明细表!$B20,中层绩效!$D:$D,"主任")</f>
        <v>8223.7265000000007</v>
      </c>
      <c r="W20" s="59">
        <f>SUMIFS(中层绩效!$W:$W,中层绩效!$B:$B,绩效明细表!$B20,中层绩效!$D:$D,"副主任")</f>
        <v>0</v>
      </c>
      <c r="X20" s="59">
        <f>SUMIFS(中层绩效!$W:$W,中层绩效!$B:$B,绩效明细表!$B20,中层绩效!$D:$D,"护士长")</f>
        <v>2962.778996</v>
      </c>
      <c r="Y20" s="63"/>
      <c r="Z20" s="59"/>
      <c r="AA20" s="62"/>
      <c r="AB20" s="59">
        <f t="shared" si="0"/>
        <v>47913.054895999994</v>
      </c>
    </row>
    <row r="21" spans="2:28" ht="27.15" customHeight="1" x14ac:dyDescent="0.25">
      <c r="B21" s="59" t="s">
        <v>91</v>
      </c>
      <c r="C21" s="59">
        <f>VLOOKUP(B:B,科室绩效工资核算2!B:C,2,0)*科室绩效工资核算1!AQ$10</f>
        <v>3692.8781000000004</v>
      </c>
      <c r="D21" s="59">
        <f>VLOOKUP(B:B,科室绩效工资核算2!B:D,3,0)*科室绩效工资核算1!AQ$10</f>
        <v>41572.577900000004</v>
      </c>
      <c r="E21" s="59">
        <f>VLOOKUP(B:B,科室绩效工资核算2!B:E,4,0)*科室绩效工资核算1!AQ$10</f>
        <v>2562.3174000000004</v>
      </c>
      <c r="F21" s="59">
        <f>VLOOKUP($B:$B,科室绩效工资核算2!$B:F,5,0)*科室绩效工资核算1!$AQ$10</f>
        <v>1124.1065000000001</v>
      </c>
      <c r="G21" s="59">
        <f>VLOOKUP($B:$B,科室绩效工资核算2!$B:G,6,0)*科室绩效工资核算1!$AQ$10</f>
        <v>168.88490000000002</v>
      </c>
      <c r="H21" s="59">
        <f>VLOOKUP($B:$B,科室绩效工资核算2!$B:H,7,0)*科室绩效工资核算1!$AQ$10</f>
        <v>2926.9797000000003</v>
      </c>
      <c r="I21" s="59">
        <f>VLOOKUP($B:$B,科室绩效工资核算2!$B:I,8,0)*科室绩效工资核算1!$AQ$10</f>
        <v>2244.9859000000001</v>
      </c>
      <c r="J21" s="59">
        <f>VLOOKUP($B:$B,科室绩效工资核算2!$B:J,9,0)*科室绩效工资核算1!$AQ$10</f>
        <v>5593.64</v>
      </c>
      <c r="K21" s="59">
        <f>VLOOKUP($B:$B,科室绩效工资核算2!$B:K,10,0)*科室绩效工资核算1!$AQ$10</f>
        <v>0</v>
      </c>
      <c r="L21" s="59">
        <f>VLOOKUP($B:$B,科室绩效工资核算2!$B:L,11,0)*科室绩效工资核算1!$AQ$10</f>
        <v>57.012100000000004</v>
      </c>
      <c r="M21" s="59">
        <f>VLOOKUP($B:$B,科室绩效工资核算2!$B:M,12,0)*科室绩效工资核算1!$AQ$10</f>
        <v>1338.1708000000001</v>
      </c>
      <c r="N21" s="59">
        <f>VLOOKUP($B:$B,科室绩效工资核算2!$B:N,13,0)*科室绩效工资核算1!$AQ$10</f>
        <v>0</v>
      </c>
      <c r="O21" s="59">
        <f>VLOOKUP($B:$B,科室绩效工资核算2!$B:O,14,0)*科室绩效工资核算1!$AQ$10</f>
        <v>0</v>
      </c>
      <c r="P21" s="59">
        <f>VLOOKUP($B:$B,科室绩效工资核算2!$B:P,15,0)*科室绩效工资核算1!$AQ$10</f>
        <v>0</v>
      </c>
      <c r="Q21" s="59">
        <f>VLOOKUP($B:$B,科室绩效工资核算2!$B:Q,16,0)*科室绩效工资核算1!$AQ$10</f>
        <v>1721.1200000000001</v>
      </c>
      <c r="R21" s="59">
        <f>VLOOKUP($B:$B,科室绩效工资核算2!$B:T,19,0)*科室绩效工资核算1!$AQ$10</f>
        <v>10730.107500000002</v>
      </c>
      <c r="S21" s="59">
        <f>VLOOKUP($B:$B,科室绩效工资核算1!$B:AJ,35,0)*科室绩效工资核算1!$AQ$10</f>
        <v>0</v>
      </c>
      <c r="T21" s="59">
        <f>VLOOKUP($B:$B,科室绩效工资核算1!$B:AK,36,0)*科室绩效工资核算1!$AQ$10</f>
        <v>0</v>
      </c>
      <c r="U21" s="59">
        <f>VLOOKUP($B:$B,科室绩效工资核算1!$B:AL,37,0)*科室绩效工资核算1!$AQ$10</f>
        <v>0</v>
      </c>
      <c r="V21" s="59">
        <f>SUMIFS(中层绩效!$W:$W,中层绩效!$B:$B,绩效明细表!$B21,中层绩效!$D:$D,"主任")</f>
        <v>10134.1697</v>
      </c>
      <c r="W21" s="59">
        <f>SUMIFS(中层绩效!$W:$W,中层绩效!$B:$B,绩效明细表!$B21,中层绩效!$D:$D,"副主任")</f>
        <v>0</v>
      </c>
      <c r="X21" s="59">
        <f>SUMIFS(中层绩效!$W:$W,中层绩效!$B:$B,绩效明细表!$B21,中层绩效!$D:$D,"护士长")</f>
        <v>2924.1398520000002</v>
      </c>
      <c r="Y21" s="59"/>
      <c r="Z21" s="59"/>
      <c r="AA21" s="62"/>
      <c r="AB21" s="59">
        <f t="shared" si="0"/>
        <v>86791.090351999999</v>
      </c>
    </row>
    <row r="22" spans="2:28" ht="27.15" customHeight="1" x14ac:dyDescent="0.25">
      <c r="B22" s="59" t="s">
        <v>92</v>
      </c>
      <c r="C22" s="59">
        <f>VLOOKUP(B:B,科室绩效工资核算2!B:C,2,0)*科室绩效工资核算1!AQ$10</f>
        <v>1359.6848000000002</v>
      </c>
      <c r="D22" s="59">
        <f>VLOOKUP(B:B,科室绩效工资核算2!B:D,3,0)*科室绩效工资核算1!AQ$10</f>
        <v>11905.847600000001</v>
      </c>
      <c r="E22" s="59">
        <f>VLOOKUP(B:B,科室绩效工资核算2!B:E,4,0)*科室绩效工资核算1!AQ$10</f>
        <v>283.98480000000001</v>
      </c>
      <c r="F22" s="59">
        <f>VLOOKUP($B:$B,科室绩效工资核算2!$B:F,5,0)*科室绩效工资核算1!$AQ$10</f>
        <v>165.65780000000001</v>
      </c>
      <c r="G22" s="59">
        <f>VLOOKUP($B:$B,科室绩效工资核算2!$B:G,6,0)*科室绩效工资核算1!$AQ$10</f>
        <v>79.601800000000011</v>
      </c>
      <c r="H22" s="59">
        <f>VLOOKUP($B:$B,科室绩效工资核算2!$B:H,7,0)*科室绩效工资核算1!$AQ$10</f>
        <v>0</v>
      </c>
      <c r="I22" s="59">
        <f>VLOOKUP($B:$B,科室绩效工资核算2!$B:I,8,0)*科室绩效工资核算1!$AQ$10</f>
        <v>47.330800000000004</v>
      </c>
      <c r="J22" s="59">
        <f>VLOOKUP($B:$B,科室绩效工资核算2!$B:J,9,0)*科室绩效工资核算1!$AQ$10</f>
        <v>0</v>
      </c>
      <c r="K22" s="59">
        <f>VLOOKUP($B:$B,科室绩效工资核算2!$B:K,10,0)*科室绩效工资核算1!$AQ$10</f>
        <v>0</v>
      </c>
      <c r="L22" s="59">
        <f>VLOOKUP($B:$B,科室绩效工资核算2!$B:L,11,0)*科室绩效工资核算1!$AQ$10</f>
        <v>70.996200000000002</v>
      </c>
      <c r="M22" s="59">
        <f>VLOOKUP($B:$B,科室绩效工资核算2!$B:M,12,0)*科室绩效工资核算1!$AQ$10</f>
        <v>565.81820000000005</v>
      </c>
      <c r="N22" s="59">
        <f>VLOOKUP($B:$B,科室绩效工资核算2!$B:N,13,0)*科室绩效工资核算1!$AQ$10</f>
        <v>0</v>
      </c>
      <c r="O22" s="59">
        <f>VLOOKUP($B:$B,科室绩效工资核算2!$B:O,14,0)*科室绩效工资核算1!$AQ$10</f>
        <v>493.74630000000002</v>
      </c>
      <c r="P22" s="59">
        <f>VLOOKUP($B:$B,科室绩效工资核算2!$B:P,15,0)*科室绩效工资核算1!$AQ$10</f>
        <v>0</v>
      </c>
      <c r="Q22" s="59">
        <f>VLOOKUP($B:$B,科室绩效工资核算2!$B:Q,16,0)*科室绩效工资核算1!$AQ$10</f>
        <v>926.17770000000007</v>
      </c>
      <c r="R22" s="59">
        <f>VLOOKUP($B:$B,科室绩效工资核算2!$B:T,19,0)*科室绩效工资核算1!$AQ$10</f>
        <v>1355.3820000000001</v>
      </c>
      <c r="S22" s="59">
        <f>VLOOKUP($B:$B,科室绩效工资核算1!$B:AJ,35,0)*科室绩效工资核算1!$AQ$10</f>
        <v>0</v>
      </c>
      <c r="T22" s="59">
        <f>VLOOKUP($B:$B,科室绩效工资核算1!$B:AK,36,0)*科室绩效工资核算1!$AQ$10</f>
        <v>0</v>
      </c>
      <c r="U22" s="59">
        <f>VLOOKUP($B:$B,科室绩效工资核算1!$B:AL,37,0)*科室绩效工资核算1!$AQ$10</f>
        <v>0</v>
      </c>
      <c r="V22" s="59">
        <f>SUMIFS(中层绩效!$W:$W,中层绩效!$B:$B,绩效明细表!$B22,中层绩效!$D:$D,"主任")</f>
        <v>4344.7523000000001</v>
      </c>
      <c r="W22" s="59">
        <f>SUMIFS(中层绩效!$W:$W,中层绩效!$B:$B,绩效明细表!$B22,中层绩效!$D:$D,"副主任")</f>
        <v>0</v>
      </c>
      <c r="X22" s="59">
        <f>SUMIFS(中层绩效!$W:$W,中层绩效!$B:$B,绩效明细表!$B22,中层绩效!$D:$D,"护士长")</f>
        <v>587.82141114880005</v>
      </c>
      <c r="Y22" s="63"/>
      <c r="Z22" s="59"/>
      <c r="AA22" s="62"/>
      <c r="AB22" s="59">
        <f t="shared" si="0"/>
        <v>22186.801711148804</v>
      </c>
    </row>
    <row r="23" spans="2:28" ht="27.15" customHeight="1" x14ac:dyDescent="0.25">
      <c r="B23" s="59" t="s">
        <v>93</v>
      </c>
      <c r="C23" s="59">
        <f>VLOOKUP(B:B,科室绩效工资核算2!B:C,2,0)*科室绩效工资核算1!AQ$10</f>
        <v>2953.8722000000002</v>
      </c>
      <c r="D23" s="59">
        <f>VLOOKUP(B:B,科室绩效工资核算2!B:D,3,0)*科室绩效工资核算1!AQ$10</f>
        <v>23786.954100000003</v>
      </c>
      <c r="E23" s="59">
        <f>VLOOKUP(B:B,科室绩效工资核算2!B:E,4,0)*科室绩效工资核算1!AQ$10</f>
        <v>1826.5386000000001</v>
      </c>
      <c r="F23" s="59">
        <f>VLOOKUP($B:$B,科室绩效工资核算2!$B:F,5,0)*科室绩效工资核算1!$AQ$10</f>
        <v>773.42830000000004</v>
      </c>
      <c r="G23" s="59">
        <f>VLOOKUP($B:$B,科室绩效工资核算2!$B:G,6,0)*科室绩效工资核算1!$AQ$10</f>
        <v>364.66230000000002</v>
      </c>
      <c r="H23" s="59">
        <f>VLOOKUP($B:$B,科室绩效工资核算2!$B:H,7,0)*科室绩效工资核算1!$AQ$10</f>
        <v>0</v>
      </c>
      <c r="I23" s="59">
        <f>VLOOKUP($B:$B,科室绩效工资核算2!$B:I,8,0)*科室绩效工资核算1!$AQ$10</f>
        <v>0</v>
      </c>
      <c r="J23" s="59">
        <f>VLOOKUP($B:$B,科室绩效工资核算2!$B:J,9,0)*科室绩效工资核算1!$AQ$10</f>
        <v>0</v>
      </c>
      <c r="K23" s="59">
        <f>VLOOKUP($B:$B,科室绩效工资核算2!$B:K,10,0)*科室绩效工资核算1!$AQ$10</f>
        <v>30.119600000000002</v>
      </c>
      <c r="L23" s="59">
        <f>VLOOKUP($B:$B,科室绩效工资核算2!$B:L,11,0)*科室绩效工资核算1!$AQ$10</f>
        <v>126.93260000000001</v>
      </c>
      <c r="M23" s="59">
        <f>VLOOKUP($B:$B,科室绩效工资核算2!$B:M,12,0)*科室绩效工资核算1!$AQ$10</f>
        <v>669.08540000000005</v>
      </c>
      <c r="N23" s="59">
        <f>VLOOKUP($B:$B,科室绩效工资核算2!$B:N,13,0)*科室绩效工资核算1!$AQ$10</f>
        <v>0</v>
      </c>
      <c r="O23" s="59">
        <f>VLOOKUP($B:$B,科室绩效工资核算2!$B:O,14,0)*科室绩效工资核算1!$AQ$10</f>
        <v>17.211200000000002</v>
      </c>
      <c r="P23" s="59">
        <f>VLOOKUP($B:$B,科室绩效工资核算2!$B:P,15,0)*科室绩效工资核算1!$AQ$10</f>
        <v>0</v>
      </c>
      <c r="Q23" s="59">
        <f>VLOOKUP($B:$B,科室绩效工资核算2!$B:Q,16,0)*科室绩效工资核算1!$AQ$10</f>
        <v>2005.1048000000003</v>
      </c>
      <c r="R23" s="59">
        <f>VLOOKUP($B:$B,科室绩效工资核算2!$B:T,19,0)*科室绩效工资核算1!$AQ$10</f>
        <v>140.91670000000002</v>
      </c>
      <c r="S23" s="59">
        <f>VLOOKUP($B:$B,科室绩效工资核算1!$B:AJ,35,0)*科室绩效工资核算1!$AQ$10</f>
        <v>612.07330000000002</v>
      </c>
      <c r="T23" s="59">
        <f>VLOOKUP($B:$B,科室绩效工资核算1!$B:AK,36,0)*科室绩效工资核算1!$AQ$10</f>
        <v>258.16800000000001</v>
      </c>
      <c r="U23" s="59">
        <f>VLOOKUP($B:$B,科室绩效工资核算1!$B:AL,37,0)*科室绩效工资核算1!$AQ$10</f>
        <v>215.14000000000001</v>
      </c>
      <c r="V23" s="59">
        <f>SUMIFS(中层绩效!$W:$W,中层绩效!$B:$B,绩效明细表!$B23,中层绩效!$D:$D,"主任")</f>
        <v>6404.7178000000004</v>
      </c>
      <c r="W23" s="59">
        <f>SUMIFS(中层绩效!$W:$W,中层绩效!$B:$B,绩效明细表!$B23,中层绩效!$D:$D,"副主任")</f>
        <v>0</v>
      </c>
      <c r="X23" s="59">
        <f>SUMIFS(中层绩效!$W:$W,中层绩效!$B:$B,绩效明细表!$B23,中层绩效!$D:$D,"护士长")</f>
        <v>3755.6989800000006</v>
      </c>
      <c r="Y23" s="59"/>
      <c r="Z23" s="59"/>
      <c r="AA23" s="62"/>
      <c r="AB23" s="59">
        <f t="shared" si="0"/>
        <v>43940.623880000006</v>
      </c>
    </row>
    <row r="24" spans="2:28" ht="27.15" customHeight="1" x14ac:dyDescent="0.25">
      <c r="B24" s="59" t="s">
        <v>94</v>
      </c>
      <c r="C24" s="59">
        <f>VLOOKUP(B:B,科室绩效工资核算2!B:C,2,0)*科室绩效工资核算1!AQ$10</f>
        <v>4.3028000000000004</v>
      </c>
      <c r="D24" s="59">
        <f>VLOOKUP(B:B,科室绩效工资核算2!B:D,3,0)*科室绩效工资核算1!AQ$10</f>
        <v>5233.2805000000008</v>
      </c>
      <c r="E24" s="59">
        <f>VLOOKUP(B:B,科室绩效工资核算2!B:E,4,0)*科室绩效工资核算1!AQ$10</f>
        <v>950.91880000000003</v>
      </c>
      <c r="F24" s="59">
        <f>VLOOKUP($B:$B,科室绩效工资核算2!$B:F,5,0)*科室绩效工资核算1!$AQ$10</f>
        <v>0</v>
      </c>
      <c r="G24" s="59">
        <f>VLOOKUP($B:$B,科室绩效工资核算2!$B:G,6,0)*科室绩效工资核算1!$AQ$10</f>
        <v>0</v>
      </c>
      <c r="H24" s="59">
        <f>VLOOKUP($B:$B,科室绩效工资核算2!$B:H,7,0)*科室绩效工资核算1!$AQ$10</f>
        <v>0</v>
      </c>
      <c r="I24" s="59">
        <f>VLOOKUP($B:$B,科室绩效工资核算2!$B:I,8,0)*科室绩效工资核算1!$AQ$10</f>
        <v>0</v>
      </c>
      <c r="J24" s="59">
        <f>VLOOKUP($B:$B,科室绩效工资核算2!$B:J,9,0)*科室绩效工资核算1!$AQ$10</f>
        <v>0</v>
      </c>
      <c r="K24" s="59">
        <f>VLOOKUP($B:$B,科室绩效工资核算2!$B:K,10,0)*科室绩效工资核算1!$AQ$10</f>
        <v>0</v>
      </c>
      <c r="L24" s="59">
        <f>VLOOKUP($B:$B,科室绩效工资核算2!$B:L,11,0)*科室绩效工资核算1!$AQ$10</f>
        <v>434.58280000000002</v>
      </c>
      <c r="M24" s="59">
        <f>VLOOKUP($B:$B,科室绩效工资核算2!$B:M,12,0)*科室绩效工资核算1!$AQ$10</f>
        <v>0</v>
      </c>
      <c r="N24" s="59">
        <f>VLOOKUP($B:$B,科室绩效工资核算2!$B:N,13,0)*科室绩效工资核算1!$AQ$10</f>
        <v>2087.9337</v>
      </c>
      <c r="O24" s="59">
        <f>VLOOKUP($B:$B,科室绩效工资核算2!$B:O,14,0)*科室绩效工资核算1!$AQ$10</f>
        <v>0</v>
      </c>
      <c r="P24" s="59">
        <f>VLOOKUP($B:$B,科室绩效工资核算2!$B:P,15,0)*科室绩效工资核算1!$AQ$10</f>
        <v>0</v>
      </c>
      <c r="Q24" s="59">
        <f>VLOOKUP($B:$B,科室绩效工资核算2!$B:Q,16,0)*科室绩效工资核算1!$AQ$10</f>
        <v>3807.9780000000005</v>
      </c>
      <c r="R24" s="59">
        <f>VLOOKUP($B:$B,科室绩效工资核算2!$B:T,19,0)*科室绩效工资核算1!$AQ$10</f>
        <v>0</v>
      </c>
      <c r="S24" s="59">
        <f>VLOOKUP($B:$B,科室绩效工资核算1!$B:AJ,35,0)*科室绩效工资核算1!$AQ$10</f>
        <v>0</v>
      </c>
      <c r="T24" s="59">
        <f>VLOOKUP($B:$B,科室绩效工资核算1!$B:AK,36,0)*科室绩效工资核算1!$AQ$10</f>
        <v>0</v>
      </c>
      <c r="U24" s="59">
        <f>VLOOKUP($B:$B,科室绩效工资核算1!$B:AL,37,0)*科室绩效工资核算1!$AQ$10</f>
        <v>0</v>
      </c>
      <c r="V24" s="59">
        <f>SUMIFS(中层绩效!$W:$W,中层绩效!$B:$B,绩效明细表!$B24,中层绩效!$D:$D,"主任")</f>
        <v>1598.4902000000002</v>
      </c>
      <c r="W24" s="59">
        <f>SUMIFS(中层绩效!$W:$W,中层绩效!$B:$B,绩效明细表!$B24,中层绩效!$D:$D,"副主任")</f>
        <v>0</v>
      </c>
      <c r="X24" s="59">
        <f>SUMIFS(中层绩效!$W:$W,中层绩效!$B:$B,绩效明细表!$B24,中层绩效!$D:$D,"护士长")</f>
        <v>1159.905796</v>
      </c>
      <c r="Y24" s="59"/>
      <c r="Z24" s="59"/>
      <c r="AA24" s="62"/>
      <c r="AB24" s="59">
        <f t="shared" si="0"/>
        <v>15277.392596000002</v>
      </c>
    </row>
    <row r="25" spans="2:28" ht="27.15" customHeight="1" x14ac:dyDescent="0.25">
      <c r="B25" s="59" t="s">
        <v>104</v>
      </c>
      <c r="C25" s="59">
        <f>VLOOKUP(B:B,科室绩效工资核算2!B:C,2,0)*科室绩效工资核算1!AQ$10</f>
        <v>13621.589100000001</v>
      </c>
      <c r="D25" s="59">
        <f>VLOOKUP(B:B,科室绩效工资核算2!B:D,3,0)*科室绩效工资核算1!AQ$10</f>
        <v>23102.808900000004</v>
      </c>
      <c r="E25" s="59">
        <f>VLOOKUP(B:B,科室绩效工资核算2!B:E,4,0)*科室绩效工资核算1!AQ$10</f>
        <v>1445.7408</v>
      </c>
      <c r="F25" s="59">
        <f>VLOOKUP($B:$B,科室绩效工资核算2!$B:F,5,0)*科室绩效工资核算1!$AQ$10</f>
        <v>601.31630000000007</v>
      </c>
      <c r="G25" s="59">
        <f>VLOOKUP($B:$B,科室绩效工资核算2!$B:G,6,0)*科室绩效工资核算1!$AQ$10</f>
        <v>1057.4131</v>
      </c>
      <c r="H25" s="59">
        <f>VLOOKUP($B:$B,科室绩效工资核算2!$B:H,7,0)*科室绩效工资核算1!$AQ$10</f>
        <v>0</v>
      </c>
      <c r="I25" s="59">
        <f>VLOOKUP($B:$B,科室绩效工资核算2!$B:I,8,0)*科室绩效工资核算1!$AQ$10</f>
        <v>0</v>
      </c>
      <c r="J25" s="59">
        <f>VLOOKUP($B:$B,科室绩效工资核算2!$B:J,9,0)*科室绩效工资核算1!$AQ$10</f>
        <v>0</v>
      </c>
      <c r="K25" s="59">
        <f>VLOOKUP($B:$B,科室绩效工资核算2!$B:K,10,0)*科室绩效工资核算1!$AQ$10</f>
        <v>0</v>
      </c>
      <c r="L25" s="59">
        <f>VLOOKUP($B:$B,科室绩效工资核算2!$B:L,11,0)*科室绩效工资核算1!$AQ$10</f>
        <v>29.043900000000004</v>
      </c>
      <c r="M25" s="59">
        <f>VLOOKUP($B:$B,科室绩效工资核算2!$B:M,12,0)*科室绩效工资核算1!$AQ$10</f>
        <v>5.3785000000000007</v>
      </c>
      <c r="N25" s="59">
        <f>VLOOKUP($B:$B,科室绩效工资核算2!$B:N,13,0)*科室绩效工资核算1!$AQ$10</f>
        <v>0</v>
      </c>
      <c r="O25" s="59">
        <f>VLOOKUP($B:$B,科室绩效工资核算2!$B:O,14,0)*科室绩效工资核算1!$AQ$10</f>
        <v>0</v>
      </c>
      <c r="P25" s="59">
        <f>VLOOKUP($B:$B,科室绩效工资核算2!$B:P,15,0)*科室绩效工资核算1!$AQ$10</f>
        <v>0</v>
      </c>
      <c r="Q25" s="59">
        <f>VLOOKUP($B:$B,科室绩效工资核算2!$B:Q,16,0)*科室绩效工资核算1!$AQ$10</f>
        <v>1125.1822000000002</v>
      </c>
      <c r="R25" s="59">
        <f>VLOOKUP($B:$B,科室绩效工资核算2!$B:T,19,0)*科室绩效工资核算1!$AQ$10</f>
        <v>0</v>
      </c>
      <c r="S25" s="59">
        <f>VLOOKUP($B:$B,科室绩效工资核算1!$B:AJ,35,0)*科室绩效工资核算1!$AQ$10</f>
        <v>0</v>
      </c>
      <c r="T25" s="59">
        <f>VLOOKUP($B:$B,科室绩效工资核算1!$B:AK,36,0)*科室绩效工资核算1!$AQ$10</f>
        <v>0</v>
      </c>
      <c r="U25" s="59">
        <f>VLOOKUP($B:$B,科室绩效工资核算1!$B:AL,37,0)*科室绩效工资核算1!$AQ$10</f>
        <v>0</v>
      </c>
      <c r="V25" s="59">
        <f>SUMIFS(中层绩效!$W:$W,中层绩效!$B:$B,绩效明细表!$B25,中层绩效!$D:$D,"主任")</f>
        <v>5162.2843000000003</v>
      </c>
      <c r="W25" s="59">
        <f>SUMIFS(中层绩效!$W:$W,中层绩效!$B:$B,绩效明细表!$B25,中层绩效!$D:$D,"副主任")</f>
        <v>0</v>
      </c>
      <c r="X25" s="59">
        <f>SUMIFS(中层绩效!$W:$W,中层绩效!$B:$B,绩效明细表!$B25,中层绩效!$D:$D,"护士长")</f>
        <v>3386.3896560000003</v>
      </c>
      <c r="Y25" s="59"/>
      <c r="Z25" s="59"/>
      <c r="AA25" s="62"/>
      <c r="AB25" s="59">
        <f t="shared" si="0"/>
        <v>49537.146755999995</v>
      </c>
    </row>
    <row r="26" spans="2:28" ht="27.15" customHeight="1" x14ac:dyDescent="0.25">
      <c r="B26" s="59" t="s">
        <v>95</v>
      </c>
      <c r="C26" s="59">
        <f>VLOOKUP(B:B,科室绩效工资核算2!B:C,2,0)*科室绩效工资核算1!AQ$10</f>
        <v>36240.333000000006</v>
      </c>
      <c r="D26" s="59">
        <f>VLOOKUP(B:B,科室绩效工资核算2!B:D,3,0)*科室绩效工资核算1!AQ$10</f>
        <v>27.968200000000003</v>
      </c>
      <c r="E26" s="59">
        <f>VLOOKUP(B:B,科室绩效工资核算2!B:E,4,0)*科室绩效工资核算1!AQ$10</f>
        <v>0</v>
      </c>
      <c r="F26" s="59">
        <f>VLOOKUP($B:$B,科室绩效工资核算2!$B:F,5,0)*科室绩效工资核算1!$AQ$10</f>
        <v>0</v>
      </c>
      <c r="G26" s="59">
        <f>VLOOKUP($B:$B,科室绩效工资核算2!$B:G,6,0)*科室绩效工资核算1!$AQ$10</f>
        <v>2.1514000000000002</v>
      </c>
      <c r="H26" s="59">
        <f>VLOOKUP($B:$B,科室绩效工资核算2!$B:H,7,0)*科室绩效工资核算1!$AQ$10</f>
        <v>0</v>
      </c>
      <c r="I26" s="59">
        <f>VLOOKUP($B:$B,科室绩效工资核算2!$B:I,8,0)*科室绩效工资核算1!$AQ$10</f>
        <v>0</v>
      </c>
      <c r="J26" s="59">
        <f>VLOOKUP($B:$B,科室绩效工资核算2!$B:J,9,0)*科室绩效工资核算1!$AQ$10</f>
        <v>0</v>
      </c>
      <c r="K26" s="59">
        <f>VLOOKUP($B:$B,科室绩效工资核算2!$B:K,10,0)*科室绩效工资核算1!$AQ$10</f>
        <v>0</v>
      </c>
      <c r="L26" s="59">
        <f>VLOOKUP($B:$B,科室绩效工资核算2!$B:L,11,0)*科室绩效工资核算1!$AQ$10</f>
        <v>45.179400000000001</v>
      </c>
      <c r="M26" s="59">
        <f>VLOOKUP($B:$B,科室绩效工资核算2!$B:M,12,0)*科室绩效工资核算1!$AQ$10</f>
        <v>418.44730000000004</v>
      </c>
      <c r="N26" s="59">
        <f>VLOOKUP($B:$B,科室绩效工资核算2!$B:N,13,0)*科室绩效工资核算1!$AQ$10</f>
        <v>0</v>
      </c>
      <c r="O26" s="59">
        <f>VLOOKUP($B:$B,科室绩效工资核算2!$B:O,14,0)*科室绩效工资核算1!$AQ$10</f>
        <v>0</v>
      </c>
      <c r="P26" s="59">
        <f>VLOOKUP($B:$B,科室绩效工资核算2!$B:P,15,0)*科室绩效工资核算1!$AQ$10</f>
        <v>0</v>
      </c>
      <c r="Q26" s="59">
        <f>VLOOKUP($B:$B,科室绩效工资核算2!$B:Q,16,0)*科室绩效工资核算1!$AQ$10</f>
        <v>0</v>
      </c>
      <c r="R26" s="59">
        <f>VLOOKUP($B:$B,科室绩效工资核算2!$B:T,19,0)*科室绩效工资核算1!$AQ$10</f>
        <v>0</v>
      </c>
      <c r="S26" s="59">
        <f>VLOOKUP($B:$B,科室绩效工资核算1!$B:AJ,35,0)*科室绩效工资核算1!$AQ$10</f>
        <v>0</v>
      </c>
      <c r="T26" s="59">
        <f>VLOOKUP($B:$B,科室绩效工资核算1!$B:AK,36,0)*科室绩效工资核算1!$AQ$10</f>
        <v>0</v>
      </c>
      <c r="U26" s="59">
        <f>VLOOKUP($B:$B,科室绩效工资核算1!$B:AL,37,0)*科室绩效工资核算1!$AQ$10</f>
        <v>0</v>
      </c>
      <c r="V26" s="59">
        <f>SUMIFS(中层绩效!$W:$W,中层绩效!$B:$B,绩效明细表!$B26,中层绩效!$D:$D,"主任")</f>
        <v>3518.6147000000005</v>
      </c>
      <c r="W26" s="59">
        <f>SUMIFS(中层绩效!$W:$W,中层绩效!$B:$B,绩效明细表!$B26,中层绩效!$D:$D,"副主任")</f>
        <v>0</v>
      </c>
      <c r="X26" s="59">
        <f>SUMIFS(中层绩效!$W:$W,中层绩效!$B:$B,绩效明细表!$B26,中层绩效!$D:$D,"护士长")</f>
        <v>2462.92272</v>
      </c>
      <c r="Y26" s="59"/>
      <c r="Z26" s="59"/>
      <c r="AA26" s="62"/>
      <c r="AB26" s="59">
        <f t="shared" si="0"/>
        <v>42715.616720000013</v>
      </c>
    </row>
    <row r="27" spans="2:28" ht="27.15" customHeight="1" x14ac:dyDescent="0.25">
      <c r="B27" s="59" t="s">
        <v>100</v>
      </c>
      <c r="C27" s="59">
        <f>VLOOKUP(B:B,科室绩效工资核算2!B:C,2,0)*科室绩效工资核算1!AQ$10</f>
        <v>7326.5927000000011</v>
      </c>
      <c r="D27" s="59">
        <f>VLOOKUP(B:B,科室绩效工资核算2!B:D,3,0)*科室绩效工资核算1!AQ$10</f>
        <v>1330.6409000000001</v>
      </c>
      <c r="E27" s="59">
        <f>VLOOKUP(B:B,科室绩效工资核算2!B:E,4,0)*科室绩效工资核算1!AQ$10</f>
        <v>118.32700000000001</v>
      </c>
      <c r="F27" s="59">
        <f>VLOOKUP($B:$B,科室绩效工资核算2!$B:F,5,0)*科室绩效工资核算1!$AQ$10</f>
        <v>59.163500000000006</v>
      </c>
      <c r="G27" s="59">
        <f>VLOOKUP($B:$B,科室绩效工资核算2!$B:G,6,0)*科室绩效工资核算1!$AQ$10</f>
        <v>179.64190000000002</v>
      </c>
      <c r="H27" s="59">
        <f>VLOOKUP($B:$B,科室绩效工资核算2!$B:H,7,0)*科室绩效工资核算1!$AQ$10</f>
        <v>88.207400000000007</v>
      </c>
      <c r="I27" s="59">
        <f>VLOOKUP($B:$B,科室绩效工资核算2!$B:I,8,0)*科室绩效工资核算1!$AQ$10</f>
        <v>247.41100000000003</v>
      </c>
      <c r="J27" s="59">
        <f>VLOOKUP($B:$B,科室绩效工资核算2!$B:J,9,0)*科室绩效工资核算1!$AQ$10</f>
        <v>0</v>
      </c>
      <c r="K27" s="59">
        <f>VLOOKUP($B:$B,科室绩效工资核算2!$B:K,10,0)*科室绩效工资核算1!$AQ$10</f>
        <v>0</v>
      </c>
      <c r="L27" s="59">
        <f>VLOOKUP($B:$B,科室绩效工资核算2!$B:L,11,0)*科室绩效工资核算1!$AQ$10</f>
        <v>288.28760000000005</v>
      </c>
      <c r="M27" s="59">
        <f>VLOOKUP($B:$B,科室绩效工资核算2!$B:M,12,0)*科室绩效工资核算1!$AQ$10</f>
        <v>197.92880000000002</v>
      </c>
      <c r="N27" s="59">
        <f>VLOOKUP($B:$B,科室绩效工资核算2!$B:N,13,0)*科室绩效工资核算1!$AQ$10</f>
        <v>0</v>
      </c>
      <c r="O27" s="59">
        <f>VLOOKUP($B:$B,科室绩效工资核算2!$B:O,14,0)*科室绩效工资核算1!$AQ$10</f>
        <v>0</v>
      </c>
      <c r="P27" s="59">
        <f>VLOOKUP($B:$B,科室绩效工资核算2!$B:P,15,0)*科室绩效工资核算1!$AQ$10</f>
        <v>0</v>
      </c>
      <c r="Q27" s="59">
        <f>VLOOKUP($B:$B,科室绩效工资核算2!$B:Q,16,0)*科室绩效工资核算1!$AQ$10</f>
        <v>23.665400000000002</v>
      </c>
      <c r="R27" s="59">
        <f>VLOOKUP($B:$B,科室绩效工资核算2!$B:T,19,0)*科室绩效工资核算1!$AQ$10</f>
        <v>1042.3533</v>
      </c>
      <c r="S27" s="59">
        <f>VLOOKUP($B:$B,科室绩效工资核算1!$B:AJ,35,0)*科室绩效工资核算1!$AQ$10</f>
        <v>0</v>
      </c>
      <c r="T27" s="59">
        <f>VLOOKUP($B:$B,科室绩效工资核算1!$B:AK,36,0)*科室绩效工资核算1!$AQ$10</f>
        <v>0</v>
      </c>
      <c r="U27" s="59">
        <f>VLOOKUP($B:$B,科室绩效工资核算1!$B:AL,37,0)*科室绩效工资核算1!$AQ$10</f>
        <v>0</v>
      </c>
      <c r="V27" s="59">
        <f>SUMIFS(中层绩效!$W:$W,中层绩效!$B:$B,绩效明细表!$B27,中层绩效!$D:$D,"主任")</f>
        <v>935.85900000000004</v>
      </c>
      <c r="W27" s="59">
        <f>SUMIFS(中层绩效!$W:$W,中层绩效!$B:$B,绩效明细表!$B27,中层绩效!$D:$D,"副主任")</f>
        <v>0</v>
      </c>
      <c r="X27" s="59">
        <f>SUMIFS(中层绩效!$W:$W,中层绩效!$B:$B,绩效明细表!$B27,中层绩效!$D:$D,"护士长")</f>
        <v>0</v>
      </c>
      <c r="Y27" s="59"/>
      <c r="Z27" s="59"/>
      <c r="AA27" s="62"/>
      <c r="AB27" s="59">
        <f t="shared" si="0"/>
        <v>11838.078500000001</v>
      </c>
    </row>
    <row r="28" spans="2:28" ht="27.15" customHeight="1" x14ac:dyDescent="0.25">
      <c r="B28" s="59" t="s">
        <v>105</v>
      </c>
      <c r="C28" s="59">
        <f>VLOOKUP(B:B,科室绩效工资核算2!B:C,2,0)*科室绩效工资核算1!AQ$10</f>
        <v>24800.263500000001</v>
      </c>
      <c r="D28" s="59">
        <f>VLOOKUP(B:B,科室绩效工资核算2!B:D,3,0)*科室绩效工资核算1!AQ$10</f>
        <v>1436.0595000000001</v>
      </c>
      <c r="E28" s="59">
        <f>VLOOKUP(B:B,科室绩效工资核算2!B:E,4,0)*科室绩效工资核算1!AQ$10</f>
        <v>0</v>
      </c>
      <c r="F28" s="59">
        <f>VLOOKUP($B:$B,科室绩效工资核算2!$B:F,5,0)*科室绩效工资核算1!$AQ$10</f>
        <v>0</v>
      </c>
      <c r="G28" s="59">
        <f>VLOOKUP($B:$B,科室绩效工资核算2!$B:G,6,0)*科室绩效工资核算1!$AQ$10</f>
        <v>784.1853000000001</v>
      </c>
      <c r="H28" s="59">
        <f>VLOOKUP($B:$B,科室绩效工资核算2!$B:H,7,0)*科室绩效工资核算1!$AQ$10</f>
        <v>0</v>
      </c>
      <c r="I28" s="59">
        <f>VLOOKUP($B:$B,科室绩效工资核算2!$B:I,8,0)*科室绩效工资核算1!$AQ$10</f>
        <v>27.968200000000003</v>
      </c>
      <c r="J28" s="59">
        <f>VLOOKUP($B:$B,科室绩效工资核算2!$B:J,9,0)*科室绩效工资核算1!$AQ$10</f>
        <v>0</v>
      </c>
      <c r="K28" s="59">
        <f>VLOOKUP($B:$B,科室绩效工资核算2!$B:K,10,0)*科室绩效工资核算1!$AQ$10</f>
        <v>0</v>
      </c>
      <c r="L28" s="59">
        <f>VLOOKUP($B:$B,科室绩效工资核算2!$B:L,11,0)*科室绩效工资核算1!$AQ$10</f>
        <v>276.45490000000001</v>
      </c>
      <c r="M28" s="59">
        <f>VLOOKUP($B:$B,科室绩效工资核算2!$B:M,12,0)*科室绩效工资核算1!$AQ$10</f>
        <v>165.65780000000001</v>
      </c>
      <c r="N28" s="59">
        <f>VLOOKUP($B:$B,科室绩效工资核算2!$B:N,13,0)*科室绩效工资核算1!$AQ$10</f>
        <v>0</v>
      </c>
      <c r="O28" s="59">
        <f>VLOOKUP($B:$B,科室绩效工资核算2!$B:O,14,0)*科室绩效工资核算1!$AQ$10</f>
        <v>0</v>
      </c>
      <c r="P28" s="59">
        <f>VLOOKUP($B:$B,科室绩效工资核算2!$B:P,15,0)*科室绩效工资核算1!$AQ$10</f>
        <v>0</v>
      </c>
      <c r="Q28" s="59">
        <f>VLOOKUP($B:$B,科室绩效工资核算2!$B:Q,16,0)*科室绩效工资核算1!$AQ$10</f>
        <v>0</v>
      </c>
      <c r="R28" s="59">
        <f>VLOOKUP($B:$B,科室绩效工资核算2!$B:T,19,0)*科室绩效工资核算1!$AQ$10</f>
        <v>1315.5811000000001</v>
      </c>
      <c r="S28" s="59">
        <f>VLOOKUP($B:$B,科室绩效工资核算1!$B:AJ,35,0)*科室绩效工资核算1!$AQ$10</f>
        <v>0</v>
      </c>
      <c r="T28" s="59">
        <f>VLOOKUP($B:$B,科室绩效工资核算1!$B:AK,36,0)*科室绩效工资核算1!$AQ$10</f>
        <v>0</v>
      </c>
      <c r="U28" s="59">
        <f>VLOOKUP($B:$B,科室绩效工资核算1!$B:AL,37,0)*科室绩效工资核算1!$AQ$10</f>
        <v>0</v>
      </c>
      <c r="V28" s="59">
        <f>SUMIFS(中层绩效!$W:$W,中层绩效!$B:$B,绩效明细表!$B28,中层绩效!$D:$D,"主任")</f>
        <v>3984.3928000000005</v>
      </c>
      <c r="W28" s="59">
        <f>SUMIFS(中层绩效!$W:$W,中层绩效!$B:$B,绩效明细表!$B28,中层绩效!$D:$D,"副主任")</f>
        <v>0</v>
      </c>
      <c r="X28" s="59">
        <f>SUMIFS(中层绩效!$W:$W,中层绩效!$B:$B,绩效明细表!$B28,中层绩效!$D:$D,"护士长")</f>
        <v>0</v>
      </c>
      <c r="Y28" s="63"/>
      <c r="Z28" s="59"/>
      <c r="AA28" s="62"/>
      <c r="AB28" s="59">
        <f t="shared" si="0"/>
        <v>32790.563099999999</v>
      </c>
    </row>
    <row r="29" spans="2:28" ht="27.15" customHeight="1" x14ac:dyDescent="0.25">
      <c r="B29" s="59" t="s">
        <v>103</v>
      </c>
      <c r="C29" s="59">
        <f>VLOOKUP(B:B,科室绩效工资核算2!B:C,2,0)*科室绩效工资核算1!AQ$10</f>
        <v>5567.8232000000007</v>
      </c>
      <c r="D29" s="59">
        <f>VLOOKUP(B:B,科室绩效工资核算2!B:D,3,0)*科室绩效工资核算1!AQ$10</f>
        <v>218.36710000000002</v>
      </c>
      <c r="E29" s="59">
        <f>VLOOKUP(B:B,科室绩效工资核算2!B:E,4,0)*科室绩效工资核算1!AQ$10</f>
        <v>18.286900000000003</v>
      </c>
      <c r="F29" s="59">
        <f>VLOOKUP($B:$B,科室绩效工资核算2!$B:F,5,0)*科室绩效工资核算1!$AQ$10</f>
        <v>0</v>
      </c>
      <c r="G29" s="59">
        <f>VLOOKUP($B:$B,科室绩效工资核算2!$B:G,6,0)*科室绩效工资核算1!$AQ$10</f>
        <v>140.91670000000002</v>
      </c>
      <c r="H29" s="59">
        <f>VLOOKUP($B:$B,科室绩效工资核算2!$B:H,7,0)*科室绩效工资核算1!$AQ$10</f>
        <v>0</v>
      </c>
      <c r="I29" s="59">
        <f>VLOOKUP($B:$B,科室绩效工资核算2!$B:I,8,0)*科室绩效工资核算1!$AQ$10</f>
        <v>0</v>
      </c>
      <c r="J29" s="59">
        <f>VLOOKUP($B:$B,科室绩效工资核算2!$B:J,9,0)*科室绩效工资核算1!$AQ$10</f>
        <v>0</v>
      </c>
      <c r="K29" s="59">
        <f>VLOOKUP($B:$B,科室绩效工资核算2!$B:K,10,0)*科室绩效工资核算1!$AQ$10</f>
        <v>0</v>
      </c>
      <c r="L29" s="59">
        <f>VLOOKUP($B:$B,科室绩效工资核算2!$B:L,11,0)*科室绩效工资核算1!$AQ$10</f>
        <v>118.32700000000001</v>
      </c>
      <c r="M29" s="59">
        <f>VLOOKUP($B:$B,科室绩效工资核算2!$B:M,12,0)*科室绩效工资核算1!$AQ$10</f>
        <v>942.31320000000005</v>
      </c>
      <c r="N29" s="59">
        <f>VLOOKUP($B:$B,科室绩效工资核算2!$B:N,13,0)*科室绩效工资核算1!$AQ$10</f>
        <v>0</v>
      </c>
      <c r="O29" s="59">
        <f>VLOOKUP($B:$B,科室绩效工资核算2!$B:O,14,0)*科室绩效工资核算1!$AQ$10</f>
        <v>0</v>
      </c>
      <c r="P29" s="59">
        <f>VLOOKUP($B:$B,科室绩效工资核算2!$B:P,15,0)*科室绩效工资核算1!$AQ$10</f>
        <v>0</v>
      </c>
      <c r="Q29" s="59">
        <f>VLOOKUP($B:$B,科室绩效工资核算2!$B:Q,16,0)*科室绩效工资核算1!$AQ$10</f>
        <v>0</v>
      </c>
      <c r="R29" s="59">
        <f>VLOOKUP($B:$B,科室绩效工资核算2!$B:T,19,0)*科室绩效工资核算1!$AQ$10</f>
        <v>74.223300000000009</v>
      </c>
      <c r="S29" s="59">
        <f>VLOOKUP($B:$B,科室绩效工资核算1!$B:AJ,35,0)*科室绩效工资核算1!$AQ$10</f>
        <v>0</v>
      </c>
      <c r="T29" s="59">
        <f>VLOOKUP($B:$B,科室绩效工资核算1!$B:AK,36,0)*科室绩效工资核算1!$AQ$10</f>
        <v>0</v>
      </c>
      <c r="U29" s="59">
        <f>VLOOKUP($B:$B,科室绩效工资核算1!$B:AL,37,0)*科室绩效工资核算1!$AQ$10</f>
        <v>0</v>
      </c>
      <c r="V29" s="59">
        <f>SUMIFS(中层绩效!$W:$W,中层绩效!$B:$B,绩效明细表!$B29,中层绩效!$D:$D,"主任")</f>
        <v>1168.2102000000002</v>
      </c>
      <c r="W29" s="59">
        <f>SUMIFS(中层绩效!$W:$W,中层绩效!$B:$B,绩效明细表!$B29,中层绩效!$D:$D,"副主任")</f>
        <v>0</v>
      </c>
      <c r="X29" s="59">
        <f>SUMIFS(中层绩效!$W:$W,中层绩效!$B:$B,绩效明细表!$B29,中层绩效!$D:$D,"护士长")</f>
        <v>0</v>
      </c>
      <c r="Y29" s="63"/>
      <c r="Z29" s="59"/>
      <c r="AA29" s="62"/>
      <c r="AB29" s="59">
        <f t="shared" si="0"/>
        <v>8248.4675999999999</v>
      </c>
    </row>
    <row r="30" spans="2:28" ht="27.15" customHeight="1" x14ac:dyDescent="0.25">
      <c r="B30" s="59" t="s">
        <v>112</v>
      </c>
      <c r="C30" s="59">
        <f>VLOOKUP(B:B,科室绩效工资核算2!B:C,2,0)*科室绩效工资核算1!AQ$10</f>
        <v>29048.202800000003</v>
      </c>
      <c r="D30" s="59">
        <f>VLOOKUP(B:B,科室绩效工资核算2!B:D,3,0)*科室绩效工资核算1!AQ$10</f>
        <v>190.39890000000003</v>
      </c>
      <c r="E30" s="59">
        <f>VLOOKUP(B:B,科室绩效工资核算2!B:E,4,0)*科室绩效工资核算1!AQ$10</f>
        <v>619.60320000000002</v>
      </c>
      <c r="F30" s="59">
        <f>VLOOKUP($B:$B,科室绩效工资核算2!$B:F,5,0)*科室绩效工资核算1!$AQ$10</f>
        <v>0</v>
      </c>
      <c r="G30" s="59">
        <f>VLOOKUP($B:$B,科室绩效工资核算2!$B:G,6,0)*科室绩效工资核算1!$AQ$10</f>
        <v>1095.0626000000002</v>
      </c>
      <c r="H30" s="59">
        <f>VLOOKUP($B:$B,科室绩效工资核算2!$B:H,7,0)*科室绩效工资核算1!$AQ$10</f>
        <v>0</v>
      </c>
      <c r="I30" s="59">
        <f>VLOOKUP($B:$B,科室绩效工资核算2!$B:I,8,0)*科室绩效工资核算1!$AQ$10</f>
        <v>1419.9240000000002</v>
      </c>
      <c r="J30" s="59">
        <f>VLOOKUP($B:$B,科室绩效工资核算2!$B:J,9,0)*科室绩效工资核算1!$AQ$10</f>
        <v>0</v>
      </c>
      <c r="K30" s="59">
        <f>VLOOKUP($B:$B,科室绩效工资核算2!$B:K,10,0)*科室绩效工资核算1!$AQ$10</f>
        <v>0</v>
      </c>
      <c r="L30" s="59">
        <f>VLOOKUP($B:$B,科室绩效工资核算2!$B:L,11,0)*科室绩效工资核算1!$AQ$10</f>
        <v>57.012100000000004</v>
      </c>
      <c r="M30" s="59">
        <f>VLOOKUP($B:$B,科室绩效工资核算2!$B:M,12,0)*科室绩效工资核算1!$AQ$10</f>
        <v>666.93400000000008</v>
      </c>
      <c r="N30" s="59">
        <f>VLOOKUP($B:$B,科室绩效工资核算2!$B:N,13,0)*科室绩效工资核算1!$AQ$10</f>
        <v>0</v>
      </c>
      <c r="O30" s="59">
        <f>VLOOKUP($B:$B,科室绩效工资核算2!$B:O,14,0)*科室绩效工资核算1!$AQ$10</f>
        <v>0</v>
      </c>
      <c r="P30" s="59">
        <f>VLOOKUP($B:$B,科室绩效工资核算2!$B:P,15,0)*科室绩效工资核算1!$AQ$10</f>
        <v>0</v>
      </c>
      <c r="Q30" s="59">
        <f>VLOOKUP($B:$B,科室绩效工资核算2!$B:Q,16,0)*科室绩效工资核算1!$AQ$10</f>
        <v>0</v>
      </c>
      <c r="R30" s="59">
        <f>VLOOKUP($B:$B,科室绩效工资核算2!$B:T,19,0)*科室绩效工资核算1!$AQ$10</f>
        <v>0</v>
      </c>
      <c r="S30" s="59">
        <f>VLOOKUP($B:$B,科室绩效工资核算1!$B:AJ,35,0)*科室绩效工资核算1!$AQ$10</f>
        <v>0</v>
      </c>
      <c r="T30" s="59">
        <f>VLOOKUP($B:$B,科室绩效工资核算1!$B:AK,36,0)*科室绩效工资核算1!$AQ$10</f>
        <v>0</v>
      </c>
      <c r="U30" s="59">
        <f>VLOOKUP($B:$B,科室绩效工资核算1!$B:AL,37,0)*科室绩效工资核算1!$AQ$10</f>
        <v>0</v>
      </c>
      <c r="V30" s="59">
        <f>SUMIFS(中层绩效!$W:$W,中层绩效!$B:$B,绩效明细表!$B30,中层绩效!$D:$D,"主任")</f>
        <v>8274.2844000000005</v>
      </c>
      <c r="W30" s="59">
        <f>SUMIFS(中层绩效!$W:$W,中层绩效!$B:$B,绩效明细表!$B30,中层绩效!$D:$D,"副主任")</f>
        <v>0</v>
      </c>
      <c r="X30" s="59">
        <f>SUMIFS(中层绩效!$W:$W,中层绩效!$B:$B,绩效明细表!$B30,中层绩效!$D:$D,"护士长")</f>
        <v>0</v>
      </c>
      <c r="Y30" s="63"/>
      <c r="Z30" s="59"/>
      <c r="AA30" s="62"/>
      <c r="AB30" s="59">
        <f t="shared" si="0"/>
        <v>41371.422000000006</v>
      </c>
    </row>
    <row r="31" spans="2:28" ht="27.15" customHeight="1" x14ac:dyDescent="0.25">
      <c r="B31" s="59" t="s">
        <v>621</v>
      </c>
      <c r="C31" s="59">
        <f>VLOOKUP(B:B,科室绩效工资核算2!B:C,2,0)*科室绩效工资核算1!AQ$10</f>
        <v>4071.5245000000004</v>
      </c>
      <c r="D31" s="59">
        <f>VLOOKUP(B:B,科室绩效工资核算2!B:D,3,0)*科室绩效工资核算1!AQ$10</f>
        <v>0</v>
      </c>
      <c r="E31" s="59">
        <f>VLOOKUP(B:B,科室绩效工资核算2!B:E,4,0)*科室绩效工资核算1!AQ$10</f>
        <v>0</v>
      </c>
      <c r="F31" s="59">
        <f>VLOOKUP($B:$B,科室绩效工资核算2!$B:F,5,0)*科室绩效工资核算1!$AQ$10</f>
        <v>0</v>
      </c>
      <c r="G31" s="59">
        <f>VLOOKUP($B:$B,科室绩效工资核算2!$B:G,6,0)*科室绩效工资核算1!$AQ$10</f>
        <v>74.223300000000009</v>
      </c>
      <c r="H31" s="59">
        <f>VLOOKUP($B:$B,科室绩效工资核算2!$B:H,7,0)*科室绩效工资核算1!$AQ$10</f>
        <v>0</v>
      </c>
      <c r="I31" s="59">
        <f>VLOOKUP($B:$B,科室绩效工资核算2!$B:I,8,0)*科室绩效工资核算1!$AQ$10</f>
        <v>0</v>
      </c>
      <c r="J31" s="59">
        <f>VLOOKUP($B:$B,科室绩效工资核算2!$B:J,9,0)*科室绩效工资核算1!$AQ$10</f>
        <v>0</v>
      </c>
      <c r="K31" s="59">
        <f>VLOOKUP($B:$B,科室绩效工资核算2!$B:K,10,0)*科室绩效工资核算1!$AQ$10</f>
        <v>0</v>
      </c>
      <c r="L31" s="59">
        <f>VLOOKUP($B:$B,科室绩效工资核算2!$B:L,11,0)*科室绩效工资核算1!$AQ$10</f>
        <v>0</v>
      </c>
      <c r="M31" s="59">
        <f>VLOOKUP($B:$B,科室绩效工资核算2!$B:M,12,0)*科室绩效工资核算1!$AQ$10</f>
        <v>0</v>
      </c>
      <c r="N31" s="59">
        <f>VLOOKUP($B:$B,科室绩效工资核算2!$B:N,13,0)*科室绩效工资核算1!$AQ$10</f>
        <v>0</v>
      </c>
      <c r="O31" s="59">
        <f>VLOOKUP($B:$B,科室绩效工资核算2!$B:O,14,0)*科室绩效工资核算1!$AQ$10</f>
        <v>434.58280000000002</v>
      </c>
      <c r="P31" s="59">
        <f>VLOOKUP($B:$B,科室绩效工资核算2!$B:P,15,0)*科室绩效工资核算1!$AQ$10</f>
        <v>0</v>
      </c>
      <c r="Q31" s="59">
        <f>VLOOKUP($B:$B,科室绩效工资核算2!$B:Q,16,0)*科室绩效工资核算1!$AQ$10</f>
        <v>0</v>
      </c>
      <c r="R31" s="59">
        <f>VLOOKUP($B:$B,科室绩效工资核算2!$B:T,19,0)*科室绩效工资核算1!$AQ$10</f>
        <v>0</v>
      </c>
      <c r="S31" s="59">
        <f>VLOOKUP($B:$B,科室绩效工资核算1!$B:AJ,35,0)*科室绩效工资核算1!$AQ$10</f>
        <v>0</v>
      </c>
      <c r="T31" s="59">
        <f>VLOOKUP($B:$B,科室绩效工资核算1!$B:AK,36,0)*科室绩效工资核算1!$AQ$10</f>
        <v>0</v>
      </c>
      <c r="U31" s="59">
        <f>VLOOKUP($B:$B,科室绩效工资核算1!$B:AL,37,0)*科室绩效工资核算1!$AQ$10</f>
        <v>0</v>
      </c>
      <c r="V31" s="59">
        <f>SUMIFS(中层绩效!$W:$W,中层绩效!$B:$B,绩效明细表!$B31,中层绩效!$D:$D,"主任")</f>
        <v>0</v>
      </c>
      <c r="W31" s="59">
        <f>SUMIFS(中层绩效!$W:$W,中层绩效!$B:$B,绩效明细表!$B31,中层绩效!$D:$D,"副主任")</f>
        <v>0</v>
      </c>
      <c r="X31" s="59">
        <f>SUMIFS(中层绩效!$W:$W,中层绩效!$B:$B,绩效明细表!$B31,中层绩效!$D:$D,"护士长")</f>
        <v>0</v>
      </c>
      <c r="Y31" s="63"/>
      <c r="Z31" s="59"/>
      <c r="AA31" s="62"/>
      <c r="AB31" s="59">
        <f t="shared" si="0"/>
        <v>4580.3306000000002</v>
      </c>
    </row>
    <row r="32" spans="2:28" ht="27.15" customHeight="1" x14ac:dyDescent="0.25">
      <c r="B32" s="59" t="s">
        <v>622</v>
      </c>
      <c r="C32" s="59">
        <f>VLOOKUP(B:B,科室绩效工资核算2!B:C,2,0)*科室绩效工资核算1!AQ$10</f>
        <v>3764.9500000000003</v>
      </c>
      <c r="D32" s="59">
        <f>VLOOKUP(B:B,科室绩效工资核算2!B:D,3,0)*科室绩效工资核算1!AQ$10</f>
        <v>0</v>
      </c>
      <c r="E32" s="59">
        <f>VLOOKUP(B:B,科室绩效工资核算2!B:E,4,0)*科室绩效工资核算1!AQ$10</f>
        <v>473.30800000000005</v>
      </c>
      <c r="F32" s="59">
        <f>VLOOKUP($B:$B,科室绩效工资核算2!$B:F,5,0)*科室绩效工资核算1!$AQ$10</f>
        <v>0</v>
      </c>
      <c r="G32" s="59">
        <f>VLOOKUP($B:$B,科室绩效工资核算2!$B:G,6,0)*科室绩效工资核算1!$AQ$10</f>
        <v>457.17250000000007</v>
      </c>
      <c r="H32" s="59">
        <f>VLOOKUP($B:$B,科室绩效工资核算2!$B:H,7,0)*科室绩效工资核算1!$AQ$10</f>
        <v>0</v>
      </c>
      <c r="I32" s="59">
        <f>VLOOKUP($B:$B,科室绩效工资核算2!$B:I,8,0)*科室绩效工资核算1!$AQ$10</f>
        <v>207.61010000000002</v>
      </c>
      <c r="J32" s="59">
        <f>VLOOKUP($B:$B,科室绩效工资核算2!$B:J,9,0)*科室绩效工资核算1!$AQ$10</f>
        <v>0</v>
      </c>
      <c r="K32" s="59">
        <f>VLOOKUP($B:$B,科室绩效工资核算2!$B:K,10,0)*科室绩效工资核算1!$AQ$10</f>
        <v>0</v>
      </c>
      <c r="L32" s="59">
        <f>VLOOKUP($B:$B,科室绩效工资核算2!$B:L,11,0)*科室绩效工资核算1!$AQ$10</f>
        <v>0</v>
      </c>
      <c r="M32" s="59">
        <f>VLOOKUP($B:$B,科室绩效工资核算2!$B:M,12,0)*科室绩效工资核算1!$AQ$10</f>
        <v>0</v>
      </c>
      <c r="N32" s="59">
        <f>VLOOKUP($B:$B,科室绩效工资核算2!$B:N,13,0)*科室绩效工资核算1!$AQ$10</f>
        <v>0</v>
      </c>
      <c r="O32" s="59">
        <f>VLOOKUP($B:$B,科室绩效工资核算2!$B:O,14,0)*科室绩效工资核算1!$AQ$10</f>
        <v>0</v>
      </c>
      <c r="P32" s="59">
        <f>VLOOKUP($B:$B,科室绩效工资核算2!$B:P,15,0)*科室绩效工资核算1!$AQ$10</f>
        <v>0</v>
      </c>
      <c r="Q32" s="59">
        <f>VLOOKUP($B:$B,科室绩效工资核算2!$B:Q,16,0)*科室绩效工资核算1!$AQ$10</f>
        <v>0</v>
      </c>
      <c r="R32" s="59">
        <f>VLOOKUP($B:$B,科室绩效工资核算2!$B:T,19,0)*科室绩效工资核算1!$AQ$10</f>
        <v>0</v>
      </c>
      <c r="S32" s="59">
        <f>VLOOKUP($B:$B,科室绩效工资核算1!$B:AJ,35,0)*科室绩效工资核算1!$AQ$10</f>
        <v>0</v>
      </c>
      <c r="T32" s="59">
        <f>VLOOKUP($B:$B,科室绩效工资核算1!$B:AK,36,0)*科室绩效工资核算1!$AQ$10</f>
        <v>0</v>
      </c>
      <c r="U32" s="59">
        <f>VLOOKUP($B:$B,科室绩效工资核算1!$B:AL,37,0)*科室绩效工资核算1!$AQ$10</f>
        <v>0</v>
      </c>
      <c r="V32" s="59">
        <f>SUMIFS(中层绩效!$W:$W,中层绩效!$B:$B,绩效明细表!$B32,中层绩效!$D:$D,"主任")</f>
        <v>0</v>
      </c>
      <c r="W32" s="59">
        <f>SUMIFS(中层绩效!$W:$W,中层绩效!$B:$B,绩效明细表!$B32,中层绩效!$D:$D,"副主任")</f>
        <v>0</v>
      </c>
      <c r="X32" s="59"/>
      <c r="Y32" s="63"/>
      <c r="Z32" s="59"/>
      <c r="AA32" s="62"/>
      <c r="AB32" s="59">
        <f t="shared" si="0"/>
        <v>4903.0406000000003</v>
      </c>
    </row>
    <row r="33" spans="2:28" ht="27.15" customHeight="1" x14ac:dyDescent="0.25">
      <c r="B33" s="59" t="s">
        <v>623</v>
      </c>
      <c r="C33" s="59">
        <f>VLOOKUP(B:B,科室绩效工资核算2!B:C,2,0)*科室绩效工资核算1!AQ$10</f>
        <v>8007.5108000000009</v>
      </c>
      <c r="D33" s="59">
        <f>VLOOKUP(B:B,科室绩效工资核算2!B:D,3,0)*科室绩效工资核算1!AQ$10</f>
        <v>0</v>
      </c>
      <c r="E33" s="59">
        <f>VLOOKUP(B:B,科室绩效工资核算2!B:E,4,0)*科室绩效工资核算1!AQ$10</f>
        <v>150.59800000000001</v>
      </c>
      <c r="F33" s="59">
        <f>VLOOKUP($B:$B,科室绩效工资核算2!$B:F,5,0)*科室绩效工资核算1!$AQ$10</f>
        <v>0</v>
      </c>
      <c r="G33" s="59">
        <f>VLOOKUP($B:$B,科室绩效工资核算2!$B:G,6,0)*科室绩效工资核算1!$AQ$10</f>
        <v>3584.2324000000003</v>
      </c>
      <c r="H33" s="59">
        <f>VLOOKUP($B:$B,科室绩效工资核算2!$B:H,7,0)*科室绩效工资核算1!$AQ$10</f>
        <v>0</v>
      </c>
      <c r="I33" s="59">
        <f>VLOOKUP($B:$B,科室绩效工资核算2!$B:I,8,0)*科室绩效工资核算1!$AQ$10</f>
        <v>0</v>
      </c>
      <c r="J33" s="59">
        <f>VLOOKUP($B:$B,科室绩效工资核算2!$B:J,9,0)*科室绩效工资核算1!$AQ$10</f>
        <v>0</v>
      </c>
      <c r="K33" s="59">
        <f>VLOOKUP($B:$B,科室绩效工资核算2!$B:K,10,0)*科室绩效工资核算1!$AQ$10</f>
        <v>0</v>
      </c>
      <c r="L33" s="59">
        <f>VLOOKUP($B:$B,科室绩效工资核算2!$B:L,11,0)*科室绩效工资核算1!$AQ$10</f>
        <v>0</v>
      </c>
      <c r="M33" s="59">
        <f>VLOOKUP($B:$B,科室绩效工资核算2!$B:M,12,0)*科室绩效工资核算1!$AQ$10</f>
        <v>0</v>
      </c>
      <c r="N33" s="59">
        <f>VLOOKUP($B:$B,科室绩效工资核算2!$B:N,13,0)*科室绩效工资核算1!$AQ$10</f>
        <v>0</v>
      </c>
      <c r="O33" s="59">
        <f>VLOOKUP($B:$B,科室绩效工资核算2!$B:O,14,0)*科室绩效工资核算1!$AQ$10</f>
        <v>0</v>
      </c>
      <c r="P33" s="59">
        <f>VLOOKUP($B:$B,科室绩效工资核算2!$B:P,15,0)*科室绩效工资核算1!$AQ$10</f>
        <v>321.63430000000005</v>
      </c>
      <c r="Q33" s="59">
        <f>VLOOKUP($B:$B,科室绩效工资核算2!$B:Q,16,0)*科室绩效工资核算1!$AQ$10</f>
        <v>0</v>
      </c>
      <c r="R33" s="59">
        <f>VLOOKUP($B:$B,科室绩效工资核算2!$B:T,19,0)*科室绩效工资核算1!$AQ$10</f>
        <v>0</v>
      </c>
      <c r="S33" s="59">
        <f>VLOOKUP($B:$B,科室绩效工资核算1!$B:AJ,35,0)*科室绩效工资核算1!$AQ$10</f>
        <v>0</v>
      </c>
      <c r="T33" s="59">
        <f>VLOOKUP($B:$B,科室绩效工资核算1!$B:AK,36,0)*科室绩效工资核算1!$AQ$10</f>
        <v>0</v>
      </c>
      <c r="U33" s="59">
        <f>VLOOKUP($B:$B,科室绩效工资核算1!$B:AL,37,0)*科室绩效工资核算1!$AQ$10</f>
        <v>0</v>
      </c>
      <c r="V33" s="59">
        <f>SUMIFS(中层绩效!$W:$W,中层绩效!$B:$B,绩效明细表!$B33,中层绩效!$D:$D,"主任")</f>
        <v>0</v>
      </c>
      <c r="W33" s="59">
        <f>SUMIFS(中层绩效!$W:$W,中层绩效!$B:$B,绩效明细表!$B33,中层绩效!$D:$D,"副主任")</f>
        <v>0</v>
      </c>
      <c r="X33" s="59">
        <f>SUMIFS(中层绩效!$W:$W,中层绩效!$B:$B,绩效明细表!$B33,中层绩效!$D:$D,"护士长")</f>
        <v>0</v>
      </c>
      <c r="Y33" s="63"/>
      <c r="Z33" s="59"/>
      <c r="AA33" s="62"/>
      <c r="AB33" s="59">
        <f t="shared" si="0"/>
        <v>12063.9755</v>
      </c>
    </row>
    <row r="34" spans="2:28" ht="27.15" customHeight="1" x14ac:dyDescent="0.25">
      <c r="B34" s="59" t="s">
        <v>113</v>
      </c>
      <c r="C34" s="59">
        <f>VLOOKUP(B:B,科室绩效工资核算2!B:C,2,0)*科室绩效工资核算1!AQ$10</f>
        <v>2523.5922</v>
      </c>
      <c r="D34" s="59">
        <f>VLOOKUP(B:B,科室绩效工资核算2!B:D,3,0)*科室绩效工资核算1!AQ$10</f>
        <v>1300.5213000000001</v>
      </c>
      <c r="E34" s="59">
        <f>VLOOKUP(B:B,科室绩效工资核算2!B:E,4,0)*科室绩效工资核算1!AQ$10</f>
        <v>0</v>
      </c>
      <c r="F34" s="59">
        <f>VLOOKUP($B:$B,科室绩效工资核算2!$B:F,5,0)*科室绩效工资核算1!$AQ$10</f>
        <v>0</v>
      </c>
      <c r="G34" s="59">
        <f>VLOOKUP($B:$B,科室绩效工资核算2!$B:G,6,0)*科室绩效工资核算1!$AQ$10</f>
        <v>547.5313000000001</v>
      </c>
      <c r="H34" s="59">
        <f>VLOOKUP($B:$B,科室绩效工资核算2!$B:H,7,0)*科室绩效工资核算1!$AQ$10</f>
        <v>0</v>
      </c>
      <c r="I34" s="59">
        <f>VLOOKUP($B:$B,科室绩效工资核算2!$B:I,8,0)*科室绩效工资核算1!$AQ$10</f>
        <v>0</v>
      </c>
      <c r="J34" s="59">
        <f>VLOOKUP($B:$B,科室绩效工资核算2!$B:J,9,0)*科室绩效工资核算1!$AQ$10</f>
        <v>0</v>
      </c>
      <c r="K34" s="59">
        <f>VLOOKUP($B:$B,科室绩效工资核算2!$B:K,10,0)*科室绩效工资核算1!$AQ$10</f>
        <v>0</v>
      </c>
      <c r="L34" s="59">
        <f>VLOOKUP($B:$B,科室绩效工资核算2!$B:L,11,0)*科室绩效工资核算1!$AQ$10</f>
        <v>68.844800000000006</v>
      </c>
      <c r="M34" s="59">
        <f>VLOOKUP($B:$B,科室绩效工资核算2!$B:M,12,0)*科室绩效工资核算1!$AQ$10</f>
        <v>0</v>
      </c>
      <c r="N34" s="59">
        <f>VLOOKUP($B:$B,科室绩效工资核算2!$B:N,13,0)*科室绩效工资核算1!$AQ$10</f>
        <v>0</v>
      </c>
      <c r="O34" s="59">
        <f>VLOOKUP($B:$B,科室绩效工资核算2!$B:O,14,0)*科室绩效工资核算1!$AQ$10</f>
        <v>0</v>
      </c>
      <c r="P34" s="59">
        <f>VLOOKUP($B:$B,科室绩效工资核算2!$B:P,15,0)*科室绩效工资核算1!$AQ$10</f>
        <v>7.5299000000000005</v>
      </c>
      <c r="Q34" s="59">
        <f>VLOOKUP($B:$B,科室绩效工资核算2!$B:Q,16,0)*科室绩效工资核算1!$AQ$10</f>
        <v>0</v>
      </c>
      <c r="R34" s="59">
        <f>VLOOKUP($B:$B,科室绩效工资核算2!$B:T,19,0)*科室绩效工资核算1!$AQ$10</f>
        <v>0</v>
      </c>
      <c r="S34" s="59">
        <f>VLOOKUP($B:$B,科室绩效工资核算1!$B:AJ,35,0)*科室绩效工资核算1!$AQ$10</f>
        <v>0</v>
      </c>
      <c r="T34" s="59">
        <f>VLOOKUP($B:$B,科室绩效工资核算1!$B:AK,36,0)*科室绩效工资核算1!$AQ$10</f>
        <v>0</v>
      </c>
      <c r="U34" s="59">
        <f>VLOOKUP($B:$B,科室绩效工资核算1!$B:AL,37,0)*科室绩效工资核算1!$AQ$10</f>
        <v>0</v>
      </c>
      <c r="V34" s="59">
        <f>SUMIFS(中层绩效!$W:$W,中层绩效!$B:$B,绩效明细表!$B34,中层绩效!$D:$D,"主任")</f>
        <v>0</v>
      </c>
      <c r="W34" s="59">
        <f>SUMIFS(中层绩效!$W:$W,中层绩效!$B:$B,绩效明细表!$B34,中层绩效!$D:$D,"副主任")</f>
        <v>0</v>
      </c>
      <c r="X34" s="59">
        <f>SUMIFS(中层绩效!$W:$W,中层绩效!$B:$B,绩效明细表!$B34,中层绩效!$D:$D,"护士长")</f>
        <v>0</v>
      </c>
      <c r="Y34" s="63"/>
      <c r="Z34" s="59"/>
      <c r="AA34" s="62"/>
      <c r="AB34" s="59">
        <f t="shared" si="0"/>
        <v>4448.0195000000003</v>
      </c>
    </row>
    <row r="35" spans="2:28" ht="27.15" customHeight="1" x14ac:dyDescent="0.25">
      <c r="B35" s="59" t="s">
        <v>114</v>
      </c>
      <c r="C35" s="59">
        <f>VLOOKUP(B:B,科室绩效工资核算2!B:C,2,0)*科室绩效工资核算1!AQ$10</f>
        <v>0</v>
      </c>
      <c r="D35" s="59">
        <f>VLOOKUP(B:B,科室绩效工资核算2!B:D,3,0)*科室绩效工资核算1!AQ$10</f>
        <v>-15013.544900000001</v>
      </c>
      <c r="E35" s="59">
        <f>VLOOKUP(B:B,科室绩效工资核算2!B:E,4,0)*科室绩效工资核算1!AQ$10</f>
        <v>0</v>
      </c>
      <c r="F35" s="59">
        <f>VLOOKUP($B:$B,科室绩效工资核算2!$B:F,5,0)*科室绩效工资核算1!$AQ$10</f>
        <v>0</v>
      </c>
      <c r="G35" s="59">
        <f>VLOOKUP($B:$B,科室绩效工资核算2!$B:G,6,0)*科室绩效工资核算1!$AQ$10</f>
        <v>0</v>
      </c>
      <c r="H35" s="59">
        <f>VLOOKUP($B:$B,科室绩效工资核算2!$B:H,7,0)*科室绩效工资核算1!$AQ$10</f>
        <v>0</v>
      </c>
      <c r="I35" s="59">
        <f>VLOOKUP($B:$B,科室绩效工资核算2!$B:I,8,0)*科室绩效工资核算1!$AQ$10</f>
        <v>0</v>
      </c>
      <c r="J35" s="59">
        <f>VLOOKUP($B:$B,科室绩效工资核算2!$B:J,9,0)*科室绩效工资核算1!$AQ$10</f>
        <v>0</v>
      </c>
      <c r="K35" s="59">
        <f>VLOOKUP($B:$B,科室绩效工资核算2!$B:K,10,0)*科室绩效工资核算1!$AQ$10</f>
        <v>0</v>
      </c>
      <c r="L35" s="59">
        <f>VLOOKUP($B:$B,科室绩效工资核算2!$B:L,11,0)*科室绩效工资核算1!$AQ$10</f>
        <v>0</v>
      </c>
      <c r="M35" s="59">
        <f>VLOOKUP($B:$B,科室绩效工资核算2!$B:M,12,0)*科室绩效工资核算1!$AQ$10</f>
        <v>0</v>
      </c>
      <c r="N35" s="59">
        <f>VLOOKUP($B:$B,科室绩效工资核算2!$B:N,13,0)*科室绩效工资核算1!$AQ$10</f>
        <v>0</v>
      </c>
      <c r="O35" s="59">
        <f>VLOOKUP($B:$B,科室绩效工资核算2!$B:O,14,0)*科室绩效工资核算1!$AQ$10</f>
        <v>0</v>
      </c>
      <c r="P35" s="59">
        <f>VLOOKUP($B:$B,科室绩效工资核算2!$B:P,15,0)*科室绩效工资核算1!$AQ$10</f>
        <v>0</v>
      </c>
      <c r="Q35" s="59">
        <f>VLOOKUP($B:$B,科室绩效工资核算2!$B:Q,16,0)*科室绩效工资核算1!$AQ$10</f>
        <v>0</v>
      </c>
      <c r="R35" s="59">
        <f>VLOOKUP($B:$B,科室绩效工资核算2!$B:T,19,0)*科室绩效工资核算1!$AQ$10</f>
        <v>0</v>
      </c>
      <c r="S35" s="59">
        <f>VLOOKUP($B:$B,科室绩效工资核算1!$B:AJ,35,0)*科室绩效工资核算1!$AQ$10</f>
        <v>0</v>
      </c>
      <c r="T35" s="59">
        <f>VLOOKUP($B:$B,科室绩效工资核算1!$B:AK,36,0)*科室绩效工资核算1!$AQ$10</f>
        <v>0</v>
      </c>
      <c r="U35" s="59">
        <f>VLOOKUP($B:$B,科室绩效工资核算1!$B:AL,37,0)*科室绩效工资核算1!$AQ$10</f>
        <v>0</v>
      </c>
      <c r="V35" s="59">
        <f>SUMIFS(中层绩效!$W:$W,中层绩效!$B:$B,绩效明细表!$B35,中层绩效!$D:$D,"主任")</f>
        <v>-3122.3698480000003</v>
      </c>
      <c r="W35" s="59">
        <f>SUMIFS(中层绩效!$W:$W,中层绩效!$B:$B,绩效明细表!$B35,中层绩效!$D:$D,"副主任")</f>
        <v>0</v>
      </c>
      <c r="X35" s="59">
        <f>SUMIFS(中层绩效!$W:$W,中层绩效!$B:$B,绩效明细表!$B35,中层绩效!$D:$D,"护士长")</f>
        <v>0</v>
      </c>
      <c r="Y35" s="63"/>
      <c r="Z35" s="59"/>
      <c r="AA35" s="62"/>
      <c r="AB35" s="59">
        <f t="shared" ref="AB35:AB66" si="1">SUM(C35:X35)-Y35+Z35</f>
        <v>-18135.914748000003</v>
      </c>
    </row>
    <row r="36" spans="2:28" ht="27.15" customHeight="1" x14ac:dyDescent="0.25">
      <c r="B36" s="59" t="s">
        <v>115</v>
      </c>
      <c r="C36" s="59">
        <f>VLOOKUP(B:B,科室绩效工资核算2!B:C,2,0)*科室绩效工资核算1!AQ$10</f>
        <v>3.2271000000000001</v>
      </c>
      <c r="D36" s="59">
        <f>VLOOKUP(B:B,科室绩效工资核算2!B:D,3,0)*科室绩效工资核算1!AQ$10</f>
        <v>8955.2025000000012</v>
      </c>
      <c r="E36" s="59">
        <f>VLOOKUP(B:B,科室绩效工资核算2!B:E,4,0)*科室绩效工资核算1!AQ$10</f>
        <v>0</v>
      </c>
      <c r="F36" s="59">
        <f>VLOOKUP($B:$B,科室绩效工资核算2!$B:F,5,0)*科室绩效工资核算1!$AQ$10</f>
        <v>0</v>
      </c>
      <c r="G36" s="59">
        <f>VLOOKUP($B:$B,科室绩效工资核算2!$B:G,6,0)*科室绩效工资核算1!$AQ$10</f>
        <v>2.1514000000000002</v>
      </c>
      <c r="H36" s="59">
        <f>VLOOKUP($B:$B,科室绩效工资核算2!$B:H,7,0)*科室绩效工资核算1!$AQ$10</f>
        <v>0</v>
      </c>
      <c r="I36" s="59">
        <f>VLOOKUP($B:$B,科室绩效工资核算2!$B:I,8,0)*科室绩效工资核算1!$AQ$10</f>
        <v>0</v>
      </c>
      <c r="J36" s="59">
        <f>VLOOKUP($B:$B,科室绩效工资核算2!$B:J,9,0)*科室绩效工资核算1!$AQ$10</f>
        <v>0</v>
      </c>
      <c r="K36" s="59">
        <f>VLOOKUP($B:$B,科室绩效工资核算2!$B:K,10,0)*科室绩效工资核算1!$AQ$10</f>
        <v>0</v>
      </c>
      <c r="L36" s="59">
        <f>VLOOKUP($B:$B,科室绩效工资核算2!$B:L,11,0)*科室绩效工资核算1!$AQ$10</f>
        <v>0</v>
      </c>
      <c r="M36" s="59">
        <f>VLOOKUP($B:$B,科室绩效工资核算2!$B:M,12,0)*科室绩效工资核算1!$AQ$10</f>
        <v>0</v>
      </c>
      <c r="N36" s="59">
        <f>VLOOKUP($B:$B,科室绩效工资核算2!$B:N,13,0)*科室绩效工资核算1!$AQ$10</f>
        <v>0</v>
      </c>
      <c r="O36" s="59">
        <f>VLOOKUP($B:$B,科室绩效工资核算2!$B:O,14,0)*科室绩效工资核算1!$AQ$10</f>
        <v>0</v>
      </c>
      <c r="P36" s="59">
        <f>VLOOKUP($B:$B,科室绩效工资核算2!$B:P,15,0)*科室绩效工资核算1!$AQ$10</f>
        <v>0</v>
      </c>
      <c r="Q36" s="59">
        <f>VLOOKUP($B:$B,科室绩效工资核算2!$B:Q,16,0)*科室绩效工资核算1!$AQ$10</f>
        <v>0</v>
      </c>
      <c r="R36" s="59">
        <f>VLOOKUP($B:$B,科室绩效工资核算2!$B:T,19,0)*科室绩效工资核算1!$AQ$10</f>
        <v>0</v>
      </c>
      <c r="S36" s="59">
        <f>VLOOKUP($B:$B,科室绩效工资核算1!$B:AJ,35,0)*科室绩效工资核算1!$AQ$10</f>
        <v>0</v>
      </c>
      <c r="T36" s="59">
        <f>VLOOKUP($B:$B,科室绩效工资核算1!$B:AK,36,0)*科室绩效工资核算1!$AQ$10</f>
        <v>0</v>
      </c>
      <c r="U36" s="59">
        <f>VLOOKUP($B:$B,科室绩效工资核算1!$B:AL,37,0)*科室绩效工资核算1!$AQ$10</f>
        <v>0</v>
      </c>
      <c r="V36" s="59">
        <f>SUMIFS(中层绩效!$W:$W,中层绩效!$B:$B,绩效明细表!$B36,中层绩效!$D:$D,"主任")</f>
        <v>0</v>
      </c>
      <c r="W36" s="59">
        <f>SUMIFS(中层绩效!$W:$W,中层绩效!$B:$B,绩效明细表!$B36,中层绩效!$D:$D,"副主任")</f>
        <v>0</v>
      </c>
      <c r="X36" s="59">
        <f>SUMIFS(中层绩效!$W:$W,中层绩效!$B:$B,绩效明细表!$B36,中层绩效!$D:$D,"护士长")</f>
        <v>0</v>
      </c>
      <c r="Y36" s="63"/>
      <c r="Z36" s="59"/>
      <c r="AA36" s="62"/>
      <c r="AB36" s="59">
        <f t="shared" si="1"/>
        <v>8960.5810000000019</v>
      </c>
    </row>
    <row r="37" spans="2:28" ht="27.15" customHeight="1" x14ac:dyDescent="0.25">
      <c r="B37" s="59" t="s">
        <v>116</v>
      </c>
      <c r="C37" s="59">
        <f>VLOOKUP(B:B,科室绩效工资核算2!B:C,2,0)*科室绩效工资核算1!AQ$10</f>
        <v>8025.797700000001</v>
      </c>
      <c r="D37" s="59">
        <f>VLOOKUP(B:B,科室绩效工资核算2!B:D,3,0)*科室绩效工资核算1!AQ$10</f>
        <v>3270.1280000000002</v>
      </c>
      <c r="E37" s="59">
        <f>VLOOKUP(B:B,科室绩效工资核算2!B:E,4,0)*科室绩效工资核算1!AQ$10</f>
        <v>0</v>
      </c>
      <c r="F37" s="59">
        <f>VLOOKUP($B:$B,科室绩效工资核算2!$B:F,5,0)*科室绩效工资核算1!$AQ$10</f>
        <v>0</v>
      </c>
      <c r="G37" s="59">
        <f>VLOOKUP($B:$B,科室绩效工资核算2!$B:G,6,0)*科室绩效工资核算1!$AQ$10</f>
        <v>0</v>
      </c>
      <c r="H37" s="59">
        <f>VLOOKUP($B:$B,科室绩效工资核算2!$B:H,7,0)*科室绩效工资核算1!$AQ$10</f>
        <v>0</v>
      </c>
      <c r="I37" s="59">
        <f>VLOOKUP($B:$B,科室绩效工资核算2!$B:I,8,0)*科室绩效工资核算1!$AQ$10</f>
        <v>3398.1363000000001</v>
      </c>
      <c r="J37" s="59">
        <f>VLOOKUP($B:$B,科室绩效工资核算2!$B:J,9,0)*科室绩效工资核算1!$AQ$10</f>
        <v>0</v>
      </c>
      <c r="K37" s="59">
        <f>VLOOKUP($B:$B,科室绩效工资核算2!$B:K,10,0)*科室绩效工资核算1!$AQ$10</f>
        <v>0</v>
      </c>
      <c r="L37" s="59">
        <f>VLOOKUP($B:$B,科室绩效工资核算2!$B:L,11,0)*科室绩效工资核算1!$AQ$10</f>
        <v>0</v>
      </c>
      <c r="M37" s="59">
        <f>VLOOKUP($B:$B,科室绩效工资核算2!$B:M,12,0)*科室绩效工资核算1!$AQ$10</f>
        <v>1324.1867000000002</v>
      </c>
      <c r="N37" s="59">
        <f>VLOOKUP($B:$B,科室绩效工资核算2!$B:N,13,0)*科室绩效工资核算1!$AQ$10</f>
        <v>0</v>
      </c>
      <c r="O37" s="59">
        <f>VLOOKUP($B:$B,科室绩效工资核算2!$B:O,14,0)*科室绩效工资核算1!$AQ$10</f>
        <v>0</v>
      </c>
      <c r="P37" s="59">
        <f>VLOOKUP($B:$B,科室绩效工资核算2!$B:P,15,0)*科室绩效工资核算1!$AQ$10</f>
        <v>0</v>
      </c>
      <c r="Q37" s="59">
        <f>VLOOKUP($B:$B,科室绩效工资核算2!$B:Q,16,0)*科室绩效工资核算1!$AQ$10</f>
        <v>0</v>
      </c>
      <c r="R37" s="59">
        <f>VLOOKUP($B:$B,科室绩效工资核算2!$B:T,19,0)*科室绩效工资核算1!$AQ$10</f>
        <v>0</v>
      </c>
      <c r="S37" s="59">
        <f>VLOOKUP($B:$B,科室绩效工资核算1!$B:AJ,35,0)*科室绩效工资核算1!$AQ$10</f>
        <v>0</v>
      </c>
      <c r="T37" s="59">
        <f>VLOOKUP($B:$B,科室绩效工资核算1!$B:AK,36,0)*科室绩效工资核算1!$AQ$10</f>
        <v>0</v>
      </c>
      <c r="U37" s="59">
        <f>VLOOKUP($B:$B,科室绩效工资核算1!$B:AL,37,0)*科室绩效工资核算1!$AQ$10</f>
        <v>0</v>
      </c>
      <c r="V37" s="59">
        <f>SUMIFS(中层绩效!$W:$W,中层绩效!$B:$B,绩效明细表!$B37,中层绩效!$D:$D,"主任")</f>
        <v>2288.0139000000004</v>
      </c>
      <c r="W37" s="59">
        <f>SUMIFS(中层绩效!$W:$W,中层绩效!$B:$B,绩效明细表!$B37,中层绩效!$D:$D,"副主任")</f>
        <v>0</v>
      </c>
      <c r="X37" s="59">
        <f>SUMIFS(中层绩效!$W:$W,中层绩效!$B:$B,绩效明细表!$B37,中层绩效!$D:$D,"护士长")</f>
        <v>0</v>
      </c>
      <c r="Y37" s="63"/>
      <c r="Z37" s="59"/>
      <c r="AA37" s="62"/>
      <c r="AB37" s="59">
        <f t="shared" si="1"/>
        <v>18306.262600000002</v>
      </c>
    </row>
    <row r="38" spans="2:28" ht="27.15" customHeight="1" x14ac:dyDescent="0.25">
      <c r="B38" s="59" t="s">
        <v>117</v>
      </c>
      <c r="C38" s="59">
        <f>VLOOKUP(B:B,科室绩效工资核算2!B:C,2,0)*科室绩效工资核算1!AQ$10</f>
        <v>0</v>
      </c>
      <c r="D38" s="59">
        <f>VLOOKUP(B:B,科室绩效工资核算2!B:D,3,0)*科室绩效工资核算1!AQ$10</f>
        <v>6746.7904000000008</v>
      </c>
      <c r="E38" s="59">
        <f>VLOOKUP(B:B,科室绩效工资核算2!B:E,4,0)*科室绩效工资核算1!AQ$10</f>
        <v>0</v>
      </c>
      <c r="F38" s="59">
        <f>VLOOKUP($B:$B,科室绩效工资核算2!$B:F,5,0)*科室绩效工资核算1!$AQ$10</f>
        <v>0</v>
      </c>
      <c r="G38" s="59">
        <f>VLOOKUP($B:$B,科室绩效工资核算2!$B:G,6,0)*科室绩效工资核算1!$AQ$10</f>
        <v>2.1514000000000002</v>
      </c>
      <c r="H38" s="59">
        <f>VLOOKUP($B:$B,科室绩效工资核算2!$B:H,7,0)*科室绩效工资核算1!$AQ$10</f>
        <v>0</v>
      </c>
      <c r="I38" s="59">
        <f>VLOOKUP($B:$B,科室绩效工资核算2!$B:I,8,0)*科室绩效工资核算1!$AQ$10</f>
        <v>9127.3145000000004</v>
      </c>
      <c r="J38" s="59">
        <f>VLOOKUP($B:$B,科室绩效工资核算2!$B:J,9,0)*科室绩效工资核算1!$AQ$10</f>
        <v>0</v>
      </c>
      <c r="K38" s="59">
        <f>VLOOKUP($B:$B,科室绩效工资核算2!$B:K,10,0)*科室绩效工资核算1!$AQ$10</f>
        <v>0</v>
      </c>
      <c r="L38" s="59">
        <f>VLOOKUP($B:$B,科室绩效工资核算2!$B:L,11,0)*科室绩效工资核算1!$AQ$10</f>
        <v>0</v>
      </c>
      <c r="M38" s="59">
        <f>VLOOKUP($B:$B,科室绩效工资核算2!$B:M,12,0)*科室绩效工资核算1!$AQ$10</f>
        <v>0</v>
      </c>
      <c r="N38" s="59">
        <f>VLOOKUP($B:$B,科室绩效工资核算2!$B:N,13,0)*科室绩效工资核算1!$AQ$10</f>
        <v>0</v>
      </c>
      <c r="O38" s="59">
        <f>VLOOKUP($B:$B,科室绩效工资核算2!$B:O,14,0)*科室绩效工资核算1!$AQ$10</f>
        <v>0</v>
      </c>
      <c r="P38" s="59">
        <f>VLOOKUP($B:$B,科室绩效工资核算2!$B:P,15,0)*科室绩效工资核算1!$AQ$10</f>
        <v>0</v>
      </c>
      <c r="Q38" s="59">
        <f>VLOOKUP($B:$B,科室绩效工资核算2!$B:Q,16,0)*科室绩效工资核算1!$AQ$10</f>
        <v>17770.564000000002</v>
      </c>
      <c r="R38" s="59">
        <f>VLOOKUP($B:$B,科室绩效工资核算2!$B:T,19,0)*科室绩效工资核算1!$AQ$10</f>
        <v>0</v>
      </c>
      <c r="S38" s="59">
        <f>VLOOKUP($B:$B,科室绩效工资核算1!$B:AJ,35,0)*科室绩效工资核算1!$AQ$10</f>
        <v>0</v>
      </c>
      <c r="T38" s="59">
        <f>VLOOKUP($B:$B,科室绩效工资核算1!$B:AK,36,0)*科室绩效工资核算1!$AQ$10</f>
        <v>0</v>
      </c>
      <c r="U38" s="59"/>
      <c r="V38" s="59">
        <f>SUMIFS(中层绩效!$W:$W,中层绩效!$B:$B,绩效明细表!$B38,中层绩效!$D:$D,"主任")</f>
        <v>2936.6610000000001</v>
      </c>
      <c r="W38" s="59">
        <f>SUMIFS(中层绩效!$W:$W,中层绩效!$B:$B,绩效明细表!$B38,中层绩效!$D:$D,"副主任")</f>
        <v>0</v>
      </c>
      <c r="X38" s="59">
        <f>SUMIFS(中层绩效!$W:$W,中层绩效!$B:$B,绩效明细表!$B38,中层绩效!$D:$D,"护士长")</f>
        <v>2501.8200320000005</v>
      </c>
      <c r="Y38" s="59"/>
      <c r="Z38" s="59"/>
      <c r="AA38" s="62"/>
      <c r="AB38" s="59">
        <f t="shared" si="1"/>
        <v>39085.30133200001</v>
      </c>
    </row>
    <row r="39" spans="2:28" ht="27.15" customHeight="1" x14ac:dyDescent="0.25">
      <c r="B39" s="59" t="s">
        <v>118</v>
      </c>
      <c r="C39" s="59">
        <f>VLOOKUP(B:B,科室绩效工资核算2!B:C,2,0)*科室绩效工资核算1!AQ$10</f>
        <v>0</v>
      </c>
      <c r="D39" s="59">
        <f>VLOOKUP(B:B,科室绩效工资核算2!B:D,3,0)*科室绩效工资核算1!AQ$10</f>
        <v>82076.985700000005</v>
      </c>
      <c r="E39" s="59">
        <f>VLOOKUP(B:B,科室绩效工资核算2!B:E,4,0)*科室绩效工资核算1!AQ$10</f>
        <v>0</v>
      </c>
      <c r="F39" s="59">
        <f>VLOOKUP($B:$B,科室绩效工资核算2!$B:F,5,0)*科室绩效工资核算1!$AQ$10</f>
        <v>0</v>
      </c>
      <c r="G39" s="59">
        <f>VLOOKUP($B:$B,科室绩效工资核算2!$B:G,6,0)*科室绩效工资核算1!$AQ$10</f>
        <v>0</v>
      </c>
      <c r="H39" s="59">
        <f>VLOOKUP($B:$B,科室绩效工资核算2!$B:H,7,0)*科室绩效工资核算1!$AQ$10</f>
        <v>0</v>
      </c>
      <c r="I39" s="59">
        <f>VLOOKUP($B:$B,科室绩效工资核算2!$B:I,8,0)*科室绩效工资核算1!$AQ$10</f>
        <v>0</v>
      </c>
      <c r="J39" s="59"/>
      <c r="K39" s="59"/>
      <c r="L39" s="59">
        <f>VLOOKUP($B:$B,科室绩效工资核算2!$B:L,11,0)*科室绩效工资核算1!$AQ$10</f>
        <v>0</v>
      </c>
      <c r="M39" s="59">
        <f>VLOOKUP($B:$B,科室绩效工资核算2!$B:M,12,0)*科室绩效工资核算1!$AQ$10</f>
        <v>0</v>
      </c>
      <c r="N39" s="59">
        <f>VLOOKUP($B:$B,科室绩效工资核算2!$B:N,13,0)*科室绩效工资核算1!$AQ$10</f>
        <v>0</v>
      </c>
      <c r="O39" s="59">
        <f>VLOOKUP($B:$B,科室绩效工资核算2!$B:O,14,0)*科室绩效工资核算1!$AQ$10</f>
        <v>0</v>
      </c>
      <c r="P39" s="59">
        <f>VLOOKUP($B:$B,科室绩效工资核算2!$B:P,15,0)*科室绩效工资核算1!$AQ$10</f>
        <v>0</v>
      </c>
      <c r="Q39" s="59">
        <f>VLOOKUP($B:$B,科室绩效工资核算2!$B:Q,16,0)*科室绩效工资核算1!$AQ$10</f>
        <v>0</v>
      </c>
      <c r="R39" s="59">
        <f>VLOOKUP($B:$B,科室绩效工资核算2!$B:T,19,0)*科室绩效工资核算1!$AQ$10</f>
        <v>0</v>
      </c>
      <c r="S39" s="59">
        <f>VLOOKUP($B:$B,科室绩效工资核算1!$B:AJ,35,0)*科室绩效工资核算1!$AQ$10</f>
        <v>0</v>
      </c>
      <c r="T39" s="59">
        <f>VLOOKUP($B:$B,科室绩效工资核算1!$B:AK,36,0)*科室绩效工资核算1!$AQ$10</f>
        <v>0</v>
      </c>
      <c r="U39" s="59"/>
      <c r="V39" s="59">
        <f>SUMIFS(中层绩效!$W:$W,中层绩效!$B:$B,绩效明细表!$B39,中层绩效!$D:$D,"主任")</f>
        <v>13132.489824</v>
      </c>
      <c r="W39" s="59">
        <f>SUMIFS(中层绩效!$W:$W,中层绩效!$B:$B,绩效明细表!$B39,中层绩效!$D:$D,"副主任")</f>
        <v>0</v>
      </c>
      <c r="X39" s="59">
        <f>SUMIFS(中层绩效!$W:$W,中层绩效!$B:$B,绩效明细表!$B39,中层绩效!$D:$D,"护士长")</f>
        <v>0</v>
      </c>
      <c r="Y39" s="59"/>
      <c r="Z39" s="59"/>
      <c r="AA39" s="62"/>
      <c r="AB39" s="59">
        <f t="shared" si="1"/>
        <v>95209.475524000009</v>
      </c>
    </row>
    <row r="40" spans="2:28" ht="27.15" customHeight="1" x14ac:dyDescent="0.25">
      <c r="B40" s="59" t="s">
        <v>119</v>
      </c>
      <c r="C40" s="59">
        <f>VLOOKUP(B:B,科室绩效工资核算2!B:C,2,0)*科室绩效工资核算1!AQ$10</f>
        <v>0</v>
      </c>
      <c r="D40" s="59">
        <f>VLOOKUP(B:B,科室绩效工资核算2!B:D,3,0)*科室绩效工资核算1!AQ$10</f>
        <v>14762.906800000001</v>
      </c>
      <c r="E40" s="59">
        <f>VLOOKUP(B:B,科室绩效工资核算2!B:E,4,0)*科室绩效工资核算1!AQ$10</f>
        <v>0</v>
      </c>
      <c r="F40" s="59">
        <f>VLOOKUP($B:$B,科室绩效工资核算2!$B:F,5,0)*科室绩效工资核算1!$AQ$10</f>
        <v>0</v>
      </c>
      <c r="G40" s="59">
        <f>VLOOKUP($B:$B,科室绩效工资核算2!$B:G,6,0)*科室绩效工资核算1!$AQ$10</f>
        <v>0</v>
      </c>
      <c r="H40" s="59">
        <f>VLOOKUP($B:$B,科室绩效工资核算2!$B:H,7,0)*科室绩效工资核算1!$AQ$10</f>
        <v>0</v>
      </c>
      <c r="I40" s="59">
        <f>VLOOKUP($B:$B,科室绩效工资核算2!$B:I,8,0)*科室绩效工资核算1!$AQ$10</f>
        <v>0</v>
      </c>
      <c r="J40" s="59"/>
      <c r="K40" s="59"/>
      <c r="L40" s="59">
        <f>VLOOKUP($B:$B,科室绩效工资核算2!$B:L,11,0)*科室绩效工资核算1!$AQ$10</f>
        <v>0</v>
      </c>
      <c r="M40" s="59">
        <f>VLOOKUP($B:$B,科室绩效工资核算2!$B:M,12,0)*科室绩效工资核算1!$AQ$10</f>
        <v>0</v>
      </c>
      <c r="N40" s="59">
        <f>VLOOKUP($B:$B,科室绩效工资核算2!$B:N,13,0)*科室绩效工资核算1!$AQ$10</f>
        <v>0</v>
      </c>
      <c r="O40" s="59">
        <f>VLOOKUP($B:$B,科室绩效工资核算2!$B:O,14,0)*科室绩效工资核算1!$AQ$10</f>
        <v>0</v>
      </c>
      <c r="P40" s="59">
        <f>VLOOKUP($B:$B,科室绩效工资核算2!$B:P,15,0)*科室绩效工资核算1!$AQ$10</f>
        <v>0</v>
      </c>
      <c r="Q40" s="59">
        <f>VLOOKUP($B:$B,科室绩效工资核算2!$B:Q,16,0)*科室绩效工资核算1!$AQ$10</f>
        <v>0</v>
      </c>
      <c r="R40" s="59">
        <f>VLOOKUP($B:$B,科室绩效工资核算2!$B:T,19,0)*科室绩效工资核算1!$AQ$10</f>
        <v>0</v>
      </c>
      <c r="S40" s="59">
        <f>VLOOKUP($B:$B,科室绩效工资核算1!$B:AJ,35,0)*科室绩效工资核算1!$AQ$10</f>
        <v>0</v>
      </c>
      <c r="T40" s="59">
        <f>VLOOKUP($B:$B,科室绩效工资核算1!$B:AK,36,0)*科室绩效工资核算1!$AQ$10</f>
        <v>0</v>
      </c>
      <c r="U40" s="59"/>
      <c r="V40" s="59">
        <f>SUMIFS(中层绩效!$W:$W,中层绩效!$B:$B,绩效明细表!$B40,中层绩效!$D:$D,"主任")</f>
        <v>2125.2389760000001</v>
      </c>
      <c r="W40" s="59">
        <f>SUMIFS(中层绩效!$W:$W,中层绩效!$B:$B,绩效明细表!$B40,中层绩效!$D:$D,"副主任")</f>
        <v>0</v>
      </c>
      <c r="X40" s="59">
        <f>SUMIFS(中层绩效!$W:$W,中层绩效!$B:$B,绩效明细表!$B40,中层绩效!$D:$D,"护士长")</f>
        <v>0</v>
      </c>
      <c r="Y40" s="63"/>
      <c r="Z40" s="59"/>
      <c r="AA40" s="62"/>
      <c r="AB40" s="59">
        <f t="shared" si="1"/>
        <v>16888.145776000001</v>
      </c>
    </row>
    <row r="41" spans="2:28" ht="27.15" customHeight="1" x14ac:dyDescent="0.25">
      <c r="B41" s="59" t="s">
        <v>120</v>
      </c>
      <c r="C41" s="59">
        <f>VLOOKUP(B:B,科室绩效工资核算2!B:C,2,0)*科室绩效工资核算1!AQ$10</f>
        <v>0</v>
      </c>
      <c r="D41" s="59">
        <f>VLOOKUP(B:B,科室绩效工资核算2!B:D,3,0)*科室绩效工资核算1!AQ$10</f>
        <v>41087.4372</v>
      </c>
      <c r="E41" s="59">
        <f>VLOOKUP(B:B,科室绩效工资核算2!B:E,4,0)*科室绩效工资核算1!AQ$10</f>
        <v>0</v>
      </c>
      <c r="F41" s="59">
        <f>VLOOKUP($B:$B,科室绩效工资核算2!$B:F,5,0)*科室绩效工资核算1!$AQ$10</f>
        <v>0</v>
      </c>
      <c r="G41" s="59">
        <f>VLOOKUP($B:$B,科室绩效工资核算2!$B:G,6,0)*科室绩效工资核算1!$AQ$10</f>
        <v>0</v>
      </c>
      <c r="H41" s="59">
        <f>VLOOKUP($B:$B,科室绩效工资核算2!$B:H,7,0)*科室绩效工资核算1!$AQ$10</f>
        <v>0</v>
      </c>
      <c r="I41" s="59">
        <f>VLOOKUP($B:$B,科室绩效工资核算2!$B:I,8,0)*科室绩效工资核算1!$AQ$10</f>
        <v>0</v>
      </c>
      <c r="J41" s="59"/>
      <c r="K41" s="59"/>
      <c r="L41" s="59">
        <f>VLOOKUP($B:$B,科室绩效工资核算2!$B:L,11,0)*科室绩效工资核算1!$AQ$10</f>
        <v>0</v>
      </c>
      <c r="M41" s="59">
        <f>VLOOKUP($B:$B,科室绩效工资核算2!$B:M,12,0)*科室绩效工资核算1!$AQ$10</f>
        <v>0</v>
      </c>
      <c r="N41" s="59">
        <f>VLOOKUP($B:$B,科室绩效工资核算2!$B:N,13,0)*科室绩效工资核算1!$AQ$10</f>
        <v>0</v>
      </c>
      <c r="O41" s="59">
        <f>VLOOKUP($B:$B,科室绩效工资核算2!$B:O,14,0)*科室绩效工资核算1!$AQ$10</f>
        <v>0</v>
      </c>
      <c r="P41" s="59">
        <f>VLOOKUP($B:$B,科室绩效工资核算2!$B:P,15,0)*科室绩效工资核算1!$AQ$10</f>
        <v>0</v>
      </c>
      <c r="Q41" s="59">
        <f>VLOOKUP($B:$B,科室绩效工资核算2!$B:Q,16,0)*科室绩效工资核算1!$AQ$10</f>
        <v>0</v>
      </c>
      <c r="R41" s="59">
        <f>VLOOKUP($B:$B,科室绩效工资核算2!$B:T,19,0)*科室绩效工资核算1!$AQ$10</f>
        <v>114.02420000000001</v>
      </c>
      <c r="S41" s="59">
        <f>VLOOKUP($B:$B,科室绩效工资核算1!$B:AJ,35,0)*科室绩效工资核算1!$AQ$10</f>
        <v>0</v>
      </c>
      <c r="T41" s="59">
        <f>VLOOKUP($B:$B,科室绩效工资核算1!$B:AK,36,0)*科室绩效工资核算1!$AQ$10</f>
        <v>0</v>
      </c>
      <c r="U41" s="59"/>
      <c r="V41" s="59">
        <f>SUMIFS(中层绩效!$W:$W,中层绩效!$B:$B,绩效明细表!$B41,中层绩效!$D:$D,"主任")</f>
        <v>7245.570976</v>
      </c>
      <c r="W41" s="59">
        <f>SUMIFS(中层绩效!$W:$W,中层绩效!$B:$B,绩效明细表!$B41,中层绩效!$D:$D,"副主任")</f>
        <v>0</v>
      </c>
      <c r="X41" s="59">
        <f>SUMIFS(中层绩效!$W:$W,中层绩效!$B:$B,绩效明细表!$B41,中层绩效!$D:$D,"护士长")</f>
        <v>0</v>
      </c>
      <c r="Y41" s="63"/>
      <c r="Z41" s="59"/>
      <c r="AA41" s="62"/>
      <c r="AB41" s="59">
        <f t="shared" si="1"/>
        <v>48447.032376000003</v>
      </c>
    </row>
    <row r="42" spans="2:28" ht="27.15" customHeight="1" x14ac:dyDescent="0.25">
      <c r="B42" s="59" t="s">
        <v>121</v>
      </c>
      <c r="C42" s="59">
        <f>VLOOKUP(B:B,科室绩效工资核算2!B:C,2,0)*科室绩效工资核算1!AQ$10</f>
        <v>0</v>
      </c>
      <c r="D42" s="59">
        <f>VLOOKUP(B:B,科室绩效工资核算2!B:D,3,0)*科室绩效工资核算1!AQ$10</f>
        <v>23576.116900000001</v>
      </c>
      <c r="E42" s="59">
        <f>VLOOKUP(B:B,科室绩效工资核算2!B:E,4,0)*科室绩效工资核算1!AQ$10</f>
        <v>0</v>
      </c>
      <c r="F42" s="59">
        <f>VLOOKUP($B:$B,科室绩效工资核算2!$B:F,5,0)*科室绩效工资核算1!$AQ$10</f>
        <v>0</v>
      </c>
      <c r="G42" s="59">
        <f>VLOOKUP($B:$B,科室绩效工资核算2!$B:G,6,0)*科室绩效工资核算1!$AQ$10</f>
        <v>0</v>
      </c>
      <c r="H42" s="59">
        <f>VLOOKUP($B:$B,科室绩效工资核算2!$B:H,7,0)*科室绩效工资核算1!$AQ$10</f>
        <v>0</v>
      </c>
      <c r="I42" s="59">
        <f>VLOOKUP($B:$B,科室绩效工资核算2!$B:I,8,0)*科室绩效工资核算1!$AQ$10</f>
        <v>0</v>
      </c>
      <c r="J42" s="59"/>
      <c r="K42" s="59"/>
      <c r="L42" s="59">
        <f>VLOOKUP($B:$B,科室绩效工资核算2!$B:L,11,0)*科室绩效工资核算1!$AQ$10</f>
        <v>0</v>
      </c>
      <c r="M42" s="59">
        <f>VLOOKUP($B:$B,科室绩效工资核算2!$B:M,12,0)*科室绩效工资核算1!$AQ$10</f>
        <v>0</v>
      </c>
      <c r="N42" s="59">
        <f>VLOOKUP($B:$B,科室绩效工资核算2!$B:N,13,0)*科室绩效工资核算1!$AQ$10</f>
        <v>0</v>
      </c>
      <c r="O42" s="59">
        <f>VLOOKUP($B:$B,科室绩效工资核算2!$B:O,14,0)*科室绩效工资核算1!$AQ$10</f>
        <v>0</v>
      </c>
      <c r="P42" s="59">
        <f>VLOOKUP($B:$B,科室绩效工资核算2!$B:P,15,0)*科室绩效工资核算1!$AQ$10</f>
        <v>0</v>
      </c>
      <c r="Q42" s="59">
        <f>VLOOKUP($B:$B,科室绩效工资核算2!$B:Q,16,0)*科室绩效工资核算1!$AQ$10</f>
        <v>0</v>
      </c>
      <c r="R42" s="59">
        <f>VLOOKUP($B:$B,科室绩效工资核算2!$B:T,19,0)*科室绩效工资核算1!$AQ$10</f>
        <v>0</v>
      </c>
      <c r="S42" s="59">
        <f>VLOOKUP($B:$B,科室绩效工资核算1!$B:AJ,35,0)*科室绩效工资核算1!$AQ$10</f>
        <v>0</v>
      </c>
      <c r="T42" s="59">
        <f>VLOOKUP($B:$B,科室绩效工资核算1!$B:AK,36,0)*科室绩效工资核算1!$AQ$10</f>
        <v>0</v>
      </c>
      <c r="U42" s="59"/>
      <c r="V42" s="59">
        <f>SUMIFS(中层绩效!$W:$W,中层绩效!$B:$B,绩效明细表!$B42,中层绩效!$D:$D,"主任")</f>
        <v>4191.615648</v>
      </c>
      <c r="W42" s="59">
        <f>SUMIFS(中层绩效!$W:$W,中层绩效!$B:$B,绩效明细表!$B42,中层绩效!$D:$D,"副主任")</f>
        <v>0</v>
      </c>
      <c r="X42" s="59">
        <f>SUMIFS(中层绩效!$W:$W,中层绩效!$B:$B,绩效明细表!$B42,中层绩效!$D:$D,"护士长")</f>
        <v>0</v>
      </c>
      <c r="Y42" s="63"/>
      <c r="Z42" s="59"/>
      <c r="AA42" s="62"/>
      <c r="AB42" s="59">
        <f t="shared" si="1"/>
        <v>27767.732548</v>
      </c>
    </row>
    <row r="43" spans="2:28" ht="27.15" customHeight="1" x14ac:dyDescent="0.25">
      <c r="B43" s="59" t="s">
        <v>122</v>
      </c>
      <c r="C43" s="59">
        <f>VLOOKUP(B:B,科室绩效工资核算2!B:C,2,0)*科室绩效工资核算1!AQ$10</f>
        <v>0</v>
      </c>
      <c r="D43" s="59">
        <f>VLOOKUP(B:B,科室绩效工资核算2!B:D,3,0)*科室绩效工资核算1!AQ$10</f>
        <v>12612.5825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>
        <f>VLOOKUP($B:$B,科室绩效工资核算2!$B:T,19,0)*科室绩效工资核算1!$AQ$10</f>
        <v>0</v>
      </c>
      <c r="S43" s="59">
        <f>VLOOKUP($B:$B,科室绩效工资核算1!$B:AJ,35,0)*科室绩效工资核算1!$AQ$10</f>
        <v>0</v>
      </c>
      <c r="T43" s="59">
        <f>VLOOKUP($B:$B,科室绩效工资核算1!$B:AK,36,0)*科室绩效工资核算1!$AQ$10</f>
        <v>0</v>
      </c>
      <c r="U43" s="59"/>
      <c r="V43" s="59">
        <f>SUMIFS(中层绩效!$W:$W,中层绩效!$B:$B,绩效明细表!$B43,中层绩效!$D:$D,"主任")</f>
        <v>3362.8963680000002</v>
      </c>
      <c r="W43" s="59">
        <f>SUMIFS(中层绩效!$W:$W,中层绩效!$B:$B,绩效明细表!$B43,中层绩效!$D:$D,"副主任")</f>
        <v>0</v>
      </c>
      <c r="X43" s="59">
        <f>SUMIFS(中层绩效!$W:$W,中层绩效!$B:$B,绩效明细表!$B43,中层绩效!$D:$D,"护士长")</f>
        <v>0</v>
      </c>
      <c r="Y43" s="63"/>
      <c r="Z43" s="59"/>
      <c r="AA43" s="62"/>
      <c r="AB43" s="59">
        <f t="shared" si="1"/>
        <v>15975.478868</v>
      </c>
    </row>
    <row r="44" spans="2:28" ht="27.15" customHeight="1" x14ac:dyDescent="0.25">
      <c r="B44" s="59" t="s">
        <v>123</v>
      </c>
      <c r="C44" s="59">
        <f>VLOOKUP(B:B,科室绩效工资核算2!B:C,2,0)*科室绩效工资核算1!AQ$10</f>
        <v>0</v>
      </c>
      <c r="D44" s="59">
        <f>VLOOKUP(B:B,科室绩效工资核算2!B:D,3,0)*科室绩效工资核算1!AQ$10</f>
        <v>62846.696800000005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>
        <f>VLOOKUP($B:$B,科室绩效工资核算2!$B:T,19,0)*科室绩效工资核算1!$AQ$10</f>
        <v>164.58210000000003</v>
      </c>
      <c r="S44" s="59">
        <f>VLOOKUP($B:$B,科室绩效工资核算1!$B:AJ,35,0)*科室绩效工资核算1!$AQ$10</f>
        <v>0</v>
      </c>
      <c r="T44" s="59">
        <f>VLOOKUP($B:$B,科室绩效工资核算1!$B:AK,36,0)*科室绩效工资核算1!$AQ$10</f>
        <v>0</v>
      </c>
      <c r="U44" s="59"/>
      <c r="V44" s="59">
        <f>SUMIFS(中层绩效!$W:$W,中层绩效!$B:$B,绩效明细表!$B44,中层绩效!$D:$D,"主任")</f>
        <v>7449.1794720000007</v>
      </c>
      <c r="W44" s="59">
        <f>SUMIFS(中层绩效!$W:$W,中层绩效!$B:$B,绩效明细表!$B44,中层绩效!$D:$D,"副主任")</f>
        <v>0</v>
      </c>
      <c r="X44" s="59">
        <f>SUMIFS(中层绩效!$W:$W,中层绩效!$B:$B,绩效明细表!$B44,中层绩效!$D:$D,"护士长")</f>
        <v>0</v>
      </c>
      <c r="Y44" s="59"/>
      <c r="Z44" s="59"/>
      <c r="AA44" s="62"/>
      <c r="AB44" s="59">
        <f t="shared" si="1"/>
        <v>70460.458372000008</v>
      </c>
    </row>
    <row r="45" spans="2:28" ht="27.15" customHeight="1" x14ac:dyDescent="0.25">
      <c r="B45" s="59" t="s">
        <v>124</v>
      </c>
      <c r="C45" s="59">
        <f>VLOOKUP(B:B,科室绩效工资核算2!B:C,2,0)*科室绩效工资核算1!AQ$10</f>
        <v>0</v>
      </c>
      <c r="D45" s="59">
        <f>VLOOKUP(B:B,科室绩效工资核算2!B:D,3,0)*科室绩效工资核算1!AQ$10</f>
        <v>1141.3177000000001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>
        <f>VLOOKUP($B:$B,科室绩效工资核算2!$B:T,19,0)*科室绩效工资核算1!$AQ$10</f>
        <v>0</v>
      </c>
      <c r="S45" s="59">
        <f>VLOOKUP($B:$B,科室绩效工资核算1!$B:AJ,35,0)*科室绩效工资核算1!$AQ$10</f>
        <v>0</v>
      </c>
      <c r="T45" s="59">
        <f>VLOOKUP($B:$B,科室绩效工资核算1!$B:AK,36,0)*科室绩效工资核算1!$AQ$10</f>
        <v>0</v>
      </c>
      <c r="U45" s="59"/>
      <c r="V45" s="59">
        <f>SUMIFS(中层绩效!$W:$W,中层绩效!$B:$B,绩效明细表!$B45,中层绩效!$D:$D,"主任")</f>
        <v>1826.2804320000002</v>
      </c>
      <c r="W45" s="59">
        <f>SUMIFS(中层绩效!$W:$W,中层绩效!$B:$B,绩效明细表!$B45,中层绩效!$D:$D,"副主任")</f>
        <v>0</v>
      </c>
      <c r="X45" s="59">
        <f>SUMIFS(中层绩效!$W:$W,中层绩效!$B:$B,绩效明细表!$B45,中层绩效!$D:$D,"护士长")</f>
        <v>0</v>
      </c>
      <c r="Y45" s="63"/>
      <c r="Z45" s="59"/>
      <c r="AA45" s="62"/>
      <c r="AB45" s="59">
        <f t="shared" si="1"/>
        <v>2967.5981320000001</v>
      </c>
    </row>
    <row r="46" spans="2:28" ht="27.15" customHeight="1" x14ac:dyDescent="0.25">
      <c r="B46" s="59" t="s">
        <v>125</v>
      </c>
      <c r="C46" s="59">
        <f>VLOOKUP(B:B,科室绩效工资核算2!B:C,2,0)*科室绩效工资核算1!AQ$10</f>
        <v>0</v>
      </c>
      <c r="D46" s="59">
        <f>VLOOKUP(B:B,科室绩效工资核算2!B:D,3,0)*科室绩效工资核算1!AQ$10</f>
        <v>12340.430400000001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>
        <f>VLOOKUP($B:$B,科室绩效工资核算2!$B:T,19,0)*科室绩效工资核算1!$AQ$10</f>
        <v>2094.3879000000002</v>
      </c>
      <c r="S46" s="59">
        <f>VLOOKUP($B:$B,科室绩效工资核算1!$B:AJ,35,0)*科室绩效工资核算1!$AQ$10</f>
        <v>0</v>
      </c>
      <c r="T46" s="59">
        <f>VLOOKUP($B:$B,科室绩效工资核算1!$B:AK,36,0)*科室绩效工资核算1!$AQ$10</f>
        <v>0</v>
      </c>
      <c r="U46" s="59"/>
      <c r="V46" s="59">
        <f>SUMIFS(中层绩效!$W:$W,中层绩效!$B:$B,绩效明细表!$B46,中层绩效!$D:$D,"主任")</f>
        <v>3290.0929920000003</v>
      </c>
      <c r="W46" s="59">
        <f>SUMIFS(中层绩效!$W:$W,中层绩效!$B:$B,绩效明细表!$B46,中层绩效!$D:$D,"副主任")</f>
        <v>0</v>
      </c>
      <c r="X46" s="59">
        <f>SUMIFS(中层绩效!$W:$W,中层绩效!$B:$B,绩效明细表!$B46,中层绩效!$D:$D,"护士长")</f>
        <v>0</v>
      </c>
      <c r="Y46" s="59"/>
      <c r="Z46" s="59"/>
      <c r="AA46" s="62"/>
      <c r="AB46" s="59">
        <f t="shared" si="1"/>
        <v>17724.911292000001</v>
      </c>
    </row>
    <row r="47" spans="2:28" ht="27.15" customHeight="1" x14ac:dyDescent="0.25">
      <c r="B47" s="59" t="s">
        <v>126</v>
      </c>
      <c r="C47" s="59">
        <f>VLOOKUP(B:B,科室绩效工资核算2!B:C,2,0)*科室绩效工资核算1!AQ$10</f>
        <v>0</v>
      </c>
      <c r="D47" s="59">
        <f>VLOOKUP(B:B,科室绩效工资核算2!B:D,3,0)*科室绩效工资核算1!AQ$10</f>
        <v>12251.147300000001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>
        <f>VLOOKUP($B:$B,科室绩效工资核算2!$B:T,19,0)*科室绩效工资核算1!$AQ$10</f>
        <v>0</v>
      </c>
      <c r="S47" s="59">
        <f>VLOOKUP($B:$B,科室绩效工资核算1!$B:AJ,35,0)*科室绩效工资核算1!$AQ$10</f>
        <v>4749.2155000000002</v>
      </c>
      <c r="T47" s="59">
        <f>VLOOKUP($B:$B,科室绩效工资核算1!$B:AK,36,0)*科室绩效工资核算1!$AQ$10</f>
        <v>2710.7640000000001</v>
      </c>
      <c r="U47" s="59"/>
      <c r="V47" s="59">
        <f>SUMIFS(中层绩效!$W:$W,中层绩效!$B:$B,绩效明细表!$B47,中层绩效!$D:$D,"主任")</f>
        <v>0</v>
      </c>
      <c r="W47" s="59">
        <f>SUMIFS(中层绩效!$W:$W,中层绩效!$B:$B,绩效明细表!$B47,中层绩效!$D:$D,"副主任")</f>
        <v>0</v>
      </c>
      <c r="X47" s="59">
        <f>SUMIFS(中层绩效!$W:$W,中层绩效!$B:$B,绩效明细表!$B47,中层绩效!$D:$D,"护士长")</f>
        <v>0</v>
      </c>
      <c r="Y47" s="59"/>
      <c r="Z47" s="59"/>
      <c r="AA47" s="62"/>
      <c r="AB47" s="59">
        <f t="shared" si="1"/>
        <v>19711.126800000002</v>
      </c>
    </row>
    <row r="48" spans="2:28" ht="27.15" customHeight="1" x14ac:dyDescent="0.25">
      <c r="B48" s="59" t="s">
        <v>128</v>
      </c>
      <c r="C48" s="59">
        <f>VLOOKUP(B:B,科室绩效工资核算2!B:C,2,0)*科室绩效工资核算1!AQ$10</f>
        <v>0</v>
      </c>
      <c r="D48" s="59">
        <f>VLOOKUP(B:B,科室绩效工资核算2!B:D,3,0)*科室绩效工资核算1!AQ$10</f>
        <v>6201.4105000000009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>
        <f>VLOOKUP($B:$B,科室绩效工资核算2!$B:T,19,0)*科室绩效工资核算1!$AQ$10</f>
        <v>0</v>
      </c>
      <c r="S48" s="59">
        <f>VLOOKUP($B:$B,科室绩效工资核算1!$B:AJ,35,0)*科室绩效工资核算1!$AQ$10</f>
        <v>0</v>
      </c>
      <c r="T48" s="59"/>
      <c r="U48" s="59"/>
      <c r="V48" s="59">
        <f>SUMIFS(中层绩效!$W:$W,中层绩效!$B:$B,绩效明细表!$B48,中层绩效!$D:$D,"主任")</f>
        <v>0</v>
      </c>
      <c r="W48" s="59">
        <f>SUMIFS(中层绩效!$W:$W,中层绩效!$B:$B,绩效明细表!$B48,中层绩效!$D:$D,"副主任")</f>
        <v>0</v>
      </c>
      <c r="X48" s="59">
        <f>SUMIFS(中层绩效!$W:$W,中层绩效!$B:$B,绩效明细表!$B48,中层绩效!$D:$D,"护士长")</f>
        <v>1653.652096</v>
      </c>
      <c r="Y48" s="59"/>
      <c r="Z48" s="59"/>
      <c r="AA48" s="62"/>
      <c r="AB48" s="59">
        <f t="shared" si="1"/>
        <v>7855.0625960000007</v>
      </c>
    </row>
    <row r="49" spans="2:28" ht="27.15" customHeight="1" x14ac:dyDescent="0.25">
      <c r="B49" s="59" t="s">
        <v>129</v>
      </c>
      <c r="C49" s="59">
        <f>VLOOKUP(B:B,科室绩效工资核算2!B:C,2,0)*科室绩效工资核算1!AQ$10</f>
        <v>0</v>
      </c>
      <c r="D49" s="59">
        <f>VLOOKUP(B:B,科室绩效工资核算2!B:D,3,0)*科室绩效工资核算1!AQ$10</f>
        <v>49246.191420000003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>
        <f>VLOOKUP($B:$B,科室绩效工资核算2!$B:T,19,0)*科室绩效工资核算1!$AQ$10</f>
        <v>0</v>
      </c>
      <c r="S49" s="59">
        <f>VLOOKUP($B:$B,科室绩效工资核算1!$B:AJ,35,0)*科室绩效工资核算1!$AQ$10</f>
        <v>0</v>
      </c>
      <c r="T49" s="59"/>
      <c r="U49" s="59"/>
      <c r="V49" s="59">
        <f>SUMIFS(中层绩效!$W:$W,中层绩效!$B:$B,绩效明细表!$B49,中层绩效!$D:$D,"主任")</f>
        <v>13132.489824</v>
      </c>
      <c r="W49" s="59">
        <f>SUMIFS(中层绩效!$W:$W,中层绩效!$B:$B,绩效明细表!$B49,中层绩效!$D:$D,"副主任")</f>
        <v>0</v>
      </c>
      <c r="X49" s="59">
        <f>SUMIFS(中层绩效!$W:$W,中层绩效!$B:$B,绩效明细表!$B49,中层绩效!$D:$D,"护士长")</f>
        <v>0</v>
      </c>
      <c r="Y49" s="63"/>
      <c r="Z49" s="59"/>
      <c r="AA49" s="62"/>
      <c r="AB49" s="59">
        <f t="shared" si="1"/>
        <v>62378.681244000007</v>
      </c>
    </row>
    <row r="50" spans="2:28" ht="27.15" customHeight="1" x14ac:dyDescent="0.25">
      <c r="B50" s="59" t="s">
        <v>418</v>
      </c>
      <c r="C50" s="59">
        <f>VLOOKUP(B:B,科室绩效工资核算2!B:C,2,0)*科室绩效工资核算1!AQ$10</f>
        <v>0</v>
      </c>
      <c r="D50" s="59">
        <f>VLOOKUP(B:B,科室绩效工资核算2!B:D,3,0)*科室绩效工资核算1!AQ$10</f>
        <v>64226.81990000001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>
        <f>VLOOKUP($B:$B,科室绩效工资核算2!$B:T,19,0)*科室绩效工资核算1!$AQ$10</f>
        <v>0</v>
      </c>
      <c r="S50" s="59"/>
      <c r="T50" s="59"/>
      <c r="U50" s="59"/>
      <c r="V50" s="59">
        <f>SUMIFS(中层绩效!$W:$W,中层绩效!$B:$B,绩效明细表!$B50,中层绩效!$D:$D,"主任")</f>
        <v>3082.4398640000004</v>
      </c>
      <c r="W50" s="59">
        <f>SUMIFS(中层绩效!$W:$W,中层绩效!$B:$B,绩效明细表!$B50,中层绩效!$D:$D,"副主任")</f>
        <v>496.87013280000002</v>
      </c>
      <c r="X50" s="59">
        <f>SUMIFS(中层绩效!$W:$W,中层绩效!$B:$B,绩效明细表!$B50,中层绩效!$D:$D,"护士长")</f>
        <v>0</v>
      </c>
      <c r="Y50" s="63"/>
      <c r="Z50" s="59"/>
      <c r="AA50" s="62"/>
      <c r="AB50" s="59">
        <f t="shared" si="1"/>
        <v>67806.129896800019</v>
      </c>
    </row>
    <row r="51" spans="2:28" ht="27.15" customHeight="1" x14ac:dyDescent="0.25">
      <c r="B51" s="59" t="s">
        <v>30</v>
      </c>
      <c r="C51" s="59">
        <f>VLOOKUP(B:B,科室绩效工资核算2!B:C,2,0)*科室绩效工资核算1!AQ$10</f>
        <v>5631.1948384000007</v>
      </c>
      <c r="D51" s="59">
        <f>VLOOKUP(B:B,科室绩效工资核算2!B:D,3,0)*科室绩效工资核算1!AQ$10</f>
        <v>0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>
        <f>VLOOKUP($B:$B,科室绩效工资核算2!$B:T,19,0)*科室绩效工资核算1!$AQ$10</f>
        <v>0</v>
      </c>
      <c r="S51" s="59"/>
      <c r="T51" s="59"/>
      <c r="U51" s="59"/>
      <c r="V51" s="59">
        <f>SUMIFS(中层绩效!$W:$W,中层绩效!$B:$B,绩效明细表!$B51,中层绩效!$D:$D,"主任")</f>
        <v>4140.5844400000005</v>
      </c>
      <c r="W51" s="59">
        <f>SUMIFS(中层绩效!$W:$W,中层绩效!$B:$B,绩效明细表!$B51,中层绩效!$D:$D,"副主任")</f>
        <v>2649.9740416000004</v>
      </c>
      <c r="X51" s="59">
        <f>SUMIFS(中层绩效!$W:$W,中层绩效!$B:$B,绩效明细表!$B51,中层绩效!$D:$D,"护士长")</f>
        <v>0</v>
      </c>
      <c r="Y51" s="63"/>
      <c r="Z51" s="59"/>
      <c r="AA51" s="62"/>
      <c r="AB51" s="59">
        <f t="shared" si="1"/>
        <v>12421.753320000002</v>
      </c>
    </row>
    <row r="52" spans="2:28" ht="27.15" customHeight="1" x14ac:dyDescent="0.25">
      <c r="B52" s="59" t="s">
        <v>36</v>
      </c>
      <c r="C52" s="59">
        <f>VLOOKUP(B:B,科室绩效工资核算2!B:C,2,0)*科室绩效工资核算1!AQ$10</f>
        <v>2815.5974192000003</v>
      </c>
      <c r="D52" s="59">
        <f>VLOOKUP(B:B,科室绩效工资核算2!B:D,3,0)*科室绩效工资核算1!AQ$10</f>
        <v>0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>
        <f>VLOOKUP($B:$B,科室绩效工资核算2!$B:T,19,0)*科室绩效工资核算1!$AQ$10</f>
        <v>0</v>
      </c>
      <c r="S52" s="59"/>
      <c r="T52" s="59"/>
      <c r="U52" s="59"/>
      <c r="V52" s="59">
        <f>SUMIFS(中层绩效!$W:$W,中层绩效!$B:$B,绩效明细表!$B52,中层绩效!$D:$D,"主任")</f>
        <v>0</v>
      </c>
      <c r="W52" s="59">
        <f>中层绩效!$U$59</f>
        <v>461.904</v>
      </c>
      <c r="X52" s="59">
        <f>SUMIFS(中层绩效!$W:$W,中层绩效!$B:$B,绩效明细表!$B52,中层绩效!$D:$D,"护士长")</f>
        <v>0</v>
      </c>
      <c r="Y52" s="63"/>
      <c r="Z52" s="59"/>
      <c r="AA52" s="62"/>
      <c r="AB52" s="59">
        <f t="shared" si="1"/>
        <v>3277.5014192000003</v>
      </c>
    </row>
    <row r="53" spans="2:28" ht="27.15" customHeight="1" x14ac:dyDescent="0.25">
      <c r="B53" s="79" t="s">
        <v>31</v>
      </c>
      <c r="C53" s="59">
        <f>VLOOKUP(B:B,科室绩效工资核算2!B:C,2,0)*科室绩效工资核算1!AQ$10</f>
        <v>2815.5974192000003</v>
      </c>
      <c r="D53" s="59">
        <f>VLOOKUP(B:B,科室绩效工资核算2!B:D,3,0)*科室绩效工资核算1!AQ$10</f>
        <v>0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79">
        <f>优质护理!C26</f>
        <v>6297.4145736000009</v>
      </c>
      <c r="S53" s="59"/>
      <c r="T53" s="59"/>
      <c r="U53" s="59"/>
      <c r="V53" s="59">
        <f>SUMIFS(中层绩效!$W:$W,中层绩效!$B:$B,绩效明细表!$B53,中层绩效!$D:$D,"主任")</f>
        <v>3726.5259960000008</v>
      </c>
      <c r="W53" s="59"/>
      <c r="X53" s="59">
        <f>SUMIFS(中层绩效!$W:$W,中层绩效!$B:$B,绩效明细表!$B53,中层绩效!$D:$D,"护士长")</f>
        <v>0</v>
      </c>
      <c r="Y53" s="63"/>
      <c r="Z53" s="59"/>
      <c r="AA53" s="62"/>
      <c r="AB53" s="79">
        <f t="shared" si="1"/>
        <v>12839.537988800002</v>
      </c>
    </row>
    <row r="54" spans="2:28" ht="27.15" customHeight="1" x14ac:dyDescent="0.25">
      <c r="B54" s="59" t="s">
        <v>137</v>
      </c>
      <c r="C54" s="59">
        <f>VLOOKUP(B:B,科室绩效工资核算2!B:C,2,0)*科室绩效工资核算1!AQ$10</f>
        <v>0</v>
      </c>
      <c r="D54" s="59">
        <f>VLOOKUP(B:B,科室绩效工资核算2!B:D,3,0)*科室绩效工资核算1!AQ$10</f>
        <v>0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>
        <f>VLOOKUP($B:$B,科室绩效工资核算2!$B:T,19,0)*科室绩效工资核算1!$AQ$10</f>
        <v>0</v>
      </c>
      <c r="S54" s="59"/>
      <c r="T54" s="59"/>
      <c r="U54" s="59"/>
      <c r="V54" s="59">
        <f>SUMIFS(中层绩效!$W:$W,中层绩效!$B:$B,绩效明细表!$B54,中层绩效!$D:$D,"主任")</f>
        <v>2252.4779353600006</v>
      </c>
      <c r="W54" s="59">
        <f>SUMIFS(中层绩效!$W:$W,中层绩效!$B:$B,绩效明细表!$B54,中层绩效!$D:$D,"副主任")</f>
        <v>0</v>
      </c>
      <c r="X54" s="59">
        <f>SUMIFS(中层绩效!$W:$W,中层绩效!$B:$B,绩效明细表!$B54,中层绩效!$D:$D,"护士长")</f>
        <v>0</v>
      </c>
      <c r="Y54" s="63"/>
      <c r="Z54" s="59"/>
      <c r="AA54" s="62"/>
      <c r="AB54" s="59">
        <f t="shared" si="1"/>
        <v>2252.4779353600006</v>
      </c>
    </row>
    <row r="55" spans="2:28" ht="27.15" customHeight="1" x14ac:dyDescent="0.25">
      <c r="B55" s="59" t="s">
        <v>34</v>
      </c>
      <c r="C55" s="59">
        <f>VLOOKUP(B:B,科室绩效工资核算2!B:C,2,0)*科室绩效工资核算1!AQ$10</f>
        <v>0</v>
      </c>
      <c r="D55" s="59">
        <f>VLOOKUP(B:B,科室绩效工资核算2!B:D,3,0)*科室绩效工资核算1!AQ$10</f>
        <v>74818.162100000001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>
        <f>VLOOKUP($B:$B,科室绩效工资核算2!$B:T,19,0)*科室绩效工资核算1!$AQ$10</f>
        <v>0</v>
      </c>
      <c r="S55" s="59"/>
      <c r="T55" s="59"/>
      <c r="U55" s="59"/>
      <c r="V55" s="59">
        <f>SUMIFS(中层绩效!$W:$W,中层绩效!$B:$B,绩效明细表!$B55,中层绩效!$D:$D,"主任")</f>
        <v>7783.7363866071437</v>
      </c>
      <c r="W55" s="59">
        <f>SUMIFS(中层绩效!$W:$W,中层绩效!$B:$B,绩效明细表!$B55,中层绩效!$D:$D,"副主任")</f>
        <v>0</v>
      </c>
      <c r="X55" s="59">
        <f>SUMIFS(中层绩效!$W:$W,中层绩效!$B:$B,绩效明细表!$B55,中层绩效!$D:$D,"护士长")</f>
        <v>0</v>
      </c>
      <c r="Y55" s="63"/>
      <c r="Z55" s="59"/>
      <c r="AA55" s="62"/>
      <c r="AB55" s="59">
        <f t="shared" si="1"/>
        <v>82601.898486607141</v>
      </c>
    </row>
    <row r="56" spans="2:28" ht="27.15" customHeight="1" x14ac:dyDescent="0.25">
      <c r="B56" s="59" t="s">
        <v>32</v>
      </c>
      <c r="C56" s="59">
        <f>VLOOKUP(B:B,科室绩效工资核算2!B:C,2,0)*科室绩效工资核算1!AQ$10</f>
        <v>1407.7987096000002</v>
      </c>
      <c r="D56" s="59">
        <f>VLOOKUP(B:B,科室绩效工资核算2!B:D,3,0)*科室绩效工资核算1!AQ$10</f>
        <v>0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>
        <f>VLOOKUP($B:$B,科室绩效工资核算2!$B:T,19,0)*科室绩效工资核算1!$AQ$10</f>
        <v>0</v>
      </c>
      <c r="S56" s="59"/>
      <c r="T56" s="59"/>
      <c r="U56" s="59"/>
      <c r="V56" s="59">
        <f>SUMIFS(中层绩效!$W:$W,中层绩效!$B:$B,绩效明细表!$B56,中层绩效!$D:$D,"主任")</f>
        <v>5631.1948384000007</v>
      </c>
      <c r="W56" s="59">
        <f>SUMIFS(中层绩效!$W:$W,中层绩效!$B:$B,绩效明细表!$B56,中层绩效!$D:$D,"副主任")</f>
        <v>0</v>
      </c>
      <c r="X56" s="59">
        <f>SUMIFS(中层绩效!$W:$W,中层绩效!$B:$B,绩效明细表!$B56,中层绩效!$D:$D,"护士长")</f>
        <v>0</v>
      </c>
      <c r="Y56" s="59"/>
      <c r="Z56" s="59"/>
      <c r="AA56" s="62"/>
      <c r="AB56" s="59">
        <f t="shared" si="1"/>
        <v>7038.9935480000004</v>
      </c>
    </row>
    <row r="57" spans="2:28" ht="27.15" customHeight="1" x14ac:dyDescent="0.25">
      <c r="B57" s="59" t="s">
        <v>38</v>
      </c>
      <c r="C57" s="59">
        <f>VLOOKUP(B:B,科室绩效工资核算2!B:C,2,0)*科室绩效工资核算1!AQ$10</f>
        <v>2649.9740416000004</v>
      </c>
      <c r="D57" s="59">
        <f>VLOOKUP(B:B,科室绩效工资核算2!B:D,3,0)*科室绩效工资核算1!AQ$10</f>
        <v>0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>
        <f>VLOOKUP($B:$B,科室绩效工资核算2!$B:T,19,0)*科室绩效工资核算1!$AQ$10</f>
        <v>0</v>
      </c>
      <c r="S57" s="59"/>
      <c r="T57" s="59"/>
      <c r="U57" s="59"/>
      <c r="V57" s="59">
        <f>SUMIFS(中层绩效!$W:$W,中层绩效!$B:$B,绩效明细表!$B57,中层绩效!$D:$D,"主任")</f>
        <v>0</v>
      </c>
      <c r="W57" s="59">
        <f>SUMIFS(中层绩效!$W:$W,中层绩效!$B:$B,绩效明细表!$B57,中层绩效!$D:$D,"副主任")</f>
        <v>3444.9662540800009</v>
      </c>
      <c r="X57" s="59">
        <f>SUMIFS(中层绩效!$W:$W,中层绩效!$B:$B,绩效明细表!$B57,中层绩效!$D:$D,"护士长")</f>
        <v>0</v>
      </c>
      <c r="Y57" s="63"/>
      <c r="Z57" s="59"/>
      <c r="AA57" s="62"/>
      <c r="AB57" s="59">
        <f t="shared" si="1"/>
        <v>6094.9402956800013</v>
      </c>
    </row>
    <row r="58" spans="2:28" ht="27.15" customHeight="1" x14ac:dyDescent="0.25">
      <c r="B58" s="59" t="s">
        <v>35</v>
      </c>
      <c r="C58" s="59">
        <f>VLOOKUP(B:B,科室绩效工资核算2!B:C,2,0)*科室绩效工资核算1!AQ$10</f>
        <v>1324.9870208000002</v>
      </c>
      <c r="D58" s="59">
        <f>VLOOKUP(B:B,科室绩效工资核算2!B:D,3,0)*科室绩效工资核算1!AQ$10</f>
        <v>0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>
        <f>SUMIFS(中层绩效!$W:$W,中层绩效!$B:$B,绩效明细表!$B58,中层绩效!$D:$D,"主任")</f>
        <v>2119.9792332800002</v>
      </c>
      <c r="W58" s="59">
        <f>SUMIFS(中层绩效!$W:$W,中层绩效!$B:$B,绩效明细表!$B58,中层绩效!$D:$D,"副主任")</f>
        <v>1722.4831270400005</v>
      </c>
      <c r="X58" s="59">
        <f>SUMIFS(中层绩效!$W:$W,中层绩效!$B:$B,绩效明细表!$B58,中层绩效!$D:$D,"护士长")</f>
        <v>0</v>
      </c>
      <c r="Y58" s="63"/>
      <c r="Z58" s="59"/>
      <c r="AA58" s="62"/>
      <c r="AB58" s="59">
        <f t="shared" si="1"/>
        <v>5167.4493811200009</v>
      </c>
    </row>
    <row r="59" spans="2:28" ht="27.15" customHeight="1" x14ac:dyDescent="0.25">
      <c r="B59" s="59" t="s">
        <v>138</v>
      </c>
      <c r="C59" s="59">
        <f>VLOOKUP(B:B,科室绩效工资核算2!B:C,2,0)*科室绩效工资核算1!AQ$10</f>
        <v>1324.9870208000002</v>
      </c>
      <c r="D59" s="59">
        <f>VLOOKUP(B:B,科室绩效工资核算2!B:D,3,0)*科室绩效工资核算1!AQ$10</f>
        <v>0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>
        <f>SUMIFS(中层绩效!$W:$W,中层绩效!$B:$B,绩效明细表!$B59,中层绩效!$D:$D,"主任")</f>
        <v>2119.9792332800002</v>
      </c>
      <c r="W59" s="59">
        <f>SUMIFS(中层绩效!$W:$W,中层绩效!$B:$B,绩效明细表!$B59,中层绩效!$D:$D,"副主任")</f>
        <v>1722.4831270400005</v>
      </c>
      <c r="X59" s="59">
        <f>SUMIFS(中层绩效!$W:$W,中层绩效!$B:$B,绩效明细表!$B59,中层绩效!$D:$D,"护士长")</f>
        <v>0</v>
      </c>
      <c r="Y59" s="63"/>
      <c r="Z59" s="59"/>
      <c r="AA59" s="62"/>
      <c r="AB59" s="59">
        <f t="shared" si="1"/>
        <v>5167.4493811200009</v>
      </c>
    </row>
    <row r="60" spans="2:28" ht="27.15" customHeight="1" x14ac:dyDescent="0.25">
      <c r="B60" s="59" t="s">
        <v>139</v>
      </c>
      <c r="C60" s="59">
        <f>VLOOKUP(B:B,科室绩效工资核算2!B:C,2,0)*科室绩效工资核算1!AQ$10</f>
        <v>7038.9935480000013</v>
      </c>
      <c r="D60" s="59">
        <f>VLOOKUP(B:B,科室绩效工资核算2!B:D,3,0)*科室绩效工资核算1!AQ$10</f>
        <v>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>
        <f>SUMIFS(中层绩效!$W:$W,中层绩效!$B:$B,绩效明细表!$B60,中层绩效!$D:$D,"主任")</f>
        <v>2252.4779353600006</v>
      </c>
      <c r="W60" s="59">
        <f>SUMIFS(中层绩效!$W:$W,中层绩效!$B:$B,绩效明细表!$B60,中层绩效!$D:$D,"副主任")</f>
        <v>1830.1383224800004</v>
      </c>
      <c r="X60" s="59">
        <f>SUMIFS(中层绩效!$W:$W,中层绩效!$B:$B,绩效明细表!$B60,中层绩效!$D:$D,"护士长")</f>
        <v>0</v>
      </c>
      <c r="Y60" s="63"/>
      <c r="Z60" s="59"/>
      <c r="AA60" s="62"/>
      <c r="AB60" s="59">
        <f t="shared" si="1"/>
        <v>11121.609805840002</v>
      </c>
    </row>
    <row r="61" spans="2:28" ht="27.15" customHeight="1" x14ac:dyDescent="0.25">
      <c r="B61" s="59" t="s">
        <v>40</v>
      </c>
      <c r="C61" s="59">
        <f>VLOOKUP(B:B,科室绩效工资核算2!B:C,2,0)*科室绩效工资核算1!AQ$10</f>
        <v>6624.935104000001</v>
      </c>
      <c r="D61" s="59">
        <f>VLOOKUP(B:B,科室绩效工资核算2!B:D,3,0)*科室绩效工资核算1!AQ$10</f>
        <v>0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>
        <f>SUMIFS(中层绩效!$W:$W,中层绩效!$B:$B,绩效明细表!$B61,中层绩效!$D:$D,"主任")</f>
        <v>2119.9792332800002</v>
      </c>
      <c r="W61" s="59">
        <f>SUMIFS(中层绩效!$W:$W,中层绩效!$B:$B,绩效明细表!$B61,中层绩效!$D:$D,"副主任")</f>
        <v>1722.4831270400005</v>
      </c>
      <c r="X61" s="59">
        <f>SUMIFS(中层绩效!$W:$W,中层绩效!$B:$B,绩效明细表!$B61,中层绩效!$D:$D,"护士长")</f>
        <v>0</v>
      </c>
      <c r="Y61" s="63"/>
      <c r="Z61" s="59"/>
      <c r="AA61" s="62"/>
      <c r="AB61" s="59">
        <f t="shared" si="1"/>
        <v>10467.397464320002</v>
      </c>
    </row>
    <row r="62" spans="2:28" ht="27.15" customHeight="1" x14ac:dyDescent="0.25">
      <c r="B62" s="59" t="s">
        <v>41</v>
      </c>
      <c r="C62" s="59">
        <f>VLOOKUP(B:B,科室绩效工资核算2!B:C,2,0)*科室绩效工资核算1!AQ$10</f>
        <v>2649.9740416000004</v>
      </c>
      <c r="D62" s="59">
        <f>VLOOKUP(B:B,科室绩效工资核算2!B:D,3,0)*科室绩效工资核算1!AQ$10</f>
        <v>0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>
        <f>SUMIFS(中层绩效!$W:$W,中层绩效!$B:$B,绩效明细表!$B62,中层绩效!$D:$D,"主任")</f>
        <v>2119.9792332800002</v>
      </c>
      <c r="W62" s="59">
        <f>SUMIFS(中层绩效!$W:$W,中层绩效!$B:$B,绩效明细表!$B62,中层绩效!$D:$D,"副主任")</f>
        <v>1722.4831270400005</v>
      </c>
      <c r="X62" s="59">
        <f>SUMIFS(中层绩效!$W:$W,中层绩效!$B:$B,绩效明细表!$B62,中层绩效!$D:$D,"护士长")</f>
        <v>0</v>
      </c>
      <c r="Y62" s="63"/>
      <c r="Z62" s="59"/>
      <c r="AA62" s="62"/>
      <c r="AB62" s="59">
        <f t="shared" si="1"/>
        <v>6492.436401920002</v>
      </c>
    </row>
    <row r="63" spans="2:28" ht="27.15" customHeight="1" x14ac:dyDescent="0.25">
      <c r="B63" s="59" t="s">
        <v>42</v>
      </c>
      <c r="C63" s="59">
        <f>VLOOKUP(B:B,科室绩效工资核算2!B:C,2,0)*科室绩效工资核算1!AQ$10</f>
        <v>0</v>
      </c>
      <c r="D63" s="59">
        <f>VLOOKUP(B:B,科室绩效工资核算2!B:D,3,0)*科室绩效工资核算1!AQ$10</f>
        <v>0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>
        <f>SUMIFS(中层绩效!$W:$W,中层绩效!$B:$B,绩效明细表!$B63,中层绩效!$D:$D,"主任")</f>
        <v>4736.8285993600002</v>
      </c>
      <c r="W63" s="59">
        <f>SUMIFS(中层绩效!$W:$W,中层绩效!$B:$B,绩效明细表!$B63,中层绩效!$D:$D,"副主任")</f>
        <v>5167.4493811200009</v>
      </c>
      <c r="X63" s="59">
        <f>SUMIFS(中层绩效!$W:$W,中层绩效!$B:$B,绩效明细表!$B63,中层绩效!$D:$D,"护士长")</f>
        <v>0</v>
      </c>
      <c r="Y63" s="59"/>
      <c r="Z63" s="59"/>
      <c r="AA63" s="63"/>
      <c r="AB63" s="59">
        <f t="shared" si="1"/>
        <v>9904.2779804800011</v>
      </c>
    </row>
    <row r="64" spans="2:28" ht="27.15" customHeight="1" x14ac:dyDescent="0.25">
      <c r="B64" s="59" t="s">
        <v>37</v>
      </c>
      <c r="C64" s="59">
        <f>VLOOKUP(B:B,科室绩效工资核算2!B:C,2,0)*科室绩效工资核算1!AQ$10</f>
        <v>10467.39746432</v>
      </c>
      <c r="D64" s="59">
        <f>VLOOKUP(B:B,科室绩效工资核算2!B:D,3,0)*科室绩效工资核算1!AQ$10</f>
        <v>0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>
        <f>SUMIFS(中层绩效!$W:$W,中层绩效!$B:$B,绩效明细表!$B64,中层绩效!$D:$D,"主任")</f>
        <v>2119.9792332800002</v>
      </c>
      <c r="W64" s="59">
        <f>SUMIFS(中层绩效!$W:$W,中层绩效!$B:$B,绩效明细表!$B64,中层绩效!$D:$D,"副主任")</f>
        <v>1722.4831270400005</v>
      </c>
      <c r="X64" s="59">
        <f>SUMIFS(中层绩效!$W:$W,中层绩效!$B:$B,绩效明细表!$B64,中层绩效!$D:$D,"护士长")</f>
        <v>0</v>
      </c>
      <c r="Y64" s="63"/>
      <c r="Z64" s="59"/>
      <c r="AA64" s="62"/>
      <c r="AB64" s="59">
        <f t="shared" si="1"/>
        <v>14309.859824640002</v>
      </c>
    </row>
    <row r="65" spans="2:28" ht="27.15" customHeight="1" x14ac:dyDescent="0.25">
      <c r="B65" s="59" t="s">
        <v>45</v>
      </c>
      <c r="C65" s="59">
        <f>VLOOKUP(B:B,科室绩效工资核算2!B:C,2,0)*科室绩效工资核算1!AQ$10</f>
        <v>19874.805312000004</v>
      </c>
      <c r="D65" s="59">
        <f>VLOOKUP(B:B,科室绩效工资核算2!B:D,3,0)*科室绩效工资核算1!AQ$10</f>
        <v>0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>
        <f>SUMIFS(中层绩效!$W:$W,中层绩效!$B:$B,绩效明细表!$B65,中层绩效!$D:$D,"主任")</f>
        <v>2119.9792332800002</v>
      </c>
      <c r="W65" s="59">
        <f>SUMIFS(中层绩效!$W:$W,中层绩效!$B:$B,绩效明细表!$B65,中层绩效!$D:$D,"副主任")</f>
        <v>1722.4831270400005</v>
      </c>
      <c r="X65" s="59">
        <f>SUMIFS(中层绩效!$W:$W,中层绩效!$B:$B,绩效明细表!$B65,中层绩效!$D:$D,"护士长")</f>
        <v>0</v>
      </c>
      <c r="Y65" s="63"/>
      <c r="Z65" s="59"/>
      <c r="AA65" s="62"/>
      <c r="AB65" s="59">
        <f t="shared" si="1"/>
        <v>23717.267672320002</v>
      </c>
    </row>
    <row r="66" spans="2:28" ht="27.15" customHeight="1" x14ac:dyDescent="0.25">
      <c r="B66" s="59" t="s">
        <v>43</v>
      </c>
      <c r="C66" s="59">
        <f>VLOOKUP(B:B,科室绩效工资核算2!B:C,2,0)*科室绩效工资核算1!AQ$10</f>
        <v>25174.753395200001</v>
      </c>
      <c r="D66" s="59">
        <f>VLOOKUP(B:B,科室绩效工资核算2!B:D,3,0)*科室绩效工资核算1!AQ$10</f>
        <v>0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>
        <f>SUMIFS(中层绩效!$W:$W,中层绩效!$B:$B,绩效明细表!$B66,中层绩效!$D:$D,"主任")</f>
        <v>2318.7272864000001</v>
      </c>
      <c r="W66" s="59">
        <f>SUMIFS(中层绩效!$W:$W,中层绩效!$B:$B,绩效明细表!$B66,中层绩效!$D:$D,"副主任")</f>
        <v>1946.0746868000006</v>
      </c>
      <c r="X66" s="59">
        <f>SUMIFS(中层绩效!$W:$W,中层绩效!$B:$B,绩效明细表!$B66,中层绩效!$D:$D,"护士长")</f>
        <v>0</v>
      </c>
      <c r="Y66" s="63"/>
      <c r="Z66" s="59"/>
      <c r="AA66" s="62"/>
      <c r="AB66" s="59">
        <f t="shared" si="1"/>
        <v>29439.555368400004</v>
      </c>
    </row>
    <row r="67" spans="2:28" ht="27.15" customHeight="1" x14ac:dyDescent="0.25">
      <c r="B67" s="59" t="s">
        <v>33</v>
      </c>
      <c r="C67" s="59">
        <f>VLOOKUP(B:B,科室绩效工资核算2!B:C,2,0)*科室绩效工资核算1!AQ$10</f>
        <v>3105.4383300000004</v>
      </c>
      <c r="D67" s="59">
        <f>VLOOKUP(B:B,科室绩效工资核算2!B:D,3,0)*科室绩效工资核算1!AQ$10</f>
        <v>0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>
        <f>SUMIFS(中层绩效!$W:$W,中层绩效!$B:$B,绩效明细表!$B67,中层绩效!$D:$D,"主任")</f>
        <v>0</v>
      </c>
      <c r="W67" s="59">
        <f>SUMIFS(中层绩效!$W:$W,中层绩效!$B:$B,绩效明细表!$B67,中层绩效!$D:$D,"副主任")</f>
        <v>1614.8279316000003</v>
      </c>
      <c r="X67" s="59">
        <f>SUMIFS(中层绩效!$W:$W,中层绩效!$B:$B,绩效明细表!$B67,中层绩效!$D:$D,"护士长")</f>
        <v>0</v>
      </c>
      <c r="Y67" s="63"/>
      <c r="Z67" s="59"/>
      <c r="AA67" s="62"/>
      <c r="AB67" s="59">
        <f t="shared" ref="AB67:AB81" si="2">SUM(C67:X67)-Y67+Z67</f>
        <v>4720.2662616000007</v>
      </c>
    </row>
    <row r="68" spans="2:28" ht="27.15" customHeight="1" x14ac:dyDescent="0.25">
      <c r="B68" s="59" t="s">
        <v>140</v>
      </c>
      <c r="C68" s="59">
        <f>VLOOKUP(B:B,科室绩效工资核算2!B:C,2,0)*科室绩效工资核算1!AQ$10</f>
        <v>2649.9740416000004</v>
      </c>
      <c r="D68" s="59">
        <f>VLOOKUP(B:B,科室绩效工资核算2!B:D,3,0)*科室绩效工资核算1!AQ$10</f>
        <v>0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>
        <f>SUMIFS(中层绩效!$W:$W,中层绩效!$B:$B,绩效明细表!$B68,中层绩效!$D:$D,"主任")</f>
        <v>2119.9792332800002</v>
      </c>
      <c r="W68" s="59">
        <f>SUMIFS(中层绩效!$W:$W,中层绩效!$B:$B,绩效明细表!$B68,中层绩效!$D:$D,"副主任")</f>
        <v>0</v>
      </c>
      <c r="X68" s="59">
        <f>SUMIFS(中层绩效!$W:$W,中层绩效!$B:$B,绩效明细表!$B68,中层绩效!$D:$D,"护士长")</f>
        <v>0</v>
      </c>
      <c r="Y68" s="63"/>
      <c r="Z68" s="59"/>
      <c r="AA68" s="62"/>
      <c r="AB68" s="59">
        <f t="shared" si="2"/>
        <v>4769.9532748800011</v>
      </c>
    </row>
    <row r="69" spans="2:28" ht="27.15" customHeight="1" x14ac:dyDescent="0.25">
      <c r="B69" s="59" t="s">
        <v>39</v>
      </c>
      <c r="C69" s="59">
        <f>VLOOKUP(B:B,科室绩效工资核算2!B:C,2,0)*科室绩效工资核算1!AQ$10</f>
        <v>8695.2273240000013</v>
      </c>
      <c r="D69" s="59">
        <f>VLOOKUP(B:B,科室绩效工资核算2!B:D,3,0)*科室绩效工资核算1!AQ$10</f>
        <v>0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>
        <f>SUMIFS(中层绩效!$W:$W,中层绩效!$B:$B,绩效明细表!$B69,中层绩效!$D:$D,"主任")</f>
        <v>1545.8260974789919</v>
      </c>
      <c r="W69" s="59">
        <f>SUMIFS(中层绩效!$W:$W,中层绩效!$B:$B,绩效明细表!$B69,中层绩效!$D:$D,"副主任")</f>
        <v>1937.7935179200001</v>
      </c>
      <c r="X69" s="59">
        <f>SUMIFS(中层绩效!$W:$W,中层绩效!$B:$B,绩效明细表!$B69,中层绩效!$D:$D,"护士长")</f>
        <v>1614.8279316000003</v>
      </c>
      <c r="Y69" s="63"/>
      <c r="Z69" s="59"/>
      <c r="AA69" s="62"/>
      <c r="AB69" s="59">
        <f t="shared" si="2"/>
        <v>13793.674870998993</v>
      </c>
    </row>
    <row r="70" spans="2:28" ht="27.15" customHeight="1" x14ac:dyDescent="0.25">
      <c r="B70" s="59" t="s">
        <v>255</v>
      </c>
      <c r="C70" s="59">
        <f>VLOOKUP(B:B,科室绩效工资核算2!B:C,2,0)*科室绩效工资核算1!AQ$10</f>
        <v>0</v>
      </c>
      <c r="D70" s="59">
        <f>VLOOKUP(B:B,科室绩效工资核算2!B:D,3,0)*科室绩效工资核算1!AQ$10</f>
        <v>0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>
        <f>SUMIFS(中层绩效!$W:$W,中层绩效!$B:$B,绩效明细表!$B70,中层绩效!$D:$D,"主任")</f>
        <v>0</v>
      </c>
      <c r="W70" s="59">
        <f>SUMIFS(中层绩效!$W:$W,中层绩效!$B:$B,绩效明细表!$B70,中层绩效!$D:$D,"副主任")</f>
        <v>0</v>
      </c>
      <c r="X70" s="59">
        <f>SUMIFS(中层绩效!$W:$W,中层绩效!$B:$B,绩效明细表!$B70,中层绩效!$D:$D,"护士长")</f>
        <v>0</v>
      </c>
      <c r="Y70" s="63"/>
      <c r="Z70" s="59"/>
      <c r="AA70" s="62"/>
      <c r="AB70" s="59">
        <f t="shared" si="2"/>
        <v>0</v>
      </c>
    </row>
    <row r="71" spans="2:28" ht="27.15" customHeight="1" x14ac:dyDescent="0.25">
      <c r="B71" s="59" t="s">
        <v>141</v>
      </c>
      <c r="C71" s="59">
        <f>VLOOKUP(B:B,科室绩效工资核算2!B:C,2,0)*科室绩效工资核算1!AQ$10</f>
        <v>0</v>
      </c>
      <c r="D71" s="59">
        <f>VLOOKUP(B:B,科室绩效工资核算2!B:D,3,0)*科室绩效工资核算1!AQ$10</f>
        <v>0</v>
      </c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>
        <f>SUMIFS(中层绩效!$W:$W,中层绩效!$B:$B,绩效明细表!$B71,中层绩效!$D:$D,"主任")</f>
        <v>6052.4583210000001</v>
      </c>
      <c r="W71" s="59">
        <f>SUMIFS(中层绩效!$W:$W,中层绩效!$B:$B,绩效明细表!$B71,中层绩效!$D:$D,"副主任")</f>
        <v>2504.4823895000004</v>
      </c>
      <c r="X71" s="59">
        <f>SUMIFS(中层绩效!$W:$W,中层绩效!$B:$B,绩效明细表!$B71,中层绩效!$D:$D,"护士长")</f>
        <v>1722.4831270400005</v>
      </c>
      <c r="Y71" s="63"/>
      <c r="Z71" s="59"/>
      <c r="AA71" s="62"/>
      <c r="AB71" s="59">
        <f t="shared" si="2"/>
        <v>10279.423837540002</v>
      </c>
    </row>
    <row r="72" spans="2:28" ht="27.15" customHeight="1" x14ac:dyDescent="0.25">
      <c r="B72" s="60" t="s">
        <v>44</v>
      </c>
      <c r="C72" s="59">
        <f>VLOOKUP(B:B,科室绩效工资核算2!B:C,2,0)*科室绩效工资核算1!AQ$10</f>
        <v>0</v>
      </c>
      <c r="D72" s="59">
        <f>VLOOKUP(B:B,科室绩效工资核算2!B:D,3,0)*科室绩效工资核算1!AQ$10</f>
        <v>0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>
        <f>SUMIFS(中层绩效!$W:$W,中层绩效!$B:$B,绩效明细表!$B72,中层绩效!$D:$D,"主任")</f>
        <v>7224.9040306456045</v>
      </c>
      <c r="W72" s="59">
        <f>SUMIFS(中层绩效!$W:$W,中层绩效!$B:$B,绩效明细表!$B72,中层绩效!$D:$D,"副主任")</f>
        <v>0</v>
      </c>
      <c r="X72" s="59">
        <f>SUMIFS(中层绩效!$W:$W,中层绩效!$B:$B,绩效明细表!$B72,中层绩效!$D:$D,"护士长")</f>
        <v>0</v>
      </c>
      <c r="Y72" s="63"/>
      <c r="Z72" s="59"/>
      <c r="AA72" s="62"/>
      <c r="AB72" s="59">
        <f t="shared" si="2"/>
        <v>7224.9040306456045</v>
      </c>
    </row>
    <row r="73" spans="2:28" ht="27.15" customHeight="1" x14ac:dyDescent="0.25">
      <c r="B73" s="59" t="s">
        <v>254</v>
      </c>
      <c r="C73" s="59">
        <f>VLOOKUP(B:B,科室绩效工资核算2!B:C,2,0)*科室绩效工资核算1!AQ$10</f>
        <v>1324.9870208000002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>
        <f>SUMIFS(中层绩效!$W:$W,中层绩效!$B:$B,绩效明细表!$B73,中层绩效!$D:$D,"主任")</f>
        <v>4716.4066500000008</v>
      </c>
      <c r="W73" s="59">
        <f>SUMIFS(中层绩效!$W:$W,中层绩效!$B:$B,绩效明细表!$B73,中层绩效!$D:$D,"副主任")</f>
        <v>0</v>
      </c>
      <c r="X73" s="59">
        <f>SUMIFS(中层绩效!$W:$W,中层绩效!$B:$B,绩效明细表!$B73,中层绩效!$D:$D,"护士长")</f>
        <v>0</v>
      </c>
      <c r="Y73" s="59"/>
      <c r="Z73" s="59"/>
      <c r="AA73" s="62"/>
      <c r="AB73" s="59">
        <f t="shared" si="2"/>
        <v>6041.393670800001</v>
      </c>
    </row>
    <row r="74" spans="2:28" ht="27.15" customHeight="1" x14ac:dyDescent="0.25">
      <c r="B74" s="59" t="s">
        <v>142</v>
      </c>
      <c r="C74" s="59">
        <f>VLOOKUP(B:B,科室绩效工资核算2!B:C,2,0)*科室绩效工资核算1!AQ$10</f>
        <v>0</v>
      </c>
      <c r="D74" s="59">
        <f>VLOOKUP(B:B,科室绩效工资核算2!B:D,3,0)*科室绩效工资核算1!AQ$10</f>
        <v>14371.352000000001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3"/>
      <c r="Z74" s="59"/>
      <c r="AA74" s="62"/>
      <c r="AB74" s="59">
        <f t="shared" si="2"/>
        <v>14371.352000000001</v>
      </c>
    </row>
    <row r="75" spans="2:28" ht="27.15" customHeight="1" x14ac:dyDescent="0.25">
      <c r="B75" s="59" t="s">
        <v>143</v>
      </c>
      <c r="C75" s="59">
        <f>VLOOKUP(B:B,科室绩效工资核算2!B:C,2,0)*科室绩效工资核算1!AQ$10</f>
        <v>2649.9740416000004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3"/>
      <c r="Z75" s="59"/>
      <c r="AA75" s="62"/>
      <c r="AB75" s="59">
        <f t="shared" si="2"/>
        <v>2649.9740416000004</v>
      </c>
    </row>
    <row r="76" spans="2:28" ht="27.15" customHeight="1" x14ac:dyDescent="0.25">
      <c r="B76" s="59" t="s">
        <v>145</v>
      </c>
      <c r="C76" s="59">
        <f>VLOOKUP(B:B,科室绩效工资核算2!B:C,2,0)*科室绩效工资核算1!AQ$10</f>
        <v>9142.4104435200043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3"/>
      <c r="Z76" s="59"/>
      <c r="AA76" s="62"/>
      <c r="AB76" s="59">
        <f t="shared" si="2"/>
        <v>9142.4104435200043</v>
      </c>
    </row>
    <row r="77" spans="2:28" ht="27.15" customHeight="1" x14ac:dyDescent="0.25">
      <c r="B77" s="59" t="s">
        <v>146</v>
      </c>
      <c r="C77" s="59">
        <f>VLOOKUP(B:B,科室绩效工资核算2!B:C,2,0)*科室绩效工资核算1!AQ$10</f>
        <v>21796.036492160001</v>
      </c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3"/>
      <c r="Z77" s="59"/>
      <c r="AA77" s="62"/>
      <c r="AB77" s="59">
        <f t="shared" si="2"/>
        <v>21796.036492160001</v>
      </c>
    </row>
    <row r="78" spans="2:28" ht="27.15" customHeight="1" x14ac:dyDescent="0.25">
      <c r="B78" s="79" t="s">
        <v>419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79">
        <f>中层绩效!W110+中层绩效!W113+中层绩效!W116+中层绩效!W117</f>
        <v>39158.18151416209</v>
      </c>
      <c r="W78" s="59"/>
      <c r="X78" s="63"/>
      <c r="Y78" s="63"/>
      <c r="Z78" s="59"/>
      <c r="AA78" s="62"/>
      <c r="AB78" s="59">
        <f t="shared" si="2"/>
        <v>39158.18151416209</v>
      </c>
    </row>
    <row r="79" spans="2:28" ht="27.15" customHeight="1" x14ac:dyDescent="0.25">
      <c r="B79" s="79" t="s">
        <v>417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79">
        <f>中层绩效!W114</f>
        <v>9380.400260782968</v>
      </c>
      <c r="W79" s="59"/>
      <c r="X79" s="63"/>
      <c r="Y79" s="63"/>
      <c r="Z79" s="59"/>
      <c r="AA79" s="62"/>
      <c r="AB79" s="59">
        <f>SUM(D79:X79)-Y79+Z79</f>
        <v>9380.400260782968</v>
      </c>
    </row>
    <row r="80" spans="2:28" ht="27.15" customHeight="1" x14ac:dyDescent="0.25">
      <c r="B80" s="79" t="s">
        <v>70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79">
        <f>中层绩效!W111</f>
        <v>7224.9040306456045</v>
      </c>
      <c r="W80" s="59"/>
      <c r="X80" s="63"/>
      <c r="Y80" s="63"/>
      <c r="Z80" s="59"/>
      <c r="AA80" s="62"/>
      <c r="AB80" s="59">
        <f>SUM(D80:X80)-Y80+Z80</f>
        <v>7224.9040306456045</v>
      </c>
    </row>
    <row r="81" spans="2:28" ht="27.15" customHeight="1" x14ac:dyDescent="0.25">
      <c r="B81" s="59" t="s">
        <v>8</v>
      </c>
      <c r="C81" s="59">
        <f t="shared" ref="C81:J81" si="3">SUM(C3:C80)</f>
        <v>396251.96452840004</v>
      </c>
      <c r="D81" s="59">
        <f t="shared" si="3"/>
        <v>977004.09471999994</v>
      </c>
      <c r="E81" s="59">
        <f t="shared" si="3"/>
        <v>42716.046999999984</v>
      </c>
      <c r="F81" s="59">
        <f t="shared" si="3"/>
        <v>20425.391600000006</v>
      </c>
      <c r="G81" s="59">
        <f t="shared" si="3"/>
        <v>15648.207900000005</v>
      </c>
      <c r="H81" s="59">
        <f t="shared" si="3"/>
        <v>3393.8335000000006</v>
      </c>
      <c r="I81" s="59">
        <f t="shared" si="3"/>
        <v>18410.605500000001</v>
      </c>
      <c r="J81" s="59">
        <f t="shared" si="3"/>
        <v>10675.246800000001</v>
      </c>
      <c r="K81" s="59"/>
      <c r="L81" s="59">
        <f t="shared" ref="L81:Z81" si="4">SUM(L3:L80)</f>
        <v>3931.6835000000005</v>
      </c>
      <c r="M81" s="59">
        <f t="shared" si="4"/>
        <v>11043.136199999999</v>
      </c>
      <c r="N81" s="59">
        <f t="shared" si="4"/>
        <v>17559.726800000004</v>
      </c>
      <c r="O81" s="59">
        <f t="shared" si="4"/>
        <v>26850.547700000003</v>
      </c>
      <c r="P81" s="59">
        <f t="shared" si="4"/>
        <v>811.07780000000002</v>
      </c>
      <c r="Q81" s="59">
        <f t="shared" si="4"/>
        <v>72640.945300000007</v>
      </c>
      <c r="R81" s="59">
        <f t="shared" si="4"/>
        <v>51466.057573600003</v>
      </c>
      <c r="S81" s="59">
        <f t="shared" si="4"/>
        <v>23746.077499999999</v>
      </c>
      <c r="T81" s="59">
        <f t="shared" si="4"/>
        <v>8132.2920000000004</v>
      </c>
      <c r="U81" s="59">
        <f t="shared" si="4"/>
        <v>4517.9400000000005</v>
      </c>
      <c r="V81" s="59">
        <f>SUM(V3:V80)</f>
        <v>373360.5200659624</v>
      </c>
      <c r="W81" s="59">
        <f t="shared" si="4"/>
        <v>32389.379420140005</v>
      </c>
      <c r="X81" s="59">
        <f t="shared" si="4"/>
        <v>76155.608101945618</v>
      </c>
      <c r="Y81" s="59">
        <f t="shared" si="4"/>
        <v>0</v>
      </c>
      <c r="Z81" s="59">
        <f t="shared" si="4"/>
        <v>0</v>
      </c>
      <c r="AA81" s="62"/>
      <c r="AB81" s="59">
        <f t="shared" si="2"/>
        <v>2187130.383510048</v>
      </c>
    </row>
    <row r="82" spans="2:28" ht="27" customHeight="1" x14ac:dyDescent="0.25">
      <c r="C82" s="58">
        <v>414922.18458556489</v>
      </c>
      <c r="D82" s="58">
        <v>1058714.2210380165</v>
      </c>
      <c r="E82" s="58">
        <v>37707.03360000001</v>
      </c>
      <c r="F82" s="58">
        <v>17804.793600000005</v>
      </c>
      <c r="G82" s="58">
        <v>13993.7472</v>
      </c>
      <c r="H82" s="58">
        <v>3563.3087999999993</v>
      </c>
      <c r="I82" s="58">
        <v>14807.5072</v>
      </c>
      <c r="J82" s="58">
        <v>9717.5807999999997</v>
      </c>
      <c r="L82" s="58">
        <v>3480.0767999999989</v>
      </c>
      <c r="M82" s="58">
        <v>9969.2351999999992</v>
      </c>
      <c r="N82" s="58">
        <v>15140.390399999998</v>
      </c>
      <c r="O82" s="58">
        <v>22419.763199999994</v>
      </c>
      <c r="P82" s="58">
        <v>735.37919999999997</v>
      </c>
      <c r="Q82" s="58">
        <v>67309.228799999997</v>
      </c>
      <c r="R82" s="64">
        <v>47486.641599999995</v>
      </c>
      <c r="S82" s="58">
        <v>21615.839999999997</v>
      </c>
      <c r="T82" s="58">
        <v>7402.7519999999995</v>
      </c>
      <c r="U82" s="58">
        <v>4112.6400000000003</v>
      </c>
      <c r="V82" s="61"/>
      <c r="W82" s="58"/>
      <c r="Y82" s="61"/>
      <c r="Z82" s="65"/>
      <c r="AA82" s="58"/>
    </row>
    <row r="83" spans="2:28" ht="27" customHeight="1" x14ac:dyDescent="0.25">
      <c r="W83" s="58"/>
      <c r="Z83" s="58"/>
    </row>
    <row r="84" spans="2:28" ht="27" customHeight="1" x14ac:dyDescent="0.25">
      <c r="W84" s="58"/>
    </row>
  </sheetData>
  <mergeCells count="1">
    <mergeCell ref="B1:A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8"/>
  <sheetViews>
    <sheetView workbookViewId="0">
      <pane ySplit="3" topLeftCell="A84" activePane="bottomLeft" state="frozen"/>
      <selection pane="bottomLeft" activeCell="B32" sqref="B32"/>
    </sheetView>
  </sheetViews>
  <sheetFormatPr defaultRowHeight="14" x14ac:dyDescent="0.25"/>
  <cols>
    <col min="3" max="3" width="14.36328125" customWidth="1"/>
    <col min="4" max="4" width="18.1796875" customWidth="1"/>
    <col min="5" max="5" width="15.1796875" customWidth="1"/>
    <col min="6" max="6" width="15.08984375" customWidth="1"/>
    <col min="7" max="7" width="15.81640625" customWidth="1"/>
  </cols>
  <sheetData>
    <row r="2" spans="2:7" x14ac:dyDescent="0.25">
      <c r="B2" s="119" t="s">
        <v>246</v>
      </c>
      <c r="C2" s="120"/>
      <c r="D2" s="120"/>
      <c r="E2" s="120"/>
      <c r="F2" s="120"/>
      <c r="G2" s="120"/>
    </row>
    <row r="3" spans="2:7" x14ac:dyDescent="0.25">
      <c r="B3" s="5" t="s">
        <v>0</v>
      </c>
      <c r="C3" s="5" t="s">
        <v>428</v>
      </c>
      <c r="D3" s="5" t="s">
        <v>429</v>
      </c>
      <c r="E3" s="5" t="s">
        <v>432</v>
      </c>
      <c r="F3" s="30" t="s">
        <v>430</v>
      </c>
      <c r="G3" s="30" t="s">
        <v>431</v>
      </c>
    </row>
    <row r="4" spans="2:7" x14ac:dyDescent="0.25">
      <c r="B4" s="30" t="s">
        <v>78</v>
      </c>
      <c r="C4" s="5">
        <v>6</v>
      </c>
      <c r="D4" s="5">
        <v>6.69</v>
      </c>
      <c r="E4" s="5">
        <f>C4+D4</f>
        <v>12.690000000000001</v>
      </c>
      <c r="F4" s="5">
        <f>ROUND(IFERROR(VLOOKUP($B:$B,科室绩效工资核算2!$B:$Y,MATCH("医生基础绩效",科室绩效工资核算2!$B$3:$Y$3,0),0)/C4,0),0)</f>
        <v>2025</v>
      </c>
      <c r="G4" s="5">
        <f>ROUND(IFERROR(VLOOKUP($B:$B,科室绩效工资核算2!$B:$Y,MATCH("护士基础绩效",科室绩效工资核算2!$B$3:$Y$3,0),0)/D4,0),0)</f>
        <v>1237</v>
      </c>
    </row>
    <row r="5" spans="2:7" x14ac:dyDescent="0.25">
      <c r="B5" s="30" t="s">
        <v>79</v>
      </c>
      <c r="C5" s="5">
        <v>5</v>
      </c>
      <c r="D5" s="5">
        <v>6.69</v>
      </c>
      <c r="E5" s="5">
        <f t="shared" ref="E5:E68" si="0">C5+D5</f>
        <v>11.690000000000001</v>
      </c>
      <c r="F5" s="5">
        <f>ROUND(IFERROR(VLOOKUP($B:$B,科室绩效工资核算2!$B:$Y,MATCH("医生基础绩效",科室绩效工资核算2!$B$3:$Y$3,0),0)/C5,0),0)</f>
        <v>3146</v>
      </c>
      <c r="G5" s="5">
        <f>ROUND(IFERROR(VLOOKUP($B:$B,科室绩效工资核算2!$B:$Y,MATCH("护士基础绩效",科室绩效工资核算2!$B$3:$Y$3,0),0)/D5,0),0)</f>
        <v>1553</v>
      </c>
    </row>
    <row r="6" spans="2:7" x14ac:dyDescent="0.25">
      <c r="B6" s="30" t="s">
        <v>80</v>
      </c>
      <c r="C6" s="5">
        <v>5.5</v>
      </c>
      <c r="D6" s="5">
        <v>6.69</v>
      </c>
      <c r="E6" s="5">
        <f t="shared" si="0"/>
        <v>12.190000000000001</v>
      </c>
      <c r="F6" s="5">
        <f>ROUND(IFERROR(VLOOKUP($B:$B,科室绩效工资核算2!$B:$Y,MATCH("医生基础绩效",科室绩效工资核算2!$B$3:$Y$3,0),0)/C6,0),0)</f>
        <v>2128</v>
      </c>
      <c r="G6" s="5">
        <f>ROUND(IFERROR(VLOOKUP($B:$B,科室绩效工资核算2!$B:$Y,MATCH("护士基础绩效",科室绩效工资核算2!$B$3:$Y$3,0),0)/D6,0),0)</f>
        <v>1363</v>
      </c>
    </row>
    <row r="7" spans="2:7" x14ac:dyDescent="0.25">
      <c r="B7" s="30" t="s">
        <v>108</v>
      </c>
      <c r="C7" s="5">
        <v>11</v>
      </c>
      <c r="D7" s="5">
        <v>6.69</v>
      </c>
      <c r="E7" s="5">
        <f t="shared" si="0"/>
        <v>17.690000000000001</v>
      </c>
      <c r="F7" s="5">
        <f>ROUND(IFERROR(VLOOKUP($B:$B,科室绩效工资核算2!$B:$Y,MATCH("医生基础绩效",科室绩效工资核算2!$B$3:$Y$3,0),0)/C7,0),0)</f>
        <v>3196</v>
      </c>
      <c r="G7" s="5">
        <f>ROUND(IFERROR(VLOOKUP($B:$B,科室绩效工资核算2!$B:$Y,MATCH("护士基础绩效",科室绩效工资核算2!$B$3:$Y$3,0),0)/D7,0),0)</f>
        <v>2620</v>
      </c>
    </row>
    <row r="8" spans="2:7" x14ac:dyDescent="0.25">
      <c r="B8" s="30" t="s">
        <v>82</v>
      </c>
      <c r="C8" s="5">
        <v>4</v>
      </c>
      <c r="D8" s="5">
        <v>6.69</v>
      </c>
      <c r="E8" s="5">
        <f t="shared" si="0"/>
        <v>10.690000000000001</v>
      </c>
      <c r="F8" s="5">
        <f>ROUND(IFERROR(VLOOKUP($B:$B,科室绩效工资核算2!$B:$Y,MATCH("医生基础绩效",科室绩效工资核算2!$B$3:$Y$3,0),0)/C8,0),0)</f>
        <v>4278</v>
      </c>
      <c r="G8" s="5">
        <f>ROUND(IFERROR(VLOOKUP($B:$B,科室绩效工资核算2!$B:$Y,MATCH("护士基础绩效",科室绩效工资核算2!$B$3:$Y$3,0),0)/D8,0),0)</f>
        <v>1938</v>
      </c>
    </row>
    <row r="9" spans="2:7" x14ac:dyDescent="0.25">
      <c r="B9" s="30" t="s">
        <v>83</v>
      </c>
      <c r="C9" s="5">
        <v>5</v>
      </c>
      <c r="D9" s="5">
        <v>6.69</v>
      </c>
      <c r="E9" s="5">
        <f t="shared" si="0"/>
        <v>11.690000000000001</v>
      </c>
      <c r="F9" s="5">
        <f>ROUND(IFERROR(VLOOKUP($B:$B,科室绩效工资核算2!$B:$Y,MATCH("医生基础绩效",科室绩效工资核算2!$B$3:$Y$3,0),0)/C9,0),0)</f>
        <v>3288</v>
      </c>
      <c r="G9" s="5">
        <f>ROUND(IFERROR(VLOOKUP($B:$B,科室绩效工资核算2!$B:$Y,MATCH("护士基础绩效",科室绩效工资核算2!$B$3:$Y$3,0),0)/D9,0),0)</f>
        <v>1635</v>
      </c>
    </row>
    <row r="10" spans="2:7" x14ac:dyDescent="0.25">
      <c r="B10" s="30" t="s">
        <v>109</v>
      </c>
      <c r="C10" s="5">
        <v>6</v>
      </c>
      <c r="D10" s="5">
        <v>6.69</v>
      </c>
      <c r="E10" s="5">
        <f t="shared" si="0"/>
        <v>12.690000000000001</v>
      </c>
      <c r="F10" s="5">
        <f>ROUND(IFERROR(VLOOKUP($B:$B,科室绩效工资核算2!$B:$Y,MATCH("医生基础绩效",科室绩效工资核算2!$B$3:$Y$3,0),0)/C10,0),0)</f>
        <v>1899</v>
      </c>
      <c r="G10" s="5">
        <f>ROUND(IFERROR(VLOOKUP($B:$B,科室绩效工资核算2!$B:$Y,MATCH("护士基础绩效",科室绩效工资核算2!$B$3:$Y$3,0),0)/D10,0),0)</f>
        <v>1224</v>
      </c>
    </row>
    <row r="11" spans="2:7" x14ac:dyDescent="0.25">
      <c r="B11" s="30" t="s">
        <v>84</v>
      </c>
      <c r="C11" s="5">
        <v>7</v>
      </c>
      <c r="D11" s="5">
        <v>6.69</v>
      </c>
      <c r="E11" s="5">
        <f t="shared" si="0"/>
        <v>13.690000000000001</v>
      </c>
      <c r="F11" s="5">
        <f>ROUND(IFERROR(VLOOKUP($B:$B,科室绩效工资核算2!$B:$Y,MATCH("医生基础绩效",科室绩效工资核算2!$B$3:$Y$3,0),0)/C11,0),0)</f>
        <v>2667</v>
      </c>
      <c r="G11" s="5">
        <f>ROUND(IFERROR(VLOOKUP($B:$B,科室绩效工资核算2!$B:$Y,MATCH("护士基础绩效",科室绩效工资核算2!$B$3:$Y$3,0),0)/D11,0),0)</f>
        <v>1877</v>
      </c>
    </row>
    <row r="12" spans="2:7" x14ac:dyDescent="0.25">
      <c r="B12" s="30" t="s">
        <v>85</v>
      </c>
      <c r="C12" s="5">
        <v>8</v>
      </c>
      <c r="D12" s="5">
        <v>6.69</v>
      </c>
      <c r="E12" s="5">
        <f t="shared" si="0"/>
        <v>14.690000000000001</v>
      </c>
      <c r="F12" s="5">
        <f>ROUND(IFERROR(VLOOKUP($B:$B,科室绩效工资核算2!$B:$Y,MATCH("医生基础绩效",科室绩效工资核算2!$B$3:$Y$3,0),0)/C12,0),0)</f>
        <v>1806</v>
      </c>
      <c r="G12" s="5">
        <f>ROUND(IFERROR(VLOOKUP($B:$B,科室绩效工资核算2!$B:$Y,MATCH("护士基础绩效",科室绩效工资核算2!$B$3:$Y$3,0),0)/D12,0),0)</f>
        <v>1317</v>
      </c>
    </row>
    <row r="13" spans="2:7" x14ac:dyDescent="0.25">
      <c r="B13" s="30" t="s">
        <v>86</v>
      </c>
      <c r="C13" s="5">
        <v>9</v>
      </c>
      <c r="D13" s="5">
        <v>6.69</v>
      </c>
      <c r="E13" s="5">
        <f t="shared" si="0"/>
        <v>15.690000000000001</v>
      </c>
      <c r="F13" s="5">
        <f>ROUND(IFERROR(VLOOKUP($B:$B,科室绩效工资核算2!$B:$Y,MATCH("医生基础绩效",科室绩效工资核算2!$B$3:$Y$3,0),0)/C13,0),0)</f>
        <v>936</v>
      </c>
      <c r="G13" s="5">
        <f>ROUND(IFERROR(VLOOKUP($B:$B,科室绩效工资核算2!$B:$Y,MATCH("护士基础绩效",科室绩效工资核算2!$B$3:$Y$3,0),0)/D13,0),0)</f>
        <v>707</v>
      </c>
    </row>
    <row r="14" spans="2:7" x14ac:dyDescent="0.25">
      <c r="B14" s="30" t="s">
        <v>87</v>
      </c>
      <c r="C14" s="5">
        <v>10</v>
      </c>
      <c r="D14" s="5">
        <v>6.69</v>
      </c>
      <c r="E14" s="5">
        <f t="shared" si="0"/>
        <v>16.690000000000001</v>
      </c>
      <c r="F14" s="5">
        <f>ROUND(IFERROR(VLOOKUP($B:$B,科室绩效工资核算2!$B:$Y,MATCH("医生基础绩效",科室绩效工资核算2!$B$3:$Y$3,0),0)/C14,0),0)</f>
        <v>1162</v>
      </c>
      <c r="G14" s="5">
        <f>ROUND(IFERROR(VLOOKUP($B:$B,科室绩效工资核算2!$B:$Y,MATCH("护士基础绩效",科室绩效工资核算2!$B$3:$Y$3,0),0)/D14,0),0)</f>
        <v>647</v>
      </c>
    </row>
    <row r="15" spans="2:7" x14ac:dyDescent="0.25">
      <c r="B15" s="30" t="s">
        <v>88</v>
      </c>
      <c r="C15" s="5">
        <v>3</v>
      </c>
      <c r="D15" s="5">
        <v>6.69</v>
      </c>
      <c r="E15" s="5">
        <f t="shared" si="0"/>
        <v>9.6900000000000013</v>
      </c>
      <c r="F15" s="5">
        <f>ROUND(IFERROR(VLOOKUP($B:$B,科室绩效工资核算2!$B:$Y,MATCH("医生基础绩效",科室绩效工资核算2!$B$3:$Y$3,0),0)/C15,0),0)</f>
        <v>1516</v>
      </c>
      <c r="G15" s="5">
        <f>ROUND(IFERROR(VLOOKUP($B:$B,科室绩效工资核算2!$B:$Y,MATCH("护士基础绩效",科室绩效工资核算2!$B$3:$Y$3,0),0)/D15,0),0)</f>
        <v>385</v>
      </c>
    </row>
    <row r="16" spans="2:7" x14ac:dyDescent="0.25">
      <c r="B16" s="30" t="s">
        <v>101</v>
      </c>
      <c r="C16" s="5">
        <v>3.97</v>
      </c>
      <c r="D16" s="5">
        <v>6.69</v>
      </c>
      <c r="E16" s="5">
        <f t="shared" si="0"/>
        <v>10.66</v>
      </c>
      <c r="F16" s="5">
        <f>ROUND(IFERROR(VLOOKUP($B:$B,科室绩效工资核算2!$B:$Y,MATCH("医生基础绩效",科室绩效工资核算2!$B$3:$Y$3,0),0)/C16,0),0)</f>
        <v>1816</v>
      </c>
      <c r="G16" s="5">
        <f>ROUND(IFERROR(VLOOKUP($B:$B,科室绩效工资核算2!$B:$Y,MATCH("护士基础绩效",科室绩效工资核算2!$B$3:$Y$3,0),0)/D16,0),0)</f>
        <v>1367</v>
      </c>
    </row>
    <row r="17" spans="2:7" x14ac:dyDescent="0.25">
      <c r="B17" s="30" t="s">
        <v>89</v>
      </c>
      <c r="C17" s="5">
        <v>8</v>
      </c>
      <c r="D17" s="5">
        <v>6.69</v>
      </c>
      <c r="E17" s="5">
        <f t="shared" si="0"/>
        <v>14.690000000000001</v>
      </c>
      <c r="F17" s="5">
        <f>ROUND(IFERROR(VLOOKUP($B:$B,科室绩效工资核算2!$B:$Y,MATCH("医生基础绩效",科室绩效工资核算2!$B$3:$Y$3,0),0)/C17,0),0)</f>
        <v>4005</v>
      </c>
      <c r="G17" s="5">
        <f>ROUND(IFERROR(VLOOKUP($B:$B,科室绩效工资核算2!$B:$Y,MATCH("护士基础绩效",科室绩效工资核算2!$B$3:$Y$3,0),0)/D17,0),0)</f>
        <v>3697</v>
      </c>
    </row>
    <row r="18" spans="2:7" x14ac:dyDescent="0.25">
      <c r="B18" s="30" t="s">
        <v>110</v>
      </c>
      <c r="C18" s="5">
        <v>8.4666666666666668</v>
      </c>
      <c r="D18" s="5">
        <v>6.69</v>
      </c>
      <c r="E18" s="5">
        <f t="shared" si="0"/>
        <v>15.156666666666666</v>
      </c>
      <c r="F18" s="5">
        <f>ROUND(IFERROR(VLOOKUP($B:$B,科室绩效工资核算2!$B:$Y,MATCH("医生基础绩效",科室绩效工资核算2!$B$3:$Y$3,0),0)/C18,0),0)</f>
        <v>2102</v>
      </c>
      <c r="G18" s="5">
        <f>ROUND(IFERROR(VLOOKUP($B:$B,科室绩效工资核算2!$B:$Y,MATCH("护士基础绩效",科室绩效工资核算2!$B$3:$Y$3,0),0)/D18,0),0)</f>
        <v>2363</v>
      </c>
    </row>
    <row r="19" spans="2:7" x14ac:dyDescent="0.25">
      <c r="B19" s="30" t="s">
        <v>111</v>
      </c>
      <c r="C19" s="5">
        <v>4</v>
      </c>
      <c r="D19" s="5">
        <v>6.69</v>
      </c>
      <c r="E19" s="5">
        <f t="shared" si="0"/>
        <v>10.690000000000001</v>
      </c>
      <c r="F19" s="5">
        <f>ROUND(IFERROR(VLOOKUP($B:$B,科室绩效工资核算2!$B:$Y,MATCH("医生基础绩效",科室绩效工资核算2!$B$3:$Y$3,0),0)/C19,0),0)</f>
        <v>2674</v>
      </c>
      <c r="G19" s="5">
        <f>ROUND(IFERROR(VLOOKUP($B:$B,科室绩效工资核算2!$B:$Y,MATCH("护士基础绩效",科室绩效工资核算2!$B$3:$Y$3,0),0)/D19,0),0)</f>
        <v>1961</v>
      </c>
    </row>
    <row r="20" spans="2:7" x14ac:dyDescent="0.25">
      <c r="B20" s="30" t="s">
        <v>90</v>
      </c>
      <c r="C20" s="5">
        <v>3.5</v>
      </c>
      <c r="D20" s="5">
        <v>6.69</v>
      </c>
      <c r="E20" s="5">
        <f t="shared" si="0"/>
        <v>10.190000000000001</v>
      </c>
      <c r="F20" s="5">
        <f>ROUND(IFERROR(VLOOKUP($B:$B,科室绩效工资核算2!$B:$Y,MATCH("医生基础绩效",科室绩效工资核算2!$B$3:$Y$3,0),0)/C20,0),0)</f>
        <v>2887</v>
      </c>
      <c r="G20" s="5">
        <f>ROUND(IFERROR(VLOOKUP($B:$B,科室绩效工资核算2!$B:$Y,MATCH("护士基础绩效",科室绩效工资核算2!$B$3:$Y$3,0),0)/D20,0),0)</f>
        <v>1712</v>
      </c>
    </row>
    <row r="21" spans="2:7" x14ac:dyDescent="0.25">
      <c r="B21" s="30" t="s">
        <v>91</v>
      </c>
      <c r="C21" s="5">
        <v>4.5</v>
      </c>
      <c r="D21" s="5">
        <v>17.040000000000003</v>
      </c>
      <c r="E21" s="5">
        <f t="shared" si="0"/>
        <v>21.540000000000003</v>
      </c>
      <c r="F21" s="5">
        <f>ROUND(IFERROR(VLOOKUP($B:$B,科室绩效工资核算2!$B:$Y,MATCH("医生基础绩效",科室绩效工资核算2!$B$3:$Y$3,0),0)/C21,0),0)</f>
        <v>2557</v>
      </c>
      <c r="G21" s="5">
        <f>ROUND(IFERROR(VLOOKUP($B:$B,科室绩效工资核算2!$B:$Y,MATCH("护士基础绩效",科室绩效工资核算2!$B$3:$Y$3,0),0)/D21,0),0)</f>
        <v>1794</v>
      </c>
    </row>
    <row r="22" spans="2:7" x14ac:dyDescent="0.25">
      <c r="B22" s="30" t="s">
        <v>92</v>
      </c>
      <c r="C22" s="5">
        <v>5.5</v>
      </c>
      <c r="D22" s="5">
        <v>1.8744000000000001</v>
      </c>
      <c r="E22" s="5">
        <f t="shared" si="0"/>
        <v>7.3743999999999996</v>
      </c>
      <c r="F22" s="5">
        <f>ROUND(IFERROR(VLOOKUP($B:$B,科室绩效工资核算2!$B:$Y,MATCH("医生基础绩效",科室绩效工资核算2!$B$3:$Y$3,0),0)/C22,0),0)</f>
        <v>1731</v>
      </c>
      <c r="G22" s="5">
        <f>ROUND(IFERROR(VLOOKUP($B:$B,科室绩效工资核算2!$B:$Y,MATCH("护士基础绩效",科室绩效工资核算2!$B$3:$Y$3,0),0)/D22,0),0)</f>
        <v>1501</v>
      </c>
    </row>
    <row r="23" spans="2:7" x14ac:dyDescent="0.25">
      <c r="B23" s="30" t="s">
        <v>93</v>
      </c>
      <c r="C23" s="5">
        <v>6.5</v>
      </c>
      <c r="D23" s="5">
        <v>4.5</v>
      </c>
      <c r="E23" s="5">
        <f t="shared" si="0"/>
        <v>11</v>
      </c>
      <c r="F23" s="5">
        <f>ROUND(IFERROR(VLOOKUP($B:$B,科室绩效工资核算2!$B:$Y,MATCH("医生基础绩效",科室绩效工资核算2!$B$3:$Y$3,0),0)/C23,0),0)</f>
        <v>2433</v>
      </c>
      <c r="G23" s="5">
        <f>ROUND(IFERROR(VLOOKUP($B:$B,科室绩效工资核算2!$B:$Y,MATCH("护士基础绩效",科室绩效工资核算2!$B$3:$Y$3,0),0)/D23,0),0)</f>
        <v>2010</v>
      </c>
    </row>
    <row r="24" spans="2:7" x14ac:dyDescent="0.25">
      <c r="B24" s="30" t="s">
        <v>94</v>
      </c>
      <c r="C24" s="5">
        <v>7.5</v>
      </c>
      <c r="D24" s="5">
        <v>8.1</v>
      </c>
      <c r="E24" s="5">
        <f t="shared" si="0"/>
        <v>15.6</v>
      </c>
      <c r="F24" s="5">
        <f>ROUND(IFERROR(VLOOKUP($B:$B,科室绩效工资核算2!$B:$Y,MATCH("医生基础绩效",科室绩效工资核算2!$B$3:$Y$3,0),0)/C24,0),0)</f>
        <v>312</v>
      </c>
      <c r="G24" s="5">
        <f>ROUND(IFERROR(VLOOKUP($B:$B,科室绩效工资核算2!$B:$Y,MATCH("护士基础绩效",科室绩效工资核算2!$B$3:$Y$3,0),0)/D24,0),0)</f>
        <v>312</v>
      </c>
    </row>
    <row r="25" spans="2:7" x14ac:dyDescent="0.25">
      <c r="B25" s="30" t="s">
        <v>104</v>
      </c>
      <c r="C25" s="5">
        <v>8.5</v>
      </c>
      <c r="D25" s="5">
        <v>8.1000000000000014</v>
      </c>
      <c r="E25" s="5">
        <f t="shared" si="0"/>
        <v>16.600000000000001</v>
      </c>
      <c r="F25" s="5">
        <f>ROUND(IFERROR(VLOOKUP($B:$B,科室绩效工资核算2!$B:$Y,MATCH("医生基础绩效",科室绩效工资核算2!$B$3:$Y$3,0),0)/C25,0),0)</f>
        <v>2057</v>
      </c>
      <c r="G25" s="5">
        <f>ROUND(IFERROR(VLOOKUP($B:$B,科室绩效工资核算2!$B:$Y,MATCH("护士基础绩效",科室绩效工资核算2!$B$3:$Y$3,0),0)/D25,0),0)</f>
        <v>2057</v>
      </c>
    </row>
    <row r="26" spans="2:7" x14ac:dyDescent="0.25">
      <c r="B26" s="30" t="s">
        <v>95</v>
      </c>
      <c r="C26" s="5">
        <v>9.5</v>
      </c>
      <c r="D26" s="5">
        <v>11.7</v>
      </c>
      <c r="E26" s="5">
        <f t="shared" si="0"/>
        <v>21.2</v>
      </c>
      <c r="F26" s="5">
        <f>ROUND(IFERROR(VLOOKUP($B:$B,科室绩效工资核算2!$B:$Y,MATCH("医生基础绩效",科室绩效工资核算2!$B$3:$Y$3,0),0)/C26,0),0)</f>
        <v>1590</v>
      </c>
      <c r="G26" s="5">
        <f>ROUND(IFERROR(VLOOKUP($B:$B,科室绩效工资核算2!$B:$Y,MATCH("护士基础绩效",科室绩效工资核算2!$B$3:$Y$3,0),0)/D26,0),0)</f>
        <v>1590</v>
      </c>
    </row>
    <row r="27" spans="2:7" x14ac:dyDescent="0.25">
      <c r="B27" s="30" t="s">
        <v>100</v>
      </c>
      <c r="C27" s="5">
        <v>10.5</v>
      </c>
      <c r="D27" s="5">
        <v>0</v>
      </c>
      <c r="E27" s="5">
        <f t="shared" si="0"/>
        <v>10.5</v>
      </c>
      <c r="F27" s="5">
        <f>ROUND(IFERROR(VLOOKUP($B:$B,科室绩效工资核算2!$B:$Y,MATCH("医生基础绩效",科室绩效工资核算2!$B$3:$Y$3,0),0)/C27,0),0)</f>
        <v>766</v>
      </c>
      <c r="G27" s="5">
        <f>ROUND(IFERROR(VLOOKUP($B:$B,科室绩效工资核算2!$B:$Y,MATCH("护士基础绩效",科室绩效工资核算2!$B$3:$Y$3,0),0)/D27,0),0)</f>
        <v>0</v>
      </c>
    </row>
    <row r="28" spans="2:7" x14ac:dyDescent="0.25">
      <c r="B28" s="30" t="s">
        <v>105</v>
      </c>
      <c r="C28" s="5">
        <v>6.9</v>
      </c>
      <c r="D28" s="5">
        <v>0</v>
      </c>
      <c r="E28" s="5">
        <f t="shared" si="0"/>
        <v>6.9</v>
      </c>
      <c r="F28" s="5">
        <f>ROUND(IFERROR(VLOOKUP($B:$B,科室绩效工资核算2!$B:$Y,MATCH("医生基础绩效",科室绩效工资核算2!$B$3:$Y$3,0),0)/C28,0),0)</f>
        <v>3535</v>
      </c>
      <c r="G28" s="5">
        <f>ROUND(IFERROR(VLOOKUP($B:$B,科室绩效工资核算2!$B:$Y,MATCH("护士基础绩效",科室绩效工资核算2!$B$3:$Y$3,0),0)/D28,0),0)</f>
        <v>0</v>
      </c>
    </row>
    <row r="29" spans="2:7" x14ac:dyDescent="0.25">
      <c r="B29" s="30" t="s">
        <v>103</v>
      </c>
      <c r="C29" s="5">
        <v>6</v>
      </c>
      <c r="D29" s="5">
        <v>0</v>
      </c>
      <c r="E29" s="5">
        <f t="shared" si="0"/>
        <v>6</v>
      </c>
      <c r="F29" s="5">
        <f>ROUND(IFERROR(VLOOKUP($B:$B,科室绩效工资核算2!$B:$Y,MATCH("医生基础绩效",科室绩效工资核算2!$B$3:$Y$3,0),0)/C29,0),0)</f>
        <v>897</v>
      </c>
      <c r="G29" s="5">
        <f>ROUND(IFERROR(VLOOKUP($B:$B,科室绩效工资核算2!$B:$Y,MATCH("护士基础绩效",科室绩效工资核算2!$B$3:$Y$3,0),0)/D29,0),0)</f>
        <v>0</v>
      </c>
    </row>
    <row r="30" spans="2:7" x14ac:dyDescent="0.25">
      <c r="B30" s="30" t="s">
        <v>102</v>
      </c>
      <c r="C30" s="5">
        <v>3.5</v>
      </c>
      <c r="D30" s="5">
        <v>3.6</v>
      </c>
      <c r="E30" s="5">
        <f t="shared" si="0"/>
        <v>7.1</v>
      </c>
      <c r="F30" s="5">
        <f>ROUND(IFERROR(VLOOKUP($B:$B,科室绩效工资核算2!$B:$Y,MATCH("医生基础绩效",科室绩效工资核算2!$B$3:$Y$3,0),0)/C30,0),0)</f>
        <v>4028</v>
      </c>
      <c r="G30" s="5">
        <f>ROUND(IFERROR(VLOOKUP($B:$B,科室绩效工资核算2!$B:$Y,MATCH("护士基础绩效",科室绩效工资核算2!$B$3:$Y$3,0),0)/D30,0),0)</f>
        <v>2351</v>
      </c>
    </row>
    <row r="31" spans="2:7" x14ac:dyDescent="0.25">
      <c r="B31" s="30" t="s">
        <v>112</v>
      </c>
      <c r="C31" s="5">
        <v>4</v>
      </c>
      <c r="D31" s="5">
        <v>0</v>
      </c>
      <c r="E31" s="5">
        <f t="shared" si="0"/>
        <v>4</v>
      </c>
      <c r="F31" s="5">
        <f>ROUND(IFERROR(VLOOKUP($B:$B,科室绩效工资核算2!$B:$Y,MATCH("医生基础绩效",科室绩效工资核算2!$B$3:$Y$3,0),0)/C31,0),0)</f>
        <v>6795</v>
      </c>
      <c r="G31" s="5">
        <f>ROUND(IFERROR(VLOOKUP($B:$B,科室绩效工资核算2!$B:$Y,MATCH("护士基础绩效",科室绩效工资核算2!$B$3:$Y$3,0),0)/D31,0),0)</f>
        <v>0</v>
      </c>
    </row>
    <row r="32" spans="2:7" x14ac:dyDescent="0.25">
      <c r="B32" s="30" t="s">
        <v>621</v>
      </c>
      <c r="C32" s="5">
        <v>1</v>
      </c>
      <c r="D32" s="5">
        <v>0</v>
      </c>
      <c r="E32" s="5">
        <f t="shared" si="0"/>
        <v>1</v>
      </c>
      <c r="F32" s="5">
        <f>ROUND(IFERROR(VLOOKUP($B:$B,科室绩效工资核算2!$B:$Y,MATCH("医生基础绩效",科室绩效工资核算2!$B$3:$Y$3,0),0)/C32,0),0)</f>
        <v>3785</v>
      </c>
      <c r="G32" s="5">
        <f>ROUND(IFERROR(VLOOKUP($B:$B,科室绩效工资核算2!$B:$Y,MATCH("护士基础绩效",科室绩效工资核算2!$B$3:$Y$3,0),0)/D32,0),0)</f>
        <v>0</v>
      </c>
    </row>
    <row r="33" spans="2:7" x14ac:dyDescent="0.25">
      <c r="B33" s="30" t="s">
        <v>622</v>
      </c>
      <c r="C33" s="5">
        <v>2</v>
      </c>
      <c r="D33" s="5">
        <v>0</v>
      </c>
      <c r="E33" s="5">
        <f t="shared" si="0"/>
        <v>2</v>
      </c>
      <c r="F33" s="5">
        <f>ROUND(IFERROR(VLOOKUP($B:$B,科室绩效工资核算2!$B:$Y,MATCH("医生基础绩效",科室绩效工资核算2!$B$3:$Y$3,0),0)/C33,0),0)</f>
        <v>1750</v>
      </c>
      <c r="G33" s="5">
        <f>ROUND(IFERROR(VLOOKUP($B:$B,科室绩效工资核算2!$B:$Y,MATCH("护士基础绩效",科室绩效工资核算2!$B$3:$Y$3,0),0)/D33,0),0)</f>
        <v>0</v>
      </c>
    </row>
    <row r="34" spans="2:7" x14ac:dyDescent="0.25">
      <c r="B34" s="30" t="s">
        <v>623</v>
      </c>
      <c r="C34" s="5">
        <v>3</v>
      </c>
      <c r="D34" s="5">
        <v>0</v>
      </c>
      <c r="E34" s="5">
        <f t="shared" si="0"/>
        <v>3</v>
      </c>
      <c r="F34" s="5">
        <f>ROUND(IFERROR(VLOOKUP($B:$B,科室绩效工资核算2!$B:$Y,MATCH("医生基础绩效",科室绩效工资核算2!$B$3:$Y$3,0),0)/C34,0),0)</f>
        <v>2481</v>
      </c>
      <c r="G34" s="5">
        <f>ROUND(IFERROR(VLOOKUP($B:$B,科室绩效工资核算2!$B:$Y,MATCH("护士基础绩效",科室绩效工资核算2!$B$3:$Y$3,0),0)/D34,0),0)</f>
        <v>0</v>
      </c>
    </row>
    <row r="35" spans="2:7" x14ac:dyDescent="0.25">
      <c r="B35" s="30" t="s">
        <v>113</v>
      </c>
      <c r="C35" s="5">
        <v>4</v>
      </c>
      <c r="D35" s="5">
        <v>0</v>
      </c>
      <c r="E35" s="5">
        <f t="shared" si="0"/>
        <v>4</v>
      </c>
      <c r="F35" s="5">
        <f>ROUND(IFERROR(VLOOKUP($B:$B,科室绩效工资核算2!$B:$Y,MATCH("医生基础绩效",科室绩效工资核算2!$B$3:$Y$3,0),0)/C35,0),0)</f>
        <v>889</v>
      </c>
      <c r="G35" s="5">
        <f>ROUND(IFERROR(VLOOKUP($B:$B,科室绩效工资核算2!$B:$Y,MATCH("护士基础绩效",科室绩效工资核算2!$B$3:$Y$3,0),0)/D35,0),0)</f>
        <v>0</v>
      </c>
    </row>
    <row r="36" spans="2:7" x14ac:dyDescent="0.25">
      <c r="B36" s="30" t="s">
        <v>114</v>
      </c>
      <c r="C36" s="5">
        <v>5</v>
      </c>
      <c r="D36" s="5">
        <v>0</v>
      </c>
      <c r="E36" s="5">
        <f t="shared" si="0"/>
        <v>5</v>
      </c>
      <c r="F36" s="5">
        <f>ROUND(IFERROR(VLOOKUP($B:$B,科室绩效工资核算2!$B:$Y,MATCH("医生基础绩效",科室绩效工资核算2!$B$3:$Y$3,0),0)/C36,0),0)</f>
        <v>-2791</v>
      </c>
      <c r="G36" s="5">
        <f>ROUND(IFERROR(VLOOKUP($B:$B,科室绩效工资核算2!$B:$Y,MATCH("护士基础绩效",科室绩效工资核算2!$B$3:$Y$3,0),0)/D36,0),0)</f>
        <v>0</v>
      </c>
    </row>
    <row r="37" spans="2:7" x14ac:dyDescent="0.25">
      <c r="B37" s="30" t="s">
        <v>115</v>
      </c>
      <c r="C37" s="5">
        <v>6</v>
      </c>
      <c r="D37" s="5">
        <v>0</v>
      </c>
      <c r="E37" s="5">
        <f t="shared" si="0"/>
        <v>6</v>
      </c>
      <c r="F37" s="5">
        <f>ROUND(IFERROR(VLOOKUP($B:$B,科室绩效工资核算2!$B:$Y,MATCH("医生基础绩效",科室绩效工资核算2!$B$3:$Y$3,0),0)/C37,0),0)</f>
        <v>1388</v>
      </c>
      <c r="G37" s="5">
        <f>ROUND(IFERROR(VLOOKUP($B:$B,科室绩效工资核算2!$B:$Y,MATCH("护士基础绩效",科室绩效工资核算2!$B$3:$Y$3,0),0)/D37,0),0)</f>
        <v>0</v>
      </c>
    </row>
    <row r="38" spans="2:7" x14ac:dyDescent="0.25">
      <c r="B38" s="30" t="s">
        <v>116</v>
      </c>
      <c r="C38" s="5">
        <v>7</v>
      </c>
      <c r="D38" s="5">
        <v>0</v>
      </c>
      <c r="E38" s="5">
        <f t="shared" si="0"/>
        <v>7</v>
      </c>
      <c r="F38" s="5">
        <f>ROUND(IFERROR(VLOOKUP($B:$B,科室绩效工资核算2!$B:$Y,MATCH("医生基础绩效",科室绩效工资核算2!$B$3:$Y$3,0),0)/C38,0),0)</f>
        <v>1500</v>
      </c>
      <c r="G38" s="5">
        <f>ROUND(IFERROR(VLOOKUP($B:$B,科室绩效工资核算2!$B:$Y,MATCH("护士基础绩效",科室绩效工资核算2!$B$3:$Y$3,0),0)/D38,0),0)</f>
        <v>0</v>
      </c>
    </row>
    <row r="39" spans="2:7" x14ac:dyDescent="0.25">
      <c r="B39" s="30" t="s">
        <v>117</v>
      </c>
      <c r="C39" s="5">
        <v>8</v>
      </c>
      <c r="D39" s="5">
        <v>12.6</v>
      </c>
      <c r="E39" s="5">
        <f t="shared" si="0"/>
        <v>20.6</v>
      </c>
      <c r="F39" s="5">
        <f>ROUND(IFERROR(VLOOKUP($B:$B,科室绩效工资核算2!$B:$Y,MATCH("医生基础绩效",科室绩效工资核算2!$B$3:$Y$3,0),0)/C39,0),0)</f>
        <v>304</v>
      </c>
      <c r="G39" s="5">
        <f>ROUND(IFERROR(VLOOKUP($B:$B,科室绩效工资核算2!$B:$Y,MATCH("护士基础绩效",科室绩效工资核算2!$B$3:$Y$3,0),0)/D39,0),0)</f>
        <v>304</v>
      </c>
    </row>
    <row r="40" spans="2:7" x14ac:dyDescent="0.25">
      <c r="B40" s="30" t="s">
        <v>118</v>
      </c>
      <c r="C40" s="5">
        <v>9</v>
      </c>
      <c r="D40" s="5">
        <v>0</v>
      </c>
      <c r="E40" s="5">
        <f t="shared" si="0"/>
        <v>9</v>
      </c>
      <c r="F40" s="5">
        <f>ROUND(IFERROR(VLOOKUP($B:$B,科室绩效工资核算2!$B:$Y,MATCH("医生基础绩效",科室绩效工资核算2!$B$3:$Y$3,0),0)/C40,0),0)</f>
        <v>8478</v>
      </c>
      <c r="G40" s="5">
        <f>ROUND(IFERROR(VLOOKUP($B:$B,科室绩效工资核算2!$B:$Y,MATCH("护士基础绩效",科室绩效工资核算2!$B$3:$Y$3,0),0)/D40,0),0)</f>
        <v>0</v>
      </c>
    </row>
    <row r="41" spans="2:7" x14ac:dyDescent="0.25">
      <c r="B41" s="30" t="s">
        <v>119</v>
      </c>
      <c r="C41" s="5">
        <v>10</v>
      </c>
      <c r="D41" s="5">
        <v>0</v>
      </c>
      <c r="E41" s="5">
        <f t="shared" si="0"/>
        <v>10</v>
      </c>
      <c r="F41" s="5">
        <f>ROUND(IFERROR(VLOOKUP($B:$B,科室绩效工资核算2!$B:$Y,MATCH("医生基础绩效",科室绩效工资核算2!$B$3:$Y$3,0),0)/C41,0),0)</f>
        <v>1372</v>
      </c>
      <c r="G41" s="5">
        <f>ROUND(IFERROR(VLOOKUP($B:$B,科室绩效工资核算2!$B:$Y,MATCH("护士基础绩效",科室绩效工资核算2!$B$3:$Y$3,0),0)/D41,0),0)</f>
        <v>0</v>
      </c>
    </row>
    <row r="42" spans="2:7" x14ac:dyDescent="0.25">
      <c r="B42" s="30" t="s">
        <v>120</v>
      </c>
      <c r="C42" s="5">
        <v>11</v>
      </c>
      <c r="D42" s="5">
        <v>0</v>
      </c>
      <c r="E42" s="5">
        <f t="shared" si="0"/>
        <v>11</v>
      </c>
      <c r="F42" s="5">
        <f>ROUND(IFERROR(VLOOKUP($B:$B,科室绩效工资核算2!$B:$Y,MATCH("医生基础绩效",科室绩效工资核算2!$B$3:$Y$3,0),0)/C42,0),0)</f>
        <v>3472</v>
      </c>
      <c r="G42" s="5">
        <f>ROUND(IFERROR(VLOOKUP($B:$B,科室绩效工资核算2!$B:$Y,MATCH("护士基础绩效",科室绩效工资核算2!$B$3:$Y$3,0),0)/D42,0),0)</f>
        <v>0</v>
      </c>
    </row>
    <row r="43" spans="2:7" x14ac:dyDescent="0.25">
      <c r="B43" s="30" t="s">
        <v>121</v>
      </c>
      <c r="C43" s="5">
        <v>8.1</v>
      </c>
      <c r="D43" s="5">
        <v>0</v>
      </c>
      <c r="E43" s="5">
        <f t="shared" si="0"/>
        <v>8.1</v>
      </c>
      <c r="F43" s="5">
        <f>ROUND(IFERROR(VLOOKUP($B:$B,科室绩效工资核算2!$B:$Y,MATCH("医生基础绩效",科室绩效工资核算2!$B$3:$Y$3,0),0)/C43,0),0)</f>
        <v>2706</v>
      </c>
      <c r="G43" s="5">
        <f>ROUND(IFERROR(VLOOKUP($B:$B,科室绩效工资核算2!$B:$Y,MATCH("护士基础绩效",科室绩效工资核算2!$B$3:$Y$3,0),0)/D43,0),0)</f>
        <v>0</v>
      </c>
    </row>
    <row r="44" spans="2:7" x14ac:dyDescent="0.25">
      <c r="B44" s="30" t="s">
        <v>122</v>
      </c>
      <c r="C44" s="5">
        <v>5.4</v>
      </c>
      <c r="D44" s="5">
        <v>0</v>
      </c>
      <c r="E44" s="5">
        <f t="shared" si="0"/>
        <v>5.4</v>
      </c>
      <c r="F44" s="5">
        <f>ROUND(IFERROR(VLOOKUP($B:$B,科室绩效工资核算2!$B:$Y,MATCH("医生基础绩效",科室绩效工资核算2!$B$3:$Y$3,0),0)/C44,0),0)</f>
        <v>2171</v>
      </c>
      <c r="G44" s="5">
        <f>ROUND(IFERROR(VLOOKUP($B:$B,科室绩效工资核算2!$B:$Y,MATCH("护士基础绩效",科室绩效工资核算2!$B$3:$Y$3,0),0)/D44,0),0)</f>
        <v>0</v>
      </c>
    </row>
    <row r="45" spans="2:7" x14ac:dyDescent="0.25">
      <c r="B45" s="30" t="s">
        <v>123</v>
      </c>
      <c r="C45" s="5">
        <v>12.15</v>
      </c>
      <c r="D45" s="5">
        <v>0</v>
      </c>
      <c r="E45" s="5">
        <f t="shared" si="0"/>
        <v>12.15</v>
      </c>
      <c r="F45" s="5">
        <f>ROUND(IFERROR(VLOOKUP($B:$B,科室绩效工资核算2!$B:$Y,MATCH("医生基础绩效",科室绩效工资核算2!$B$3:$Y$3,0),0)/C45,0),0)</f>
        <v>4809</v>
      </c>
      <c r="G45" s="5">
        <f>ROUND(IFERROR(VLOOKUP($B:$B,科室绩效工资核算2!$B:$Y,MATCH("护士基础绩效",科室绩效工资核算2!$B$3:$Y$3,0),0)/D45,0),0)</f>
        <v>0</v>
      </c>
    </row>
    <row r="46" spans="2:7" x14ac:dyDescent="0.25">
      <c r="B46" s="30" t="s">
        <v>124</v>
      </c>
      <c r="C46" s="5">
        <v>0.9</v>
      </c>
      <c r="D46" s="5">
        <v>0</v>
      </c>
      <c r="E46" s="5">
        <f t="shared" si="0"/>
        <v>0.9</v>
      </c>
      <c r="F46" s="5">
        <f>ROUND(IFERROR(VLOOKUP($B:$B,科室绩效工资核算2!$B:$Y,MATCH("医生基础绩效",科室绩效工资核算2!$B$3:$Y$3,0),0)/C46,0),0)</f>
        <v>1179</v>
      </c>
      <c r="G46" s="5">
        <f>ROUND(IFERROR(VLOOKUP($B:$B,科室绩效工资核算2!$B:$Y,MATCH("护士基础绩效",科室绩效工资核算2!$B$3:$Y$3,0),0)/D46,0),0)</f>
        <v>0</v>
      </c>
    </row>
    <row r="47" spans="2:7" x14ac:dyDescent="0.25">
      <c r="B47" s="30" t="s">
        <v>125</v>
      </c>
      <c r="C47" s="5">
        <v>5.4</v>
      </c>
      <c r="D47" s="5">
        <v>0</v>
      </c>
      <c r="E47" s="5">
        <f t="shared" si="0"/>
        <v>5.4</v>
      </c>
      <c r="F47" s="5">
        <f>ROUND(IFERROR(VLOOKUP($B:$B,科室绩效工资核算2!$B:$Y,MATCH("医生基础绩效",科室绩效工资核算2!$B$3:$Y$3,0),0)/C47,0),0)</f>
        <v>2124</v>
      </c>
      <c r="G47" s="5">
        <f>ROUND(IFERROR(VLOOKUP($B:$B,科室绩效工资核算2!$B:$Y,MATCH("护士基础绩效",科室绩效工资核算2!$B$3:$Y$3,0),0)/D47,0),0)</f>
        <v>0</v>
      </c>
    </row>
    <row r="48" spans="2:7" x14ac:dyDescent="0.25">
      <c r="B48" s="30" t="s">
        <v>126</v>
      </c>
      <c r="C48" s="5">
        <v>4.68</v>
      </c>
      <c r="D48" s="5">
        <v>0</v>
      </c>
      <c r="E48" s="5">
        <f t="shared" si="0"/>
        <v>4.68</v>
      </c>
      <c r="F48" s="5">
        <f>ROUND(IFERROR(VLOOKUP($B:$B,科室绩效工资核算2!$B:$Y,MATCH("医生基础绩效",科室绩效工资核算2!$B$3:$Y$3,0),0)/C48,0),0)</f>
        <v>2434</v>
      </c>
      <c r="G48" s="5">
        <f>ROUND(IFERROR(VLOOKUP($B:$B,科室绩效工资核算2!$B:$Y,MATCH("护士基础绩效",科室绩效工资核算2!$B$3:$Y$3,0),0)/D48,0),0)</f>
        <v>0</v>
      </c>
    </row>
    <row r="49" spans="2:7" x14ac:dyDescent="0.25">
      <c r="B49" s="30" t="s">
        <v>127</v>
      </c>
      <c r="C49" s="5">
        <v>0</v>
      </c>
      <c r="D49" s="5">
        <v>0</v>
      </c>
      <c r="E49" s="5">
        <f t="shared" si="0"/>
        <v>0</v>
      </c>
      <c r="F49" s="5">
        <f>ROUND(IFERROR(VLOOKUP($B:$B,科室绩效工资核算2!$B:$Y,MATCH("医生基础绩效",科室绩效工资核算2!$B$3:$Y$3,0),0)/C49,0),0)</f>
        <v>0</v>
      </c>
      <c r="G49" s="5">
        <f>ROUND(IFERROR(VLOOKUP($B:$B,科室绩效工资核算2!$B:$Y,MATCH("护士基础绩效",科室绩效工资核算2!$B$3:$Y$3,0),0)/D49,0),0)</f>
        <v>0</v>
      </c>
    </row>
    <row r="50" spans="2:7" x14ac:dyDescent="0.25">
      <c r="B50" s="30" t="s">
        <v>128</v>
      </c>
      <c r="C50" s="5">
        <v>4.8</v>
      </c>
      <c r="D50" s="5">
        <v>0</v>
      </c>
      <c r="E50" s="5">
        <f t="shared" si="0"/>
        <v>4.8</v>
      </c>
      <c r="G50" s="5">
        <f>ROUND(IFERROR(VLOOKUP($B:$B,科室绩效工资核算2!$B:$Y,MATCH("医生基础绩效",科室绩效工资核算2!$B$3:$Y$3,0),0)/C50,0),0)</f>
        <v>1201</v>
      </c>
    </row>
    <row r="51" spans="2:7" x14ac:dyDescent="0.25">
      <c r="B51" s="30" t="s">
        <v>129</v>
      </c>
      <c r="C51" s="5">
        <v>5.4</v>
      </c>
      <c r="D51" s="5">
        <v>0</v>
      </c>
      <c r="E51" s="5">
        <f t="shared" si="0"/>
        <v>5.4</v>
      </c>
      <c r="F51" s="5">
        <f>ROUND(IFERROR(VLOOKUP($B:$B,科室绩效工资核算2!$B:$Y,MATCH("医生基础绩效",科室绩效工资核算2!$B$3:$Y$3,0),0)/C51,0),0)</f>
        <v>8478</v>
      </c>
      <c r="G51" s="5">
        <f>ROUND(IFERROR(VLOOKUP($B:$B,科室绩效工资核算2!$B:$Y,MATCH("护士基础绩效",科室绩效工资核算2!$B$3:$Y$3,0),0)/D51,0),0)</f>
        <v>0</v>
      </c>
    </row>
    <row r="52" spans="2:7" x14ac:dyDescent="0.25">
      <c r="B52" s="30" t="s">
        <v>130</v>
      </c>
      <c r="C52" s="5">
        <v>28.33333333333335</v>
      </c>
      <c r="D52" s="5">
        <v>0</v>
      </c>
      <c r="E52" s="5">
        <f t="shared" si="0"/>
        <v>28.33333333333335</v>
      </c>
      <c r="F52" s="5">
        <f>ROUND(IFERROR(VLOOKUP($B:$B,科室绩效工资核算2!$B:$Y,MATCH("医生基础绩效",科室绩效工资核算2!$B$3:$Y$3,0),0)/C52,0),0)</f>
        <v>2107</v>
      </c>
      <c r="G52" s="5">
        <f>ROUND(IFERROR(VLOOKUP($B:$B,科室绩效工资核算2!$B:$Y,MATCH("护士基础绩效",科室绩效工资核算2!$B$3:$Y$3,0),0)/D52,0),0)</f>
        <v>0</v>
      </c>
    </row>
    <row r="53" spans="2:7" x14ac:dyDescent="0.25">
      <c r="B53" s="30" t="s">
        <v>131</v>
      </c>
      <c r="C53" s="5">
        <v>0</v>
      </c>
      <c r="D53" s="5">
        <v>0</v>
      </c>
      <c r="E53" s="5">
        <f t="shared" si="0"/>
        <v>0</v>
      </c>
      <c r="F53" s="5">
        <f>ROUND(IFERROR(VLOOKUP($B:$B,科室绩效工资核算2!$B:$Y,MATCH("医生基础绩效",科室绩效工资核算2!$B$3:$Y$3,0),0)/C53,0),0)</f>
        <v>0</v>
      </c>
      <c r="G53" s="5">
        <f>ROUND(IFERROR(VLOOKUP($B:$B,科室绩效工资核算2!$B:$Y,MATCH("护士基础绩效",科室绩效工资核算2!$B$3:$Y$3,0),0)/D53,0),0)</f>
        <v>0</v>
      </c>
    </row>
    <row r="54" spans="2:7" x14ac:dyDescent="0.25">
      <c r="B54" s="30" t="s">
        <v>132</v>
      </c>
      <c r="C54" s="5">
        <v>0</v>
      </c>
      <c r="D54" s="5">
        <v>0</v>
      </c>
      <c r="E54" s="5">
        <f t="shared" si="0"/>
        <v>0</v>
      </c>
      <c r="F54" s="5">
        <f>ROUND(IFERROR(VLOOKUP($B:$B,科室绩效工资核算2!$B:$Y,MATCH("医生基础绩效",科室绩效工资核算2!$B$3:$Y$3,0),0)/C54,0),0)</f>
        <v>0</v>
      </c>
      <c r="G54" s="5">
        <f>ROUND(IFERROR(VLOOKUP($B:$B,科室绩效工资核算2!$B:$Y,MATCH("护士基础绩效",科室绩效工资核算2!$B$3:$Y$3,0),0)/D54,0),0)</f>
        <v>0</v>
      </c>
    </row>
    <row r="55" spans="2:7" x14ac:dyDescent="0.25">
      <c r="B55" s="30" t="s">
        <v>133</v>
      </c>
      <c r="C55" s="5">
        <v>0</v>
      </c>
      <c r="D55" s="5">
        <v>0</v>
      </c>
      <c r="E55" s="5">
        <f t="shared" si="0"/>
        <v>0</v>
      </c>
      <c r="F55" s="5">
        <f>ROUND(IFERROR(VLOOKUP($B:$B,科室绩效工资核算2!$B:$Y,MATCH("医生基础绩效",科室绩效工资核算2!$B$3:$Y$3,0),0)/C55,0),0)</f>
        <v>0</v>
      </c>
      <c r="G55" s="5">
        <f>ROUND(IFERROR(VLOOKUP($B:$B,科室绩效工资核算2!$B:$Y,MATCH("护士基础绩效",科室绩效工资核算2!$B$3:$Y$3,0),0)/D55,0),0)</f>
        <v>0</v>
      </c>
    </row>
    <row r="56" spans="2:7" x14ac:dyDescent="0.25">
      <c r="B56" s="30" t="s">
        <v>134</v>
      </c>
      <c r="C56" s="5">
        <v>0</v>
      </c>
      <c r="D56" s="5">
        <v>0</v>
      </c>
      <c r="E56" s="5">
        <f t="shared" si="0"/>
        <v>0</v>
      </c>
      <c r="F56" s="5">
        <f>ROUND(IFERROR(VLOOKUP($B:$B,科室绩效工资核算2!$B:$Y,MATCH("医生基础绩效",科室绩效工资核算2!$B$3:$Y$3,0),0)/C56,0),0)</f>
        <v>0</v>
      </c>
      <c r="G56" s="5">
        <f>ROUND(IFERROR(VLOOKUP($B:$B,科室绩效工资核算2!$B:$Y,MATCH("护士基础绩效",科室绩效工资核算2!$B$3:$Y$3,0),0)/D56,0),0)</f>
        <v>0</v>
      </c>
    </row>
    <row r="57" spans="2:7" x14ac:dyDescent="0.25">
      <c r="B57" s="30" t="s">
        <v>135</v>
      </c>
      <c r="C57" s="5">
        <v>0</v>
      </c>
      <c r="D57" s="5">
        <v>0</v>
      </c>
      <c r="E57" s="5">
        <f t="shared" si="0"/>
        <v>0</v>
      </c>
      <c r="F57" s="5">
        <f>ROUND(IFERROR(VLOOKUP($B:$B,科室绩效工资核算2!$B:$Y,MATCH("医生基础绩效",科室绩效工资核算2!$B$3:$Y$3,0),0)/C57,0),0)</f>
        <v>0</v>
      </c>
      <c r="G57" s="5">
        <f>ROUND(IFERROR(VLOOKUP($B:$B,科室绩效工资核算2!$B:$Y,MATCH("护士基础绩效",科室绩效工资核算2!$B$3:$Y$3,0),0)/D57,0),0)</f>
        <v>0</v>
      </c>
    </row>
    <row r="58" spans="2:7" x14ac:dyDescent="0.25">
      <c r="B58" s="30" t="s">
        <v>136</v>
      </c>
      <c r="C58" s="5">
        <v>0</v>
      </c>
      <c r="D58" s="5">
        <v>0</v>
      </c>
      <c r="E58" s="5">
        <f t="shared" si="0"/>
        <v>0</v>
      </c>
      <c r="F58" s="5">
        <f>ROUND(IFERROR(VLOOKUP($B:$B,科室绩效工资核算2!$B:$Y,MATCH("医生基础绩效",科室绩效工资核算2!$B$3:$Y$3,0),0)/C58,0),0)</f>
        <v>0</v>
      </c>
      <c r="G58" s="5">
        <f>ROUND(IFERROR(VLOOKUP($B:$B,科室绩效工资核算2!$B:$Y,MATCH("护士基础绩效",科室绩效工资核算2!$B$3:$Y$3,0),0)/D58,0),0)</f>
        <v>0</v>
      </c>
    </row>
    <row r="59" spans="2:7" x14ac:dyDescent="0.25">
      <c r="B59" s="30" t="s">
        <v>30</v>
      </c>
      <c r="C59" s="5">
        <v>3.4</v>
      </c>
      <c r="D59" s="5">
        <v>0</v>
      </c>
      <c r="E59" s="5">
        <f t="shared" si="0"/>
        <v>3.4</v>
      </c>
      <c r="F59" s="5">
        <f>ROUND(IFERROR(VLOOKUP($B:$B,科室绩效工资核算2!$B:$Y,MATCH("医生基础绩效",科室绩效工资核算2!$B$3:$Y$3,0),0)/C59,0),0)</f>
        <v>1540</v>
      </c>
      <c r="G59" s="5">
        <f>ROUND(IFERROR(VLOOKUP($B:$B,科室绩效工资核算2!$B:$Y,MATCH("护士基础绩效",科室绩效工资核算2!$B$3:$Y$3,0),0)/D59,0),0)</f>
        <v>0</v>
      </c>
    </row>
    <row r="60" spans="2:7" x14ac:dyDescent="0.25">
      <c r="B60" s="30" t="s">
        <v>36</v>
      </c>
      <c r="C60" s="5">
        <v>1.7</v>
      </c>
      <c r="D60" s="5">
        <v>0</v>
      </c>
      <c r="E60" s="5">
        <f t="shared" si="0"/>
        <v>1.7</v>
      </c>
      <c r="F60" s="5">
        <f>ROUND(IFERROR(VLOOKUP($B:$B,科室绩效工资核算2!$B:$Y,MATCH("医生基础绩效",科室绩效工资核算2!$B$3:$Y$3,0),0)/C60,0),0)</f>
        <v>1540</v>
      </c>
      <c r="G60" s="5">
        <f>ROUND(IFERROR(VLOOKUP($B:$B,科室绩效工资核算2!$B:$Y,MATCH("护士基础绩效",科室绩效工资核算2!$B$3:$Y$3,0),0)/D60,0),0)</f>
        <v>0</v>
      </c>
    </row>
    <row r="61" spans="2:7" x14ac:dyDescent="0.25">
      <c r="B61" s="30" t="s">
        <v>31</v>
      </c>
      <c r="C61" s="5">
        <v>1.7</v>
      </c>
      <c r="D61" s="5">
        <v>0</v>
      </c>
      <c r="E61" s="5">
        <f t="shared" si="0"/>
        <v>1.7</v>
      </c>
      <c r="F61" s="5">
        <f>ROUND(IFERROR(VLOOKUP($B:$B,科室绩效工资核算2!$B:$Y,MATCH("医生基础绩效",科室绩效工资核算2!$B$3:$Y$3,0),0)/C61,0),0)</f>
        <v>1540</v>
      </c>
      <c r="G61" s="5">
        <f>ROUND(IFERROR(VLOOKUP($B:$B,科室绩效工资核算2!$B:$Y,MATCH("护士基础绩效",科室绩效工资核算2!$B$3:$Y$3,0),0)/D61,0),0)</f>
        <v>0</v>
      </c>
    </row>
    <row r="62" spans="2:7" x14ac:dyDescent="0.25">
      <c r="B62" s="30" t="s">
        <v>137</v>
      </c>
      <c r="C62" s="5">
        <v>0</v>
      </c>
      <c r="D62" s="5">
        <v>0</v>
      </c>
      <c r="E62" s="5">
        <f t="shared" si="0"/>
        <v>0</v>
      </c>
      <c r="F62" s="5">
        <f>ROUND(IFERROR(VLOOKUP($B:$B,科室绩效工资核算2!$B:$Y,MATCH("医生基础绩效",科室绩效工资核算2!$B$3:$Y$3,0),0)/C62,0),0)</f>
        <v>0</v>
      </c>
      <c r="G62" s="5">
        <f>ROUND(IFERROR(VLOOKUP($B:$B,科室绩效工资核算2!$B:$Y,MATCH("护士基础绩效",科室绩效工资核算2!$B$3:$Y$3,0),0)/D62,0),0)</f>
        <v>0</v>
      </c>
    </row>
    <row r="63" spans="2:7" x14ac:dyDescent="0.25">
      <c r="B63" s="30" t="s">
        <v>34</v>
      </c>
      <c r="C63" s="5">
        <v>25.066666666666677</v>
      </c>
      <c r="D63" s="5">
        <v>0</v>
      </c>
      <c r="E63" s="5">
        <f t="shared" si="0"/>
        <v>25.066666666666677</v>
      </c>
      <c r="F63" s="5">
        <f>ROUND(IFERROR(VLOOKUP($B:$B,科室绩效工资核算2!$B:$Y,MATCH("医生基础绩效",科室绩效工资核算2!$B$3:$Y$3,0),0)/C63,0),0)</f>
        <v>2775</v>
      </c>
      <c r="G63" s="5">
        <f>ROUND(IFERROR(VLOOKUP($B:$B,科室绩效工资核算2!$B:$Y,MATCH("护士基础绩效",科室绩效工资核算2!$B$3:$Y$3,0),0)/D63,0),0)</f>
        <v>0</v>
      </c>
    </row>
    <row r="64" spans="2:7" x14ac:dyDescent="0.25">
      <c r="B64" s="30" t="s">
        <v>32</v>
      </c>
      <c r="C64" s="5">
        <v>0.85</v>
      </c>
      <c r="D64" s="5">
        <v>0</v>
      </c>
      <c r="E64" s="5">
        <f t="shared" si="0"/>
        <v>0.85</v>
      </c>
      <c r="F64" s="5">
        <f>ROUND(IFERROR(VLOOKUP($B:$B,科室绩效工资核算2!$B:$Y,MATCH("医生基础绩效",科室绩效工资核算2!$B$3:$Y$3,0),0)/C64,0),0)</f>
        <v>1540</v>
      </c>
      <c r="G64" s="5">
        <f>ROUND(IFERROR(VLOOKUP($B:$B,科室绩效工资核算2!$B:$Y,MATCH("护士基础绩效",科室绩效工资核算2!$B$3:$Y$3,0),0)/D64,0),0)</f>
        <v>0</v>
      </c>
    </row>
    <row r="65" spans="2:7" x14ac:dyDescent="0.25">
      <c r="B65" s="30" t="s">
        <v>38</v>
      </c>
      <c r="C65" s="5">
        <v>1.6</v>
      </c>
      <c r="D65" s="5">
        <v>0</v>
      </c>
      <c r="E65" s="5">
        <f t="shared" si="0"/>
        <v>1.6</v>
      </c>
      <c r="F65" s="5">
        <f>ROUND(IFERROR(VLOOKUP($B:$B,科室绩效工资核算2!$B:$Y,MATCH("医生基础绩效",科室绩效工资核算2!$B$3:$Y$3,0),0)/C65,0),0)</f>
        <v>1540</v>
      </c>
      <c r="G65" s="5">
        <f>ROUND(IFERROR(VLOOKUP($B:$B,科室绩效工资核算2!$B:$Y,MATCH("护士基础绩效",科室绩效工资核算2!$B$3:$Y$3,0),0)/D65,0),0)</f>
        <v>0</v>
      </c>
    </row>
    <row r="66" spans="2:7" x14ac:dyDescent="0.25">
      <c r="B66" s="30" t="s">
        <v>35</v>
      </c>
      <c r="C66" s="5">
        <v>0.8</v>
      </c>
      <c r="D66" s="5">
        <v>0</v>
      </c>
      <c r="E66" s="5">
        <f t="shared" si="0"/>
        <v>0.8</v>
      </c>
      <c r="F66" s="5">
        <f>ROUND(IFERROR(VLOOKUP($B:$B,科室绩效工资核算2!$B:$Y,MATCH("医生基础绩效",科室绩效工资核算2!$B$3:$Y$3,0),0)/C66,0),0)</f>
        <v>1540</v>
      </c>
      <c r="G66" s="5">
        <f>ROUND(IFERROR(VLOOKUP($B:$B,科室绩效工资核算2!$B:$Y,MATCH("护士基础绩效",科室绩效工资核算2!$B$3:$Y$3,0),0)/D66,0),0)</f>
        <v>0</v>
      </c>
    </row>
    <row r="67" spans="2:7" x14ac:dyDescent="0.25">
      <c r="B67" s="30" t="s">
        <v>138</v>
      </c>
      <c r="C67" s="5">
        <v>0.8</v>
      </c>
      <c r="D67" s="5">
        <v>0</v>
      </c>
      <c r="E67" s="5">
        <f t="shared" si="0"/>
        <v>0.8</v>
      </c>
      <c r="F67" s="5">
        <f>ROUND(IFERROR(VLOOKUP($B:$B,科室绩效工资核算2!$B:$Y,MATCH("医生基础绩效",科室绩效工资核算2!$B$3:$Y$3,0),0)/C67,0),0)</f>
        <v>1540</v>
      </c>
      <c r="G67" s="5">
        <f>ROUND(IFERROR(VLOOKUP($B:$B,科室绩效工资核算2!$B:$Y,MATCH("护士基础绩效",科室绩效工资核算2!$B$3:$Y$3,0),0)/D67,0),0)</f>
        <v>0</v>
      </c>
    </row>
    <row r="68" spans="2:7" x14ac:dyDescent="0.25">
      <c r="B68" s="30" t="s">
        <v>139</v>
      </c>
      <c r="C68" s="5">
        <v>4.25</v>
      </c>
      <c r="D68" s="5">
        <v>0</v>
      </c>
      <c r="E68" s="5">
        <f t="shared" si="0"/>
        <v>4.25</v>
      </c>
      <c r="F68" s="5">
        <f>ROUND(IFERROR(VLOOKUP($B:$B,科室绩效工资核算2!$B:$Y,MATCH("医生基础绩效",科室绩效工资核算2!$B$3:$Y$3,0),0)/C68,0),0)</f>
        <v>1540</v>
      </c>
      <c r="G68" s="5">
        <f>ROUND(IFERROR(VLOOKUP($B:$B,科室绩效工资核算2!$B:$Y,MATCH("护士基础绩效",科室绩效工资核算2!$B$3:$Y$3,0),0)/D68,0),0)</f>
        <v>0</v>
      </c>
    </row>
    <row r="69" spans="2:7" x14ac:dyDescent="0.25">
      <c r="B69" s="30" t="s">
        <v>40</v>
      </c>
      <c r="C69" s="5">
        <v>4</v>
      </c>
      <c r="D69" s="5">
        <v>0</v>
      </c>
      <c r="E69" s="5">
        <f t="shared" ref="E69:E87" si="1">C69+D69</f>
        <v>4</v>
      </c>
      <c r="F69" s="5">
        <f>ROUND(IFERROR(VLOOKUP($B:$B,科室绩效工资核算2!$B:$Y,MATCH("医生基础绩效",科室绩效工资核算2!$B$3:$Y$3,0),0)/C69,0),0)</f>
        <v>1540</v>
      </c>
      <c r="G69" s="5">
        <f>ROUND(IFERROR(VLOOKUP($B:$B,科室绩效工资核算2!$B:$Y,MATCH("护士基础绩效",科室绩效工资核算2!$B$3:$Y$3,0),0)/D69,0),0)</f>
        <v>0</v>
      </c>
    </row>
    <row r="70" spans="2:7" x14ac:dyDescent="0.25">
      <c r="B70" s="30" t="s">
        <v>41</v>
      </c>
      <c r="C70" s="5">
        <v>1.6</v>
      </c>
      <c r="D70" s="5">
        <v>0</v>
      </c>
      <c r="E70" s="5">
        <f t="shared" si="1"/>
        <v>1.6</v>
      </c>
      <c r="F70" s="5">
        <f>ROUND(IFERROR(VLOOKUP($B:$B,科室绩效工资核算2!$B:$Y,MATCH("医生基础绩效",科室绩效工资核算2!$B$3:$Y$3,0),0)/C70,0),0)</f>
        <v>1540</v>
      </c>
      <c r="G70" s="5">
        <f>ROUND(IFERROR(VLOOKUP($B:$B,科室绩效工资核算2!$B:$Y,MATCH("护士基础绩效",科室绩效工资核算2!$B$3:$Y$3,0),0)/D70,0),0)</f>
        <v>0</v>
      </c>
    </row>
    <row r="71" spans="2:7" x14ac:dyDescent="0.25">
      <c r="B71" s="30" t="s">
        <v>42</v>
      </c>
      <c r="C71" s="5">
        <v>0</v>
      </c>
      <c r="D71" s="5">
        <v>0</v>
      </c>
      <c r="E71" s="5">
        <f t="shared" si="1"/>
        <v>0</v>
      </c>
      <c r="F71" s="5">
        <f>ROUND(IFERROR(VLOOKUP($B:$B,科室绩效工资核算2!$B:$Y,MATCH("医生基础绩效",科室绩效工资核算2!$B$3:$Y$3,0),0)/C71,0),0)</f>
        <v>0</v>
      </c>
      <c r="G71" s="5">
        <f>ROUND(IFERROR(VLOOKUP($B:$B,科室绩效工资核算2!$B:$Y,MATCH("护士基础绩效",科室绩效工资核算2!$B$3:$Y$3,0),0)/D71,0),0)</f>
        <v>0</v>
      </c>
    </row>
    <row r="72" spans="2:7" x14ac:dyDescent="0.25">
      <c r="B72" s="30" t="s">
        <v>37</v>
      </c>
      <c r="C72" s="5">
        <v>6.3199999999999994</v>
      </c>
      <c r="D72" s="5">
        <v>0</v>
      </c>
      <c r="E72" s="5">
        <f t="shared" si="1"/>
        <v>6.3199999999999994</v>
      </c>
      <c r="F72" s="5">
        <f>ROUND(IFERROR(VLOOKUP($B:$B,科室绩效工资核算2!$B:$Y,MATCH("医生基础绩效",科室绩效工资核算2!$B$3:$Y$3,0),0)/C72,0),0)</f>
        <v>1540</v>
      </c>
      <c r="G72" s="5">
        <f>ROUND(IFERROR(VLOOKUP($B:$B,科室绩效工资核算2!$B:$Y,MATCH("护士基础绩效",科室绩效工资核算2!$B$3:$Y$3,0),0)/D72,0),0)</f>
        <v>0</v>
      </c>
    </row>
    <row r="73" spans="2:7" x14ac:dyDescent="0.25">
      <c r="B73" s="30" t="s">
        <v>45</v>
      </c>
      <c r="C73" s="5">
        <v>12.000000000000002</v>
      </c>
      <c r="D73" s="5">
        <v>0</v>
      </c>
      <c r="E73" s="5">
        <f t="shared" si="1"/>
        <v>12.000000000000002</v>
      </c>
      <c r="F73" s="5">
        <f>ROUND(IFERROR(VLOOKUP($B:$B,科室绩效工资核算2!$B:$Y,MATCH("医生基础绩效",科室绩效工资核算2!$B$3:$Y$3,0),0)/C73,0),0)</f>
        <v>1540</v>
      </c>
      <c r="G73" s="5">
        <f>ROUND(IFERROR(VLOOKUP($B:$B,科室绩效工资核算2!$B:$Y,MATCH("护士基础绩效",科室绩效工资核算2!$B$3:$Y$3,0),0)/D73,0),0)</f>
        <v>0</v>
      </c>
    </row>
    <row r="74" spans="2:7" x14ac:dyDescent="0.25">
      <c r="B74" s="30" t="s">
        <v>43</v>
      </c>
      <c r="C74" s="5">
        <v>15.2</v>
      </c>
      <c r="D74" s="5">
        <v>0</v>
      </c>
      <c r="E74" s="5">
        <f t="shared" si="1"/>
        <v>15.2</v>
      </c>
      <c r="F74" s="5">
        <f>ROUND(IFERROR(VLOOKUP($B:$B,科室绩效工资核算2!$B:$Y,MATCH("医生基础绩效",科室绩效工资核算2!$B$3:$Y$3,0),0)/C74,0),0)</f>
        <v>1540</v>
      </c>
      <c r="G74" s="5">
        <f>ROUND(IFERROR(VLOOKUP($B:$B,科室绩效工资核算2!$B:$Y,MATCH("护士基础绩效",科室绩效工资核算2!$B$3:$Y$3,0),0)/D74,0),0)</f>
        <v>0</v>
      </c>
    </row>
    <row r="75" spans="2:7" x14ac:dyDescent="0.25">
      <c r="B75" s="30" t="s">
        <v>33</v>
      </c>
      <c r="C75" s="5">
        <v>1.875</v>
      </c>
      <c r="D75" s="5">
        <v>0</v>
      </c>
      <c r="E75" s="5">
        <f t="shared" si="1"/>
        <v>1.875</v>
      </c>
      <c r="F75" s="5">
        <f>ROUND(IFERROR(VLOOKUP($B:$B,科室绩效工资核算2!$B:$Y,MATCH("医生基础绩效",科室绩效工资核算2!$B$3:$Y$3,0),0)/C75,0),0)</f>
        <v>1540</v>
      </c>
      <c r="G75" s="5">
        <f>ROUND(IFERROR(VLOOKUP($B:$B,科室绩效工资核算2!$B:$Y,MATCH("护士基础绩效",科室绩效工资核算2!$B$3:$Y$3,0),0)/D75,0),0)</f>
        <v>0</v>
      </c>
    </row>
    <row r="76" spans="2:7" x14ac:dyDescent="0.25">
      <c r="B76" s="30" t="s">
        <v>140</v>
      </c>
      <c r="C76" s="5">
        <v>1.6</v>
      </c>
      <c r="D76" s="5">
        <v>0</v>
      </c>
      <c r="E76" s="5">
        <f t="shared" si="1"/>
        <v>1.6</v>
      </c>
      <c r="F76" s="5">
        <f>ROUND(IFERROR(VLOOKUP($B:$B,科室绩效工资核算2!$B:$Y,MATCH("医生基础绩效",科室绩效工资核算2!$B$3:$Y$3,0),0)/C76,0),0)</f>
        <v>1540</v>
      </c>
      <c r="G76" s="5">
        <f>ROUND(IFERROR(VLOOKUP($B:$B,科室绩效工资核算2!$B:$Y,MATCH("护士基础绩效",科室绩效工资核算2!$B$3:$Y$3,0),0)/D76,0),0)</f>
        <v>0</v>
      </c>
    </row>
    <row r="77" spans="2:7" x14ac:dyDescent="0.25">
      <c r="B77" s="30" t="s">
        <v>39</v>
      </c>
      <c r="C77" s="5">
        <v>5.25</v>
      </c>
      <c r="D77" s="5">
        <v>0</v>
      </c>
      <c r="E77" s="5">
        <f t="shared" si="1"/>
        <v>5.25</v>
      </c>
      <c r="F77" s="5">
        <f>ROUND(IFERROR(VLOOKUP($B:$B,科室绩效工资核算2!$B:$Y,MATCH("医生基础绩效",科室绩效工资核算2!$B$3:$Y$3,0),0)/C77,0),0)</f>
        <v>1540</v>
      </c>
      <c r="G77" s="5">
        <f>ROUND(IFERROR(VLOOKUP($B:$B,科室绩效工资核算2!$B:$Y,MATCH("护士基础绩效",科室绩效工资核算2!$B$3:$Y$3,0),0)/D77,0),0)</f>
        <v>0</v>
      </c>
    </row>
    <row r="78" spans="2:7" x14ac:dyDescent="0.25">
      <c r="B78" s="30" t="s">
        <v>141</v>
      </c>
      <c r="C78" s="5">
        <v>0</v>
      </c>
      <c r="D78" s="5">
        <v>0</v>
      </c>
      <c r="E78" s="5">
        <f t="shared" si="1"/>
        <v>0</v>
      </c>
      <c r="F78" s="5">
        <f>ROUND(IFERROR(VLOOKUP($B:$B,科室绩效工资核算2!$B:$Y,MATCH("医生基础绩效",科室绩效工资核算2!$B$3:$Y$3,0),0)/C78,0),0)</f>
        <v>0</v>
      </c>
      <c r="G78" s="5">
        <f>ROUND(IFERROR(VLOOKUP($B:$B,科室绩效工资核算2!$B:$Y,MATCH("护士基础绩效",科室绩效工资核算2!$B$3:$Y$3,0),0)/D78,0),0)</f>
        <v>0</v>
      </c>
    </row>
    <row r="79" spans="2:7" x14ac:dyDescent="0.25">
      <c r="B79" s="30" t="s">
        <v>44</v>
      </c>
      <c r="C79" s="5">
        <v>0</v>
      </c>
      <c r="D79" s="5">
        <v>0</v>
      </c>
      <c r="E79" s="5">
        <f t="shared" si="1"/>
        <v>0</v>
      </c>
      <c r="F79" s="5">
        <f>ROUND(IFERROR(VLOOKUP($B:$B,科室绩效工资核算2!$B:$Y,MATCH("医生基础绩效",科室绩效工资核算2!$B$3:$Y$3,0),0)/C79,0),0)</f>
        <v>0</v>
      </c>
      <c r="G79" s="5">
        <f>ROUND(IFERROR(VLOOKUP($B:$B,科室绩效工资核算2!$B:$Y,MATCH("护士基础绩效",科室绩效工资核算2!$B$3:$Y$3,0),0)/D79,0),0)</f>
        <v>0</v>
      </c>
    </row>
    <row r="80" spans="2:7" x14ac:dyDescent="0.25">
      <c r="B80" s="30" t="s">
        <v>254</v>
      </c>
      <c r="C80" s="5">
        <v>0.8</v>
      </c>
      <c r="D80" s="5">
        <v>0</v>
      </c>
      <c r="E80" s="5">
        <f t="shared" si="1"/>
        <v>0.8</v>
      </c>
      <c r="F80" s="5">
        <f>ROUND(IFERROR(VLOOKUP($B:$B,科室绩效工资核算2!$B:$Y,MATCH("医生基础绩效",科室绩效工资核算2!$B$3:$Y$3,0),0)/C80,0),0)</f>
        <v>1540</v>
      </c>
      <c r="G80" s="5">
        <f>ROUND(IFERROR(VLOOKUP($B:$B,科室绩效工资核算2!$B:$Y,MATCH("护士基础绩效",科室绩效工资核算2!$B$3:$Y$3,0),0)/D80,0),0)</f>
        <v>0</v>
      </c>
    </row>
    <row r="81" spans="2:7" x14ac:dyDescent="0.25">
      <c r="B81" s="30" t="s">
        <v>142</v>
      </c>
      <c r="C81" s="5">
        <v>6.4</v>
      </c>
      <c r="D81" s="5">
        <v>0</v>
      </c>
      <c r="E81" s="5">
        <f t="shared" si="1"/>
        <v>6.4</v>
      </c>
      <c r="F81" s="5">
        <f>ROUND(IFERROR(VLOOKUP($B:$B,科室绩效工资核算2!$B:$Y,MATCH("医生基础绩效",科室绩效工资核算2!$B$3:$Y$3,0),0)/C81,0),0)</f>
        <v>2088</v>
      </c>
      <c r="G81" s="5">
        <f>ROUND(IFERROR(VLOOKUP($B:$B,科室绩效工资核算2!$B:$Y,MATCH("护士基础绩效",科室绩效工资核算2!$B$3:$Y$3,0),0)/D81,0),0)</f>
        <v>0</v>
      </c>
    </row>
    <row r="82" spans="2:7" x14ac:dyDescent="0.25">
      <c r="B82" s="30" t="s">
        <v>143</v>
      </c>
      <c r="C82" s="5">
        <v>1.6</v>
      </c>
      <c r="D82" s="5">
        <v>0</v>
      </c>
      <c r="E82" s="5">
        <f t="shared" si="1"/>
        <v>1.6</v>
      </c>
      <c r="F82" s="5">
        <f>ROUND(IFERROR(VLOOKUP($B:$B,科室绩效工资核算2!$B:$Y,MATCH("医生基础绩效",科室绩效工资核算2!$B$3:$Y$3,0),0)/C82,0),0)</f>
        <v>1540</v>
      </c>
      <c r="G82" s="5">
        <f>ROUND(IFERROR(VLOOKUP($B:$B,科室绩效工资核算2!$B:$Y,MATCH("护士基础绩效",科室绩效工资核算2!$B$3:$Y$3,0),0)/D82,0),0)</f>
        <v>0</v>
      </c>
    </row>
    <row r="83" spans="2:7" x14ac:dyDescent="0.25">
      <c r="B83" s="30" t="s">
        <v>145</v>
      </c>
      <c r="C83" s="5">
        <v>5.5200000000000014</v>
      </c>
      <c r="D83" s="5">
        <v>0</v>
      </c>
      <c r="E83" s="5">
        <f t="shared" si="1"/>
        <v>5.5200000000000014</v>
      </c>
      <c r="F83" s="5">
        <f>ROUND(IFERROR(VLOOKUP($B:$B,科室绩效工资核算2!$B:$Y,MATCH("医生基础绩效",科室绩效工资核算2!$B$3:$Y$3,0),0)/C83,0),0)</f>
        <v>1540</v>
      </c>
      <c r="G83" s="5">
        <f>ROUND(IFERROR(VLOOKUP($B:$B,科室绩效工资核算2!$B:$Y,MATCH("护士基础绩效",科室绩效工资核算2!$B$3:$Y$3,0),0)/D83,0),0)</f>
        <v>0</v>
      </c>
    </row>
    <row r="84" spans="2:7" x14ac:dyDescent="0.25">
      <c r="B84" s="30" t="s">
        <v>146</v>
      </c>
      <c r="C84" s="5">
        <v>13.159999999999998</v>
      </c>
      <c r="D84" s="5">
        <v>0</v>
      </c>
      <c r="E84" s="5">
        <f t="shared" si="1"/>
        <v>13.159999999999998</v>
      </c>
      <c r="F84" s="5">
        <f>ROUND(IFERROR(VLOOKUP($B:$B,科室绩效工资核算2!$B:$Y,MATCH("医生基础绩效",科室绩效工资核算2!$B$3:$Y$3,0),0)/C84,0),0)</f>
        <v>1540</v>
      </c>
      <c r="G84" s="5">
        <f>ROUND(IFERROR(VLOOKUP($B:$B,科室绩效工资核算2!$B:$Y,MATCH("护士基础绩效",科室绩效工资核算2!$B$3:$Y$3,0),0)/D84,0),0)</f>
        <v>0</v>
      </c>
    </row>
    <row r="85" spans="2:7" x14ac:dyDescent="0.25">
      <c r="B85" s="30" t="s">
        <v>250</v>
      </c>
      <c r="C85" s="5">
        <v>5.5</v>
      </c>
      <c r="D85" s="5">
        <v>0</v>
      </c>
      <c r="E85" s="5">
        <f t="shared" si="1"/>
        <v>5.5</v>
      </c>
      <c r="F85" s="5">
        <f>ROUND(IFERROR(VLOOKUP($B:$B,科室绩效工资核算2!$B:$Y,MATCH("医生基础绩效",科室绩效工资核算2!$B$3:$Y$3,0),0)/C85,0),0)</f>
        <v>0</v>
      </c>
      <c r="G85" s="5">
        <f>ROUND(IFERROR(VLOOKUP($B:$B,科室绩效工资核算2!$B:$Y,MATCH("护士基础绩效",科室绩效工资核算2!$B$3:$Y$3,0),0)/D85,0),0)</f>
        <v>0</v>
      </c>
    </row>
    <row r="86" spans="2:7" x14ac:dyDescent="0.25">
      <c r="B86" s="30" t="s">
        <v>253</v>
      </c>
      <c r="C86" s="5">
        <v>1</v>
      </c>
      <c r="D86" s="5">
        <v>0</v>
      </c>
      <c r="E86" s="5">
        <f t="shared" si="1"/>
        <v>1</v>
      </c>
      <c r="F86" s="5">
        <f>ROUND(IFERROR(VLOOKUP($B:$B,科室绩效工资核算2!$B:$Y,MATCH("医生基础绩效",科室绩效工资核算2!$B$3:$Y$3,0),0)/C86,0),0)</f>
        <v>0</v>
      </c>
      <c r="G86" s="5">
        <f>ROUND(IFERROR(VLOOKUP($B:$B,科室绩效工资核算2!$B:$Y,MATCH("护士基础绩效",科室绩效工资核算2!$B$3:$Y$3,0),0)/D86,0),0)</f>
        <v>0</v>
      </c>
    </row>
    <row r="87" spans="2:7" x14ac:dyDescent="0.25">
      <c r="B87" s="30" t="s">
        <v>252</v>
      </c>
      <c r="C87" s="5">
        <v>0</v>
      </c>
      <c r="D87" s="5">
        <v>0</v>
      </c>
      <c r="E87" s="5">
        <f t="shared" si="1"/>
        <v>0</v>
      </c>
      <c r="F87" s="5">
        <f>ROUND(IFERROR(VLOOKUP($B:$B,科室绩效工资核算2!$B:$Y,MATCH("医生基础绩效",科室绩效工资核算2!$B$3:$Y$3,0),0)/C87,0),0)</f>
        <v>0</v>
      </c>
      <c r="G87" s="5">
        <f>ROUND(IFERROR(VLOOKUP($B:$B,科室绩效工资核算2!$B:$Y,MATCH("护士基础绩效",科室绩效工资核算2!$B$3:$Y$3,0),0)/D87,0),0)</f>
        <v>0</v>
      </c>
    </row>
    <row r="88" spans="2:7" x14ac:dyDescent="0.25">
      <c r="B88" s="30" t="s">
        <v>8</v>
      </c>
      <c r="C88" s="5"/>
      <c r="D88" s="5"/>
      <c r="E88" s="5"/>
      <c r="F88" s="5"/>
      <c r="G88" s="5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4"/>
  <sheetViews>
    <sheetView workbookViewId="0">
      <pane ySplit="3" topLeftCell="A4" activePane="bottomLeft" state="frozen"/>
      <selection pane="bottomLeft" activeCell="J4" sqref="J4"/>
    </sheetView>
  </sheetViews>
  <sheetFormatPr defaultRowHeight="14" x14ac:dyDescent="0.25"/>
  <cols>
    <col min="4" max="4" width="16.453125" customWidth="1"/>
  </cols>
  <sheetData>
    <row r="2" spans="2:10" x14ac:dyDescent="0.25">
      <c r="B2" s="121"/>
      <c r="C2" s="121"/>
      <c r="D2" s="121"/>
      <c r="E2" s="121"/>
      <c r="F2" s="121"/>
      <c r="G2" s="121"/>
      <c r="H2" s="121"/>
      <c r="I2" s="121"/>
      <c r="J2" s="122"/>
    </row>
    <row r="3" spans="2:10" x14ac:dyDescent="0.25">
      <c r="B3" s="35" t="s">
        <v>0</v>
      </c>
      <c r="C3" s="35" t="s">
        <v>260</v>
      </c>
      <c r="D3" s="35" t="s">
        <v>261</v>
      </c>
      <c r="E3" s="35" t="s">
        <v>262</v>
      </c>
      <c r="F3" s="35" t="s">
        <v>263</v>
      </c>
      <c r="G3" s="35" t="s">
        <v>264</v>
      </c>
      <c r="H3" s="35" t="s">
        <v>47</v>
      </c>
      <c r="I3" s="35" t="s">
        <v>265</v>
      </c>
      <c r="J3" s="35" t="s">
        <v>427</v>
      </c>
    </row>
    <row r="4" spans="2:10" x14ac:dyDescent="0.25">
      <c r="B4" s="5" t="s">
        <v>78</v>
      </c>
      <c r="C4" s="5" t="s">
        <v>554</v>
      </c>
      <c r="D4" s="5" t="s">
        <v>423</v>
      </c>
      <c r="E4" s="5">
        <v>1.1000000000000001</v>
      </c>
      <c r="F4" s="5">
        <v>1.1100000000000001</v>
      </c>
      <c r="G4" s="5">
        <v>0</v>
      </c>
      <c r="H4" s="5">
        <v>2</v>
      </c>
      <c r="I4" s="5" t="s">
        <v>373</v>
      </c>
      <c r="J4" s="5">
        <v>1</v>
      </c>
    </row>
    <row r="5" spans="2:10" x14ac:dyDescent="0.25">
      <c r="B5" s="5" t="s">
        <v>78</v>
      </c>
      <c r="C5" s="5" t="s">
        <v>501</v>
      </c>
      <c r="D5" s="5" t="s">
        <v>270</v>
      </c>
      <c r="E5" s="5">
        <v>2.1</v>
      </c>
      <c r="F5" s="5">
        <v>1.1100000000000001</v>
      </c>
      <c r="G5" s="5">
        <v>0</v>
      </c>
      <c r="H5" s="5">
        <v>0.72</v>
      </c>
      <c r="I5" s="5" t="s">
        <v>1</v>
      </c>
      <c r="J5" s="5">
        <v>1</v>
      </c>
    </row>
    <row r="6" spans="2:10" x14ac:dyDescent="0.25">
      <c r="B6" s="5" t="s">
        <v>78</v>
      </c>
      <c r="C6" s="5" t="s">
        <v>502</v>
      </c>
      <c r="D6" s="5" t="s">
        <v>270</v>
      </c>
      <c r="E6" s="5">
        <v>3.1</v>
      </c>
      <c r="F6" s="5">
        <v>1.1100000000000001</v>
      </c>
      <c r="G6" s="5">
        <v>0</v>
      </c>
      <c r="H6" s="5">
        <v>0.72</v>
      </c>
      <c r="I6" s="5" t="s">
        <v>1</v>
      </c>
      <c r="J6" s="5">
        <v>1</v>
      </c>
    </row>
    <row r="7" spans="2:10" x14ac:dyDescent="0.25">
      <c r="B7" s="5" t="s">
        <v>79</v>
      </c>
      <c r="C7" s="5" t="s">
        <v>503</v>
      </c>
      <c r="D7" s="5" t="s">
        <v>271</v>
      </c>
      <c r="E7" s="5">
        <v>4.0999999999999996</v>
      </c>
      <c r="F7" s="5">
        <v>1.1100000000000001</v>
      </c>
      <c r="G7" s="5">
        <v>0</v>
      </c>
      <c r="H7" s="5">
        <v>2</v>
      </c>
      <c r="I7" s="5" t="s">
        <v>373</v>
      </c>
      <c r="J7" s="5">
        <v>1</v>
      </c>
    </row>
    <row r="8" spans="2:10" x14ac:dyDescent="0.25">
      <c r="B8" s="5" t="s">
        <v>79</v>
      </c>
      <c r="C8" s="5" t="s">
        <v>504</v>
      </c>
      <c r="D8" s="5" t="s">
        <v>364</v>
      </c>
      <c r="E8" s="5">
        <v>5.0999999999999996</v>
      </c>
      <c r="F8" s="5">
        <v>1.1100000000000001</v>
      </c>
      <c r="G8" s="5">
        <v>0</v>
      </c>
      <c r="H8" s="5">
        <v>0.72</v>
      </c>
      <c r="I8" s="5" t="s">
        <v>1</v>
      </c>
      <c r="J8" s="5">
        <v>1</v>
      </c>
    </row>
    <row r="9" spans="2:10" x14ac:dyDescent="0.25">
      <c r="B9" s="5" t="s">
        <v>79</v>
      </c>
      <c r="C9" s="5" t="s">
        <v>505</v>
      </c>
      <c r="D9" s="5" t="s">
        <v>364</v>
      </c>
      <c r="E9" s="5">
        <v>1</v>
      </c>
      <c r="F9" s="5">
        <v>1.1100000000000001</v>
      </c>
      <c r="G9" s="5">
        <v>0</v>
      </c>
      <c r="H9" s="5">
        <v>0.72</v>
      </c>
      <c r="I9" s="5" t="s">
        <v>1</v>
      </c>
      <c r="J9" s="5">
        <v>1</v>
      </c>
    </row>
    <row r="10" spans="2:10" x14ac:dyDescent="0.25">
      <c r="B10" s="5" t="s">
        <v>80</v>
      </c>
      <c r="C10" s="5" t="s">
        <v>506</v>
      </c>
      <c r="D10" s="5" t="s">
        <v>272</v>
      </c>
      <c r="E10" s="5">
        <v>1</v>
      </c>
      <c r="F10" s="5">
        <v>1.1100000000000001</v>
      </c>
      <c r="G10" s="5">
        <v>0</v>
      </c>
      <c r="H10" s="5">
        <v>2</v>
      </c>
      <c r="I10" s="5" t="s">
        <v>373</v>
      </c>
      <c r="J10" s="5">
        <v>1</v>
      </c>
    </row>
    <row r="11" spans="2:10" x14ac:dyDescent="0.25">
      <c r="B11" s="5" t="s">
        <v>80</v>
      </c>
      <c r="C11" s="5" t="s">
        <v>507</v>
      </c>
      <c r="D11" s="5" t="s">
        <v>273</v>
      </c>
      <c r="E11" s="5">
        <v>1</v>
      </c>
      <c r="F11" s="5">
        <v>1.1100000000000001</v>
      </c>
      <c r="G11" s="5">
        <v>0</v>
      </c>
      <c r="H11" s="5">
        <v>1.44</v>
      </c>
      <c r="I11" s="5" t="s">
        <v>1</v>
      </c>
      <c r="J11" s="5">
        <v>1</v>
      </c>
    </row>
    <row r="12" spans="2:10" x14ac:dyDescent="0.25">
      <c r="B12" s="5" t="s">
        <v>108</v>
      </c>
      <c r="C12" s="5" t="s">
        <v>508</v>
      </c>
      <c r="D12" s="5" t="s">
        <v>266</v>
      </c>
      <c r="E12" s="5">
        <v>1</v>
      </c>
      <c r="F12" s="5">
        <v>1.1100000000000001</v>
      </c>
      <c r="G12" s="5">
        <v>0.3</v>
      </c>
      <c r="H12" s="5">
        <v>2</v>
      </c>
      <c r="I12" s="5" t="s">
        <v>373</v>
      </c>
      <c r="J12" s="5">
        <v>1</v>
      </c>
    </row>
    <row r="13" spans="2:10" x14ac:dyDescent="0.25">
      <c r="B13" s="5" t="s">
        <v>108</v>
      </c>
      <c r="C13" s="5" t="s">
        <v>509</v>
      </c>
      <c r="D13" s="5" t="s">
        <v>267</v>
      </c>
      <c r="E13" s="5">
        <v>1</v>
      </c>
      <c r="F13" s="5">
        <v>1.1100000000000001</v>
      </c>
      <c r="G13" s="5">
        <v>0</v>
      </c>
      <c r="H13" s="5">
        <v>1.44</v>
      </c>
      <c r="I13" s="5" t="s">
        <v>1</v>
      </c>
      <c r="J13" s="5">
        <v>1</v>
      </c>
    </row>
    <row r="14" spans="2:10" x14ac:dyDescent="0.25">
      <c r="B14" s="5" t="s">
        <v>108</v>
      </c>
      <c r="C14" s="5" t="s">
        <v>510</v>
      </c>
      <c r="D14" s="5" t="s">
        <v>302</v>
      </c>
      <c r="E14" s="5">
        <v>1</v>
      </c>
      <c r="F14" s="5">
        <v>1.1100000000000001</v>
      </c>
      <c r="G14" s="5">
        <v>0</v>
      </c>
      <c r="H14" s="5">
        <v>1.17</v>
      </c>
      <c r="I14" s="5" t="s">
        <v>1</v>
      </c>
      <c r="J14" s="5">
        <v>1</v>
      </c>
    </row>
    <row r="15" spans="2:10" x14ac:dyDescent="0.25">
      <c r="B15" s="5" t="s">
        <v>82</v>
      </c>
      <c r="C15" s="5" t="s">
        <v>511</v>
      </c>
      <c r="D15" s="5" t="s">
        <v>303</v>
      </c>
      <c r="E15" s="5">
        <v>1</v>
      </c>
      <c r="F15" s="5">
        <v>1.1100000000000001</v>
      </c>
      <c r="G15" s="5">
        <v>0</v>
      </c>
      <c r="H15" s="5">
        <v>1.17</v>
      </c>
      <c r="I15" s="5" t="s">
        <v>1</v>
      </c>
      <c r="J15" s="5">
        <v>1</v>
      </c>
    </row>
    <row r="16" spans="2:10" x14ac:dyDescent="0.25">
      <c r="B16" s="5" t="s">
        <v>82</v>
      </c>
      <c r="C16" s="5" t="s">
        <v>512</v>
      </c>
      <c r="D16" s="5" t="s">
        <v>362</v>
      </c>
      <c r="E16" s="5">
        <v>1</v>
      </c>
      <c r="F16" s="5">
        <v>1.22</v>
      </c>
      <c r="G16" s="5">
        <v>0</v>
      </c>
      <c r="H16" s="5">
        <v>2</v>
      </c>
      <c r="I16" s="5" t="s">
        <v>373</v>
      </c>
      <c r="J16" s="5">
        <v>1</v>
      </c>
    </row>
    <row r="17" spans="2:10" x14ac:dyDescent="0.25">
      <c r="B17" s="5" t="s">
        <v>83</v>
      </c>
      <c r="C17" s="5" t="s">
        <v>513</v>
      </c>
      <c r="D17" s="5" t="s">
        <v>275</v>
      </c>
      <c r="E17" s="5">
        <v>1</v>
      </c>
      <c r="F17" s="5">
        <v>1.22</v>
      </c>
      <c r="G17" s="5">
        <v>0</v>
      </c>
      <c r="H17" s="5">
        <v>1.44</v>
      </c>
      <c r="I17" s="5" t="s">
        <v>1</v>
      </c>
      <c r="J17" s="5">
        <v>1</v>
      </c>
    </row>
    <row r="18" spans="2:10" x14ac:dyDescent="0.25">
      <c r="B18" s="5" t="s">
        <v>83</v>
      </c>
      <c r="C18" s="5" t="s">
        <v>514</v>
      </c>
      <c r="D18" s="5" t="s">
        <v>274</v>
      </c>
      <c r="E18" s="5">
        <v>1</v>
      </c>
      <c r="F18" s="5">
        <v>1.22</v>
      </c>
      <c r="G18" s="5">
        <v>0</v>
      </c>
      <c r="H18" s="5">
        <v>2</v>
      </c>
      <c r="I18" s="5" t="s">
        <v>373</v>
      </c>
      <c r="J18" s="5">
        <v>1</v>
      </c>
    </row>
    <row r="19" spans="2:10" x14ac:dyDescent="0.25">
      <c r="B19" s="5" t="s">
        <v>109</v>
      </c>
      <c r="C19" s="5" t="s">
        <v>515</v>
      </c>
      <c r="D19" s="5" t="s">
        <v>277</v>
      </c>
      <c r="E19" s="5">
        <v>1</v>
      </c>
      <c r="F19" s="5">
        <v>1.22</v>
      </c>
      <c r="G19" s="5">
        <v>0</v>
      </c>
      <c r="H19" s="5">
        <v>1.44</v>
      </c>
      <c r="I19" s="5" t="s">
        <v>1</v>
      </c>
      <c r="J19" s="5">
        <v>1</v>
      </c>
    </row>
    <row r="20" spans="2:10" x14ac:dyDescent="0.25">
      <c r="B20" s="5" t="s">
        <v>109</v>
      </c>
      <c r="C20" s="5" t="s">
        <v>516</v>
      </c>
      <c r="D20" s="5" t="s">
        <v>276</v>
      </c>
      <c r="E20" s="5">
        <v>1</v>
      </c>
      <c r="F20" s="5">
        <v>1.22</v>
      </c>
      <c r="G20" s="5">
        <v>0</v>
      </c>
      <c r="H20" s="5">
        <v>2</v>
      </c>
      <c r="I20" s="5" t="s">
        <v>373</v>
      </c>
      <c r="J20" s="5">
        <v>1</v>
      </c>
    </row>
    <row r="21" spans="2:10" x14ac:dyDescent="0.25">
      <c r="B21" s="5" t="s">
        <v>84</v>
      </c>
      <c r="C21" s="5" t="s">
        <v>517</v>
      </c>
      <c r="D21" s="5" t="s">
        <v>278</v>
      </c>
      <c r="E21" s="5">
        <v>1</v>
      </c>
      <c r="F21" s="5">
        <v>1.22</v>
      </c>
      <c r="G21" s="5">
        <v>0</v>
      </c>
      <c r="H21" s="5">
        <v>2</v>
      </c>
      <c r="I21" s="5" t="s">
        <v>373</v>
      </c>
      <c r="J21" s="5">
        <v>1</v>
      </c>
    </row>
    <row r="22" spans="2:10" x14ac:dyDescent="0.25">
      <c r="B22" s="5" t="s">
        <v>84</v>
      </c>
      <c r="C22" s="5" t="s">
        <v>518</v>
      </c>
      <c r="D22" s="5" t="s">
        <v>370</v>
      </c>
      <c r="E22" s="5">
        <v>1</v>
      </c>
      <c r="F22" s="5">
        <v>1.22</v>
      </c>
      <c r="G22" s="5">
        <v>0</v>
      </c>
      <c r="H22" s="5">
        <v>1.44</v>
      </c>
      <c r="I22" s="5" t="s">
        <v>1</v>
      </c>
      <c r="J22" s="5">
        <v>1</v>
      </c>
    </row>
    <row r="23" spans="2:10" x14ac:dyDescent="0.25">
      <c r="B23" s="5" t="s">
        <v>85</v>
      </c>
      <c r="C23" s="5" t="s">
        <v>519</v>
      </c>
      <c r="D23" s="5" t="s">
        <v>280</v>
      </c>
      <c r="E23" s="5">
        <v>1</v>
      </c>
      <c r="F23" s="5">
        <v>1.22</v>
      </c>
      <c r="G23" s="5">
        <v>0</v>
      </c>
      <c r="H23" s="5">
        <v>1.44</v>
      </c>
      <c r="I23" s="5" t="s">
        <v>1</v>
      </c>
      <c r="J23" s="5">
        <v>1</v>
      </c>
    </row>
    <row r="24" spans="2:10" x14ac:dyDescent="0.25">
      <c r="B24" s="5" t="s">
        <v>85</v>
      </c>
      <c r="C24" s="5" t="s">
        <v>520</v>
      </c>
      <c r="D24" s="5" t="s">
        <v>279</v>
      </c>
      <c r="E24" s="5">
        <v>1</v>
      </c>
      <c r="F24" s="5">
        <v>1.22</v>
      </c>
      <c r="G24" s="5">
        <v>0</v>
      </c>
      <c r="H24" s="5">
        <v>2</v>
      </c>
      <c r="I24" s="5" t="s">
        <v>373</v>
      </c>
      <c r="J24" s="5">
        <v>1</v>
      </c>
    </row>
    <row r="25" spans="2:10" x14ac:dyDescent="0.25">
      <c r="B25" s="5" t="s">
        <v>86</v>
      </c>
      <c r="C25" s="5" t="s">
        <v>521</v>
      </c>
      <c r="D25" s="5" t="s">
        <v>281</v>
      </c>
      <c r="E25" s="5">
        <v>1</v>
      </c>
      <c r="F25" s="5">
        <v>1.22</v>
      </c>
      <c r="G25" s="5">
        <v>0</v>
      </c>
      <c r="H25" s="5">
        <v>2</v>
      </c>
      <c r="I25" s="5" t="s">
        <v>373</v>
      </c>
      <c r="J25" s="5">
        <v>1</v>
      </c>
    </row>
    <row r="26" spans="2:10" x14ac:dyDescent="0.25">
      <c r="B26" s="5" t="s">
        <v>86</v>
      </c>
      <c r="C26" s="5" t="s">
        <v>522</v>
      </c>
      <c r="D26" s="5" t="s">
        <v>282</v>
      </c>
      <c r="E26" s="5">
        <v>1</v>
      </c>
      <c r="F26" s="5">
        <v>1.22</v>
      </c>
      <c r="G26" s="5">
        <v>0</v>
      </c>
      <c r="H26" s="5">
        <v>1.44</v>
      </c>
      <c r="I26" s="5" t="s">
        <v>1</v>
      </c>
      <c r="J26" s="5">
        <v>1</v>
      </c>
    </row>
    <row r="27" spans="2:10" x14ac:dyDescent="0.25">
      <c r="B27" s="5" t="s">
        <v>87</v>
      </c>
      <c r="C27" s="5" t="s">
        <v>523</v>
      </c>
      <c r="D27" s="5" t="s">
        <v>283</v>
      </c>
      <c r="E27" s="5">
        <v>1</v>
      </c>
      <c r="F27" s="5">
        <v>1.22</v>
      </c>
      <c r="G27" s="5">
        <v>0</v>
      </c>
      <c r="H27" s="5">
        <v>2</v>
      </c>
      <c r="I27" s="5" t="s">
        <v>373</v>
      </c>
      <c r="J27" s="5">
        <v>1</v>
      </c>
    </row>
    <row r="28" spans="2:10" x14ac:dyDescent="0.25">
      <c r="B28" s="5" t="s">
        <v>87</v>
      </c>
      <c r="C28" s="5" t="s">
        <v>524</v>
      </c>
      <c r="D28" s="5" t="s">
        <v>284</v>
      </c>
      <c r="E28" s="5">
        <v>1</v>
      </c>
      <c r="F28" s="5">
        <v>1.22</v>
      </c>
      <c r="G28" s="5">
        <v>0</v>
      </c>
      <c r="H28" s="5">
        <v>1.44</v>
      </c>
      <c r="I28" s="5" t="s">
        <v>1</v>
      </c>
      <c r="J28" s="5">
        <v>1</v>
      </c>
    </row>
    <row r="29" spans="2:10" x14ac:dyDescent="0.25">
      <c r="B29" s="5" t="s">
        <v>88</v>
      </c>
      <c r="C29" s="5" t="s">
        <v>525</v>
      </c>
      <c r="D29" s="5" t="s">
        <v>286</v>
      </c>
      <c r="E29" s="5">
        <v>1</v>
      </c>
      <c r="F29" s="5">
        <v>1.22</v>
      </c>
      <c r="G29" s="5">
        <v>0</v>
      </c>
      <c r="H29" s="5">
        <v>1.44</v>
      </c>
      <c r="I29" s="5" t="s">
        <v>1</v>
      </c>
      <c r="J29" s="5">
        <v>1</v>
      </c>
    </row>
    <row r="30" spans="2:10" x14ac:dyDescent="0.25">
      <c r="B30" s="5" t="s">
        <v>88</v>
      </c>
      <c r="C30" s="5" t="s">
        <v>526</v>
      </c>
      <c r="D30" s="5" t="s">
        <v>285</v>
      </c>
      <c r="E30" s="5">
        <v>1</v>
      </c>
      <c r="F30" s="5">
        <v>1.22</v>
      </c>
      <c r="G30" s="5">
        <v>0</v>
      </c>
      <c r="H30" s="5">
        <v>2</v>
      </c>
      <c r="I30" s="5" t="s">
        <v>373</v>
      </c>
      <c r="J30" s="5">
        <v>1</v>
      </c>
    </row>
    <row r="31" spans="2:10" x14ac:dyDescent="0.25">
      <c r="B31" s="5" t="s">
        <v>101</v>
      </c>
      <c r="C31" s="5" t="s">
        <v>527</v>
      </c>
      <c r="D31" s="5" t="s">
        <v>287</v>
      </c>
      <c r="E31" s="5">
        <v>1</v>
      </c>
      <c r="F31" s="5">
        <v>1.22</v>
      </c>
      <c r="G31" s="5">
        <v>0</v>
      </c>
      <c r="H31" s="5">
        <v>2</v>
      </c>
      <c r="I31" s="5" t="s">
        <v>373</v>
      </c>
      <c r="J31" s="5">
        <v>1</v>
      </c>
    </row>
    <row r="32" spans="2:10" x14ac:dyDescent="0.25">
      <c r="B32" s="5" t="s">
        <v>101</v>
      </c>
      <c r="C32" s="5" t="s">
        <v>528</v>
      </c>
      <c r="D32" s="5" t="s">
        <v>288</v>
      </c>
      <c r="E32" s="5">
        <v>1</v>
      </c>
      <c r="F32" s="5">
        <v>1.22</v>
      </c>
      <c r="G32" s="5">
        <v>0</v>
      </c>
      <c r="H32" s="5">
        <v>0.72</v>
      </c>
      <c r="I32" s="5" t="s">
        <v>1</v>
      </c>
      <c r="J32" s="5">
        <v>1</v>
      </c>
    </row>
    <row r="33" spans="2:10" x14ac:dyDescent="0.25">
      <c r="B33" s="5" t="s">
        <v>89</v>
      </c>
      <c r="C33" s="5" t="s">
        <v>529</v>
      </c>
      <c r="D33" s="5" t="s">
        <v>289</v>
      </c>
      <c r="E33" s="5">
        <v>1</v>
      </c>
      <c r="F33" s="5">
        <v>1.22</v>
      </c>
      <c r="G33" s="5">
        <v>0</v>
      </c>
      <c r="H33" s="5">
        <v>2</v>
      </c>
      <c r="I33" s="5" t="s">
        <v>373</v>
      </c>
      <c r="J33" s="5">
        <v>1</v>
      </c>
    </row>
    <row r="34" spans="2:10" x14ac:dyDescent="0.25">
      <c r="B34" s="5" t="s">
        <v>89</v>
      </c>
      <c r="C34" s="5" t="s">
        <v>530</v>
      </c>
      <c r="D34" s="5" t="s">
        <v>290</v>
      </c>
      <c r="E34" s="5">
        <v>1</v>
      </c>
      <c r="F34" s="5">
        <v>1.22</v>
      </c>
      <c r="G34" s="5">
        <v>0</v>
      </c>
      <c r="H34" s="5">
        <v>1.44</v>
      </c>
      <c r="I34" s="5" t="s">
        <v>1</v>
      </c>
      <c r="J34" s="5">
        <v>1</v>
      </c>
    </row>
    <row r="35" spans="2:10" x14ac:dyDescent="0.25">
      <c r="B35" s="5" t="s">
        <v>110</v>
      </c>
      <c r="C35" s="5" t="s">
        <v>531</v>
      </c>
      <c r="D35" s="5" t="s">
        <v>292</v>
      </c>
      <c r="E35" s="5">
        <v>1</v>
      </c>
      <c r="F35" s="5">
        <v>1.34</v>
      </c>
      <c r="G35" s="5">
        <v>0</v>
      </c>
      <c r="H35" s="5">
        <v>1.44</v>
      </c>
      <c r="I35" s="5" t="s">
        <v>1</v>
      </c>
      <c r="J35" s="5">
        <v>1</v>
      </c>
    </row>
    <row r="36" spans="2:10" x14ac:dyDescent="0.25">
      <c r="B36" s="5" t="s">
        <v>110</v>
      </c>
      <c r="C36" s="5" t="s">
        <v>532</v>
      </c>
      <c r="D36" s="5" t="s">
        <v>291</v>
      </c>
      <c r="E36" s="5">
        <v>1</v>
      </c>
      <c r="F36" s="5">
        <v>1.34</v>
      </c>
      <c r="G36" s="5">
        <v>0</v>
      </c>
      <c r="H36" s="5">
        <v>2</v>
      </c>
      <c r="I36" s="5" t="s">
        <v>373</v>
      </c>
      <c r="J36" s="5">
        <v>1</v>
      </c>
    </row>
    <row r="37" spans="2:10" x14ac:dyDescent="0.25">
      <c r="B37" s="5" t="s">
        <v>111</v>
      </c>
      <c r="C37" s="5" t="s">
        <v>533</v>
      </c>
      <c r="D37" s="5" t="s">
        <v>293</v>
      </c>
      <c r="E37" s="5">
        <v>1</v>
      </c>
      <c r="F37" s="5">
        <v>1.34</v>
      </c>
      <c r="G37" s="5">
        <v>0</v>
      </c>
      <c r="H37" s="5">
        <v>2</v>
      </c>
      <c r="I37" s="5" t="s">
        <v>373</v>
      </c>
      <c r="J37" s="5">
        <v>1</v>
      </c>
    </row>
    <row r="38" spans="2:10" x14ac:dyDescent="0.25">
      <c r="B38" s="5" t="s">
        <v>111</v>
      </c>
      <c r="C38" s="5" t="s">
        <v>534</v>
      </c>
      <c r="D38" s="5" t="s">
        <v>294</v>
      </c>
      <c r="E38" s="5">
        <v>1</v>
      </c>
      <c r="F38" s="5">
        <v>1.34</v>
      </c>
      <c r="G38" s="5">
        <v>0</v>
      </c>
      <c r="H38" s="5">
        <v>0.80640000000000001</v>
      </c>
      <c r="I38" s="5" t="s">
        <v>1</v>
      </c>
      <c r="J38" s="5">
        <v>1</v>
      </c>
    </row>
    <row r="39" spans="2:10" x14ac:dyDescent="0.25">
      <c r="B39" s="5" t="s">
        <v>90</v>
      </c>
      <c r="C39" s="5" t="s">
        <v>535</v>
      </c>
      <c r="D39" s="5" t="s">
        <v>363</v>
      </c>
      <c r="E39" s="5">
        <v>1</v>
      </c>
      <c r="F39" s="5">
        <v>1.34</v>
      </c>
      <c r="G39" s="5">
        <v>0</v>
      </c>
      <c r="H39" s="5">
        <v>1.44</v>
      </c>
      <c r="I39" s="5" t="s">
        <v>1</v>
      </c>
      <c r="J39" s="5">
        <v>1</v>
      </c>
    </row>
    <row r="40" spans="2:10" x14ac:dyDescent="0.25">
      <c r="B40" s="5" t="s">
        <v>90</v>
      </c>
      <c r="C40" s="5" t="s">
        <v>536</v>
      </c>
      <c r="D40" s="5" t="s">
        <v>295</v>
      </c>
      <c r="E40" s="5">
        <v>1</v>
      </c>
      <c r="F40" s="5">
        <v>1.34</v>
      </c>
      <c r="G40" s="5">
        <v>0</v>
      </c>
      <c r="H40" s="5">
        <v>2</v>
      </c>
      <c r="I40" s="5" t="s">
        <v>373</v>
      </c>
      <c r="J40" s="5">
        <v>1</v>
      </c>
    </row>
    <row r="41" spans="2:10" x14ac:dyDescent="0.25">
      <c r="B41" s="5" t="s">
        <v>91</v>
      </c>
      <c r="C41" s="5" t="s">
        <v>537</v>
      </c>
      <c r="D41" s="5" t="s">
        <v>296</v>
      </c>
      <c r="E41" s="5">
        <v>1</v>
      </c>
      <c r="F41" s="5">
        <v>1.34</v>
      </c>
      <c r="G41" s="5">
        <v>0</v>
      </c>
      <c r="H41" s="5">
        <v>2</v>
      </c>
      <c r="I41" s="5" t="s">
        <v>373</v>
      </c>
      <c r="J41" s="5">
        <v>1</v>
      </c>
    </row>
    <row r="42" spans="2:10" x14ac:dyDescent="0.25">
      <c r="B42" s="5" t="s">
        <v>91</v>
      </c>
      <c r="C42" s="5" t="s">
        <v>538</v>
      </c>
      <c r="D42" s="5" t="s">
        <v>297</v>
      </c>
      <c r="E42" s="5">
        <v>1</v>
      </c>
      <c r="F42" s="5">
        <v>1.34</v>
      </c>
      <c r="G42" s="5">
        <v>0</v>
      </c>
      <c r="H42" s="5">
        <v>1.44</v>
      </c>
      <c r="I42" s="5" t="s">
        <v>1</v>
      </c>
      <c r="J42" s="5">
        <v>1</v>
      </c>
    </row>
    <row r="43" spans="2:10" x14ac:dyDescent="0.25">
      <c r="B43" s="5" t="s">
        <v>92</v>
      </c>
      <c r="C43" s="5" t="s">
        <v>539</v>
      </c>
      <c r="D43" s="5" t="s">
        <v>366</v>
      </c>
      <c r="E43" s="5">
        <v>1</v>
      </c>
      <c r="F43" s="5">
        <v>1.34</v>
      </c>
      <c r="G43" s="5">
        <v>0</v>
      </c>
      <c r="H43" s="5">
        <v>0.63360000000000005</v>
      </c>
      <c r="I43" s="5" t="s">
        <v>1</v>
      </c>
      <c r="J43" s="5">
        <v>1</v>
      </c>
    </row>
    <row r="44" spans="2:10" x14ac:dyDescent="0.25">
      <c r="B44" s="5" t="s">
        <v>92</v>
      </c>
      <c r="C44" s="5" t="s">
        <v>540</v>
      </c>
      <c r="D44" s="5" t="s">
        <v>298</v>
      </c>
      <c r="E44" s="5">
        <v>1</v>
      </c>
      <c r="F44" s="5">
        <v>1.34</v>
      </c>
      <c r="G44" s="5">
        <v>0</v>
      </c>
      <c r="H44" s="5">
        <v>2</v>
      </c>
      <c r="I44" s="5" t="s">
        <v>373</v>
      </c>
      <c r="J44" s="5">
        <v>1</v>
      </c>
    </row>
    <row r="45" spans="2:10" x14ac:dyDescent="0.25">
      <c r="B45" s="5" t="s">
        <v>93</v>
      </c>
      <c r="C45" s="5" t="s">
        <v>541</v>
      </c>
      <c r="D45" s="5" t="s">
        <v>299</v>
      </c>
      <c r="E45" s="5">
        <v>1</v>
      </c>
      <c r="F45" s="5">
        <v>1.34</v>
      </c>
      <c r="G45" s="5">
        <v>0</v>
      </c>
      <c r="H45" s="5">
        <v>2</v>
      </c>
      <c r="I45" s="5" t="s">
        <v>373</v>
      </c>
      <c r="J45" s="5">
        <v>1</v>
      </c>
    </row>
    <row r="46" spans="2:10" x14ac:dyDescent="0.25">
      <c r="B46" s="5" t="s">
        <v>93</v>
      </c>
      <c r="C46" s="5" t="s">
        <v>542</v>
      </c>
      <c r="D46" s="5" t="s">
        <v>300</v>
      </c>
      <c r="E46" s="5">
        <v>1</v>
      </c>
      <c r="F46" s="5">
        <v>1.34</v>
      </c>
      <c r="G46" s="5">
        <v>0</v>
      </c>
      <c r="H46" s="5">
        <v>1.44</v>
      </c>
      <c r="I46" s="5" t="s">
        <v>1</v>
      </c>
      <c r="J46" s="5">
        <v>1</v>
      </c>
    </row>
    <row r="47" spans="2:10" x14ac:dyDescent="0.25">
      <c r="B47" s="5" t="s">
        <v>94</v>
      </c>
      <c r="C47" s="5" t="s">
        <v>543</v>
      </c>
      <c r="D47" s="5" t="s">
        <v>301</v>
      </c>
      <c r="E47" s="5">
        <v>1</v>
      </c>
      <c r="F47" s="5">
        <v>1.34</v>
      </c>
      <c r="G47" s="5">
        <v>0</v>
      </c>
      <c r="H47" s="5">
        <v>2</v>
      </c>
      <c r="I47" s="5" t="s">
        <v>373</v>
      </c>
      <c r="J47" s="5">
        <v>1</v>
      </c>
    </row>
    <row r="48" spans="2:10" x14ac:dyDescent="0.25">
      <c r="B48" s="5" t="s">
        <v>94</v>
      </c>
      <c r="C48" s="5" t="s">
        <v>544</v>
      </c>
      <c r="D48" s="5" t="s">
        <v>424</v>
      </c>
      <c r="E48" s="5">
        <v>1</v>
      </c>
      <c r="F48" s="5">
        <v>1.34</v>
      </c>
      <c r="G48" s="5">
        <v>0</v>
      </c>
      <c r="H48" s="5">
        <v>1.44</v>
      </c>
      <c r="I48" s="5" t="s">
        <v>1</v>
      </c>
      <c r="J48" s="5">
        <v>1</v>
      </c>
    </row>
    <row r="49" spans="2:10" x14ac:dyDescent="0.25">
      <c r="B49" s="5" t="s">
        <v>104</v>
      </c>
      <c r="C49" s="5" t="s">
        <v>545</v>
      </c>
      <c r="D49" s="5" t="s">
        <v>304</v>
      </c>
      <c r="E49" s="5">
        <v>1</v>
      </c>
      <c r="F49" s="5">
        <v>1.34</v>
      </c>
      <c r="G49" s="5">
        <v>0</v>
      </c>
      <c r="H49" s="5">
        <v>1.44</v>
      </c>
      <c r="I49" s="5" t="s">
        <v>1</v>
      </c>
      <c r="J49" s="5">
        <v>1</v>
      </c>
    </row>
    <row r="50" spans="2:10" x14ac:dyDescent="0.25">
      <c r="B50" s="5" t="s">
        <v>104</v>
      </c>
      <c r="C50" s="5" t="s">
        <v>546</v>
      </c>
      <c r="D50" s="5" t="s">
        <v>268</v>
      </c>
      <c r="E50" s="5">
        <v>1</v>
      </c>
      <c r="F50" s="5">
        <v>2</v>
      </c>
      <c r="G50" s="5">
        <v>0</v>
      </c>
      <c r="H50" s="5">
        <v>2</v>
      </c>
      <c r="I50" s="5" t="s">
        <v>373</v>
      </c>
      <c r="J50" s="5">
        <v>1</v>
      </c>
    </row>
    <row r="51" spans="2:10" x14ac:dyDescent="0.25">
      <c r="B51" s="5" t="s">
        <v>95</v>
      </c>
      <c r="C51" s="5" t="s">
        <v>547</v>
      </c>
      <c r="D51" s="5" t="s">
        <v>305</v>
      </c>
      <c r="E51" s="5">
        <v>1</v>
      </c>
      <c r="F51" s="5">
        <v>2</v>
      </c>
      <c r="G51" s="5">
        <v>0</v>
      </c>
      <c r="H51" s="5">
        <v>2</v>
      </c>
      <c r="I51" s="5" t="s">
        <v>373</v>
      </c>
      <c r="J51" s="5">
        <v>1</v>
      </c>
    </row>
    <row r="52" spans="2:10" x14ac:dyDescent="0.25">
      <c r="B52" s="5" t="s">
        <v>95</v>
      </c>
      <c r="C52" s="5" t="s">
        <v>548</v>
      </c>
      <c r="D52" s="5" t="s">
        <v>306</v>
      </c>
      <c r="E52" s="5">
        <v>1</v>
      </c>
      <c r="F52" s="5">
        <v>1.44</v>
      </c>
      <c r="G52" s="5">
        <v>0</v>
      </c>
      <c r="H52" s="5">
        <v>1.44</v>
      </c>
      <c r="I52" s="5" t="s">
        <v>1</v>
      </c>
      <c r="J52" s="5">
        <v>1</v>
      </c>
    </row>
    <row r="53" spans="2:10" x14ac:dyDescent="0.25">
      <c r="B53" s="5" t="s">
        <v>100</v>
      </c>
      <c r="C53" s="5" t="s">
        <v>549</v>
      </c>
      <c r="D53" s="5" t="s">
        <v>307</v>
      </c>
      <c r="E53" s="5">
        <v>1</v>
      </c>
      <c r="F53" s="5">
        <v>1</v>
      </c>
      <c r="G53" s="5">
        <v>0</v>
      </c>
      <c r="H53" s="5">
        <v>1</v>
      </c>
      <c r="I53" s="5" t="s">
        <v>373</v>
      </c>
      <c r="J53" s="5">
        <v>1</v>
      </c>
    </row>
    <row r="54" spans="2:10" x14ac:dyDescent="0.25">
      <c r="B54" s="5" t="s">
        <v>105</v>
      </c>
      <c r="C54" s="5" t="s">
        <v>550</v>
      </c>
      <c r="D54" s="5" t="s">
        <v>308</v>
      </c>
      <c r="E54" s="5">
        <v>1</v>
      </c>
      <c r="F54" s="5">
        <v>1</v>
      </c>
      <c r="G54" s="5">
        <v>0</v>
      </c>
      <c r="H54" s="5">
        <v>1</v>
      </c>
      <c r="I54" s="5" t="s">
        <v>373</v>
      </c>
      <c r="J54" s="5">
        <v>1</v>
      </c>
    </row>
    <row r="55" spans="2:10" x14ac:dyDescent="0.25">
      <c r="B55" s="5" t="s">
        <v>103</v>
      </c>
      <c r="C55" s="5" t="s">
        <v>551</v>
      </c>
      <c r="D55" s="5" t="s">
        <v>309</v>
      </c>
      <c r="E55" s="5">
        <v>1</v>
      </c>
      <c r="F55" s="5">
        <v>1</v>
      </c>
      <c r="G55" s="5">
        <v>0</v>
      </c>
      <c r="H55" s="5">
        <v>1</v>
      </c>
      <c r="I55" s="5" t="s">
        <v>373</v>
      </c>
      <c r="J55" s="5">
        <v>1</v>
      </c>
    </row>
    <row r="56" spans="2:10" x14ac:dyDescent="0.25">
      <c r="B56" s="5" t="s">
        <v>102</v>
      </c>
      <c r="C56" s="5" t="s">
        <v>552</v>
      </c>
      <c r="D56" s="5" t="s">
        <v>365</v>
      </c>
      <c r="E56" s="5">
        <v>1</v>
      </c>
      <c r="F56" s="5">
        <v>0.72</v>
      </c>
      <c r="G56" s="5">
        <v>0</v>
      </c>
      <c r="H56" s="5">
        <v>0.72</v>
      </c>
      <c r="I56" s="5" t="s">
        <v>1</v>
      </c>
      <c r="J56" s="5">
        <v>1</v>
      </c>
    </row>
    <row r="57" spans="2:10" x14ac:dyDescent="0.25">
      <c r="B57" s="5" t="s">
        <v>102</v>
      </c>
      <c r="C57" s="5" t="s">
        <v>553</v>
      </c>
      <c r="D57" s="5" t="s">
        <v>359</v>
      </c>
      <c r="E57" s="5">
        <v>1</v>
      </c>
      <c r="F57" s="5">
        <v>2</v>
      </c>
      <c r="G57" s="5">
        <v>0</v>
      </c>
      <c r="H57" s="5">
        <v>2</v>
      </c>
      <c r="I57" s="5" t="s">
        <v>373</v>
      </c>
      <c r="J57" s="5">
        <v>1</v>
      </c>
    </row>
    <row r="58" spans="2:10" x14ac:dyDescent="0.25">
      <c r="B58" s="5" t="s">
        <v>112</v>
      </c>
      <c r="C58" s="5" t="s">
        <v>555</v>
      </c>
      <c r="D58" s="5" t="s">
        <v>368</v>
      </c>
      <c r="E58" s="5">
        <v>1</v>
      </c>
      <c r="F58" s="5">
        <v>1</v>
      </c>
      <c r="G58" s="5">
        <v>0</v>
      </c>
      <c r="H58" s="5">
        <v>1</v>
      </c>
      <c r="I58" s="5" t="s">
        <v>373</v>
      </c>
      <c r="J58" s="5">
        <v>1</v>
      </c>
    </row>
    <row r="59" spans="2:10" x14ac:dyDescent="0.25">
      <c r="B59" s="5" t="s">
        <v>622</v>
      </c>
      <c r="C59" s="5" t="s">
        <v>556</v>
      </c>
      <c r="D59" s="5" t="s">
        <v>622</v>
      </c>
      <c r="E59" s="5">
        <v>1</v>
      </c>
      <c r="F59" s="5">
        <v>1</v>
      </c>
      <c r="G59" s="5">
        <v>0.3</v>
      </c>
      <c r="H59" s="5">
        <v>1</v>
      </c>
      <c r="I59" s="5" t="s">
        <v>1</v>
      </c>
      <c r="J59" s="5">
        <v>1</v>
      </c>
    </row>
    <row r="60" spans="2:10" x14ac:dyDescent="0.25">
      <c r="B60" s="5" t="s">
        <v>114</v>
      </c>
      <c r="C60" s="5" t="s">
        <v>557</v>
      </c>
      <c r="D60" s="5" t="s">
        <v>360</v>
      </c>
      <c r="E60" s="5">
        <v>1</v>
      </c>
      <c r="F60" s="5">
        <v>1.04</v>
      </c>
      <c r="G60" s="5">
        <v>0</v>
      </c>
      <c r="H60" s="5">
        <v>1.04</v>
      </c>
      <c r="I60" s="5" t="s">
        <v>373</v>
      </c>
      <c r="J60" s="5">
        <v>1</v>
      </c>
    </row>
    <row r="61" spans="2:10" x14ac:dyDescent="0.25">
      <c r="B61" s="5" t="s">
        <v>116</v>
      </c>
      <c r="C61" s="5" t="s">
        <v>558</v>
      </c>
      <c r="D61" s="5" t="s">
        <v>371</v>
      </c>
      <c r="E61" s="5">
        <v>1</v>
      </c>
      <c r="F61" s="5">
        <v>1</v>
      </c>
      <c r="G61" s="5">
        <v>0</v>
      </c>
      <c r="H61" s="5">
        <v>1</v>
      </c>
      <c r="I61" s="5" t="s">
        <v>373</v>
      </c>
      <c r="J61" s="5">
        <v>1</v>
      </c>
    </row>
    <row r="62" spans="2:10" x14ac:dyDescent="0.25">
      <c r="B62" s="5" t="s">
        <v>117</v>
      </c>
      <c r="C62" s="5" t="s">
        <v>559</v>
      </c>
      <c r="D62" s="5" t="s">
        <v>310</v>
      </c>
      <c r="E62" s="5">
        <v>1</v>
      </c>
      <c r="F62" s="5">
        <v>2</v>
      </c>
      <c r="G62" s="5">
        <v>0</v>
      </c>
      <c r="H62" s="5">
        <v>2</v>
      </c>
      <c r="I62" s="5" t="s">
        <v>373</v>
      </c>
      <c r="J62" s="5">
        <v>1</v>
      </c>
    </row>
    <row r="63" spans="2:10" x14ac:dyDescent="0.25">
      <c r="B63" s="5" t="s">
        <v>117</v>
      </c>
      <c r="C63" s="5" t="s">
        <v>560</v>
      </c>
      <c r="D63" s="5" t="s">
        <v>361</v>
      </c>
      <c r="E63" s="5">
        <v>1</v>
      </c>
      <c r="F63" s="5">
        <v>1.44</v>
      </c>
      <c r="G63" s="5">
        <v>0</v>
      </c>
      <c r="H63" s="5">
        <v>1.44</v>
      </c>
      <c r="I63" s="5" t="s">
        <v>1</v>
      </c>
      <c r="J63" s="5">
        <v>1</v>
      </c>
    </row>
    <row r="64" spans="2:10" x14ac:dyDescent="0.25">
      <c r="B64" s="5" t="s">
        <v>118</v>
      </c>
      <c r="C64" s="5" t="s">
        <v>561</v>
      </c>
      <c r="D64" s="5" t="s">
        <v>311</v>
      </c>
      <c r="E64" s="5">
        <v>1</v>
      </c>
      <c r="F64" s="5">
        <v>1.44</v>
      </c>
      <c r="G64" s="5">
        <v>0</v>
      </c>
      <c r="H64" s="5">
        <v>1.44</v>
      </c>
      <c r="I64" s="5" t="s">
        <v>373</v>
      </c>
      <c r="J64" s="5">
        <v>1</v>
      </c>
    </row>
    <row r="65" spans="2:10" x14ac:dyDescent="0.25">
      <c r="B65" s="5" t="s">
        <v>119</v>
      </c>
      <c r="C65" s="5" t="s">
        <v>562</v>
      </c>
      <c r="D65" s="5" t="s">
        <v>269</v>
      </c>
      <c r="E65" s="5">
        <v>1</v>
      </c>
      <c r="F65" s="5">
        <v>1.44</v>
      </c>
      <c r="G65" s="5">
        <v>0</v>
      </c>
      <c r="H65" s="5">
        <v>1.44</v>
      </c>
      <c r="I65" s="5" t="s">
        <v>373</v>
      </c>
      <c r="J65" s="5">
        <v>1</v>
      </c>
    </row>
    <row r="66" spans="2:10" x14ac:dyDescent="0.25">
      <c r="B66" s="5" t="s">
        <v>120</v>
      </c>
      <c r="C66" s="5" t="s">
        <v>563</v>
      </c>
      <c r="D66" s="5" t="s">
        <v>357</v>
      </c>
      <c r="E66" s="5">
        <v>1</v>
      </c>
      <c r="F66" s="5">
        <v>1.94</v>
      </c>
      <c r="G66" s="5">
        <v>0</v>
      </c>
      <c r="H66" s="5">
        <v>1.94</v>
      </c>
      <c r="I66" s="5" t="s">
        <v>373</v>
      </c>
      <c r="J66" s="5">
        <v>1</v>
      </c>
    </row>
    <row r="67" spans="2:10" x14ac:dyDescent="0.25">
      <c r="B67" s="5" t="s">
        <v>121</v>
      </c>
      <c r="C67" s="5" t="s">
        <v>564</v>
      </c>
      <c r="D67" s="5" t="s">
        <v>355</v>
      </c>
      <c r="E67" s="5">
        <v>1</v>
      </c>
      <c r="F67" s="5">
        <v>1.44</v>
      </c>
      <c r="G67" s="5">
        <v>0</v>
      </c>
      <c r="H67" s="5">
        <v>1.44</v>
      </c>
      <c r="I67" s="5" t="s">
        <v>373</v>
      </c>
      <c r="J67" s="5">
        <v>1</v>
      </c>
    </row>
    <row r="68" spans="2:10" x14ac:dyDescent="0.25">
      <c r="B68" s="5" t="s">
        <v>122</v>
      </c>
      <c r="C68" s="5" t="s">
        <v>565</v>
      </c>
      <c r="D68" s="5" t="s">
        <v>356</v>
      </c>
      <c r="E68" s="5">
        <v>1</v>
      </c>
      <c r="F68" s="5">
        <v>1.44</v>
      </c>
      <c r="G68" s="5">
        <v>0</v>
      </c>
      <c r="H68" s="5">
        <v>1.44</v>
      </c>
      <c r="I68" s="5" t="s">
        <v>373</v>
      </c>
      <c r="J68" s="5">
        <v>1</v>
      </c>
    </row>
    <row r="69" spans="2:10" x14ac:dyDescent="0.25">
      <c r="B69" s="5" t="s">
        <v>123</v>
      </c>
      <c r="C69" s="5" t="s">
        <v>566</v>
      </c>
      <c r="D69" s="5" t="s">
        <v>369</v>
      </c>
      <c r="E69" s="5">
        <v>1</v>
      </c>
      <c r="F69" s="5">
        <v>1.44</v>
      </c>
      <c r="G69" s="5">
        <v>0</v>
      </c>
      <c r="H69" s="5">
        <v>1.44</v>
      </c>
      <c r="I69" s="5" t="s">
        <v>373</v>
      </c>
      <c r="J69" s="5">
        <v>1</v>
      </c>
    </row>
    <row r="70" spans="2:10" x14ac:dyDescent="0.25">
      <c r="B70" s="5" t="s">
        <v>124</v>
      </c>
      <c r="C70" s="5" t="s">
        <v>567</v>
      </c>
      <c r="D70" s="5" t="s">
        <v>358</v>
      </c>
      <c r="E70" s="5">
        <v>1</v>
      </c>
      <c r="F70" s="5">
        <v>1.44</v>
      </c>
      <c r="G70" s="5">
        <v>0</v>
      </c>
      <c r="H70" s="5">
        <v>1.44</v>
      </c>
      <c r="I70" s="5" t="s">
        <v>373</v>
      </c>
      <c r="J70" s="5">
        <v>1</v>
      </c>
    </row>
    <row r="71" spans="2:10" x14ac:dyDescent="0.25">
      <c r="B71" s="5" t="s">
        <v>125</v>
      </c>
      <c r="C71" s="5" t="s">
        <v>568</v>
      </c>
      <c r="D71" s="5" t="s">
        <v>327</v>
      </c>
      <c r="E71" s="5">
        <v>1</v>
      </c>
      <c r="F71" s="5">
        <v>1.44</v>
      </c>
      <c r="G71" s="5">
        <v>0</v>
      </c>
      <c r="H71" s="5">
        <v>1.44</v>
      </c>
      <c r="I71" s="5" t="s">
        <v>373</v>
      </c>
      <c r="J71" s="5">
        <v>1</v>
      </c>
    </row>
    <row r="72" spans="2:10" x14ac:dyDescent="0.25">
      <c r="B72" s="5" t="s">
        <v>127</v>
      </c>
      <c r="C72" s="5" t="s">
        <v>569</v>
      </c>
      <c r="D72" s="5" t="s">
        <v>328</v>
      </c>
      <c r="E72" s="5">
        <v>1</v>
      </c>
      <c r="F72" s="5">
        <v>0</v>
      </c>
      <c r="G72" s="5">
        <v>0</v>
      </c>
      <c r="H72" s="5">
        <v>0</v>
      </c>
      <c r="I72" s="5" t="s">
        <v>373</v>
      </c>
      <c r="J72" s="5">
        <v>1</v>
      </c>
    </row>
    <row r="73" spans="2:10" x14ac:dyDescent="0.25">
      <c r="B73" s="5" t="s">
        <v>128</v>
      </c>
      <c r="C73" s="5" t="s">
        <v>570</v>
      </c>
      <c r="D73" s="5" t="s">
        <v>329</v>
      </c>
      <c r="E73" s="5">
        <v>1</v>
      </c>
      <c r="F73" s="5">
        <v>1.28</v>
      </c>
      <c r="G73" s="5">
        <v>0</v>
      </c>
      <c r="H73" s="5">
        <v>1.28</v>
      </c>
      <c r="I73" s="5" t="s">
        <v>1</v>
      </c>
      <c r="J73" s="5">
        <v>1</v>
      </c>
    </row>
    <row r="74" spans="2:10" x14ac:dyDescent="0.25">
      <c r="B74" s="5" t="s">
        <v>129</v>
      </c>
      <c r="C74" s="5" t="s">
        <v>571</v>
      </c>
      <c r="D74" s="5" t="s">
        <v>330</v>
      </c>
      <c r="E74" s="5">
        <v>1</v>
      </c>
      <c r="F74" s="5">
        <v>1.44</v>
      </c>
      <c r="G74" s="5">
        <v>0</v>
      </c>
      <c r="H74" s="5">
        <v>1.44</v>
      </c>
      <c r="I74" s="5" t="s">
        <v>373</v>
      </c>
      <c r="J74" s="5">
        <v>1</v>
      </c>
    </row>
    <row r="75" spans="2:10" x14ac:dyDescent="0.25">
      <c r="B75" s="5" t="s">
        <v>130</v>
      </c>
      <c r="C75" s="5" t="s">
        <v>572</v>
      </c>
      <c r="D75" s="5" t="s">
        <v>332</v>
      </c>
      <c r="E75" s="5">
        <v>1</v>
      </c>
      <c r="F75" s="5">
        <v>0</v>
      </c>
      <c r="G75" s="5">
        <v>0.3</v>
      </c>
      <c r="H75" s="5">
        <v>0</v>
      </c>
      <c r="I75" s="5" t="s">
        <v>2</v>
      </c>
      <c r="J75" s="5">
        <v>1</v>
      </c>
    </row>
    <row r="76" spans="2:10" x14ac:dyDescent="0.25">
      <c r="B76" s="5" t="s">
        <v>130</v>
      </c>
      <c r="C76" s="5" t="s">
        <v>573</v>
      </c>
      <c r="D76" s="5" t="s">
        <v>331</v>
      </c>
      <c r="E76" s="5">
        <v>1</v>
      </c>
      <c r="F76" s="5">
        <v>1.36</v>
      </c>
      <c r="G76" s="5">
        <v>0</v>
      </c>
      <c r="H76" s="5">
        <v>1.36</v>
      </c>
      <c r="I76" s="5" t="s">
        <v>373</v>
      </c>
      <c r="J76" s="5">
        <v>1</v>
      </c>
    </row>
    <row r="77" spans="2:10" x14ac:dyDescent="0.25">
      <c r="B77" s="5" t="s">
        <v>30</v>
      </c>
      <c r="C77" s="5" t="s">
        <v>574</v>
      </c>
      <c r="D77" s="5" t="s">
        <v>312</v>
      </c>
      <c r="E77" s="5">
        <v>1</v>
      </c>
      <c r="F77" s="5">
        <v>2.5</v>
      </c>
      <c r="G77" s="5">
        <v>0</v>
      </c>
      <c r="H77" s="5">
        <v>2.5</v>
      </c>
      <c r="I77" s="5" t="s">
        <v>373</v>
      </c>
      <c r="J77" s="5">
        <v>1</v>
      </c>
    </row>
    <row r="78" spans="2:10" x14ac:dyDescent="0.25">
      <c r="B78" s="5" t="s">
        <v>30</v>
      </c>
      <c r="C78" s="5" t="s">
        <v>575</v>
      </c>
      <c r="D78" s="5" t="s">
        <v>313</v>
      </c>
      <c r="E78" s="5">
        <v>1</v>
      </c>
      <c r="F78" s="5">
        <v>1.6</v>
      </c>
      <c r="G78" s="5">
        <v>0</v>
      </c>
      <c r="H78" s="5">
        <v>1.6</v>
      </c>
      <c r="I78" s="5" t="s">
        <v>2</v>
      </c>
      <c r="J78" s="5">
        <v>1</v>
      </c>
    </row>
    <row r="79" spans="2:10" x14ac:dyDescent="0.25">
      <c r="B79" s="5" t="s">
        <v>36</v>
      </c>
      <c r="C79" s="5" t="s">
        <v>576</v>
      </c>
      <c r="D79" s="5" t="s">
        <v>367</v>
      </c>
      <c r="E79" s="5">
        <v>1</v>
      </c>
      <c r="F79" s="5">
        <v>0</v>
      </c>
      <c r="G79" s="5">
        <v>0.3</v>
      </c>
      <c r="H79" s="5">
        <v>0</v>
      </c>
      <c r="I79" s="5" t="s">
        <v>373</v>
      </c>
      <c r="J79" s="5">
        <v>1</v>
      </c>
    </row>
    <row r="80" spans="2:10" x14ac:dyDescent="0.25">
      <c r="B80" s="5" t="s">
        <v>31</v>
      </c>
      <c r="C80" s="5" t="s">
        <v>577</v>
      </c>
      <c r="D80" s="5" t="s">
        <v>425</v>
      </c>
      <c r="E80" s="5">
        <v>1</v>
      </c>
      <c r="F80" s="5">
        <v>2.25</v>
      </c>
      <c r="G80" s="5">
        <v>0</v>
      </c>
      <c r="H80" s="5">
        <v>2.25</v>
      </c>
      <c r="I80" s="5" t="s">
        <v>373</v>
      </c>
      <c r="J80" s="5">
        <v>1</v>
      </c>
    </row>
    <row r="81" spans="2:10" x14ac:dyDescent="0.25">
      <c r="B81" s="5" t="s">
        <v>137</v>
      </c>
      <c r="C81" s="5" t="s">
        <v>578</v>
      </c>
      <c r="D81" s="5" t="s">
        <v>314</v>
      </c>
      <c r="E81" s="5">
        <v>1</v>
      </c>
      <c r="F81" s="5">
        <v>1.36</v>
      </c>
      <c r="G81" s="5">
        <v>0</v>
      </c>
      <c r="H81" s="5">
        <v>1.36</v>
      </c>
      <c r="I81" s="5" t="s">
        <v>373</v>
      </c>
      <c r="J81" s="5">
        <v>1</v>
      </c>
    </row>
    <row r="82" spans="2:10" x14ac:dyDescent="0.25">
      <c r="B82" s="5" t="s">
        <v>34</v>
      </c>
      <c r="C82" s="5" t="s">
        <v>579</v>
      </c>
      <c r="D82" s="5" t="s">
        <v>315</v>
      </c>
      <c r="E82" s="5">
        <v>1</v>
      </c>
      <c r="F82" s="5">
        <v>2.6</v>
      </c>
      <c r="G82" s="5">
        <v>0.1</v>
      </c>
      <c r="H82" s="5">
        <v>2.6</v>
      </c>
      <c r="I82" s="5" t="s">
        <v>373</v>
      </c>
      <c r="J82" s="5">
        <v>1</v>
      </c>
    </row>
    <row r="83" spans="2:10" x14ac:dyDescent="0.25">
      <c r="B83" s="5" t="s">
        <v>32</v>
      </c>
      <c r="C83" s="5" t="s">
        <v>580</v>
      </c>
      <c r="D83" s="5" t="s">
        <v>333</v>
      </c>
      <c r="E83" s="5">
        <v>1</v>
      </c>
      <c r="F83" s="5">
        <v>2.56</v>
      </c>
      <c r="G83" s="5">
        <v>0</v>
      </c>
      <c r="H83" s="5">
        <v>1.7</v>
      </c>
      <c r="I83" s="5" t="s">
        <v>373</v>
      </c>
      <c r="J83" s="5">
        <v>1</v>
      </c>
    </row>
    <row r="84" spans="2:10" x14ac:dyDescent="0.25">
      <c r="B84" s="5" t="s">
        <v>32</v>
      </c>
      <c r="C84" s="5" t="s">
        <v>581</v>
      </c>
      <c r="D84" s="5" t="s">
        <v>333</v>
      </c>
      <c r="E84" s="5">
        <v>1</v>
      </c>
      <c r="F84" s="5">
        <v>2.56</v>
      </c>
      <c r="G84" s="5">
        <v>0</v>
      </c>
      <c r="H84" s="5">
        <v>1.7</v>
      </c>
      <c r="I84" s="5" t="s">
        <v>373</v>
      </c>
      <c r="J84" s="5">
        <v>1</v>
      </c>
    </row>
    <row r="85" spans="2:10" x14ac:dyDescent="0.25">
      <c r="B85" s="5" t="s">
        <v>38</v>
      </c>
      <c r="C85" s="5" t="s">
        <v>582</v>
      </c>
      <c r="D85" s="5" t="s">
        <v>334</v>
      </c>
      <c r="E85" s="5">
        <v>1</v>
      </c>
      <c r="F85" s="5">
        <v>2.56</v>
      </c>
      <c r="G85" s="5">
        <v>0</v>
      </c>
      <c r="H85" s="5">
        <v>1.04</v>
      </c>
      <c r="I85" s="5" t="s">
        <v>2</v>
      </c>
      <c r="J85" s="5">
        <v>1</v>
      </c>
    </row>
    <row r="86" spans="2:10" x14ac:dyDescent="0.25">
      <c r="B86" s="5" t="s">
        <v>38</v>
      </c>
      <c r="C86" s="5" t="s">
        <v>583</v>
      </c>
      <c r="D86" s="5" t="s">
        <v>334</v>
      </c>
      <c r="E86" s="5">
        <v>1</v>
      </c>
      <c r="F86" s="5">
        <v>2.56</v>
      </c>
      <c r="G86" s="5">
        <v>0</v>
      </c>
      <c r="H86" s="5">
        <v>1.04</v>
      </c>
      <c r="I86" s="5" t="s">
        <v>2</v>
      </c>
      <c r="J86" s="5">
        <v>1</v>
      </c>
    </row>
    <row r="87" spans="2:10" x14ac:dyDescent="0.25">
      <c r="B87" s="5" t="s">
        <v>35</v>
      </c>
      <c r="C87" s="5" t="s">
        <v>584</v>
      </c>
      <c r="D87" s="5" t="s">
        <v>316</v>
      </c>
      <c r="E87" s="5">
        <v>1</v>
      </c>
      <c r="F87" s="5">
        <v>2.56</v>
      </c>
      <c r="G87" s="5">
        <v>0</v>
      </c>
      <c r="H87" s="5">
        <v>1.28</v>
      </c>
      <c r="I87" s="5" t="s">
        <v>373</v>
      </c>
      <c r="J87" s="5">
        <v>1</v>
      </c>
    </row>
    <row r="88" spans="2:10" x14ac:dyDescent="0.25">
      <c r="B88" s="5" t="s">
        <v>35</v>
      </c>
      <c r="C88" s="5" t="s">
        <v>585</v>
      </c>
      <c r="D88" s="5" t="s">
        <v>317</v>
      </c>
      <c r="E88" s="5">
        <v>1</v>
      </c>
      <c r="F88" s="5">
        <v>2.56</v>
      </c>
      <c r="G88" s="5">
        <v>0</v>
      </c>
      <c r="H88" s="5">
        <v>1.04</v>
      </c>
      <c r="I88" s="5" t="s">
        <v>2</v>
      </c>
      <c r="J88" s="5">
        <v>1</v>
      </c>
    </row>
    <row r="89" spans="2:10" x14ac:dyDescent="0.25">
      <c r="B89" s="5" t="s">
        <v>138</v>
      </c>
      <c r="C89" s="5" t="s">
        <v>586</v>
      </c>
      <c r="D89" s="5" t="s">
        <v>335</v>
      </c>
      <c r="E89" s="5">
        <v>1</v>
      </c>
      <c r="F89" s="5">
        <v>2.56</v>
      </c>
      <c r="G89" s="5">
        <v>0</v>
      </c>
      <c r="H89" s="5">
        <v>1.28</v>
      </c>
      <c r="I89" s="5" t="s">
        <v>373</v>
      </c>
      <c r="J89" s="5">
        <v>1</v>
      </c>
    </row>
    <row r="90" spans="2:10" x14ac:dyDescent="0.25">
      <c r="B90" s="5" t="s">
        <v>138</v>
      </c>
      <c r="C90" s="5" t="s">
        <v>587</v>
      </c>
      <c r="D90" s="5" t="s">
        <v>336</v>
      </c>
      <c r="E90" s="5">
        <v>1</v>
      </c>
      <c r="F90" s="5">
        <v>2.56</v>
      </c>
      <c r="G90" s="5">
        <v>0</v>
      </c>
      <c r="H90" s="5">
        <v>1.04</v>
      </c>
      <c r="I90" s="5" t="s">
        <v>2</v>
      </c>
      <c r="J90" s="5">
        <v>1</v>
      </c>
    </row>
    <row r="91" spans="2:10" x14ac:dyDescent="0.25">
      <c r="B91" s="5" t="s">
        <v>139</v>
      </c>
      <c r="C91" s="5" t="s">
        <v>588</v>
      </c>
      <c r="D91" s="5" t="s">
        <v>338</v>
      </c>
      <c r="E91" s="5">
        <v>1</v>
      </c>
      <c r="F91" s="5">
        <v>2.56</v>
      </c>
      <c r="G91" s="5">
        <v>0</v>
      </c>
      <c r="H91" s="5">
        <v>1.105</v>
      </c>
      <c r="I91" s="5" t="s">
        <v>2</v>
      </c>
      <c r="J91" s="5">
        <v>1</v>
      </c>
    </row>
    <row r="92" spans="2:10" x14ac:dyDescent="0.25">
      <c r="B92" s="5" t="s">
        <v>139</v>
      </c>
      <c r="C92" s="5" t="s">
        <v>589</v>
      </c>
      <c r="D92" s="5" t="s">
        <v>337</v>
      </c>
      <c r="E92" s="5">
        <v>1</v>
      </c>
      <c r="F92" s="5">
        <v>2.56</v>
      </c>
      <c r="G92" s="5">
        <v>0</v>
      </c>
      <c r="H92" s="5">
        <v>1.36</v>
      </c>
      <c r="I92" s="5" t="s">
        <v>373</v>
      </c>
      <c r="J92" s="5">
        <v>1</v>
      </c>
    </row>
    <row r="93" spans="2:10" x14ac:dyDescent="0.25">
      <c r="B93" s="5" t="s">
        <v>40</v>
      </c>
      <c r="C93" s="5" t="s">
        <v>590</v>
      </c>
      <c r="D93" s="5" t="s">
        <v>339</v>
      </c>
      <c r="E93" s="5">
        <v>1</v>
      </c>
      <c r="F93" s="5">
        <v>2.56</v>
      </c>
      <c r="G93" s="5">
        <v>0</v>
      </c>
      <c r="H93" s="5">
        <v>1.28</v>
      </c>
      <c r="I93" s="5" t="s">
        <v>373</v>
      </c>
      <c r="J93" s="5">
        <v>1</v>
      </c>
    </row>
    <row r="94" spans="2:10" x14ac:dyDescent="0.25">
      <c r="B94" s="5" t="s">
        <v>40</v>
      </c>
      <c r="C94" s="5" t="s">
        <v>591</v>
      </c>
      <c r="D94" s="5" t="s">
        <v>340</v>
      </c>
      <c r="E94" s="5">
        <v>1</v>
      </c>
      <c r="F94" s="5">
        <v>2.56</v>
      </c>
      <c r="G94" s="5">
        <v>0</v>
      </c>
      <c r="H94" s="5">
        <v>1.04</v>
      </c>
      <c r="I94" s="5" t="s">
        <v>2</v>
      </c>
      <c r="J94" s="5">
        <v>1</v>
      </c>
    </row>
    <row r="95" spans="2:10" x14ac:dyDescent="0.25">
      <c r="B95" s="5" t="s">
        <v>41</v>
      </c>
      <c r="C95" s="5" t="s">
        <v>592</v>
      </c>
      <c r="D95" s="5" t="s">
        <v>341</v>
      </c>
      <c r="E95" s="5">
        <v>1</v>
      </c>
      <c r="F95" s="5">
        <v>2.56</v>
      </c>
      <c r="G95" s="5">
        <v>0</v>
      </c>
      <c r="H95" s="5">
        <v>1.28</v>
      </c>
      <c r="I95" s="5" t="s">
        <v>373</v>
      </c>
      <c r="J95" s="5">
        <v>1</v>
      </c>
    </row>
    <row r="96" spans="2:10" x14ac:dyDescent="0.25">
      <c r="B96" s="5" t="s">
        <v>41</v>
      </c>
      <c r="C96" s="5" t="s">
        <v>593</v>
      </c>
      <c r="D96" s="5" t="s">
        <v>342</v>
      </c>
      <c r="E96" s="5">
        <v>1</v>
      </c>
      <c r="F96" s="5">
        <v>2.56</v>
      </c>
      <c r="G96" s="5">
        <v>0</v>
      </c>
      <c r="H96" s="5">
        <v>1.04</v>
      </c>
      <c r="I96" s="5" t="s">
        <v>2</v>
      </c>
      <c r="J96" s="5">
        <v>1</v>
      </c>
    </row>
    <row r="97" spans="2:10" x14ac:dyDescent="0.25">
      <c r="B97" s="5" t="s">
        <v>42</v>
      </c>
      <c r="C97" s="5" t="s">
        <v>594</v>
      </c>
      <c r="D97" s="5" t="s">
        <v>318</v>
      </c>
      <c r="E97" s="5">
        <v>1</v>
      </c>
      <c r="F97" s="5">
        <v>2.56</v>
      </c>
      <c r="G97" s="5">
        <v>0.3</v>
      </c>
      <c r="H97" s="5">
        <v>2.56</v>
      </c>
      <c r="I97" s="5" t="s">
        <v>373</v>
      </c>
      <c r="J97" s="5">
        <v>1</v>
      </c>
    </row>
    <row r="98" spans="2:10" x14ac:dyDescent="0.25">
      <c r="B98" s="5" t="s">
        <v>42</v>
      </c>
      <c r="C98" s="5" t="s">
        <v>595</v>
      </c>
      <c r="D98" s="5" t="s">
        <v>319</v>
      </c>
      <c r="E98" s="5">
        <v>1</v>
      </c>
      <c r="F98" s="5">
        <v>2.56</v>
      </c>
      <c r="G98" s="5">
        <v>0</v>
      </c>
      <c r="H98" s="5">
        <v>1.04</v>
      </c>
      <c r="I98" s="5" t="s">
        <v>2</v>
      </c>
      <c r="J98" s="5">
        <v>1</v>
      </c>
    </row>
    <row r="99" spans="2:10" x14ac:dyDescent="0.25">
      <c r="B99" s="5" t="s">
        <v>42</v>
      </c>
      <c r="C99" s="5" t="s">
        <v>596</v>
      </c>
      <c r="D99" s="5" t="s">
        <v>319</v>
      </c>
      <c r="E99" s="5">
        <v>1</v>
      </c>
      <c r="F99" s="5">
        <v>2.56</v>
      </c>
      <c r="G99" s="5">
        <v>0</v>
      </c>
      <c r="H99" s="5">
        <v>1.04</v>
      </c>
      <c r="I99" s="5" t="s">
        <v>2</v>
      </c>
      <c r="J99" s="5">
        <v>1</v>
      </c>
    </row>
    <row r="100" spans="2:10" x14ac:dyDescent="0.25">
      <c r="B100" s="5" t="s">
        <v>42</v>
      </c>
      <c r="C100" s="5" t="s">
        <v>597</v>
      </c>
      <c r="D100" s="5" t="s">
        <v>319</v>
      </c>
      <c r="E100" s="5">
        <v>1</v>
      </c>
      <c r="F100" s="5">
        <v>2.56</v>
      </c>
      <c r="G100" s="5">
        <v>0</v>
      </c>
      <c r="H100" s="5">
        <v>1.04</v>
      </c>
      <c r="I100" s="5" t="s">
        <v>2</v>
      </c>
      <c r="J100" s="5">
        <v>1</v>
      </c>
    </row>
    <row r="101" spans="2:10" x14ac:dyDescent="0.25">
      <c r="B101" s="5" t="s">
        <v>37</v>
      </c>
      <c r="C101" s="5" t="s">
        <v>598</v>
      </c>
      <c r="D101" s="5" t="s">
        <v>343</v>
      </c>
      <c r="E101" s="5">
        <v>1</v>
      </c>
      <c r="F101" s="5">
        <v>2.56</v>
      </c>
      <c r="G101" s="5">
        <v>0</v>
      </c>
      <c r="H101" s="5">
        <v>1.28</v>
      </c>
      <c r="I101" s="5" t="s">
        <v>373</v>
      </c>
      <c r="J101" s="5">
        <v>1</v>
      </c>
    </row>
    <row r="102" spans="2:10" x14ac:dyDescent="0.25">
      <c r="B102" s="5" t="s">
        <v>37</v>
      </c>
      <c r="C102" s="5" t="s">
        <v>599</v>
      </c>
      <c r="D102" s="5" t="s">
        <v>344</v>
      </c>
      <c r="E102" s="5">
        <v>1</v>
      </c>
      <c r="F102" s="5">
        <v>2.56</v>
      </c>
      <c r="G102" s="5">
        <v>0</v>
      </c>
      <c r="H102" s="5">
        <v>1.04</v>
      </c>
      <c r="I102" s="5" t="s">
        <v>2</v>
      </c>
      <c r="J102" s="5">
        <v>1</v>
      </c>
    </row>
    <row r="103" spans="2:10" x14ac:dyDescent="0.25">
      <c r="B103" s="5" t="s">
        <v>45</v>
      </c>
      <c r="C103" s="5" t="s">
        <v>600</v>
      </c>
      <c r="D103" s="5" t="s">
        <v>346</v>
      </c>
      <c r="E103" s="5">
        <v>1</v>
      </c>
      <c r="F103" s="5">
        <v>2.56</v>
      </c>
      <c r="G103" s="5">
        <v>0</v>
      </c>
      <c r="H103" s="5">
        <v>1.04</v>
      </c>
      <c r="I103" s="5" t="s">
        <v>2</v>
      </c>
      <c r="J103" s="5">
        <v>1</v>
      </c>
    </row>
    <row r="104" spans="2:10" x14ac:dyDescent="0.25">
      <c r="B104" s="5" t="s">
        <v>45</v>
      </c>
      <c r="C104" s="5" t="s">
        <v>601</v>
      </c>
      <c r="D104" s="5" t="s">
        <v>346</v>
      </c>
      <c r="E104" s="5">
        <v>1</v>
      </c>
      <c r="F104" s="5">
        <v>2.56</v>
      </c>
      <c r="G104" s="5">
        <v>0</v>
      </c>
      <c r="H104" s="5">
        <v>1.04</v>
      </c>
      <c r="I104" s="5" t="s">
        <v>2</v>
      </c>
      <c r="J104" s="5">
        <v>1</v>
      </c>
    </row>
    <row r="105" spans="2:10" x14ac:dyDescent="0.25">
      <c r="B105" s="5" t="s">
        <v>45</v>
      </c>
      <c r="C105" s="5" t="s">
        <v>602</v>
      </c>
      <c r="D105" s="5" t="s">
        <v>345</v>
      </c>
      <c r="E105" s="5">
        <v>1</v>
      </c>
      <c r="F105" s="5">
        <v>2.56</v>
      </c>
      <c r="G105" s="5">
        <v>0</v>
      </c>
      <c r="H105" s="5">
        <v>1.28</v>
      </c>
      <c r="I105" s="5" t="s">
        <v>373</v>
      </c>
      <c r="J105" s="5">
        <v>1</v>
      </c>
    </row>
    <row r="106" spans="2:10" x14ac:dyDescent="0.25">
      <c r="B106" s="5" t="s">
        <v>43</v>
      </c>
      <c r="C106" s="5" t="s">
        <v>603</v>
      </c>
      <c r="D106" s="5" t="s">
        <v>348</v>
      </c>
      <c r="E106" s="5">
        <v>1</v>
      </c>
      <c r="F106" s="5">
        <v>2.56</v>
      </c>
      <c r="G106" s="5">
        <v>0.2</v>
      </c>
      <c r="H106" s="5">
        <v>0.97499999999999998</v>
      </c>
      <c r="I106" s="5" t="s">
        <v>2</v>
      </c>
      <c r="J106" s="5">
        <v>1</v>
      </c>
    </row>
    <row r="107" spans="2:10" x14ac:dyDescent="0.25">
      <c r="B107" s="5" t="s">
        <v>43</v>
      </c>
      <c r="C107" s="5" t="s">
        <v>604</v>
      </c>
      <c r="D107" s="5" t="s">
        <v>347</v>
      </c>
      <c r="E107" s="5">
        <v>1</v>
      </c>
      <c r="F107" s="5">
        <v>2.56</v>
      </c>
      <c r="G107" s="5">
        <v>0.2</v>
      </c>
      <c r="H107" s="5">
        <v>1.2</v>
      </c>
      <c r="I107" s="5" t="s">
        <v>373</v>
      </c>
      <c r="J107" s="5">
        <v>1</v>
      </c>
    </row>
    <row r="108" spans="2:10" x14ac:dyDescent="0.25">
      <c r="B108" s="5" t="s">
        <v>33</v>
      </c>
      <c r="C108" s="5" t="s">
        <v>605</v>
      </c>
      <c r="D108" s="5" t="s">
        <v>349</v>
      </c>
      <c r="E108" s="5">
        <v>1</v>
      </c>
      <c r="F108" s="5">
        <v>2.56</v>
      </c>
      <c r="G108" s="5">
        <v>0</v>
      </c>
      <c r="H108" s="5">
        <v>0.97499999999999998</v>
      </c>
      <c r="I108" s="5" t="s">
        <v>2</v>
      </c>
      <c r="J108" s="5">
        <v>1</v>
      </c>
    </row>
    <row r="109" spans="2:10" x14ac:dyDescent="0.25">
      <c r="B109" s="5" t="s">
        <v>140</v>
      </c>
      <c r="C109" s="5" t="s">
        <v>606</v>
      </c>
      <c r="D109" s="5" t="s">
        <v>350</v>
      </c>
      <c r="E109" s="5">
        <v>1</v>
      </c>
      <c r="F109" s="5">
        <v>2.56</v>
      </c>
      <c r="G109" s="5">
        <v>0</v>
      </c>
      <c r="H109" s="5">
        <v>1.28</v>
      </c>
      <c r="I109" s="5" t="s">
        <v>373</v>
      </c>
      <c r="J109" s="5">
        <v>1</v>
      </c>
    </row>
    <row r="110" spans="2:10" x14ac:dyDescent="0.25">
      <c r="B110" s="5" t="s">
        <v>39</v>
      </c>
      <c r="C110" s="5" t="s">
        <v>607</v>
      </c>
      <c r="D110" s="5" t="s">
        <v>353</v>
      </c>
      <c r="E110" s="5">
        <v>1</v>
      </c>
      <c r="F110" s="5">
        <v>2.56</v>
      </c>
      <c r="G110" s="5">
        <v>0</v>
      </c>
      <c r="H110" s="5">
        <v>0.97499999999999998</v>
      </c>
      <c r="I110" s="5" t="s">
        <v>1</v>
      </c>
      <c r="J110" s="5">
        <v>1</v>
      </c>
    </row>
    <row r="111" spans="2:10" x14ac:dyDescent="0.25">
      <c r="B111" s="5" t="s">
        <v>248</v>
      </c>
      <c r="C111" s="5" t="s">
        <v>608</v>
      </c>
      <c r="D111" s="5" t="s">
        <v>324</v>
      </c>
      <c r="E111" s="5">
        <v>1</v>
      </c>
      <c r="F111" s="5">
        <v>2.8</v>
      </c>
      <c r="G111" s="5">
        <v>0.3</v>
      </c>
      <c r="H111" s="5">
        <v>2.8</v>
      </c>
      <c r="I111" s="5" t="s">
        <v>1</v>
      </c>
      <c r="J111" s="5">
        <v>1</v>
      </c>
    </row>
    <row r="112" spans="2:10" x14ac:dyDescent="0.25">
      <c r="B112" s="5" t="s">
        <v>248</v>
      </c>
      <c r="C112" s="5" t="s">
        <v>609</v>
      </c>
      <c r="D112" s="5" t="s">
        <v>325</v>
      </c>
      <c r="E112" s="5">
        <v>1</v>
      </c>
      <c r="F112" s="5">
        <v>2.4</v>
      </c>
      <c r="G112" s="5">
        <v>0.1</v>
      </c>
      <c r="H112" s="5">
        <v>2.4</v>
      </c>
      <c r="I112" s="5" t="s">
        <v>1</v>
      </c>
      <c r="J112" s="5">
        <v>1</v>
      </c>
    </row>
    <row r="113" spans="2:10" x14ac:dyDescent="0.25">
      <c r="B113" s="5" t="s">
        <v>39</v>
      </c>
      <c r="C113" s="5" t="s">
        <v>610</v>
      </c>
      <c r="D113" s="5" t="s">
        <v>351</v>
      </c>
      <c r="E113" s="5">
        <v>1</v>
      </c>
      <c r="F113" s="5">
        <v>1.28</v>
      </c>
      <c r="G113" s="5">
        <v>0</v>
      </c>
      <c r="H113" s="5">
        <v>1.28</v>
      </c>
      <c r="I113" s="5" t="s">
        <v>373</v>
      </c>
      <c r="J113" s="5">
        <v>1</v>
      </c>
    </row>
    <row r="114" spans="2:10" x14ac:dyDescent="0.25">
      <c r="B114" s="5" t="s">
        <v>248</v>
      </c>
      <c r="C114" s="5" t="s">
        <v>611</v>
      </c>
      <c r="D114" s="5" t="s">
        <v>324</v>
      </c>
      <c r="E114" s="5">
        <v>1</v>
      </c>
      <c r="F114" s="5">
        <v>2.8</v>
      </c>
      <c r="G114" s="5">
        <v>0.3</v>
      </c>
      <c r="H114" s="5">
        <v>2.8</v>
      </c>
      <c r="I114" s="5" t="s">
        <v>1</v>
      </c>
      <c r="J114" s="5">
        <v>1</v>
      </c>
    </row>
    <row r="115" spans="2:10" x14ac:dyDescent="0.25">
      <c r="B115" s="5" t="s">
        <v>248</v>
      </c>
      <c r="C115" s="5" t="s">
        <v>612</v>
      </c>
      <c r="D115" s="5" t="s">
        <v>326</v>
      </c>
      <c r="E115" s="5">
        <v>1</v>
      </c>
      <c r="F115" s="5">
        <v>2.8</v>
      </c>
      <c r="G115" s="5">
        <v>0.3</v>
      </c>
      <c r="H115" s="5">
        <v>2.8</v>
      </c>
      <c r="I115" s="5" t="s">
        <v>1</v>
      </c>
      <c r="J115" s="5">
        <v>1</v>
      </c>
    </row>
    <row r="116" spans="2:10" x14ac:dyDescent="0.25">
      <c r="B116" s="5" t="s">
        <v>39</v>
      </c>
      <c r="C116" s="5" t="s">
        <v>613</v>
      </c>
      <c r="D116" s="5" t="s">
        <v>352</v>
      </c>
      <c r="E116" s="5">
        <v>1</v>
      </c>
      <c r="F116" s="5">
        <v>1.17</v>
      </c>
      <c r="G116" s="5">
        <v>0</v>
      </c>
      <c r="H116" s="5">
        <v>1.17</v>
      </c>
      <c r="I116" s="5" t="s">
        <v>2</v>
      </c>
      <c r="J116" s="5">
        <v>1</v>
      </c>
    </row>
    <row r="117" spans="2:10" x14ac:dyDescent="0.25">
      <c r="B117" s="5" t="s">
        <v>248</v>
      </c>
      <c r="C117" s="5" t="s">
        <v>614</v>
      </c>
      <c r="D117" s="5" t="s">
        <v>323</v>
      </c>
      <c r="E117" s="5">
        <v>1</v>
      </c>
      <c r="F117" s="5">
        <v>3.2</v>
      </c>
      <c r="G117" s="5">
        <v>0.4</v>
      </c>
      <c r="H117" s="5">
        <v>3.2</v>
      </c>
      <c r="I117" s="5" t="s">
        <v>1</v>
      </c>
      <c r="J117" s="5">
        <v>1</v>
      </c>
    </row>
    <row r="118" spans="2:10" x14ac:dyDescent="0.25">
      <c r="B118" s="5" t="s">
        <v>248</v>
      </c>
      <c r="C118" s="5" t="s">
        <v>615</v>
      </c>
      <c r="D118" s="5" t="s">
        <v>324</v>
      </c>
      <c r="E118" s="5">
        <v>1</v>
      </c>
      <c r="F118" s="5">
        <v>2.8</v>
      </c>
      <c r="G118" s="5">
        <v>0.3</v>
      </c>
      <c r="H118" s="5">
        <v>2.8</v>
      </c>
      <c r="I118" s="5" t="s">
        <v>1</v>
      </c>
      <c r="J118" s="5">
        <v>1</v>
      </c>
    </row>
    <row r="119" spans="2:10" x14ac:dyDescent="0.25">
      <c r="B119" s="5" t="s">
        <v>141</v>
      </c>
      <c r="C119" s="5" t="s">
        <v>616</v>
      </c>
      <c r="D119" s="5" t="s">
        <v>320</v>
      </c>
      <c r="E119" s="5">
        <v>1</v>
      </c>
      <c r="F119" s="5">
        <v>1.17</v>
      </c>
      <c r="G119" s="5">
        <v>0</v>
      </c>
      <c r="H119" s="5">
        <v>1.17</v>
      </c>
      <c r="I119" s="5" t="s">
        <v>373</v>
      </c>
      <c r="J119" s="5">
        <v>1</v>
      </c>
    </row>
    <row r="120" spans="2:10" x14ac:dyDescent="0.25">
      <c r="B120" s="5" t="s">
        <v>141</v>
      </c>
      <c r="C120" s="5" t="s">
        <v>617</v>
      </c>
      <c r="D120" s="5" t="s">
        <v>321</v>
      </c>
      <c r="E120" s="5">
        <v>1</v>
      </c>
      <c r="F120" s="5">
        <v>1.105</v>
      </c>
      <c r="G120" s="5">
        <v>0</v>
      </c>
      <c r="H120" s="5">
        <v>1.105</v>
      </c>
      <c r="I120" s="5" t="s">
        <v>2</v>
      </c>
      <c r="J120" s="5">
        <v>1</v>
      </c>
    </row>
    <row r="121" spans="2:10" x14ac:dyDescent="0.25">
      <c r="B121" s="5" t="s">
        <v>141</v>
      </c>
      <c r="C121" s="5" t="s">
        <v>618</v>
      </c>
      <c r="D121" s="5" t="s">
        <v>426</v>
      </c>
      <c r="E121" s="5">
        <v>1</v>
      </c>
      <c r="F121" s="5">
        <v>1.04</v>
      </c>
      <c r="G121" s="5">
        <v>0</v>
      </c>
      <c r="H121" s="5">
        <v>1.04</v>
      </c>
      <c r="I121" s="5" t="s">
        <v>1</v>
      </c>
      <c r="J121" s="5">
        <v>1</v>
      </c>
    </row>
    <row r="122" spans="2:10" x14ac:dyDescent="0.25">
      <c r="B122" s="5" t="s">
        <v>44</v>
      </c>
      <c r="C122" s="5" t="s">
        <v>619</v>
      </c>
      <c r="D122" s="5" t="s">
        <v>322</v>
      </c>
      <c r="E122" s="5">
        <v>1</v>
      </c>
      <c r="F122" s="5">
        <v>2.4</v>
      </c>
      <c r="G122" s="5">
        <v>0.1</v>
      </c>
      <c r="H122" s="5">
        <v>2.4</v>
      </c>
      <c r="I122" s="5" t="s">
        <v>373</v>
      </c>
      <c r="J122" s="5">
        <v>1</v>
      </c>
    </row>
    <row r="123" spans="2:10" x14ac:dyDescent="0.25">
      <c r="B123" s="5" t="s">
        <v>247</v>
      </c>
      <c r="C123" s="5" t="s">
        <v>620</v>
      </c>
      <c r="D123" s="5" t="s">
        <v>354</v>
      </c>
      <c r="E123" s="5">
        <v>1</v>
      </c>
      <c r="F123" s="5">
        <v>1.58</v>
      </c>
      <c r="G123" s="5">
        <v>0</v>
      </c>
      <c r="H123" s="5">
        <v>1.58</v>
      </c>
      <c r="I123" s="5" t="s">
        <v>373</v>
      </c>
      <c r="J123" s="5">
        <v>1</v>
      </c>
    </row>
    <row r="124" spans="2:10" x14ac:dyDescent="0.25">
      <c r="B124" s="5"/>
      <c r="C124" s="5"/>
      <c r="D124" s="5"/>
      <c r="E124" s="5"/>
      <c r="F124" s="5"/>
      <c r="G124" s="5"/>
      <c r="H124" s="5"/>
      <c r="I124" s="5"/>
      <c r="J124" s="5"/>
    </row>
  </sheetData>
  <mergeCells count="1">
    <mergeCell ref="B2:J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4" x14ac:dyDescent="0.25"/>
  <cols>
    <col min="1" max="1" width="31.54296875" style="20" customWidth="1"/>
    <col min="2" max="4" width="9" bestFit="1" customWidth="1"/>
    <col min="5" max="5" width="9" customWidth="1"/>
    <col min="44" max="47" width="19.08984375" customWidth="1"/>
    <col min="98" max="98" width="6.6328125" customWidth="1"/>
    <col min="99" max="99" width="9" customWidth="1"/>
  </cols>
  <sheetData>
    <row r="1" spans="1:101" ht="14.5" thickBot="1" x14ac:dyDescent="0.3">
      <c r="A1" s="33" t="s">
        <v>256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  <c r="O1" s="20">
        <v>15</v>
      </c>
      <c r="P1" s="20">
        <v>16</v>
      </c>
      <c r="Q1" s="20">
        <v>17</v>
      </c>
      <c r="R1" s="20">
        <v>18</v>
      </c>
      <c r="S1" s="20">
        <v>19</v>
      </c>
      <c r="T1" s="20">
        <v>20</v>
      </c>
      <c r="U1" s="20">
        <v>21</v>
      </c>
      <c r="V1" s="20">
        <v>22</v>
      </c>
      <c r="W1" s="20">
        <v>23</v>
      </c>
      <c r="X1" s="20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20">
        <v>74</v>
      </c>
      <c r="BW1" s="20">
        <v>75</v>
      </c>
      <c r="BX1" s="20">
        <v>76</v>
      </c>
      <c r="BY1" s="20">
        <v>77</v>
      </c>
      <c r="BZ1" s="20">
        <v>78</v>
      </c>
      <c r="CA1" s="20">
        <v>79</v>
      </c>
      <c r="CB1" s="20">
        <v>80</v>
      </c>
      <c r="CC1" s="20">
        <v>81</v>
      </c>
      <c r="CD1" s="20">
        <v>82</v>
      </c>
      <c r="CE1" s="20">
        <v>83</v>
      </c>
      <c r="CF1" s="20">
        <v>84</v>
      </c>
      <c r="CG1" s="20">
        <v>85</v>
      </c>
      <c r="CH1" s="20">
        <v>86</v>
      </c>
      <c r="CI1" s="20">
        <v>87</v>
      </c>
      <c r="CJ1" s="20">
        <v>88</v>
      </c>
      <c r="CK1" s="20">
        <v>89</v>
      </c>
      <c r="CL1" s="20">
        <v>90</v>
      </c>
      <c r="CM1" s="20">
        <v>91</v>
      </c>
      <c r="CN1" s="20">
        <v>92</v>
      </c>
      <c r="CO1" s="20">
        <v>93</v>
      </c>
      <c r="CP1" s="20">
        <v>94</v>
      </c>
      <c r="CQ1" s="20">
        <v>95</v>
      </c>
      <c r="CR1" s="20">
        <v>96</v>
      </c>
      <c r="CS1" s="20">
        <v>97</v>
      </c>
      <c r="CT1" s="20">
        <v>98</v>
      </c>
      <c r="CU1" s="20">
        <v>99</v>
      </c>
      <c r="CV1" s="20">
        <v>100</v>
      </c>
      <c r="CW1" s="20">
        <v>101</v>
      </c>
    </row>
    <row r="2" spans="1:101" ht="14.5" customHeight="1" thickBot="1" x14ac:dyDescent="0.3">
      <c r="A2" s="127" t="s">
        <v>257</v>
      </c>
      <c r="B2" s="129" t="s">
        <v>153</v>
      </c>
      <c r="C2" s="130"/>
      <c r="D2" s="129" t="s">
        <v>154</v>
      </c>
      <c r="E2" s="130"/>
      <c r="F2" s="131" t="s">
        <v>9</v>
      </c>
      <c r="G2" s="131" t="s">
        <v>10</v>
      </c>
      <c r="H2" s="125" t="s">
        <v>58</v>
      </c>
      <c r="I2" s="133" t="s">
        <v>96</v>
      </c>
      <c r="J2" s="134"/>
      <c r="K2" s="134"/>
      <c r="L2" s="135"/>
      <c r="M2" s="131" t="s">
        <v>155</v>
      </c>
      <c r="N2" s="131" t="s">
        <v>232</v>
      </c>
      <c r="O2" s="131" t="s">
        <v>75</v>
      </c>
      <c r="P2" s="133" t="s">
        <v>13</v>
      </c>
      <c r="Q2" s="134"/>
      <c r="R2" s="134"/>
      <c r="S2" s="134"/>
      <c r="T2" s="134"/>
      <c r="U2" s="134"/>
      <c r="V2" s="134"/>
      <c r="W2" s="134"/>
      <c r="X2" s="135"/>
      <c r="Y2" s="125" t="s">
        <v>59</v>
      </c>
      <c r="Z2" s="131" t="s">
        <v>20</v>
      </c>
      <c r="AA2" s="137" t="s">
        <v>14</v>
      </c>
      <c r="AB2" s="138"/>
      <c r="AC2" s="138"/>
      <c r="AD2" s="138"/>
      <c r="AE2" s="139"/>
      <c r="AF2" s="133" t="s">
        <v>15</v>
      </c>
      <c r="AG2" s="134"/>
      <c r="AH2" s="134"/>
      <c r="AI2" s="135"/>
      <c r="AJ2" s="131" t="s">
        <v>72</v>
      </c>
      <c r="AK2" s="131" t="s">
        <v>71</v>
      </c>
      <c r="AL2" s="125" t="s">
        <v>73</v>
      </c>
      <c r="AM2" s="125" t="s">
        <v>74</v>
      </c>
      <c r="AN2" s="133" t="s">
        <v>19</v>
      </c>
      <c r="AO2" s="134"/>
      <c r="AP2" s="134"/>
      <c r="AQ2" s="140"/>
      <c r="AR2" s="7"/>
      <c r="AS2" s="7"/>
      <c r="AT2" s="7"/>
      <c r="AU2" s="7"/>
      <c r="AV2" s="141" t="s">
        <v>156</v>
      </c>
      <c r="AW2" s="124"/>
      <c r="AX2" s="124"/>
      <c r="AY2" s="124"/>
      <c r="AZ2" s="124"/>
      <c r="BA2" s="124"/>
      <c r="BB2" s="136"/>
      <c r="BC2" s="123" t="s">
        <v>157</v>
      </c>
      <c r="BD2" s="136"/>
      <c r="BE2" s="123" t="s">
        <v>158</v>
      </c>
      <c r="BF2" s="124"/>
      <c r="BG2" s="124"/>
      <c r="BH2" s="136"/>
      <c r="BI2" s="123" t="s">
        <v>159</v>
      </c>
      <c r="BJ2" s="136"/>
      <c r="BK2" s="123" t="s">
        <v>160</v>
      </c>
      <c r="BL2" s="124"/>
      <c r="BM2" s="124"/>
      <c r="BN2" s="124"/>
      <c r="BO2" s="124"/>
      <c r="BP2" s="124"/>
      <c r="BQ2" s="136"/>
      <c r="BR2" s="123" t="s">
        <v>161</v>
      </c>
      <c r="BS2" s="124"/>
      <c r="BT2" s="124"/>
      <c r="BU2" s="124"/>
      <c r="BV2" s="124"/>
      <c r="BW2" s="124"/>
      <c r="BX2" s="124"/>
      <c r="BY2" s="136"/>
      <c r="BZ2" s="123" t="s">
        <v>162</v>
      </c>
      <c r="CA2" s="124"/>
      <c r="CB2" s="124"/>
      <c r="CC2" s="124"/>
      <c r="CD2" s="136"/>
      <c r="CE2" s="123" t="s">
        <v>163</v>
      </c>
      <c r="CF2" s="124"/>
      <c r="CG2" s="124"/>
      <c r="CH2" s="124"/>
      <c r="CI2" s="124"/>
      <c r="CJ2" s="124"/>
      <c r="CK2" s="136"/>
      <c r="CL2" s="123" t="s">
        <v>164</v>
      </c>
      <c r="CM2" s="124"/>
      <c r="CN2" s="124"/>
      <c r="CO2" s="124"/>
      <c r="CP2" s="136"/>
      <c r="CQ2" s="123" t="s">
        <v>165</v>
      </c>
      <c r="CR2" s="136"/>
      <c r="CS2" s="123" t="s">
        <v>166</v>
      </c>
      <c r="CT2" s="124"/>
      <c r="CU2" s="6"/>
      <c r="CV2" s="5"/>
      <c r="CW2" s="5"/>
    </row>
    <row r="3" spans="1:101" ht="42.5" thickBot="1" x14ac:dyDescent="0.3">
      <c r="A3" s="128"/>
      <c r="B3" s="8" t="s">
        <v>48</v>
      </c>
      <c r="C3" s="8" t="s">
        <v>167</v>
      </c>
      <c r="D3" s="8" t="s">
        <v>46</v>
      </c>
      <c r="E3" s="8" t="s">
        <v>168</v>
      </c>
      <c r="F3" s="132"/>
      <c r="G3" s="132"/>
      <c r="H3" s="126"/>
      <c r="I3" s="9" t="s">
        <v>67</v>
      </c>
      <c r="J3" s="9" t="s">
        <v>68</v>
      </c>
      <c r="K3" s="9" t="s">
        <v>65</v>
      </c>
      <c r="L3" s="9" t="s">
        <v>64</v>
      </c>
      <c r="M3" s="132"/>
      <c r="N3" s="132"/>
      <c r="O3" s="132"/>
      <c r="P3" s="10" t="s">
        <v>11</v>
      </c>
      <c r="Q3" s="10" t="s">
        <v>12</v>
      </c>
      <c r="R3" s="10" t="s">
        <v>66</v>
      </c>
      <c r="S3" s="10" t="s">
        <v>65</v>
      </c>
      <c r="T3" s="10" t="s">
        <v>64</v>
      </c>
      <c r="U3" s="10" t="s">
        <v>60</v>
      </c>
      <c r="V3" s="10" t="s">
        <v>61</v>
      </c>
      <c r="W3" s="10" t="s">
        <v>62</v>
      </c>
      <c r="X3" s="10" t="s">
        <v>63</v>
      </c>
      <c r="Y3" s="126"/>
      <c r="Z3" s="132"/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9" t="s">
        <v>21</v>
      </c>
      <c r="AG3" s="9" t="s">
        <v>22</v>
      </c>
      <c r="AH3" s="9" t="s">
        <v>23</v>
      </c>
      <c r="AI3" s="9" t="s">
        <v>24</v>
      </c>
      <c r="AJ3" s="132"/>
      <c r="AK3" s="132"/>
      <c r="AL3" s="126"/>
      <c r="AM3" s="126"/>
      <c r="AN3" s="11" t="s">
        <v>16</v>
      </c>
      <c r="AO3" s="11" t="s">
        <v>17</v>
      </c>
      <c r="AP3" s="11" t="s">
        <v>18</v>
      </c>
      <c r="AQ3" s="11" t="s">
        <v>69</v>
      </c>
      <c r="AR3" s="25" t="s">
        <v>221</v>
      </c>
      <c r="AS3" s="25" t="s">
        <v>222</v>
      </c>
      <c r="AT3" s="25" t="s">
        <v>223</v>
      </c>
      <c r="AU3" s="25" t="s">
        <v>233</v>
      </c>
      <c r="AV3" s="12" t="s">
        <v>169</v>
      </c>
      <c r="AW3" s="13" t="s">
        <v>170</v>
      </c>
      <c r="AX3" s="13" t="s">
        <v>171</v>
      </c>
      <c r="AY3" s="13" t="s">
        <v>172</v>
      </c>
      <c r="AZ3" s="13" t="s">
        <v>173</v>
      </c>
      <c r="BA3" s="13" t="s">
        <v>174</v>
      </c>
      <c r="BB3" s="14" t="s">
        <v>175</v>
      </c>
      <c r="BC3" s="13" t="s">
        <v>176</v>
      </c>
      <c r="BD3" s="13" t="s">
        <v>177</v>
      </c>
      <c r="BE3" s="13" t="s">
        <v>178</v>
      </c>
      <c r="BF3" s="13" t="s">
        <v>179</v>
      </c>
      <c r="BG3" s="13" t="s">
        <v>180</v>
      </c>
      <c r="BH3" s="13" t="s">
        <v>181</v>
      </c>
      <c r="BI3" s="13" t="s">
        <v>182</v>
      </c>
      <c r="BJ3" s="13" t="s">
        <v>183</v>
      </c>
      <c r="BK3" s="15" t="s">
        <v>184</v>
      </c>
      <c r="BL3" s="15" t="s">
        <v>185</v>
      </c>
      <c r="BM3" s="15" t="s">
        <v>186</v>
      </c>
      <c r="BN3" s="15" t="s">
        <v>187</v>
      </c>
      <c r="BO3" s="15" t="s">
        <v>188</v>
      </c>
      <c r="BP3" s="15" t="s">
        <v>189</v>
      </c>
      <c r="BQ3" s="15" t="s">
        <v>190</v>
      </c>
      <c r="BR3" s="15" t="s">
        <v>191</v>
      </c>
      <c r="BS3" s="15" t="s">
        <v>192</v>
      </c>
      <c r="BT3" s="15" t="s">
        <v>193</v>
      </c>
      <c r="BU3" s="15" t="s">
        <v>194</v>
      </c>
      <c r="BV3" s="15" t="s">
        <v>195</v>
      </c>
      <c r="BW3" s="15" t="s">
        <v>196</v>
      </c>
      <c r="BX3" s="15" t="s">
        <v>197</v>
      </c>
      <c r="BY3" s="15" t="s">
        <v>198</v>
      </c>
      <c r="BZ3" s="15" t="s">
        <v>199</v>
      </c>
      <c r="CA3" s="15" t="s">
        <v>200</v>
      </c>
      <c r="CB3" s="15" t="s">
        <v>201</v>
      </c>
      <c r="CC3" s="15" t="s">
        <v>162</v>
      </c>
      <c r="CD3" s="15" t="s">
        <v>202</v>
      </c>
      <c r="CE3" s="15" t="s">
        <v>203</v>
      </c>
      <c r="CF3" s="15" t="s">
        <v>204</v>
      </c>
      <c r="CG3" s="15" t="s">
        <v>205</v>
      </c>
      <c r="CH3" s="15" t="s">
        <v>206</v>
      </c>
      <c r="CI3" s="15" t="s">
        <v>207</v>
      </c>
      <c r="CJ3" s="15" t="s">
        <v>208</v>
      </c>
      <c r="CK3" s="15" t="s">
        <v>209</v>
      </c>
      <c r="CL3" s="15" t="s">
        <v>210</v>
      </c>
      <c r="CM3" s="15" t="s">
        <v>211</v>
      </c>
      <c r="CN3" s="15" t="s">
        <v>212</v>
      </c>
      <c r="CO3" s="15" t="s">
        <v>213</v>
      </c>
      <c r="CP3" s="15" t="s">
        <v>214</v>
      </c>
      <c r="CQ3" s="15" t="s">
        <v>215</v>
      </c>
      <c r="CR3" s="15" t="s">
        <v>216</v>
      </c>
      <c r="CS3" s="123" t="s">
        <v>217</v>
      </c>
      <c r="CT3" s="124" t="s">
        <v>218</v>
      </c>
      <c r="CU3" s="6" t="s">
        <v>224</v>
      </c>
      <c r="CV3" s="26" t="s">
        <v>226</v>
      </c>
      <c r="CW3" s="26" t="s">
        <v>227</v>
      </c>
    </row>
    <row r="4" spans="1:101" x14ac:dyDescent="0.25">
      <c r="A4" s="34" t="s">
        <v>78</v>
      </c>
      <c r="B4">
        <v>115</v>
      </c>
      <c r="C4">
        <v>6</v>
      </c>
      <c r="D4">
        <v>400</v>
      </c>
      <c r="E4">
        <v>22.222200000000001</v>
      </c>
      <c r="F4">
        <v>20</v>
      </c>
      <c r="G4">
        <v>10</v>
      </c>
      <c r="H4">
        <v>0.3</v>
      </c>
      <c r="I4" s="16">
        <v>0.05</v>
      </c>
      <c r="J4" s="16">
        <v>0.15</v>
      </c>
      <c r="K4" s="16">
        <v>0.1</v>
      </c>
      <c r="L4" s="16">
        <v>0.15</v>
      </c>
      <c r="M4" s="16">
        <v>0.1</v>
      </c>
      <c r="N4" s="17">
        <v>60</v>
      </c>
      <c r="O4" s="17">
        <v>30</v>
      </c>
      <c r="P4" s="17">
        <v>40</v>
      </c>
      <c r="Q4" s="17">
        <v>30</v>
      </c>
      <c r="R4" s="17">
        <v>30</v>
      </c>
      <c r="S4" s="17">
        <v>5</v>
      </c>
      <c r="T4" s="17">
        <v>10</v>
      </c>
      <c r="U4" s="17">
        <v>20</v>
      </c>
      <c r="V4" s="17">
        <v>30</v>
      </c>
      <c r="W4" s="17">
        <v>40</v>
      </c>
      <c r="X4" s="17">
        <v>10</v>
      </c>
      <c r="Y4" s="17">
        <v>0.2</v>
      </c>
      <c r="Z4" s="17">
        <v>0</v>
      </c>
      <c r="AA4">
        <v>7.2</v>
      </c>
      <c r="AB4">
        <v>28.8</v>
      </c>
      <c r="AC4">
        <v>2.4</v>
      </c>
      <c r="AD4">
        <v>1.8</v>
      </c>
      <c r="AE4">
        <v>1.4</v>
      </c>
      <c r="AF4">
        <v>11.13</v>
      </c>
      <c r="AG4">
        <v>7.9499999999999993</v>
      </c>
      <c r="AH4">
        <v>4.7699999999999996</v>
      </c>
      <c r="AI4">
        <v>1.5899999999999999</v>
      </c>
      <c r="AJ4">
        <v>0.05</v>
      </c>
      <c r="AK4">
        <v>0.1</v>
      </c>
      <c r="AL4">
        <v>0.05</v>
      </c>
      <c r="AM4">
        <v>0.1</v>
      </c>
      <c r="AU4">
        <v>50</v>
      </c>
      <c r="CU4">
        <v>0.05</v>
      </c>
    </row>
    <row r="5" spans="1:101" x14ac:dyDescent="0.25">
      <c r="A5" s="32" t="s">
        <v>79</v>
      </c>
      <c r="B5">
        <v>116</v>
      </c>
      <c r="C5">
        <v>6</v>
      </c>
      <c r="D5">
        <v>401</v>
      </c>
      <c r="E5">
        <v>22.222200000000001</v>
      </c>
      <c r="F5">
        <v>20</v>
      </c>
      <c r="G5">
        <v>10</v>
      </c>
      <c r="H5">
        <v>0.3</v>
      </c>
      <c r="I5" s="16">
        <v>0.05</v>
      </c>
      <c r="J5" s="16">
        <v>0.15</v>
      </c>
      <c r="K5" s="16">
        <v>0.1</v>
      </c>
      <c r="L5" s="16">
        <v>0.15</v>
      </c>
      <c r="M5" s="16">
        <v>0.1</v>
      </c>
      <c r="N5" s="17">
        <v>60</v>
      </c>
      <c r="O5" s="17">
        <v>30</v>
      </c>
      <c r="P5" s="17">
        <v>40</v>
      </c>
      <c r="Q5" s="17">
        <v>30</v>
      </c>
      <c r="R5" s="17">
        <v>30</v>
      </c>
      <c r="S5" s="17">
        <v>5</v>
      </c>
      <c r="T5" s="17">
        <v>10</v>
      </c>
      <c r="U5" s="17">
        <v>20</v>
      </c>
      <c r="V5" s="17">
        <v>30</v>
      </c>
      <c r="W5" s="17">
        <v>40</v>
      </c>
      <c r="X5" s="17">
        <v>10</v>
      </c>
      <c r="Y5" s="17">
        <v>0.2</v>
      </c>
      <c r="Z5" s="17">
        <v>0</v>
      </c>
      <c r="AA5">
        <v>7.2</v>
      </c>
      <c r="AB5">
        <v>28.8</v>
      </c>
      <c r="AC5">
        <v>2.4</v>
      </c>
      <c r="AD5">
        <v>1.8</v>
      </c>
      <c r="AE5">
        <v>1.4</v>
      </c>
      <c r="AF5">
        <v>11.13</v>
      </c>
      <c r="AG5">
        <v>7.9499999999999993</v>
      </c>
      <c r="AH5">
        <v>4.7699999999999996</v>
      </c>
      <c r="AI5">
        <v>1.5899999999999999</v>
      </c>
      <c r="AJ5">
        <v>0.05</v>
      </c>
      <c r="AK5">
        <v>0.1</v>
      </c>
      <c r="AL5">
        <v>0.05</v>
      </c>
      <c r="AM5">
        <v>0.1</v>
      </c>
      <c r="AU5">
        <v>50</v>
      </c>
      <c r="CU5">
        <v>0.05</v>
      </c>
    </row>
    <row r="6" spans="1:101" x14ac:dyDescent="0.25">
      <c r="A6" s="32" t="s">
        <v>80</v>
      </c>
      <c r="B6">
        <v>117</v>
      </c>
      <c r="C6">
        <v>6</v>
      </c>
      <c r="D6">
        <v>402</v>
      </c>
      <c r="E6">
        <v>22.222200000000001</v>
      </c>
      <c r="F6">
        <v>20</v>
      </c>
      <c r="G6">
        <v>10</v>
      </c>
      <c r="H6">
        <v>0.3</v>
      </c>
      <c r="I6" s="16">
        <v>0.05</v>
      </c>
      <c r="J6" s="16">
        <v>0.15</v>
      </c>
      <c r="K6" s="16">
        <v>0.1</v>
      </c>
      <c r="L6" s="16">
        <v>0.15</v>
      </c>
      <c r="M6" s="16">
        <v>0.1</v>
      </c>
      <c r="N6" s="17">
        <v>60</v>
      </c>
      <c r="O6" s="17">
        <v>30</v>
      </c>
      <c r="P6" s="17">
        <v>40</v>
      </c>
      <c r="Q6" s="17">
        <v>30</v>
      </c>
      <c r="R6" s="17">
        <v>30</v>
      </c>
      <c r="S6" s="17">
        <v>5</v>
      </c>
      <c r="T6" s="17">
        <v>10</v>
      </c>
      <c r="U6" s="17">
        <v>20</v>
      </c>
      <c r="V6" s="17">
        <v>30</v>
      </c>
      <c r="W6" s="17">
        <v>40</v>
      </c>
      <c r="X6" s="17">
        <v>10</v>
      </c>
      <c r="Y6" s="17">
        <v>0.2</v>
      </c>
      <c r="Z6" s="17">
        <v>0</v>
      </c>
      <c r="AA6">
        <v>7.2</v>
      </c>
      <c r="AB6">
        <v>28.8</v>
      </c>
      <c r="AC6">
        <v>2.4</v>
      </c>
      <c r="AD6">
        <v>1.8</v>
      </c>
      <c r="AE6">
        <v>1.4</v>
      </c>
      <c r="AF6">
        <v>11.13</v>
      </c>
      <c r="AG6">
        <v>7.9499999999999993</v>
      </c>
      <c r="AH6">
        <v>4.7699999999999996</v>
      </c>
      <c r="AI6">
        <v>1.5899999999999999</v>
      </c>
      <c r="AJ6">
        <v>0.05</v>
      </c>
      <c r="AK6">
        <v>0.1</v>
      </c>
      <c r="AL6">
        <v>0.05</v>
      </c>
      <c r="AM6">
        <v>0.1</v>
      </c>
      <c r="AU6">
        <v>50</v>
      </c>
      <c r="CU6">
        <v>0.05</v>
      </c>
    </row>
    <row r="7" spans="1:101" x14ac:dyDescent="0.25">
      <c r="A7" s="32" t="s">
        <v>108</v>
      </c>
      <c r="B7">
        <v>118</v>
      </c>
      <c r="C7">
        <v>6</v>
      </c>
      <c r="D7">
        <v>403</v>
      </c>
      <c r="E7">
        <v>22.222200000000001</v>
      </c>
      <c r="F7">
        <v>20</v>
      </c>
      <c r="G7">
        <v>10</v>
      </c>
      <c r="H7">
        <v>0.3</v>
      </c>
      <c r="I7" s="16">
        <v>0.05</v>
      </c>
      <c r="J7" s="16">
        <v>0.15</v>
      </c>
      <c r="K7" s="16">
        <v>0.1</v>
      </c>
      <c r="L7" s="16">
        <v>0.15</v>
      </c>
      <c r="M7" s="16">
        <v>0.1</v>
      </c>
      <c r="N7" s="17">
        <v>60</v>
      </c>
      <c r="O7" s="17">
        <v>30</v>
      </c>
      <c r="P7" s="17">
        <v>40</v>
      </c>
      <c r="Q7" s="17">
        <v>30</v>
      </c>
      <c r="R7" s="17">
        <v>30</v>
      </c>
      <c r="S7" s="17">
        <v>5</v>
      </c>
      <c r="T7" s="17">
        <v>10</v>
      </c>
      <c r="U7" s="17">
        <v>20</v>
      </c>
      <c r="V7" s="17">
        <v>30</v>
      </c>
      <c r="W7" s="17">
        <v>40</v>
      </c>
      <c r="X7" s="17">
        <v>10</v>
      </c>
      <c r="Y7" s="17">
        <v>0.2</v>
      </c>
      <c r="Z7" s="17">
        <v>0</v>
      </c>
      <c r="AA7">
        <v>28.8</v>
      </c>
      <c r="AB7">
        <v>7.2</v>
      </c>
      <c r="AC7">
        <v>2.4</v>
      </c>
      <c r="AD7">
        <v>1.8</v>
      </c>
      <c r="AE7">
        <v>1.4</v>
      </c>
      <c r="AF7">
        <v>11.13</v>
      </c>
      <c r="AG7">
        <v>7.9499999999999993</v>
      </c>
      <c r="AH7">
        <v>4.7699999999999996</v>
      </c>
      <c r="AI7">
        <v>1.5899999999999999</v>
      </c>
      <c r="AJ7">
        <v>0.05</v>
      </c>
      <c r="AK7">
        <v>0.1</v>
      </c>
      <c r="AL7">
        <v>0.05</v>
      </c>
      <c r="AM7">
        <v>0.1</v>
      </c>
      <c r="AU7">
        <v>50</v>
      </c>
      <c r="CU7">
        <v>0.05</v>
      </c>
    </row>
    <row r="8" spans="1:101" x14ac:dyDescent="0.25">
      <c r="A8" s="32" t="s">
        <v>81</v>
      </c>
      <c r="B8">
        <v>119</v>
      </c>
      <c r="C8">
        <v>6</v>
      </c>
      <c r="D8">
        <v>404</v>
      </c>
      <c r="E8">
        <v>22.222200000000001</v>
      </c>
      <c r="F8">
        <v>20</v>
      </c>
      <c r="G8">
        <v>10</v>
      </c>
      <c r="H8">
        <v>0.3</v>
      </c>
      <c r="I8" s="16">
        <v>0.05</v>
      </c>
      <c r="J8" s="16">
        <v>0.15</v>
      </c>
      <c r="K8" s="16">
        <v>0.1</v>
      </c>
      <c r="L8" s="16">
        <v>0.15</v>
      </c>
      <c r="M8" s="16">
        <v>0.1</v>
      </c>
      <c r="N8" s="17">
        <v>60</v>
      </c>
      <c r="O8" s="17">
        <v>30</v>
      </c>
      <c r="P8" s="17">
        <v>40</v>
      </c>
      <c r="Q8" s="17">
        <v>30</v>
      </c>
      <c r="R8" s="17">
        <v>30</v>
      </c>
      <c r="S8" s="17">
        <v>5</v>
      </c>
      <c r="T8" s="17">
        <v>10</v>
      </c>
      <c r="U8" s="17">
        <v>20</v>
      </c>
      <c r="V8" s="17">
        <v>30</v>
      </c>
      <c r="W8" s="17">
        <v>40</v>
      </c>
      <c r="X8" s="17">
        <v>10</v>
      </c>
      <c r="Y8" s="17">
        <v>0.2</v>
      </c>
      <c r="Z8" s="17">
        <v>0</v>
      </c>
      <c r="AA8">
        <v>7.2</v>
      </c>
      <c r="AB8">
        <v>28.8</v>
      </c>
      <c r="AC8">
        <v>2.4</v>
      </c>
      <c r="AD8">
        <v>1.8</v>
      </c>
      <c r="AE8">
        <v>1.4</v>
      </c>
      <c r="AF8">
        <v>11.13</v>
      </c>
      <c r="AG8">
        <v>7.9499999999999993</v>
      </c>
      <c r="AH8">
        <v>4.7699999999999996</v>
      </c>
      <c r="AI8">
        <v>1.5899999999999999</v>
      </c>
      <c r="AJ8">
        <v>0.05</v>
      </c>
      <c r="AK8">
        <v>0.1</v>
      </c>
      <c r="AL8">
        <v>0.05</v>
      </c>
      <c r="AM8">
        <v>0.1</v>
      </c>
      <c r="AU8">
        <v>50</v>
      </c>
      <c r="CU8">
        <v>0.05</v>
      </c>
    </row>
    <row r="9" spans="1:101" x14ac:dyDescent="0.25">
      <c r="A9" s="32" t="s">
        <v>82</v>
      </c>
      <c r="B9">
        <v>120</v>
      </c>
      <c r="C9">
        <v>6</v>
      </c>
      <c r="D9">
        <v>405</v>
      </c>
      <c r="E9">
        <v>22.222200000000001</v>
      </c>
      <c r="F9">
        <v>20</v>
      </c>
      <c r="G9">
        <v>10</v>
      </c>
      <c r="H9">
        <v>0.3</v>
      </c>
      <c r="I9" s="16">
        <v>0.05</v>
      </c>
      <c r="J9" s="16">
        <v>0.15</v>
      </c>
      <c r="K9" s="16">
        <v>0.1</v>
      </c>
      <c r="L9" s="16">
        <v>0.15</v>
      </c>
      <c r="M9" s="16">
        <v>0.1</v>
      </c>
      <c r="N9" s="17">
        <v>60</v>
      </c>
      <c r="O9" s="17">
        <v>30</v>
      </c>
      <c r="P9" s="17">
        <v>40</v>
      </c>
      <c r="Q9" s="17">
        <v>30</v>
      </c>
      <c r="R9" s="17">
        <v>30</v>
      </c>
      <c r="S9" s="17">
        <v>5</v>
      </c>
      <c r="T9" s="17">
        <v>10</v>
      </c>
      <c r="U9" s="17">
        <v>20</v>
      </c>
      <c r="V9" s="17">
        <v>30</v>
      </c>
      <c r="W9" s="17">
        <v>40</v>
      </c>
      <c r="X9" s="17">
        <v>10</v>
      </c>
      <c r="Y9" s="17">
        <v>0.2</v>
      </c>
      <c r="Z9" s="17">
        <v>0</v>
      </c>
      <c r="AA9">
        <v>7.2</v>
      </c>
      <c r="AB9">
        <v>28.8</v>
      </c>
      <c r="AC9">
        <v>2.4</v>
      </c>
      <c r="AD9">
        <v>1.8</v>
      </c>
      <c r="AE9">
        <v>1.4</v>
      </c>
      <c r="AF9">
        <v>11.13</v>
      </c>
      <c r="AG9">
        <v>7.9499999999999993</v>
      </c>
      <c r="AH9">
        <v>4.7699999999999996</v>
      </c>
      <c r="AI9">
        <v>1.5899999999999999</v>
      </c>
      <c r="AJ9">
        <v>0.05</v>
      </c>
      <c r="AK9">
        <v>0.1</v>
      </c>
      <c r="AL9">
        <v>0.05</v>
      </c>
      <c r="AM9">
        <v>0.1</v>
      </c>
      <c r="AU9">
        <v>50</v>
      </c>
      <c r="CU9">
        <v>0.05</v>
      </c>
    </row>
    <row r="10" spans="1:101" x14ac:dyDescent="0.25">
      <c r="A10" s="32" t="s">
        <v>83</v>
      </c>
      <c r="B10">
        <v>121</v>
      </c>
      <c r="C10">
        <v>6</v>
      </c>
      <c r="D10">
        <v>406</v>
      </c>
      <c r="E10">
        <v>22.222200000000001</v>
      </c>
      <c r="F10">
        <v>20</v>
      </c>
      <c r="G10">
        <v>10</v>
      </c>
      <c r="H10">
        <v>0.3</v>
      </c>
      <c r="I10" s="16">
        <v>0.05</v>
      </c>
      <c r="J10" s="16">
        <v>0.15</v>
      </c>
      <c r="K10" s="16">
        <v>0.1</v>
      </c>
      <c r="L10" s="16">
        <v>0.15</v>
      </c>
      <c r="M10" s="16">
        <v>0.1</v>
      </c>
      <c r="N10" s="17">
        <v>60</v>
      </c>
      <c r="O10" s="17">
        <v>30</v>
      </c>
      <c r="P10" s="17">
        <v>40</v>
      </c>
      <c r="Q10" s="17">
        <v>30</v>
      </c>
      <c r="R10" s="17">
        <v>30</v>
      </c>
      <c r="S10" s="17">
        <v>5</v>
      </c>
      <c r="T10" s="17">
        <v>10</v>
      </c>
      <c r="U10" s="17">
        <v>20</v>
      </c>
      <c r="V10" s="17">
        <v>30</v>
      </c>
      <c r="W10" s="17">
        <v>40</v>
      </c>
      <c r="X10" s="17">
        <v>10</v>
      </c>
      <c r="Y10" s="17">
        <v>0.2</v>
      </c>
      <c r="Z10" s="17">
        <v>0</v>
      </c>
      <c r="AA10">
        <v>7.2</v>
      </c>
      <c r="AB10">
        <v>28.8</v>
      </c>
      <c r="AC10">
        <v>2.4</v>
      </c>
      <c r="AD10">
        <v>1.8</v>
      </c>
      <c r="AE10">
        <v>1.4</v>
      </c>
      <c r="AF10">
        <v>11.13</v>
      </c>
      <c r="AG10">
        <v>7.9499999999999993</v>
      </c>
      <c r="AH10">
        <v>4.7699999999999996</v>
      </c>
      <c r="AI10">
        <v>1.5899999999999999</v>
      </c>
      <c r="AJ10">
        <v>0.05</v>
      </c>
      <c r="AK10">
        <v>0.1</v>
      </c>
      <c r="AL10">
        <v>0.05</v>
      </c>
      <c r="AM10">
        <v>0.1</v>
      </c>
      <c r="AU10">
        <v>50</v>
      </c>
      <c r="CU10">
        <v>0.05</v>
      </c>
    </row>
    <row r="11" spans="1:101" x14ac:dyDescent="0.25">
      <c r="A11" s="32" t="s">
        <v>109</v>
      </c>
      <c r="B11">
        <v>122</v>
      </c>
      <c r="C11">
        <v>6</v>
      </c>
      <c r="D11">
        <v>407</v>
      </c>
      <c r="E11">
        <v>22.222200000000001</v>
      </c>
      <c r="F11">
        <v>20</v>
      </c>
      <c r="G11">
        <v>10</v>
      </c>
      <c r="H11">
        <v>0.3</v>
      </c>
      <c r="I11" s="16">
        <v>0.05</v>
      </c>
      <c r="J11" s="16">
        <v>0.15</v>
      </c>
      <c r="K11" s="16">
        <v>0.1</v>
      </c>
      <c r="L11" s="16">
        <v>0.15</v>
      </c>
      <c r="M11" s="16">
        <v>0.1</v>
      </c>
      <c r="N11" s="17">
        <v>60</v>
      </c>
      <c r="O11" s="17">
        <v>30</v>
      </c>
      <c r="P11" s="17">
        <v>40</v>
      </c>
      <c r="Q11" s="17">
        <v>30</v>
      </c>
      <c r="R11" s="17">
        <v>30</v>
      </c>
      <c r="S11" s="17">
        <v>5</v>
      </c>
      <c r="T11" s="17">
        <v>10</v>
      </c>
      <c r="U11" s="17">
        <v>20</v>
      </c>
      <c r="V11" s="17">
        <v>30</v>
      </c>
      <c r="W11" s="17">
        <v>40</v>
      </c>
      <c r="X11" s="17">
        <v>10</v>
      </c>
      <c r="Y11" s="17">
        <v>0.2</v>
      </c>
      <c r="Z11" s="17">
        <v>0</v>
      </c>
      <c r="AA11">
        <v>7.2</v>
      </c>
      <c r="AB11">
        <v>28.8</v>
      </c>
      <c r="AC11">
        <v>2.4</v>
      </c>
      <c r="AD11">
        <v>1.8</v>
      </c>
      <c r="AE11">
        <v>1.4</v>
      </c>
      <c r="AF11">
        <v>11.13</v>
      </c>
      <c r="AG11">
        <v>7.9499999999999993</v>
      </c>
      <c r="AH11">
        <v>4.7699999999999996</v>
      </c>
      <c r="AI11">
        <v>1.5899999999999999</v>
      </c>
      <c r="AJ11">
        <v>0.05</v>
      </c>
      <c r="AK11">
        <v>0.1</v>
      </c>
      <c r="AL11">
        <v>0.05</v>
      </c>
      <c r="AM11">
        <v>0.1</v>
      </c>
      <c r="AU11">
        <v>50</v>
      </c>
      <c r="CU11">
        <v>0.05</v>
      </c>
    </row>
    <row r="12" spans="1:101" x14ac:dyDescent="0.25">
      <c r="A12" s="32" t="s">
        <v>84</v>
      </c>
      <c r="B12">
        <v>123</v>
      </c>
      <c r="C12">
        <v>6</v>
      </c>
      <c r="D12">
        <v>408</v>
      </c>
      <c r="E12">
        <v>22.222200000000001</v>
      </c>
      <c r="F12">
        <v>20</v>
      </c>
      <c r="G12">
        <v>10</v>
      </c>
      <c r="H12">
        <v>0.3</v>
      </c>
      <c r="I12" s="16">
        <v>0.05</v>
      </c>
      <c r="J12" s="16">
        <v>0.15</v>
      </c>
      <c r="K12" s="16">
        <v>0.1</v>
      </c>
      <c r="L12" s="16">
        <v>0.15</v>
      </c>
      <c r="M12" s="16">
        <v>0.1</v>
      </c>
      <c r="N12" s="17">
        <v>60</v>
      </c>
      <c r="O12" s="17">
        <v>30</v>
      </c>
      <c r="P12" s="17">
        <v>40</v>
      </c>
      <c r="Q12" s="17">
        <v>30</v>
      </c>
      <c r="R12" s="17">
        <v>30</v>
      </c>
      <c r="S12" s="17">
        <v>5</v>
      </c>
      <c r="T12" s="17">
        <v>10</v>
      </c>
      <c r="U12" s="17">
        <v>20</v>
      </c>
      <c r="V12" s="17">
        <v>30</v>
      </c>
      <c r="W12" s="17">
        <v>40</v>
      </c>
      <c r="X12" s="17">
        <v>10</v>
      </c>
      <c r="Y12" s="17">
        <v>0.2</v>
      </c>
      <c r="Z12" s="17">
        <v>0</v>
      </c>
      <c r="AA12">
        <v>7.2</v>
      </c>
      <c r="AB12">
        <v>28.8</v>
      </c>
      <c r="AC12">
        <v>2.4</v>
      </c>
      <c r="AD12">
        <v>1.8</v>
      </c>
      <c r="AE12">
        <v>1.4</v>
      </c>
      <c r="AF12">
        <v>11.13</v>
      </c>
      <c r="AG12">
        <v>7.9499999999999993</v>
      </c>
      <c r="AH12">
        <v>4.7699999999999996</v>
      </c>
      <c r="AI12">
        <v>1.5899999999999999</v>
      </c>
      <c r="AJ12">
        <v>0.05</v>
      </c>
      <c r="AK12">
        <v>0.1</v>
      </c>
      <c r="AL12">
        <v>0.05</v>
      </c>
      <c r="AM12">
        <v>0.1</v>
      </c>
      <c r="AU12">
        <v>50</v>
      </c>
      <c r="CU12">
        <v>0.05</v>
      </c>
    </row>
    <row r="13" spans="1:101" x14ac:dyDescent="0.25">
      <c r="A13" s="32" t="s">
        <v>85</v>
      </c>
      <c r="B13">
        <v>124</v>
      </c>
      <c r="C13">
        <v>6</v>
      </c>
      <c r="D13">
        <v>409</v>
      </c>
      <c r="E13">
        <v>22.222200000000001</v>
      </c>
      <c r="F13">
        <v>20</v>
      </c>
      <c r="G13">
        <v>10</v>
      </c>
      <c r="H13">
        <v>0.3</v>
      </c>
      <c r="I13" s="16">
        <v>0.05</v>
      </c>
      <c r="J13" s="16">
        <v>0.15</v>
      </c>
      <c r="K13" s="16">
        <v>0.1</v>
      </c>
      <c r="L13" s="16">
        <v>0.15</v>
      </c>
      <c r="M13" s="16">
        <v>0.1</v>
      </c>
      <c r="N13" s="17">
        <v>60</v>
      </c>
      <c r="O13" s="17">
        <v>30</v>
      </c>
      <c r="P13" s="17">
        <v>40</v>
      </c>
      <c r="Q13" s="17">
        <v>30</v>
      </c>
      <c r="R13" s="17">
        <v>30</v>
      </c>
      <c r="S13" s="17">
        <v>5</v>
      </c>
      <c r="T13" s="17">
        <v>10</v>
      </c>
      <c r="U13" s="17">
        <v>20</v>
      </c>
      <c r="V13" s="17">
        <v>30</v>
      </c>
      <c r="W13" s="17">
        <v>40</v>
      </c>
      <c r="X13" s="17">
        <v>10</v>
      </c>
      <c r="Y13" s="17">
        <v>0.2</v>
      </c>
      <c r="Z13" s="17">
        <v>0</v>
      </c>
      <c r="AA13">
        <v>7.2</v>
      </c>
      <c r="AB13">
        <v>28.8</v>
      </c>
      <c r="AC13">
        <v>2.4</v>
      </c>
      <c r="AD13">
        <v>1.8</v>
      </c>
      <c r="AE13">
        <v>1.4</v>
      </c>
      <c r="AF13">
        <v>11.13</v>
      </c>
      <c r="AG13">
        <v>7.9499999999999993</v>
      </c>
      <c r="AH13">
        <v>4.7699999999999996</v>
      </c>
      <c r="AI13">
        <v>1.5899999999999999</v>
      </c>
      <c r="AJ13">
        <v>0.05</v>
      </c>
      <c r="AK13">
        <v>0.1</v>
      </c>
      <c r="AL13">
        <v>0.05</v>
      </c>
      <c r="AM13">
        <v>0.1</v>
      </c>
      <c r="AU13">
        <v>50</v>
      </c>
      <c r="CU13">
        <v>0.05</v>
      </c>
    </row>
    <row r="14" spans="1:101" x14ac:dyDescent="0.25">
      <c r="A14" s="32" t="s">
        <v>86</v>
      </c>
      <c r="B14">
        <v>125</v>
      </c>
      <c r="C14">
        <v>6</v>
      </c>
      <c r="D14">
        <v>410</v>
      </c>
      <c r="E14">
        <v>22.222200000000001</v>
      </c>
      <c r="F14">
        <v>20</v>
      </c>
      <c r="G14">
        <v>50</v>
      </c>
      <c r="H14">
        <v>0.3</v>
      </c>
      <c r="I14" s="16">
        <v>0.05</v>
      </c>
      <c r="J14" s="16">
        <v>0.15</v>
      </c>
      <c r="K14" s="16">
        <v>0.1</v>
      </c>
      <c r="L14" s="16">
        <v>0.15</v>
      </c>
      <c r="M14" s="16">
        <v>0.1</v>
      </c>
      <c r="N14" s="17">
        <v>60</v>
      </c>
      <c r="O14" s="17">
        <v>30</v>
      </c>
      <c r="P14" s="17">
        <v>40</v>
      </c>
      <c r="Q14" s="17">
        <v>30</v>
      </c>
      <c r="R14" s="17">
        <v>30</v>
      </c>
      <c r="S14" s="17">
        <v>5</v>
      </c>
      <c r="T14" s="17">
        <v>10</v>
      </c>
      <c r="U14" s="17">
        <v>20</v>
      </c>
      <c r="V14" s="17">
        <v>30</v>
      </c>
      <c r="W14" s="17">
        <v>40</v>
      </c>
      <c r="X14" s="17">
        <v>10</v>
      </c>
      <c r="Y14" s="17">
        <v>0.2</v>
      </c>
      <c r="Z14" s="17">
        <v>0</v>
      </c>
      <c r="AA14">
        <v>7.2</v>
      </c>
      <c r="AB14">
        <v>14.4</v>
      </c>
      <c r="AC14">
        <v>2.4</v>
      </c>
      <c r="AD14">
        <v>1.8</v>
      </c>
      <c r="AE14">
        <v>1.4</v>
      </c>
      <c r="AF14">
        <v>11.13</v>
      </c>
      <c r="AG14">
        <v>7.9499999999999993</v>
      </c>
      <c r="AH14">
        <v>4.7699999999999996</v>
      </c>
      <c r="AI14">
        <v>1.5899999999999999</v>
      </c>
      <c r="AJ14">
        <v>0.05</v>
      </c>
      <c r="AK14">
        <v>0.1</v>
      </c>
      <c r="AL14">
        <v>0.05</v>
      </c>
      <c r="AM14">
        <v>0.1</v>
      </c>
      <c r="AU14">
        <v>50</v>
      </c>
      <c r="CU14">
        <v>0.05</v>
      </c>
    </row>
    <row r="15" spans="1:101" x14ac:dyDescent="0.25">
      <c r="A15" s="32" t="s">
        <v>87</v>
      </c>
      <c r="B15">
        <v>126</v>
      </c>
      <c r="C15">
        <v>6</v>
      </c>
      <c r="D15">
        <v>411</v>
      </c>
      <c r="E15">
        <v>22.222200000000001</v>
      </c>
      <c r="F15">
        <v>20</v>
      </c>
      <c r="G15">
        <v>10</v>
      </c>
      <c r="H15">
        <v>0.3</v>
      </c>
      <c r="I15" s="16">
        <v>0.05</v>
      </c>
      <c r="J15" s="16">
        <v>0.15</v>
      </c>
      <c r="K15" s="16">
        <v>0.1</v>
      </c>
      <c r="L15" s="16">
        <v>0.15</v>
      </c>
      <c r="M15" s="16">
        <v>0.1</v>
      </c>
      <c r="N15" s="17">
        <v>60</v>
      </c>
      <c r="O15" s="17">
        <v>30</v>
      </c>
      <c r="P15" s="17">
        <v>40</v>
      </c>
      <c r="Q15" s="17">
        <v>30</v>
      </c>
      <c r="R15" s="17">
        <v>30</v>
      </c>
      <c r="S15" s="17">
        <v>5</v>
      </c>
      <c r="T15" s="17">
        <v>10</v>
      </c>
      <c r="U15" s="17">
        <v>20</v>
      </c>
      <c r="V15" s="17">
        <v>30</v>
      </c>
      <c r="W15" s="17">
        <v>40</v>
      </c>
      <c r="X15" s="17">
        <v>10</v>
      </c>
      <c r="Y15" s="17">
        <v>0.2</v>
      </c>
      <c r="Z15" s="17">
        <v>0</v>
      </c>
      <c r="AA15">
        <v>7.2</v>
      </c>
      <c r="AB15">
        <v>28.8</v>
      </c>
      <c r="AC15">
        <v>2.4</v>
      </c>
      <c r="AD15">
        <v>1.8</v>
      </c>
      <c r="AE15">
        <v>1.4</v>
      </c>
      <c r="AF15">
        <v>11.13</v>
      </c>
      <c r="AG15">
        <v>7.9499999999999993</v>
      </c>
      <c r="AH15">
        <v>4.7699999999999996</v>
      </c>
      <c r="AI15">
        <v>1.5899999999999999</v>
      </c>
      <c r="AJ15">
        <v>0.05</v>
      </c>
      <c r="AK15">
        <v>0.1</v>
      </c>
      <c r="AL15">
        <v>0.05</v>
      </c>
      <c r="AM15">
        <v>0.1</v>
      </c>
      <c r="AU15">
        <v>50</v>
      </c>
      <c r="CU15">
        <v>0.05</v>
      </c>
    </row>
    <row r="16" spans="1:101" x14ac:dyDescent="0.25">
      <c r="A16" s="32" t="s">
        <v>88</v>
      </c>
      <c r="B16">
        <v>127</v>
      </c>
      <c r="C16">
        <v>6</v>
      </c>
      <c r="D16">
        <v>275</v>
      </c>
      <c r="E16">
        <v>22.222200000000001</v>
      </c>
      <c r="F16">
        <v>20</v>
      </c>
      <c r="G16">
        <v>10</v>
      </c>
      <c r="H16">
        <v>0.3</v>
      </c>
      <c r="I16" s="16">
        <v>0.05</v>
      </c>
      <c r="J16" s="16">
        <v>0.15</v>
      </c>
      <c r="K16" s="16">
        <v>0.1</v>
      </c>
      <c r="L16" s="16">
        <v>0.15</v>
      </c>
      <c r="M16" s="16">
        <v>0.1</v>
      </c>
      <c r="N16" s="17">
        <v>60</v>
      </c>
      <c r="O16" s="17">
        <v>30</v>
      </c>
      <c r="P16" s="17">
        <v>40</v>
      </c>
      <c r="Q16" s="17">
        <v>30</v>
      </c>
      <c r="R16" s="17">
        <v>30</v>
      </c>
      <c r="S16" s="17">
        <v>5</v>
      </c>
      <c r="T16" s="17">
        <v>10</v>
      </c>
      <c r="U16" s="17">
        <v>20</v>
      </c>
      <c r="V16" s="17">
        <v>30</v>
      </c>
      <c r="W16" s="17">
        <v>40</v>
      </c>
      <c r="X16" s="17">
        <v>10</v>
      </c>
      <c r="Y16" s="17">
        <v>0.2</v>
      </c>
      <c r="Z16" s="17">
        <v>0</v>
      </c>
      <c r="AA16">
        <v>7.2</v>
      </c>
      <c r="AB16">
        <v>28.8</v>
      </c>
      <c r="AC16">
        <v>2.4</v>
      </c>
      <c r="AD16">
        <v>1.8</v>
      </c>
      <c r="AE16">
        <v>1.4</v>
      </c>
      <c r="AF16">
        <v>11.13</v>
      </c>
      <c r="AG16">
        <v>7.9499999999999993</v>
      </c>
      <c r="AH16">
        <v>4.7699999999999996</v>
      </c>
      <c r="AI16">
        <v>1.5899999999999999</v>
      </c>
      <c r="AJ16">
        <v>0.05</v>
      </c>
      <c r="AK16">
        <v>0.1</v>
      </c>
      <c r="AL16">
        <v>0.05</v>
      </c>
      <c r="AM16">
        <v>0.1</v>
      </c>
      <c r="AU16">
        <v>50</v>
      </c>
      <c r="CU16">
        <v>0.05</v>
      </c>
    </row>
    <row r="17" spans="1:101" x14ac:dyDescent="0.25">
      <c r="A17" s="32" t="s">
        <v>101</v>
      </c>
      <c r="B17">
        <v>128</v>
      </c>
      <c r="C17">
        <v>6</v>
      </c>
      <c r="D17">
        <v>302</v>
      </c>
      <c r="E17">
        <v>22.222200000000001</v>
      </c>
      <c r="F17">
        <v>20</v>
      </c>
      <c r="G17">
        <v>10</v>
      </c>
      <c r="H17">
        <v>0.3</v>
      </c>
      <c r="I17" s="16">
        <v>0.05</v>
      </c>
      <c r="J17" s="16">
        <v>0.15</v>
      </c>
      <c r="K17" s="16">
        <v>0.1</v>
      </c>
      <c r="L17" s="16">
        <v>0.15</v>
      </c>
      <c r="M17" s="16">
        <v>0.1</v>
      </c>
      <c r="N17" s="17">
        <v>60</v>
      </c>
      <c r="O17" s="17">
        <v>30</v>
      </c>
      <c r="P17" s="17">
        <v>40</v>
      </c>
      <c r="Q17" s="17">
        <v>30</v>
      </c>
      <c r="R17" s="17">
        <v>30</v>
      </c>
      <c r="S17" s="17">
        <v>5</v>
      </c>
      <c r="T17" s="17">
        <v>10</v>
      </c>
      <c r="U17" s="17">
        <v>20</v>
      </c>
      <c r="V17" s="17">
        <v>30</v>
      </c>
      <c r="W17" s="17">
        <v>40</v>
      </c>
      <c r="X17" s="17">
        <v>10</v>
      </c>
      <c r="Y17" s="17">
        <v>0.2</v>
      </c>
      <c r="Z17" s="17">
        <v>0</v>
      </c>
      <c r="AA17">
        <v>7.2</v>
      </c>
      <c r="AB17">
        <v>28.8</v>
      </c>
      <c r="AC17">
        <v>2.4</v>
      </c>
      <c r="AD17">
        <v>1.8</v>
      </c>
      <c r="AE17">
        <v>1.4</v>
      </c>
      <c r="AF17">
        <v>11.13</v>
      </c>
      <c r="AG17">
        <v>7.9499999999999993</v>
      </c>
      <c r="AH17">
        <v>4.7699999999999996</v>
      </c>
      <c r="AI17">
        <v>1.5899999999999999</v>
      </c>
      <c r="AJ17">
        <v>0.05</v>
      </c>
      <c r="AK17">
        <v>0.1</v>
      </c>
      <c r="AL17">
        <v>0.05</v>
      </c>
      <c r="AM17">
        <v>0.1</v>
      </c>
      <c r="AU17">
        <v>50</v>
      </c>
      <c r="CU17">
        <v>0.05</v>
      </c>
    </row>
    <row r="18" spans="1:101" x14ac:dyDescent="0.25">
      <c r="A18" s="32" t="s">
        <v>89</v>
      </c>
      <c r="B18">
        <v>129</v>
      </c>
      <c r="C18">
        <v>6</v>
      </c>
      <c r="D18">
        <v>247.5</v>
      </c>
      <c r="E18">
        <v>22.222200000000001</v>
      </c>
      <c r="F18">
        <v>20</v>
      </c>
      <c r="G18">
        <v>10</v>
      </c>
      <c r="H18">
        <v>0.3</v>
      </c>
      <c r="I18" s="16">
        <v>0.05</v>
      </c>
      <c r="J18" s="16">
        <v>0.15</v>
      </c>
      <c r="K18" s="16">
        <v>0.1</v>
      </c>
      <c r="L18" s="16">
        <v>0.15</v>
      </c>
      <c r="M18" s="16">
        <v>0.1</v>
      </c>
      <c r="N18" s="17">
        <v>60</v>
      </c>
      <c r="O18" s="17">
        <v>30</v>
      </c>
      <c r="P18" s="17">
        <v>40</v>
      </c>
      <c r="Q18" s="17">
        <v>30</v>
      </c>
      <c r="R18" s="17">
        <v>30</v>
      </c>
      <c r="S18" s="17">
        <v>5</v>
      </c>
      <c r="T18" s="17">
        <v>10</v>
      </c>
      <c r="U18" s="17">
        <v>20</v>
      </c>
      <c r="V18" s="17">
        <v>30</v>
      </c>
      <c r="W18" s="17">
        <v>40</v>
      </c>
      <c r="X18" s="17">
        <v>10</v>
      </c>
      <c r="Y18" s="17">
        <v>0.2</v>
      </c>
      <c r="Z18" s="17">
        <v>0</v>
      </c>
      <c r="AA18">
        <v>7.2</v>
      </c>
      <c r="AB18">
        <v>28.8</v>
      </c>
      <c r="AC18">
        <v>2.4</v>
      </c>
      <c r="AD18">
        <v>1.8</v>
      </c>
      <c r="AE18">
        <v>1.4</v>
      </c>
      <c r="AF18">
        <v>11.13</v>
      </c>
      <c r="AG18">
        <v>7.9499999999999993</v>
      </c>
      <c r="AH18">
        <v>4.7699999999999996</v>
      </c>
      <c r="AI18">
        <v>1.5899999999999999</v>
      </c>
      <c r="AJ18">
        <v>0.05</v>
      </c>
      <c r="AK18">
        <v>0.1</v>
      </c>
      <c r="AL18">
        <v>0.05</v>
      </c>
      <c r="AM18">
        <v>0.1</v>
      </c>
      <c r="AU18">
        <v>50</v>
      </c>
      <c r="CU18">
        <v>0.05</v>
      </c>
    </row>
    <row r="19" spans="1:101" x14ac:dyDescent="0.25">
      <c r="A19" s="32" t="s">
        <v>110</v>
      </c>
      <c r="B19">
        <v>85</v>
      </c>
      <c r="C19">
        <v>6</v>
      </c>
      <c r="D19">
        <v>302</v>
      </c>
      <c r="E19">
        <v>22.222200000000001</v>
      </c>
      <c r="F19">
        <v>20</v>
      </c>
      <c r="G19">
        <v>10</v>
      </c>
      <c r="H19">
        <v>0.3</v>
      </c>
      <c r="I19" s="16">
        <v>0.05</v>
      </c>
      <c r="J19" s="16">
        <v>0.15</v>
      </c>
      <c r="K19" s="16">
        <v>0.1</v>
      </c>
      <c r="L19" s="16">
        <v>0.15</v>
      </c>
      <c r="M19" s="16">
        <v>0.1</v>
      </c>
      <c r="N19" s="17">
        <v>60</v>
      </c>
      <c r="O19" s="17">
        <v>30</v>
      </c>
      <c r="P19" s="17">
        <v>40</v>
      </c>
      <c r="Q19" s="17">
        <v>30</v>
      </c>
      <c r="R19" s="17">
        <v>30</v>
      </c>
      <c r="S19" s="17">
        <v>5</v>
      </c>
      <c r="T19" s="17">
        <v>10</v>
      </c>
      <c r="U19" s="17">
        <v>20</v>
      </c>
      <c r="V19" s="17">
        <v>30</v>
      </c>
      <c r="W19" s="17">
        <v>40</v>
      </c>
      <c r="X19" s="17">
        <v>10</v>
      </c>
      <c r="Y19" s="17">
        <v>0.2</v>
      </c>
      <c r="Z19" s="17">
        <v>0</v>
      </c>
      <c r="AA19">
        <v>7.2</v>
      </c>
      <c r="AB19">
        <v>28.8</v>
      </c>
      <c r="AC19">
        <v>2.4</v>
      </c>
      <c r="AD19">
        <v>1.8</v>
      </c>
      <c r="AE19">
        <v>1.4</v>
      </c>
      <c r="AF19">
        <v>11.13</v>
      </c>
      <c r="AG19">
        <v>7.9499999999999993</v>
      </c>
      <c r="AH19">
        <v>4.7699999999999996</v>
      </c>
      <c r="AI19">
        <v>1.5899999999999999</v>
      </c>
      <c r="AJ19">
        <v>0.05</v>
      </c>
      <c r="AK19">
        <v>0.1</v>
      </c>
      <c r="AL19">
        <v>0.05</v>
      </c>
      <c r="AM19">
        <v>0.1</v>
      </c>
      <c r="AN19">
        <v>20</v>
      </c>
      <c r="AO19">
        <v>40</v>
      </c>
      <c r="AP19">
        <v>50</v>
      </c>
      <c r="AQ19">
        <v>10</v>
      </c>
      <c r="AU19">
        <v>50</v>
      </c>
      <c r="CU19">
        <v>0.05</v>
      </c>
    </row>
    <row r="20" spans="1:101" x14ac:dyDescent="0.25">
      <c r="A20" s="32" t="s">
        <v>111</v>
      </c>
      <c r="B20">
        <v>115</v>
      </c>
      <c r="C20">
        <v>6</v>
      </c>
      <c r="D20">
        <v>302</v>
      </c>
      <c r="E20">
        <v>22.222200000000001</v>
      </c>
      <c r="F20">
        <v>20</v>
      </c>
      <c r="G20">
        <v>10</v>
      </c>
      <c r="H20">
        <v>0.3</v>
      </c>
      <c r="I20" s="16">
        <v>0.05</v>
      </c>
      <c r="J20" s="16">
        <v>0.15</v>
      </c>
      <c r="K20" s="16">
        <v>0.1</v>
      </c>
      <c r="L20" s="16">
        <v>0.15</v>
      </c>
      <c r="M20" s="16">
        <v>0.1</v>
      </c>
      <c r="N20" s="17">
        <v>60</v>
      </c>
      <c r="O20" s="17">
        <v>30</v>
      </c>
      <c r="P20" s="17">
        <v>40</v>
      </c>
      <c r="Q20" s="17">
        <v>30</v>
      </c>
      <c r="R20" s="17">
        <v>30</v>
      </c>
      <c r="S20" s="17">
        <v>5</v>
      </c>
      <c r="T20" s="17">
        <v>10</v>
      </c>
      <c r="U20" s="17">
        <v>20</v>
      </c>
      <c r="V20" s="17">
        <v>30</v>
      </c>
      <c r="W20" s="17">
        <v>40</v>
      </c>
      <c r="X20" s="17">
        <v>10</v>
      </c>
      <c r="Y20" s="17">
        <v>0.2</v>
      </c>
      <c r="Z20" s="17">
        <v>0</v>
      </c>
      <c r="AA20">
        <v>7.2</v>
      </c>
      <c r="AB20">
        <v>28.8</v>
      </c>
      <c r="AC20">
        <v>2.4</v>
      </c>
      <c r="AD20">
        <v>1.8</v>
      </c>
      <c r="AE20">
        <v>1.4</v>
      </c>
      <c r="AF20">
        <v>11.13</v>
      </c>
      <c r="AG20">
        <v>7.9499999999999993</v>
      </c>
      <c r="AH20">
        <v>4.7699999999999996</v>
      </c>
      <c r="AI20">
        <v>1.5899999999999999</v>
      </c>
      <c r="AJ20">
        <v>0.05</v>
      </c>
      <c r="AK20">
        <v>0.1</v>
      </c>
      <c r="AL20">
        <v>0.05</v>
      </c>
      <c r="AM20">
        <v>0.1</v>
      </c>
      <c r="AU20">
        <v>50</v>
      </c>
      <c r="CU20">
        <v>0.05</v>
      </c>
    </row>
    <row r="21" spans="1:101" x14ac:dyDescent="0.25">
      <c r="A21" s="32" t="s">
        <v>90</v>
      </c>
      <c r="B21">
        <v>115</v>
      </c>
      <c r="C21">
        <v>6</v>
      </c>
      <c r="D21">
        <v>302</v>
      </c>
      <c r="E21">
        <v>22.222200000000001</v>
      </c>
      <c r="F21">
        <v>20</v>
      </c>
      <c r="G21">
        <v>10</v>
      </c>
      <c r="H21">
        <v>0.3</v>
      </c>
      <c r="I21" s="16">
        <v>0.05</v>
      </c>
      <c r="J21" s="16">
        <v>0.15</v>
      </c>
      <c r="K21" s="16">
        <v>0.1</v>
      </c>
      <c r="L21" s="16">
        <v>0.15</v>
      </c>
      <c r="M21" s="16">
        <v>0.1</v>
      </c>
      <c r="N21" s="17">
        <v>60</v>
      </c>
      <c r="O21" s="17">
        <v>30</v>
      </c>
      <c r="P21" s="17">
        <v>40</v>
      </c>
      <c r="Q21" s="17">
        <v>30</v>
      </c>
      <c r="R21" s="17">
        <v>30</v>
      </c>
      <c r="S21" s="17">
        <v>5</v>
      </c>
      <c r="T21" s="17">
        <v>10</v>
      </c>
      <c r="U21" s="17">
        <v>20</v>
      </c>
      <c r="V21" s="17">
        <v>30</v>
      </c>
      <c r="W21" s="17">
        <v>40</v>
      </c>
      <c r="X21" s="17">
        <v>10</v>
      </c>
      <c r="Y21" s="17">
        <v>0.2</v>
      </c>
      <c r="Z21" s="17">
        <v>0</v>
      </c>
      <c r="AA21">
        <v>7.2</v>
      </c>
      <c r="AB21">
        <v>28.8</v>
      </c>
      <c r="AC21">
        <v>2.4</v>
      </c>
      <c r="AD21">
        <v>1.8</v>
      </c>
      <c r="AE21">
        <v>1.4</v>
      </c>
      <c r="AF21">
        <v>11.13</v>
      </c>
      <c r="AG21">
        <v>7.9499999999999993</v>
      </c>
      <c r="AH21">
        <v>4.7699999999999996</v>
      </c>
      <c r="AI21">
        <v>1.5899999999999999</v>
      </c>
      <c r="AJ21">
        <v>0.05</v>
      </c>
      <c r="AK21">
        <v>0.1</v>
      </c>
      <c r="AL21">
        <v>0.05</v>
      </c>
      <c r="AM21">
        <v>0.1</v>
      </c>
      <c r="AU21">
        <v>50</v>
      </c>
      <c r="CU21">
        <v>0.05</v>
      </c>
    </row>
    <row r="22" spans="1:101" x14ac:dyDescent="0.25">
      <c r="A22" s="32" t="s">
        <v>91</v>
      </c>
      <c r="B22">
        <v>115</v>
      </c>
      <c r="C22">
        <v>6</v>
      </c>
      <c r="D22">
        <v>302</v>
      </c>
      <c r="E22">
        <v>22.222200000000001</v>
      </c>
      <c r="F22">
        <v>20</v>
      </c>
      <c r="G22">
        <v>10</v>
      </c>
      <c r="H22">
        <v>0.3</v>
      </c>
      <c r="I22" s="16">
        <v>0.05</v>
      </c>
      <c r="J22" s="16">
        <v>0.15</v>
      </c>
      <c r="K22" s="16">
        <v>0.1</v>
      </c>
      <c r="L22" s="16">
        <v>0.15</v>
      </c>
      <c r="M22" s="16">
        <v>0.1</v>
      </c>
      <c r="N22" s="17">
        <v>60</v>
      </c>
      <c r="O22" s="17">
        <v>30</v>
      </c>
      <c r="P22" s="17">
        <v>40</v>
      </c>
      <c r="Q22" s="17">
        <v>30</v>
      </c>
      <c r="R22" s="17">
        <v>30</v>
      </c>
      <c r="S22" s="17">
        <v>5</v>
      </c>
      <c r="T22" s="17">
        <v>10</v>
      </c>
      <c r="U22" s="17">
        <v>20</v>
      </c>
      <c r="V22" s="17">
        <v>30</v>
      </c>
      <c r="W22" s="17">
        <v>40</v>
      </c>
      <c r="X22" s="17">
        <v>10</v>
      </c>
      <c r="Y22" s="17">
        <v>0.2</v>
      </c>
      <c r="Z22" s="17">
        <v>50</v>
      </c>
      <c r="AA22">
        <v>7.2</v>
      </c>
      <c r="AB22">
        <v>28.8</v>
      </c>
      <c r="AC22">
        <v>2.4</v>
      </c>
      <c r="AD22">
        <v>1.8</v>
      </c>
      <c r="AE22">
        <v>1.4</v>
      </c>
      <c r="AF22">
        <v>11.13</v>
      </c>
      <c r="AG22">
        <v>7.9499999999999993</v>
      </c>
      <c r="AH22">
        <v>4.7699999999999996</v>
      </c>
      <c r="AI22">
        <v>1.5899999999999999</v>
      </c>
      <c r="AJ22">
        <v>0.05</v>
      </c>
      <c r="AK22">
        <v>0.1</v>
      </c>
      <c r="AL22">
        <v>0.05</v>
      </c>
      <c r="AM22">
        <v>0.1</v>
      </c>
      <c r="AU22">
        <v>50</v>
      </c>
      <c r="CU22">
        <v>0.05</v>
      </c>
      <c r="CV22">
        <v>40</v>
      </c>
      <c r="CW22">
        <v>20</v>
      </c>
    </row>
    <row r="23" spans="1:101" x14ac:dyDescent="0.25">
      <c r="A23" s="32" t="s">
        <v>92</v>
      </c>
      <c r="B23">
        <v>115</v>
      </c>
      <c r="C23">
        <v>6</v>
      </c>
      <c r="D23">
        <v>302</v>
      </c>
      <c r="E23">
        <v>22.222200000000001</v>
      </c>
      <c r="F23">
        <v>20</v>
      </c>
      <c r="G23">
        <v>10</v>
      </c>
      <c r="H23">
        <v>0.3</v>
      </c>
      <c r="I23" s="16">
        <v>0.05</v>
      </c>
      <c r="J23" s="16">
        <v>0.15</v>
      </c>
      <c r="K23" s="16">
        <v>0.1</v>
      </c>
      <c r="L23" s="16">
        <v>0.15</v>
      </c>
      <c r="M23" s="16">
        <v>0.1</v>
      </c>
      <c r="N23" s="17">
        <v>60</v>
      </c>
      <c r="O23" s="17">
        <v>30</v>
      </c>
      <c r="P23" s="17">
        <v>40</v>
      </c>
      <c r="Q23" s="17">
        <v>30</v>
      </c>
      <c r="R23" s="17">
        <v>30</v>
      </c>
      <c r="S23" s="17">
        <v>5</v>
      </c>
      <c r="T23" s="17">
        <v>10</v>
      </c>
      <c r="U23" s="17">
        <v>20</v>
      </c>
      <c r="V23" s="17">
        <v>30</v>
      </c>
      <c r="W23" s="17">
        <v>40</v>
      </c>
      <c r="X23" s="17">
        <v>10</v>
      </c>
      <c r="Y23" s="17">
        <v>0.2</v>
      </c>
      <c r="Z23" s="17">
        <v>0</v>
      </c>
      <c r="AA23">
        <v>7.2</v>
      </c>
      <c r="AB23">
        <v>28.8</v>
      </c>
      <c r="AC23">
        <v>2.4</v>
      </c>
      <c r="AD23">
        <v>1.8</v>
      </c>
      <c r="AE23">
        <v>1.4</v>
      </c>
      <c r="AF23">
        <v>11.13</v>
      </c>
      <c r="AG23">
        <v>7.9499999999999993</v>
      </c>
      <c r="AH23">
        <v>4.7699999999999996</v>
      </c>
      <c r="AI23">
        <v>1.5899999999999999</v>
      </c>
      <c r="AJ23">
        <v>0.05</v>
      </c>
      <c r="AK23">
        <v>0.1</v>
      </c>
      <c r="AL23">
        <v>0.05</v>
      </c>
      <c r="AM23">
        <v>0.1</v>
      </c>
      <c r="AU23">
        <v>50</v>
      </c>
      <c r="CU23">
        <v>0.05</v>
      </c>
    </row>
    <row r="24" spans="1:101" x14ac:dyDescent="0.25">
      <c r="A24" s="32" t="s">
        <v>93</v>
      </c>
      <c r="B24">
        <v>115</v>
      </c>
      <c r="C24">
        <v>6</v>
      </c>
      <c r="D24">
        <v>275</v>
      </c>
      <c r="E24">
        <v>22</v>
      </c>
      <c r="F24">
        <v>20</v>
      </c>
      <c r="G24">
        <v>10</v>
      </c>
      <c r="H24">
        <v>0.3</v>
      </c>
      <c r="I24" s="16">
        <v>0.05</v>
      </c>
      <c r="J24" s="16">
        <v>0.15</v>
      </c>
      <c r="K24" s="16">
        <v>0.1</v>
      </c>
      <c r="L24" s="16">
        <v>0.15</v>
      </c>
      <c r="M24" s="16">
        <v>0.1</v>
      </c>
      <c r="N24" s="17">
        <v>60</v>
      </c>
      <c r="O24" s="17">
        <v>30</v>
      </c>
      <c r="P24" s="17">
        <v>40</v>
      </c>
      <c r="Q24" s="17">
        <v>30</v>
      </c>
      <c r="R24" s="17">
        <v>30</v>
      </c>
      <c r="S24" s="17">
        <v>5</v>
      </c>
      <c r="T24" s="17">
        <v>10</v>
      </c>
      <c r="U24" s="17">
        <v>20</v>
      </c>
      <c r="V24" s="17">
        <v>30</v>
      </c>
      <c r="W24" s="17">
        <v>40</v>
      </c>
      <c r="X24" s="17">
        <v>10</v>
      </c>
      <c r="Y24" s="17">
        <v>0.2</v>
      </c>
      <c r="Z24" s="17">
        <v>0</v>
      </c>
      <c r="AA24">
        <v>7.2</v>
      </c>
      <c r="AB24">
        <v>28.8</v>
      </c>
      <c r="AC24">
        <v>2.4</v>
      </c>
      <c r="AD24">
        <v>1.8</v>
      </c>
      <c r="AE24">
        <v>1.4</v>
      </c>
      <c r="AF24">
        <v>11.13</v>
      </c>
      <c r="AG24">
        <v>7.9499999999999993</v>
      </c>
      <c r="AH24">
        <v>4.7699999999999996</v>
      </c>
      <c r="AI24">
        <v>1.5899999999999999</v>
      </c>
      <c r="AJ24">
        <v>0.05</v>
      </c>
      <c r="AK24">
        <v>0.1</v>
      </c>
      <c r="AL24">
        <v>0.05</v>
      </c>
      <c r="AM24">
        <v>0.1</v>
      </c>
      <c r="AT24">
        <v>0.1</v>
      </c>
      <c r="AU24">
        <v>50</v>
      </c>
      <c r="CU24">
        <v>0.05</v>
      </c>
    </row>
    <row r="25" spans="1:101" x14ac:dyDescent="0.25">
      <c r="A25" s="32" t="s">
        <v>94</v>
      </c>
      <c r="B25">
        <v>115</v>
      </c>
      <c r="C25">
        <v>6</v>
      </c>
      <c r="D25">
        <v>1448</v>
      </c>
      <c r="E25">
        <v>22</v>
      </c>
      <c r="F25">
        <v>20</v>
      </c>
      <c r="G25">
        <v>50</v>
      </c>
      <c r="H25">
        <v>0.3</v>
      </c>
      <c r="I25" s="16">
        <v>0.05</v>
      </c>
      <c r="J25" s="16">
        <v>0.15</v>
      </c>
      <c r="K25" s="16">
        <v>0.1</v>
      </c>
      <c r="L25" s="16">
        <v>0.15</v>
      </c>
      <c r="M25" s="16">
        <v>0.1</v>
      </c>
      <c r="N25" s="17">
        <v>60</v>
      </c>
      <c r="O25" s="17">
        <v>30</v>
      </c>
      <c r="P25" s="17">
        <v>40</v>
      </c>
      <c r="Q25" s="17">
        <v>30</v>
      </c>
      <c r="R25" s="17">
        <v>30</v>
      </c>
      <c r="S25" s="17">
        <v>5</v>
      </c>
      <c r="T25" s="17">
        <v>10</v>
      </c>
      <c r="U25" s="17">
        <v>20</v>
      </c>
      <c r="V25" s="17">
        <v>30</v>
      </c>
      <c r="W25" s="17">
        <v>40</v>
      </c>
      <c r="X25" s="17">
        <v>10</v>
      </c>
      <c r="Y25" s="17">
        <v>0.2</v>
      </c>
      <c r="Z25" s="17">
        <v>0</v>
      </c>
      <c r="AA25">
        <v>7.2</v>
      </c>
      <c r="AB25">
        <v>28.8</v>
      </c>
      <c r="AC25">
        <v>2.4</v>
      </c>
      <c r="AD25">
        <v>1.8</v>
      </c>
      <c r="AE25">
        <v>1.4</v>
      </c>
      <c r="AF25">
        <v>11.13</v>
      </c>
      <c r="AG25">
        <v>7.9499999999999993</v>
      </c>
      <c r="AH25">
        <v>4.7699999999999996</v>
      </c>
      <c r="AI25">
        <v>1.5899999999999999</v>
      </c>
      <c r="AJ25">
        <v>0.05</v>
      </c>
      <c r="AK25">
        <v>0.1</v>
      </c>
      <c r="AL25">
        <v>0.05</v>
      </c>
      <c r="AM25">
        <v>0.1</v>
      </c>
      <c r="AU25">
        <v>50</v>
      </c>
      <c r="CU25">
        <v>0.05</v>
      </c>
    </row>
    <row r="26" spans="1:101" x14ac:dyDescent="0.25">
      <c r="A26" s="32" t="s">
        <v>104</v>
      </c>
      <c r="B26">
        <v>85</v>
      </c>
      <c r="C26">
        <v>6</v>
      </c>
      <c r="D26">
        <v>205</v>
      </c>
      <c r="E26">
        <v>22</v>
      </c>
      <c r="F26">
        <v>20</v>
      </c>
      <c r="G26">
        <v>10</v>
      </c>
      <c r="H26">
        <v>0.3</v>
      </c>
      <c r="I26" s="16">
        <v>0.05</v>
      </c>
      <c r="J26" s="16">
        <v>0.15</v>
      </c>
      <c r="K26" s="16">
        <v>0.1</v>
      </c>
      <c r="L26" s="16">
        <v>0.15</v>
      </c>
      <c r="M26" s="16">
        <v>0.1</v>
      </c>
      <c r="N26" s="17">
        <v>60</v>
      </c>
      <c r="O26" s="17">
        <v>30</v>
      </c>
      <c r="P26" s="17">
        <v>40</v>
      </c>
      <c r="Q26" s="17">
        <v>30</v>
      </c>
      <c r="R26" s="17">
        <v>30</v>
      </c>
      <c r="S26" s="17">
        <v>5</v>
      </c>
      <c r="T26" s="17">
        <v>10</v>
      </c>
      <c r="U26" s="17">
        <v>20</v>
      </c>
      <c r="V26" s="17">
        <v>30</v>
      </c>
      <c r="W26" s="17">
        <v>40</v>
      </c>
      <c r="X26" s="17">
        <v>10</v>
      </c>
      <c r="Y26" s="17">
        <v>0.2</v>
      </c>
      <c r="Z26" s="17">
        <v>0</v>
      </c>
      <c r="AA26">
        <v>7.2</v>
      </c>
      <c r="AB26">
        <v>28.8</v>
      </c>
      <c r="AC26">
        <v>2.4</v>
      </c>
      <c r="AD26">
        <v>1.8</v>
      </c>
      <c r="AE26">
        <v>1.4</v>
      </c>
      <c r="AF26">
        <v>11.13</v>
      </c>
      <c r="AG26">
        <v>7.9499999999999993</v>
      </c>
      <c r="AH26">
        <v>4.7699999999999996</v>
      </c>
      <c r="AI26">
        <v>1.5899999999999999</v>
      </c>
      <c r="AJ26">
        <v>0.05</v>
      </c>
      <c r="AK26">
        <v>0.1</v>
      </c>
      <c r="AL26">
        <v>0.05</v>
      </c>
      <c r="AM26">
        <v>0.1</v>
      </c>
      <c r="AN26">
        <v>20</v>
      </c>
      <c r="AO26">
        <v>40</v>
      </c>
      <c r="AP26">
        <v>50</v>
      </c>
      <c r="AQ26">
        <v>10</v>
      </c>
      <c r="AU26">
        <v>50</v>
      </c>
      <c r="CU26">
        <v>0.05</v>
      </c>
    </row>
    <row r="27" spans="1:101" s="21" customFormat="1" ht="23" customHeight="1" x14ac:dyDescent="0.25">
      <c r="A27" s="32" t="s">
        <v>95</v>
      </c>
      <c r="B27" s="21">
        <v>213.7731</v>
      </c>
      <c r="C27" s="21">
        <v>29.922999999999998</v>
      </c>
      <c r="D27" s="21">
        <v>213.7731</v>
      </c>
      <c r="E27">
        <v>22</v>
      </c>
      <c r="F27" s="21">
        <v>20</v>
      </c>
      <c r="G27" s="21">
        <v>10</v>
      </c>
      <c r="H27" s="21">
        <v>0.3</v>
      </c>
      <c r="I27" s="22">
        <v>0.05</v>
      </c>
      <c r="J27" s="16">
        <v>0.15</v>
      </c>
      <c r="K27" s="22">
        <v>0.1</v>
      </c>
      <c r="L27" s="22">
        <v>0.15</v>
      </c>
      <c r="M27" s="22">
        <v>0.1</v>
      </c>
      <c r="N27" s="17">
        <v>60</v>
      </c>
      <c r="O27" s="23">
        <v>30</v>
      </c>
      <c r="P27" s="17">
        <v>40</v>
      </c>
      <c r="Q27" s="17">
        <v>30</v>
      </c>
      <c r="R27" s="17">
        <v>30</v>
      </c>
      <c r="S27" s="17">
        <v>5</v>
      </c>
      <c r="T27" s="17">
        <v>10</v>
      </c>
      <c r="U27" s="17">
        <v>20</v>
      </c>
      <c r="V27" s="17">
        <v>30</v>
      </c>
      <c r="W27" s="17">
        <v>40</v>
      </c>
      <c r="X27" s="17">
        <v>10</v>
      </c>
      <c r="Y27" s="23">
        <v>0.2</v>
      </c>
      <c r="Z27" s="23">
        <v>0</v>
      </c>
      <c r="AA27">
        <v>7.2</v>
      </c>
      <c r="AB27">
        <v>28.8</v>
      </c>
      <c r="AC27">
        <v>2.4</v>
      </c>
      <c r="AD27">
        <v>1.8</v>
      </c>
      <c r="AE27">
        <v>1.4</v>
      </c>
      <c r="AF27" s="21">
        <v>11.13</v>
      </c>
      <c r="AG27" s="21">
        <v>7.9499999999999993</v>
      </c>
      <c r="AH27" s="21">
        <v>4.7699999999999996</v>
      </c>
      <c r="AI27" s="21">
        <v>1.5899999999999999</v>
      </c>
      <c r="AJ27" s="21">
        <v>0.05</v>
      </c>
      <c r="AK27" s="21">
        <v>0.1</v>
      </c>
      <c r="AL27" s="21">
        <v>0.05</v>
      </c>
      <c r="AM27" s="21">
        <v>0.1</v>
      </c>
      <c r="AU27">
        <v>50</v>
      </c>
      <c r="CU27">
        <v>0.05</v>
      </c>
    </row>
    <row r="28" spans="1:101" s="21" customFormat="1" x14ac:dyDescent="0.25">
      <c r="A28" s="32" t="s">
        <v>258</v>
      </c>
      <c r="B28" s="21">
        <v>55</v>
      </c>
      <c r="C28" s="21">
        <v>10</v>
      </c>
      <c r="D28">
        <v>302</v>
      </c>
      <c r="E28">
        <v>22</v>
      </c>
      <c r="F28" s="21">
        <v>20</v>
      </c>
      <c r="G28" s="21">
        <v>10</v>
      </c>
      <c r="H28" s="21">
        <v>0.3</v>
      </c>
      <c r="I28" s="22">
        <v>0.05</v>
      </c>
      <c r="J28" s="16">
        <v>0.15</v>
      </c>
      <c r="K28" s="22">
        <v>0.1</v>
      </c>
      <c r="L28" s="22">
        <v>0.15</v>
      </c>
      <c r="M28" s="22">
        <v>0.1</v>
      </c>
      <c r="N28" s="17">
        <v>60</v>
      </c>
      <c r="O28" s="23">
        <v>30</v>
      </c>
      <c r="P28" s="17">
        <v>40</v>
      </c>
      <c r="Q28" s="17">
        <v>30</v>
      </c>
      <c r="R28" s="17">
        <v>30</v>
      </c>
      <c r="S28" s="17">
        <v>5</v>
      </c>
      <c r="T28" s="17">
        <v>10</v>
      </c>
      <c r="U28" s="17">
        <v>20</v>
      </c>
      <c r="V28" s="17">
        <v>30</v>
      </c>
      <c r="W28" s="17">
        <v>40</v>
      </c>
      <c r="X28" s="17">
        <v>10</v>
      </c>
      <c r="Y28" s="23">
        <v>0.2</v>
      </c>
      <c r="Z28" s="23">
        <v>0</v>
      </c>
      <c r="AA28">
        <v>7.2</v>
      </c>
      <c r="AB28">
        <v>28.8</v>
      </c>
      <c r="AC28">
        <v>2.4</v>
      </c>
      <c r="AD28">
        <v>1.8</v>
      </c>
      <c r="AE28">
        <v>1.9</v>
      </c>
      <c r="AF28" s="21">
        <v>11.13</v>
      </c>
      <c r="AG28" s="21">
        <v>7.9499999999999993</v>
      </c>
      <c r="AH28" s="21">
        <v>4.7699999999999996</v>
      </c>
      <c r="AI28" s="21">
        <v>1.5899999999999999</v>
      </c>
      <c r="AJ28" s="21">
        <v>0.05</v>
      </c>
      <c r="AK28" s="21">
        <v>0.1</v>
      </c>
      <c r="AL28" s="21">
        <v>0.05</v>
      </c>
      <c r="AM28" s="21">
        <v>0.1</v>
      </c>
      <c r="AU28">
        <v>50</v>
      </c>
      <c r="CU28">
        <v>0.05</v>
      </c>
    </row>
    <row r="29" spans="1:101" s="21" customFormat="1" x14ac:dyDescent="0.25">
      <c r="A29" s="32" t="s">
        <v>105</v>
      </c>
      <c r="B29" s="21">
        <v>55</v>
      </c>
      <c r="C29" s="21">
        <v>10</v>
      </c>
      <c r="D29">
        <v>302</v>
      </c>
      <c r="E29">
        <v>22</v>
      </c>
      <c r="F29" s="21">
        <v>20</v>
      </c>
      <c r="G29" s="21">
        <v>10</v>
      </c>
      <c r="H29" s="21">
        <v>0.3</v>
      </c>
      <c r="I29" s="22">
        <v>0.05</v>
      </c>
      <c r="J29" s="16">
        <v>0.15</v>
      </c>
      <c r="K29" s="22">
        <v>0.1</v>
      </c>
      <c r="L29" s="22">
        <v>0.15</v>
      </c>
      <c r="M29" s="22">
        <v>0.1</v>
      </c>
      <c r="N29" s="17">
        <v>60</v>
      </c>
      <c r="O29" s="23">
        <v>30</v>
      </c>
      <c r="P29" s="17">
        <v>40</v>
      </c>
      <c r="Q29" s="17">
        <v>30</v>
      </c>
      <c r="R29" s="17">
        <v>30</v>
      </c>
      <c r="S29" s="17">
        <v>5</v>
      </c>
      <c r="T29" s="17">
        <v>10</v>
      </c>
      <c r="U29" s="17">
        <v>20</v>
      </c>
      <c r="V29" s="17">
        <v>30</v>
      </c>
      <c r="W29" s="17">
        <v>40</v>
      </c>
      <c r="X29" s="17">
        <v>10</v>
      </c>
      <c r="Y29" s="23">
        <v>0.2</v>
      </c>
      <c r="Z29" s="23">
        <v>0</v>
      </c>
      <c r="AA29">
        <v>7.2</v>
      </c>
      <c r="AB29">
        <v>28.8</v>
      </c>
      <c r="AC29">
        <v>2.4</v>
      </c>
      <c r="AD29">
        <v>1.8</v>
      </c>
      <c r="AE29">
        <v>1.9</v>
      </c>
      <c r="AF29" s="21">
        <v>11.13</v>
      </c>
      <c r="AG29" s="21">
        <v>7.9499999999999993</v>
      </c>
      <c r="AH29" s="21">
        <v>4.7699999999999996</v>
      </c>
      <c r="AI29" s="21">
        <v>1.5899999999999999</v>
      </c>
      <c r="AJ29" s="21">
        <v>0.05</v>
      </c>
      <c r="AK29" s="21">
        <v>0.1</v>
      </c>
      <c r="AL29" s="21">
        <v>0.05</v>
      </c>
      <c r="AM29" s="21">
        <v>0.1</v>
      </c>
      <c r="AU29">
        <v>50</v>
      </c>
      <c r="CU29">
        <v>0.05</v>
      </c>
    </row>
    <row r="30" spans="1:101" x14ac:dyDescent="0.25">
      <c r="A30" s="32" t="s">
        <v>103</v>
      </c>
      <c r="B30" s="21">
        <v>55</v>
      </c>
      <c r="C30">
        <v>10</v>
      </c>
      <c r="D30">
        <v>302</v>
      </c>
      <c r="E30">
        <v>22</v>
      </c>
      <c r="F30">
        <v>20</v>
      </c>
      <c r="G30">
        <v>10</v>
      </c>
      <c r="H30">
        <v>0.3</v>
      </c>
      <c r="I30" s="16">
        <v>0.05</v>
      </c>
      <c r="J30" s="16">
        <v>0.15</v>
      </c>
      <c r="K30" s="16">
        <v>0.1</v>
      </c>
      <c r="L30" s="16">
        <v>0.15</v>
      </c>
      <c r="M30" s="16">
        <v>0.1</v>
      </c>
      <c r="N30" s="17">
        <v>60</v>
      </c>
      <c r="O30" s="17">
        <v>30</v>
      </c>
      <c r="P30" s="17">
        <v>40</v>
      </c>
      <c r="Q30" s="17">
        <v>30</v>
      </c>
      <c r="R30" s="17">
        <v>30</v>
      </c>
      <c r="S30" s="17">
        <v>5</v>
      </c>
      <c r="T30" s="17">
        <v>10</v>
      </c>
      <c r="U30" s="17">
        <v>20</v>
      </c>
      <c r="V30" s="17">
        <v>30</v>
      </c>
      <c r="W30" s="17">
        <v>40</v>
      </c>
      <c r="X30" s="17">
        <v>10</v>
      </c>
      <c r="Y30" s="17">
        <v>0.2</v>
      </c>
      <c r="Z30" s="17">
        <v>0</v>
      </c>
      <c r="AA30">
        <v>7.2</v>
      </c>
      <c r="AB30">
        <v>28.8</v>
      </c>
      <c r="AC30">
        <v>2.4</v>
      </c>
      <c r="AD30">
        <v>1.8</v>
      </c>
      <c r="AE30">
        <v>1.9</v>
      </c>
      <c r="AF30">
        <v>11.13</v>
      </c>
      <c r="AG30">
        <v>7.9499999999999993</v>
      </c>
      <c r="AH30">
        <v>4.7699999999999996</v>
      </c>
      <c r="AI30">
        <v>1.5899999999999999</v>
      </c>
      <c r="AJ30">
        <v>0.05</v>
      </c>
      <c r="AK30">
        <v>0.1</v>
      </c>
      <c r="AL30">
        <v>0.05</v>
      </c>
      <c r="AM30">
        <v>0.1</v>
      </c>
      <c r="AU30">
        <v>50</v>
      </c>
      <c r="CU30">
        <v>0.05</v>
      </c>
    </row>
    <row r="31" spans="1:101" x14ac:dyDescent="0.25">
      <c r="A31" s="32" t="s">
        <v>102</v>
      </c>
      <c r="B31" s="21">
        <v>55</v>
      </c>
      <c r="C31">
        <v>6</v>
      </c>
      <c r="D31">
        <v>302</v>
      </c>
      <c r="E31">
        <v>22</v>
      </c>
      <c r="F31">
        <v>20</v>
      </c>
      <c r="G31">
        <v>10</v>
      </c>
      <c r="H31">
        <v>0.3</v>
      </c>
      <c r="I31" s="16">
        <v>0.05</v>
      </c>
      <c r="J31" s="16">
        <v>0.15</v>
      </c>
      <c r="K31" s="16">
        <v>0.1</v>
      </c>
      <c r="L31" s="16">
        <v>0.15</v>
      </c>
      <c r="M31" s="16">
        <v>0.1</v>
      </c>
      <c r="N31" s="17">
        <v>60</v>
      </c>
      <c r="O31" s="17">
        <v>30</v>
      </c>
      <c r="P31" s="17">
        <v>40</v>
      </c>
      <c r="Q31" s="17">
        <v>30</v>
      </c>
      <c r="R31" s="17">
        <v>30</v>
      </c>
      <c r="S31" s="17">
        <v>5</v>
      </c>
      <c r="T31" s="17">
        <v>10</v>
      </c>
      <c r="U31" s="17">
        <v>20</v>
      </c>
      <c r="V31" s="17">
        <v>30</v>
      </c>
      <c r="W31" s="17">
        <v>40</v>
      </c>
      <c r="X31" s="17">
        <v>10</v>
      </c>
      <c r="Y31" s="17">
        <v>0.2</v>
      </c>
      <c r="Z31" s="17">
        <v>0</v>
      </c>
      <c r="AA31">
        <v>7.2</v>
      </c>
      <c r="AB31">
        <v>28.8</v>
      </c>
      <c r="AC31">
        <v>2.4</v>
      </c>
      <c r="AD31">
        <v>1.8</v>
      </c>
      <c r="AE31">
        <v>1.9</v>
      </c>
      <c r="AF31">
        <v>11.13</v>
      </c>
      <c r="AG31">
        <v>7.9499999999999993</v>
      </c>
      <c r="AH31">
        <v>4.7699999999999996</v>
      </c>
      <c r="AI31">
        <v>1.5899999999999999</v>
      </c>
      <c r="AJ31">
        <v>0.05</v>
      </c>
      <c r="AK31">
        <v>0.1</v>
      </c>
      <c r="AL31">
        <v>0.05</v>
      </c>
      <c r="AM31">
        <v>0.1</v>
      </c>
      <c r="AU31">
        <v>50</v>
      </c>
      <c r="CU31">
        <v>0.05</v>
      </c>
    </row>
    <row r="32" spans="1:101" x14ac:dyDescent="0.25">
      <c r="A32" s="32" t="s">
        <v>112</v>
      </c>
      <c r="B32" s="21">
        <v>55</v>
      </c>
      <c r="C32">
        <v>6</v>
      </c>
      <c r="D32">
        <v>85</v>
      </c>
      <c r="E32">
        <v>22</v>
      </c>
      <c r="F32">
        <v>20</v>
      </c>
      <c r="G32">
        <v>10</v>
      </c>
      <c r="H32">
        <v>0.3</v>
      </c>
      <c r="I32" s="16">
        <v>0.05</v>
      </c>
      <c r="J32" s="16">
        <v>0.15</v>
      </c>
      <c r="K32" s="16">
        <v>0.1</v>
      </c>
      <c r="L32" s="16">
        <v>0.15</v>
      </c>
      <c r="M32" s="16">
        <v>0.1</v>
      </c>
      <c r="N32" s="17">
        <v>60</v>
      </c>
      <c r="O32" s="17">
        <v>30</v>
      </c>
      <c r="P32" s="17">
        <v>40</v>
      </c>
      <c r="Q32" s="17">
        <v>30</v>
      </c>
      <c r="R32" s="17">
        <v>30</v>
      </c>
      <c r="S32" s="17">
        <v>5</v>
      </c>
      <c r="T32" s="17">
        <v>10</v>
      </c>
      <c r="U32" s="17">
        <v>20</v>
      </c>
      <c r="V32" s="17">
        <v>30</v>
      </c>
      <c r="W32" s="17">
        <v>40</v>
      </c>
      <c r="X32" s="17">
        <v>10</v>
      </c>
      <c r="Y32" s="17">
        <v>0.2</v>
      </c>
      <c r="Z32" s="17">
        <v>0</v>
      </c>
      <c r="AA32">
        <v>7.2</v>
      </c>
      <c r="AB32">
        <v>28.8</v>
      </c>
      <c r="AC32">
        <v>2.4</v>
      </c>
      <c r="AD32">
        <v>1.8</v>
      </c>
      <c r="AE32">
        <v>1.9</v>
      </c>
      <c r="AF32">
        <v>11.13</v>
      </c>
      <c r="AG32">
        <v>7.9499999999999993</v>
      </c>
      <c r="AH32">
        <v>4.7699999999999996</v>
      </c>
      <c r="AI32">
        <v>1.5899999999999999</v>
      </c>
      <c r="AJ32">
        <v>0.05</v>
      </c>
      <c r="AK32">
        <v>0.1</v>
      </c>
      <c r="AL32">
        <v>0.05</v>
      </c>
      <c r="AM32">
        <v>0.1</v>
      </c>
      <c r="AU32">
        <v>50</v>
      </c>
      <c r="CU32">
        <v>0.05</v>
      </c>
    </row>
    <row r="33" spans="1:99" x14ac:dyDescent="0.25">
      <c r="A33" s="32" t="s">
        <v>621</v>
      </c>
      <c r="B33" s="21">
        <v>55</v>
      </c>
      <c r="C33">
        <v>6</v>
      </c>
      <c r="D33">
        <v>100</v>
      </c>
      <c r="E33">
        <v>22</v>
      </c>
      <c r="F33">
        <v>20</v>
      </c>
      <c r="G33">
        <v>10</v>
      </c>
      <c r="H33">
        <v>0.3</v>
      </c>
      <c r="I33" s="16">
        <v>0.05</v>
      </c>
      <c r="J33" s="16">
        <v>0.15</v>
      </c>
      <c r="K33" s="16">
        <v>0.1</v>
      </c>
      <c r="L33" s="16">
        <v>0.15</v>
      </c>
      <c r="M33" s="16">
        <v>0.1</v>
      </c>
      <c r="N33" s="17">
        <v>60</v>
      </c>
      <c r="O33" s="17">
        <v>30</v>
      </c>
      <c r="P33" s="17">
        <v>40</v>
      </c>
      <c r="Q33" s="17">
        <v>30</v>
      </c>
      <c r="R33" s="17">
        <v>30</v>
      </c>
      <c r="S33" s="17">
        <v>5</v>
      </c>
      <c r="T33" s="17">
        <v>10</v>
      </c>
      <c r="U33" s="17">
        <v>20</v>
      </c>
      <c r="V33" s="17">
        <v>30</v>
      </c>
      <c r="W33" s="17">
        <v>40</v>
      </c>
      <c r="X33" s="17">
        <v>10</v>
      </c>
      <c r="Y33" s="17">
        <v>0.2</v>
      </c>
      <c r="Z33" s="17">
        <v>0</v>
      </c>
      <c r="AA33">
        <v>7.2</v>
      </c>
      <c r="AB33">
        <v>28.8</v>
      </c>
      <c r="AC33">
        <v>2.4</v>
      </c>
      <c r="AD33">
        <v>1.8</v>
      </c>
      <c r="AE33">
        <v>1.9</v>
      </c>
      <c r="AF33">
        <v>11.13</v>
      </c>
      <c r="AG33">
        <v>7.9499999999999993</v>
      </c>
      <c r="AH33">
        <v>4.7699999999999996</v>
      </c>
      <c r="AI33">
        <v>1.5899999999999999</v>
      </c>
      <c r="AJ33">
        <v>0.05</v>
      </c>
      <c r="AK33">
        <v>0.1</v>
      </c>
      <c r="AL33">
        <v>0.05</v>
      </c>
      <c r="AM33">
        <v>0.1</v>
      </c>
      <c r="AU33">
        <v>50</v>
      </c>
      <c r="CU33">
        <v>0.05</v>
      </c>
    </row>
    <row r="34" spans="1:99" x14ac:dyDescent="0.25">
      <c r="A34" s="32" t="s">
        <v>622</v>
      </c>
      <c r="B34" s="21">
        <v>55</v>
      </c>
      <c r="C34">
        <v>6</v>
      </c>
      <c r="D34">
        <v>80</v>
      </c>
      <c r="E34">
        <v>22</v>
      </c>
      <c r="F34">
        <v>20</v>
      </c>
      <c r="G34">
        <v>10</v>
      </c>
      <c r="H34">
        <v>0.3</v>
      </c>
      <c r="I34" s="16">
        <v>0.05</v>
      </c>
      <c r="J34" s="16">
        <v>0.15</v>
      </c>
      <c r="K34" s="16">
        <v>0.1</v>
      </c>
      <c r="L34" s="16">
        <v>0.15</v>
      </c>
      <c r="M34" s="16">
        <v>0.1</v>
      </c>
      <c r="N34" s="17">
        <v>60</v>
      </c>
      <c r="O34" s="17">
        <v>30</v>
      </c>
      <c r="P34" s="17">
        <v>40</v>
      </c>
      <c r="Q34" s="17">
        <v>30</v>
      </c>
      <c r="R34" s="17">
        <v>30</v>
      </c>
      <c r="S34" s="17">
        <v>5</v>
      </c>
      <c r="T34" s="17">
        <v>10</v>
      </c>
      <c r="U34" s="17">
        <v>20</v>
      </c>
      <c r="V34" s="17">
        <v>30</v>
      </c>
      <c r="W34" s="17">
        <v>40</v>
      </c>
      <c r="X34" s="17">
        <v>10</v>
      </c>
      <c r="Y34" s="17">
        <v>0.2</v>
      </c>
      <c r="Z34" s="17">
        <v>0</v>
      </c>
      <c r="AA34">
        <v>7.2</v>
      </c>
      <c r="AB34">
        <v>28.8</v>
      </c>
      <c r="AC34">
        <v>2.4</v>
      </c>
      <c r="AD34">
        <v>1.8</v>
      </c>
      <c r="AE34">
        <v>1.9</v>
      </c>
      <c r="AF34">
        <v>11.13</v>
      </c>
      <c r="AG34">
        <v>7.9499999999999993</v>
      </c>
      <c r="AH34">
        <v>4.7699999999999996</v>
      </c>
      <c r="AI34">
        <v>1.5899999999999999</v>
      </c>
      <c r="AJ34">
        <v>0.05</v>
      </c>
      <c r="AK34">
        <v>0.1</v>
      </c>
      <c r="AL34">
        <v>0.05</v>
      </c>
      <c r="AM34">
        <v>0.1</v>
      </c>
      <c r="AU34">
        <v>50</v>
      </c>
      <c r="CU34">
        <v>0.05</v>
      </c>
    </row>
    <row r="35" spans="1:99" x14ac:dyDescent="0.25">
      <c r="A35" s="32" t="s">
        <v>623</v>
      </c>
      <c r="B35" s="21">
        <v>55</v>
      </c>
      <c r="C35">
        <v>6</v>
      </c>
      <c r="D35">
        <v>115</v>
      </c>
      <c r="E35">
        <v>22</v>
      </c>
      <c r="F35">
        <v>20</v>
      </c>
      <c r="G35">
        <v>10</v>
      </c>
      <c r="H35">
        <v>0.3</v>
      </c>
      <c r="I35" s="16">
        <v>0.05</v>
      </c>
      <c r="J35" s="16">
        <v>0.15</v>
      </c>
      <c r="K35" s="16">
        <v>0.1</v>
      </c>
      <c r="L35" s="16">
        <v>0.15</v>
      </c>
      <c r="M35" s="16">
        <v>0.1</v>
      </c>
      <c r="N35" s="17">
        <v>60</v>
      </c>
      <c r="O35" s="17">
        <v>30</v>
      </c>
      <c r="P35" s="17">
        <v>40</v>
      </c>
      <c r="Q35" s="17">
        <v>30</v>
      </c>
      <c r="R35" s="17">
        <v>30</v>
      </c>
      <c r="S35" s="17">
        <v>5</v>
      </c>
      <c r="T35" s="17">
        <v>10</v>
      </c>
      <c r="U35" s="17">
        <v>20</v>
      </c>
      <c r="V35" s="17">
        <v>30</v>
      </c>
      <c r="W35" s="17">
        <v>40</v>
      </c>
      <c r="X35" s="17">
        <v>10</v>
      </c>
      <c r="Y35" s="17">
        <v>0.2</v>
      </c>
      <c r="Z35" s="17">
        <v>0</v>
      </c>
      <c r="AA35">
        <v>7.2</v>
      </c>
      <c r="AB35">
        <v>28.8</v>
      </c>
      <c r="AC35">
        <v>2.4</v>
      </c>
      <c r="AD35">
        <v>1.8</v>
      </c>
      <c r="AE35">
        <v>1.9</v>
      </c>
      <c r="AF35">
        <v>11.13</v>
      </c>
      <c r="AG35">
        <v>7.9499999999999993</v>
      </c>
      <c r="AH35">
        <v>4.7699999999999996</v>
      </c>
      <c r="AI35">
        <v>1.5899999999999999</v>
      </c>
      <c r="AJ35">
        <v>0.05</v>
      </c>
      <c r="AK35">
        <v>0.1</v>
      </c>
      <c r="AL35">
        <v>0.05</v>
      </c>
      <c r="AM35">
        <v>0.1</v>
      </c>
      <c r="AU35">
        <v>50</v>
      </c>
      <c r="CU35">
        <v>0.05</v>
      </c>
    </row>
    <row r="36" spans="1:99" x14ac:dyDescent="0.25">
      <c r="A36" s="32" t="s">
        <v>113</v>
      </c>
      <c r="B36" s="21">
        <v>55</v>
      </c>
      <c r="C36">
        <v>6</v>
      </c>
      <c r="D36">
        <v>60</v>
      </c>
      <c r="E36">
        <v>22</v>
      </c>
      <c r="F36">
        <v>20</v>
      </c>
      <c r="G36">
        <v>10</v>
      </c>
      <c r="H36">
        <v>0.3</v>
      </c>
      <c r="I36" s="16">
        <v>0.05</v>
      </c>
      <c r="J36" s="16">
        <v>0.15</v>
      </c>
      <c r="K36" s="16">
        <v>0.1</v>
      </c>
      <c r="L36" s="16">
        <v>0.15</v>
      </c>
      <c r="M36" s="16">
        <v>0.1</v>
      </c>
      <c r="N36" s="17">
        <v>60</v>
      </c>
      <c r="O36" s="17">
        <v>30</v>
      </c>
      <c r="P36" s="17">
        <v>40</v>
      </c>
      <c r="Q36" s="17">
        <v>30</v>
      </c>
      <c r="R36" s="17">
        <v>30</v>
      </c>
      <c r="S36" s="17">
        <v>5</v>
      </c>
      <c r="T36" s="17">
        <v>10</v>
      </c>
      <c r="U36" s="17">
        <v>20</v>
      </c>
      <c r="V36" s="17">
        <v>30</v>
      </c>
      <c r="W36" s="17">
        <v>40</v>
      </c>
      <c r="X36" s="17">
        <v>10</v>
      </c>
      <c r="Y36" s="17">
        <v>0.2</v>
      </c>
      <c r="Z36" s="17">
        <v>0</v>
      </c>
      <c r="AA36">
        <v>7.2</v>
      </c>
      <c r="AB36">
        <v>28.8</v>
      </c>
      <c r="AC36">
        <v>2.4</v>
      </c>
      <c r="AD36">
        <v>1.8</v>
      </c>
      <c r="AE36">
        <v>1.9</v>
      </c>
      <c r="AF36">
        <v>11.13</v>
      </c>
      <c r="AG36">
        <v>7.9499999999999993</v>
      </c>
      <c r="AH36">
        <v>4.7699999999999996</v>
      </c>
      <c r="AI36">
        <v>1.5899999999999999</v>
      </c>
      <c r="AJ36">
        <v>0.05</v>
      </c>
      <c r="AK36">
        <v>0.1</v>
      </c>
      <c r="AL36">
        <v>0.05</v>
      </c>
      <c r="AM36">
        <v>0.1</v>
      </c>
      <c r="AU36">
        <v>50</v>
      </c>
      <c r="CU36">
        <v>0.05</v>
      </c>
    </row>
    <row r="37" spans="1:99" x14ac:dyDescent="0.25">
      <c r="A37" s="32" t="s">
        <v>114</v>
      </c>
      <c r="B37" s="21">
        <v>55</v>
      </c>
      <c r="C37">
        <v>0</v>
      </c>
      <c r="D37">
        <v>1</v>
      </c>
      <c r="E37">
        <v>22</v>
      </c>
      <c r="F37">
        <v>20</v>
      </c>
      <c r="G37">
        <v>10</v>
      </c>
      <c r="H37">
        <v>0.3</v>
      </c>
      <c r="I37" s="16">
        <v>0.05</v>
      </c>
      <c r="J37" s="16">
        <v>0.15</v>
      </c>
      <c r="K37" s="16">
        <v>0.1</v>
      </c>
      <c r="L37" s="16">
        <v>0.15</v>
      </c>
      <c r="M37" s="16">
        <v>0.1</v>
      </c>
      <c r="N37" s="17">
        <v>60</v>
      </c>
      <c r="O37" s="17">
        <v>30</v>
      </c>
      <c r="P37" s="17">
        <v>40</v>
      </c>
      <c r="Q37" s="17">
        <v>30</v>
      </c>
      <c r="R37" s="17">
        <v>30</v>
      </c>
      <c r="S37" s="17">
        <v>5</v>
      </c>
      <c r="T37" s="17">
        <v>10</v>
      </c>
      <c r="U37" s="17">
        <v>20</v>
      </c>
      <c r="V37" s="17">
        <v>30</v>
      </c>
      <c r="W37" s="17">
        <v>40</v>
      </c>
      <c r="X37" s="17">
        <v>10</v>
      </c>
      <c r="Y37" s="17">
        <v>0.2</v>
      </c>
      <c r="Z37" s="17">
        <v>0</v>
      </c>
      <c r="AA37">
        <v>7.2</v>
      </c>
      <c r="AB37">
        <v>28.8</v>
      </c>
      <c r="AC37">
        <v>2.4</v>
      </c>
      <c r="AD37">
        <v>1.8</v>
      </c>
      <c r="AE37">
        <v>1.9</v>
      </c>
      <c r="AF37">
        <v>11.13</v>
      </c>
      <c r="AG37">
        <v>7.9499999999999993</v>
      </c>
      <c r="AH37">
        <v>4.7699999999999996</v>
      </c>
      <c r="AI37">
        <v>1.5899999999999999</v>
      </c>
      <c r="AJ37">
        <v>0.05</v>
      </c>
      <c r="AK37">
        <v>0.1</v>
      </c>
      <c r="AL37">
        <v>0.05</v>
      </c>
      <c r="AM37">
        <v>0.1</v>
      </c>
      <c r="AR37">
        <v>3</v>
      </c>
      <c r="AU37">
        <v>50</v>
      </c>
      <c r="CU37">
        <v>0.05</v>
      </c>
    </row>
    <row r="38" spans="1:99" x14ac:dyDescent="0.25">
      <c r="A38" s="32" t="s">
        <v>115</v>
      </c>
      <c r="B38" s="21">
        <v>55</v>
      </c>
      <c r="C38">
        <v>0.15</v>
      </c>
      <c r="D38">
        <v>1</v>
      </c>
      <c r="E38">
        <v>22</v>
      </c>
      <c r="F38">
        <v>20</v>
      </c>
      <c r="G38">
        <v>10</v>
      </c>
      <c r="H38">
        <v>0.3</v>
      </c>
      <c r="I38" s="16">
        <v>0.05</v>
      </c>
      <c r="J38" s="16">
        <v>0.15</v>
      </c>
      <c r="K38" s="16">
        <v>0.1</v>
      </c>
      <c r="L38" s="16">
        <v>0.15</v>
      </c>
      <c r="M38" s="16">
        <v>0.1</v>
      </c>
      <c r="N38" s="17">
        <v>60</v>
      </c>
      <c r="O38" s="17">
        <v>30</v>
      </c>
      <c r="P38" s="17">
        <v>40</v>
      </c>
      <c r="Q38" s="17">
        <v>30</v>
      </c>
      <c r="R38" s="17">
        <v>30</v>
      </c>
      <c r="S38" s="17">
        <v>5</v>
      </c>
      <c r="T38" s="17">
        <v>10</v>
      </c>
      <c r="U38" s="17">
        <v>20</v>
      </c>
      <c r="V38" s="17">
        <v>30</v>
      </c>
      <c r="W38" s="17">
        <v>40</v>
      </c>
      <c r="X38" s="17">
        <v>10</v>
      </c>
      <c r="Y38" s="17">
        <v>0.2</v>
      </c>
      <c r="Z38" s="17">
        <v>0</v>
      </c>
      <c r="AA38">
        <v>7.2</v>
      </c>
      <c r="AB38">
        <v>28.8</v>
      </c>
      <c r="AC38">
        <v>2.4</v>
      </c>
      <c r="AD38">
        <v>1.8</v>
      </c>
      <c r="AE38">
        <v>1.9</v>
      </c>
      <c r="AF38">
        <v>11.13</v>
      </c>
      <c r="AG38">
        <v>7.9499999999999993</v>
      </c>
      <c r="AH38">
        <v>4.7699999999999996</v>
      </c>
      <c r="AI38">
        <v>1.5899999999999999</v>
      </c>
      <c r="AJ38">
        <v>0.05</v>
      </c>
      <c r="AK38">
        <v>0.1</v>
      </c>
      <c r="AL38">
        <v>0.05</v>
      </c>
      <c r="AM38">
        <v>0.1</v>
      </c>
      <c r="AU38">
        <v>50</v>
      </c>
      <c r="CU38">
        <v>0.05</v>
      </c>
    </row>
    <row r="39" spans="1:99" x14ac:dyDescent="0.25">
      <c r="A39" s="32" t="s">
        <v>116</v>
      </c>
      <c r="B39">
        <v>60</v>
      </c>
      <c r="C39">
        <v>12</v>
      </c>
      <c r="D39">
        <v>60</v>
      </c>
      <c r="E39">
        <v>22</v>
      </c>
      <c r="F39">
        <v>20</v>
      </c>
      <c r="G39">
        <v>10</v>
      </c>
      <c r="H39">
        <v>0.3</v>
      </c>
      <c r="I39" s="16">
        <v>2.5000000000000001E-2</v>
      </c>
      <c r="J39" s="16">
        <v>0.15</v>
      </c>
      <c r="K39" s="16">
        <v>2.5000000000000001E-2</v>
      </c>
      <c r="L39" s="16">
        <v>2.5000000000000001E-2</v>
      </c>
      <c r="M39" s="16">
        <v>0.1</v>
      </c>
      <c r="N39" s="17">
        <v>60</v>
      </c>
      <c r="O39" s="17">
        <v>30</v>
      </c>
      <c r="P39" s="17">
        <v>40</v>
      </c>
      <c r="Q39" s="17">
        <v>30</v>
      </c>
      <c r="R39" s="17">
        <v>30</v>
      </c>
      <c r="S39" s="17">
        <v>5</v>
      </c>
      <c r="T39" s="17">
        <v>10</v>
      </c>
      <c r="U39" s="17">
        <v>20</v>
      </c>
      <c r="V39" s="17">
        <v>30</v>
      </c>
      <c r="W39" s="17">
        <v>40</v>
      </c>
      <c r="X39" s="17">
        <v>10</v>
      </c>
      <c r="Y39" s="17">
        <v>0.2</v>
      </c>
      <c r="Z39" s="17">
        <v>0</v>
      </c>
      <c r="AA39">
        <v>7.2</v>
      </c>
      <c r="AB39">
        <v>28.8</v>
      </c>
      <c r="AC39">
        <v>2.4</v>
      </c>
      <c r="AD39">
        <v>1.8</v>
      </c>
      <c r="AE39">
        <v>1.9</v>
      </c>
      <c r="AF39">
        <v>11.13</v>
      </c>
      <c r="AG39">
        <v>7.9499999999999993</v>
      </c>
      <c r="AH39">
        <v>4.7699999999999996</v>
      </c>
      <c r="AI39">
        <v>1.5899999999999999</v>
      </c>
      <c r="AJ39">
        <v>0.05</v>
      </c>
      <c r="AK39">
        <v>0.1</v>
      </c>
      <c r="AL39">
        <v>0.05</v>
      </c>
      <c r="AM39">
        <v>0.1</v>
      </c>
      <c r="AS39">
        <v>20</v>
      </c>
      <c r="AU39">
        <v>50</v>
      </c>
      <c r="CU39">
        <v>0.05</v>
      </c>
    </row>
    <row r="40" spans="1:99" x14ac:dyDescent="0.25">
      <c r="A40" s="32" t="s">
        <v>117</v>
      </c>
      <c r="B40">
        <v>1878.8416</v>
      </c>
      <c r="C40">
        <v>146.13849999999999</v>
      </c>
      <c r="D40">
        <v>1878.8416</v>
      </c>
      <c r="E40">
        <v>22</v>
      </c>
      <c r="F40">
        <v>20</v>
      </c>
      <c r="G40">
        <v>10</v>
      </c>
      <c r="H40">
        <v>0.3</v>
      </c>
      <c r="I40" s="16">
        <v>2.5000000000000001E-2</v>
      </c>
      <c r="J40" s="16">
        <v>0.15</v>
      </c>
      <c r="K40" s="16">
        <v>2.5000000000000001E-2</v>
      </c>
      <c r="L40" s="16">
        <v>2.5000000000000001E-2</v>
      </c>
      <c r="M40" s="16">
        <v>0.1</v>
      </c>
      <c r="N40" s="17">
        <v>60</v>
      </c>
      <c r="O40" s="17">
        <v>30</v>
      </c>
      <c r="P40" s="17">
        <v>40</v>
      </c>
      <c r="Q40" s="17">
        <v>30</v>
      </c>
      <c r="R40" s="17">
        <v>30</v>
      </c>
      <c r="S40" s="17">
        <v>5</v>
      </c>
      <c r="T40" s="17">
        <v>10</v>
      </c>
      <c r="U40" s="17">
        <v>20</v>
      </c>
      <c r="V40" s="17">
        <v>30</v>
      </c>
      <c r="W40" s="17">
        <v>40</v>
      </c>
      <c r="X40" s="17">
        <v>10</v>
      </c>
      <c r="Y40" s="17">
        <v>0.2</v>
      </c>
      <c r="Z40" s="17">
        <v>0</v>
      </c>
      <c r="AA40">
        <v>7.2</v>
      </c>
      <c r="AB40">
        <v>28.8</v>
      </c>
      <c r="AC40">
        <v>2.4</v>
      </c>
      <c r="AD40">
        <v>1.8</v>
      </c>
      <c r="AE40">
        <v>1.9</v>
      </c>
      <c r="AF40">
        <v>11.13</v>
      </c>
      <c r="AG40">
        <v>7.9499999999999993</v>
      </c>
      <c r="AH40">
        <v>4.7699999999999996</v>
      </c>
      <c r="AI40">
        <v>1.5899999999999999</v>
      </c>
      <c r="AJ40">
        <v>0.05</v>
      </c>
      <c r="AK40">
        <v>0.1</v>
      </c>
      <c r="AL40">
        <v>0.05</v>
      </c>
      <c r="AM40">
        <v>0.1</v>
      </c>
      <c r="AU40">
        <v>50</v>
      </c>
      <c r="CU40">
        <v>0.05</v>
      </c>
    </row>
    <row r="41" spans="1:99" x14ac:dyDescent="0.25">
      <c r="A41" s="32" t="s">
        <v>118</v>
      </c>
      <c r="B41">
        <v>1</v>
      </c>
      <c r="C41">
        <v>1</v>
      </c>
      <c r="D41">
        <v>1</v>
      </c>
      <c r="E41">
        <v>1</v>
      </c>
      <c r="I41" s="16">
        <v>0.05</v>
      </c>
      <c r="J41" s="16">
        <v>0.15</v>
      </c>
      <c r="K41" s="16">
        <v>0.1</v>
      </c>
      <c r="L41" s="16">
        <v>0.15</v>
      </c>
      <c r="M41" s="16">
        <v>0.1</v>
      </c>
      <c r="AU41">
        <v>50</v>
      </c>
      <c r="AV41" s="18">
        <v>0.26379544799515492</v>
      </c>
      <c r="AW41" s="18">
        <v>0.41569317199273237</v>
      </c>
      <c r="AX41" s="18">
        <v>0.7594886199878873</v>
      </c>
      <c r="AY41" s="18">
        <v>0.41570000000000001</v>
      </c>
      <c r="AZ41" s="18">
        <v>0.13189772399757746</v>
      </c>
      <c r="BA41" s="18">
        <v>1.3189772399757747</v>
      </c>
      <c r="BB41" s="18">
        <v>0.3</v>
      </c>
      <c r="CU41">
        <v>0.05</v>
      </c>
    </row>
    <row r="42" spans="1:99" x14ac:dyDescent="0.25">
      <c r="A42" s="32" t="s">
        <v>119</v>
      </c>
      <c r="B42">
        <v>1</v>
      </c>
      <c r="C42">
        <v>1</v>
      </c>
      <c r="D42">
        <v>1</v>
      </c>
      <c r="E42">
        <v>1</v>
      </c>
      <c r="I42" s="16">
        <v>0.05</v>
      </c>
      <c r="J42" s="16">
        <v>0.15</v>
      </c>
      <c r="K42" s="16">
        <v>0.1</v>
      </c>
      <c r="L42" s="16">
        <v>0.15</v>
      </c>
      <c r="M42" s="16">
        <v>0.1</v>
      </c>
      <c r="AU42">
        <v>50</v>
      </c>
      <c r="BC42" s="18">
        <v>3.7702</v>
      </c>
      <c r="BD42" s="18">
        <v>7.5404</v>
      </c>
      <c r="BE42" s="18"/>
      <c r="CU42">
        <v>0.05</v>
      </c>
    </row>
    <row r="43" spans="1:99" x14ac:dyDescent="0.25">
      <c r="A43" s="32" t="s">
        <v>120</v>
      </c>
      <c r="B43">
        <v>1</v>
      </c>
      <c r="C43">
        <v>1</v>
      </c>
      <c r="D43">
        <v>1</v>
      </c>
      <c r="E43">
        <v>1</v>
      </c>
      <c r="I43" s="16">
        <v>0.05</v>
      </c>
      <c r="J43" s="16">
        <v>0.15</v>
      </c>
      <c r="K43" s="16">
        <v>0.1</v>
      </c>
      <c r="L43" s="16">
        <v>0.15</v>
      </c>
      <c r="M43" s="16">
        <v>0.1</v>
      </c>
      <c r="AU43">
        <v>50</v>
      </c>
      <c r="BE43" s="18">
        <v>9.262514286198936</v>
      </c>
      <c r="BF43" s="18">
        <v>18.525028572397872</v>
      </c>
      <c r="BG43" s="18">
        <v>28.377531429637664</v>
      </c>
      <c r="BH43" s="18">
        <v>2</v>
      </c>
      <c r="CU43">
        <v>0.05</v>
      </c>
    </row>
    <row r="44" spans="1:99" x14ac:dyDescent="0.25">
      <c r="A44" s="32" t="s">
        <v>121</v>
      </c>
      <c r="B44">
        <v>1</v>
      </c>
      <c r="C44">
        <v>1</v>
      </c>
      <c r="D44">
        <v>1</v>
      </c>
      <c r="E44">
        <v>1</v>
      </c>
      <c r="I44" s="16">
        <v>0.05</v>
      </c>
      <c r="J44" s="16">
        <v>0.15</v>
      </c>
      <c r="K44" s="16">
        <v>0.1</v>
      </c>
      <c r="L44" s="16">
        <v>0.15</v>
      </c>
      <c r="M44" s="16">
        <v>0.1</v>
      </c>
      <c r="AU44">
        <v>50</v>
      </c>
      <c r="BI44" s="2">
        <v>11.9795</v>
      </c>
      <c r="BJ44" s="2">
        <v>29.959099999999999</v>
      </c>
      <c r="CU44">
        <v>0.05</v>
      </c>
    </row>
    <row r="45" spans="1:99" x14ac:dyDescent="0.25">
      <c r="A45" s="32" t="s">
        <v>122</v>
      </c>
      <c r="B45">
        <v>1</v>
      </c>
      <c r="C45">
        <v>1</v>
      </c>
      <c r="D45">
        <v>1</v>
      </c>
      <c r="E45">
        <v>1</v>
      </c>
      <c r="I45" s="16">
        <v>0.05</v>
      </c>
      <c r="J45" s="16">
        <v>0.15</v>
      </c>
      <c r="K45" s="16">
        <v>0.1</v>
      </c>
      <c r="L45" s="16">
        <v>0.15</v>
      </c>
      <c r="M45" s="16">
        <v>0.1</v>
      </c>
      <c r="AU45">
        <v>50</v>
      </c>
      <c r="BK45" s="18">
        <v>2.4826006609082709</v>
      </c>
      <c r="BL45" s="18">
        <v>12.413003304541352</v>
      </c>
      <c r="BM45" s="18">
        <v>8.6891023131789478</v>
      </c>
      <c r="BN45" s="18">
        <v>6.206501652270676</v>
      </c>
      <c r="BO45" s="18">
        <v>4.9652013218165418</v>
      </c>
      <c r="BP45" s="18">
        <v>2.4826006609082709</v>
      </c>
      <c r="BQ45" s="18">
        <v>1.5</v>
      </c>
      <c r="CU45">
        <v>0.05</v>
      </c>
    </row>
    <row r="46" spans="1:99" x14ac:dyDescent="0.25">
      <c r="A46" s="32" t="s">
        <v>123</v>
      </c>
      <c r="B46">
        <v>1</v>
      </c>
      <c r="C46">
        <v>1</v>
      </c>
      <c r="D46">
        <v>1</v>
      </c>
      <c r="E46">
        <v>1</v>
      </c>
      <c r="I46" s="16">
        <v>0.05</v>
      </c>
      <c r="J46" s="16">
        <v>0.15</v>
      </c>
      <c r="K46" s="16">
        <v>0.1</v>
      </c>
      <c r="L46" s="16">
        <v>0.15</v>
      </c>
      <c r="M46" s="16">
        <v>0.1</v>
      </c>
      <c r="AU46">
        <v>50</v>
      </c>
      <c r="BR46" s="18">
        <v>0.50332179317853476</v>
      </c>
      <c r="BS46" s="18">
        <v>3.5166089658926736</v>
      </c>
      <c r="BT46" s="18">
        <v>5.2749134488390101</v>
      </c>
      <c r="BU46" s="18">
        <v>7.0332179317853472</v>
      </c>
      <c r="BV46" s="18">
        <v>7.0332179317853472</v>
      </c>
      <c r="BW46" s="18">
        <v>7.7365397249638823</v>
      </c>
      <c r="BX46" s="18">
        <v>14.066435863570694</v>
      </c>
      <c r="BY46" s="18">
        <v>5</v>
      </c>
      <c r="CU46">
        <v>0.05</v>
      </c>
    </row>
    <row r="47" spans="1:99" x14ac:dyDescent="0.25">
      <c r="A47" s="32" t="s">
        <v>124</v>
      </c>
      <c r="B47">
        <v>1</v>
      </c>
      <c r="C47">
        <v>1</v>
      </c>
      <c r="D47">
        <v>1</v>
      </c>
      <c r="E47">
        <v>1</v>
      </c>
      <c r="I47" s="16">
        <v>0.05</v>
      </c>
      <c r="J47" s="16">
        <v>0.15</v>
      </c>
      <c r="K47" s="16">
        <v>0.1</v>
      </c>
      <c r="L47" s="16">
        <v>0.15</v>
      </c>
      <c r="M47" s="16">
        <v>0.1</v>
      </c>
      <c r="AU47">
        <v>50</v>
      </c>
      <c r="BZ47" s="18">
        <v>2.791369109404366</v>
      </c>
      <c r="CA47" s="18">
        <v>5.582738218808732</v>
      </c>
      <c r="CB47" s="18">
        <v>1.395684554702183</v>
      </c>
      <c r="CC47" s="18">
        <v>1.3956999999999999</v>
      </c>
      <c r="CD47" s="18">
        <v>0.83741073282130984</v>
      </c>
      <c r="CU47">
        <v>0.05</v>
      </c>
    </row>
    <row r="48" spans="1:99" x14ac:dyDescent="0.25">
      <c r="A48" s="32" t="s">
        <v>125</v>
      </c>
      <c r="B48">
        <v>1</v>
      </c>
      <c r="C48">
        <v>1</v>
      </c>
      <c r="D48">
        <v>1</v>
      </c>
      <c r="E48">
        <v>1</v>
      </c>
      <c r="I48" s="16">
        <v>0.05</v>
      </c>
      <c r="J48" s="16">
        <v>0.15</v>
      </c>
      <c r="K48" s="16">
        <v>0.1</v>
      </c>
      <c r="L48" s="16">
        <v>0.15</v>
      </c>
      <c r="M48" s="16">
        <v>0.1</v>
      </c>
      <c r="AU48">
        <v>50</v>
      </c>
      <c r="CE48" s="18">
        <v>7.0926</v>
      </c>
      <c r="CF48" s="18">
        <v>22.277799999999999</v>
      </c>
      <c r="CG48" s="18">
        <v>30.3704</v>
      </c>
      <c r="CH48" s="18">
        <v>7.0926</v>
      </c>
      <c r="CI48" s="18">
        <v>7.0926</v>
      </c>
      <c r="CJ48" s="18">
        <v>21.277799999999999</v>
      </c>
      <c r="CK48" s="18">
        <v>5</v>
      </c>
      <c r="CU48">
        <v>0.05</v>
      </c>
    </row>
    <row r="49" spans="1:99" x14ac:dyDescent="0.25">
      <c r="A49" s="32" t="s">
        <v>126</v>
      </c>
      <c r="B49">
        <v>1547.6577</v>
      </c>
      <c r="C49">
        <v>102</v>
      </c>
      <c r="D49">
        <v>1547.6577</v>
      </c>
      <c r="E49">
        <v>102</v>
      </c>
      <c r="I49" s="16">
        <v>0.05</v>
      </c>
      <c r="J49" s="16">
        <v>0.15</v>
      </c>
      <c r="K49" s="16">
        <v>0.1</v>
      </c>
      <c r="L49" s="16">
        <v>0.15</v>
      </c>
      <c r="M49">
        <v>2.5000000000000001E-2</v>
      </c>
      <c r="N49">
        <v>30</v>
      </c>
      <c r="AU49">
        <v>50</v>
      </c>
      <c r="CU49">
        <v>0.05</v>
      </c>
    </row>
    <row r="50" spans="1:99" x14ac:dyDescent="0.25">
      <c r="A50" s="32" t="s">
        <v>127</v>
      </c>
      <c r="B50">
        <v>1</v>
      </c>
      <c r="C50">
        <v>1</v>
      </c>
      <c r="D50">
        <v>1</v>
      </c>
      <c r="E50">
        <v>1</v>
      </c>
      <c r="AU50">
        <v>50</v>
      </c>
      <c r="CU50">
        <v>0.05</v>
      </c>
    </row>
    <row r="51" spans="1:99" x14ac:dyDescent="0.25">
      <c r="A51" s="32" t="s">
        <v>128</v>
      </c>
      <c r="B51">
        <v>1</v>
      </c>
      <c r="C51">
        <v>1</v>
      </c>
      <c r="D51">
        <v>1</v>
      </c>
      <c r="E51">
        <v>1</v>
      </c>
      <c r="AU51">
        <v>50</v>
      </c>
      <c r="CL51">
        <v>25</v>
      </c>
      <c r="CM51">
        <v>15</v>
      </c>
      <c r="CN51">
        <v>5</v>
      </c>
      <c r="CO51">
        <v>3</v>
      </c>
      <c r="CP51">
        <v>25</v>
      </c>
      <c r="CU51">
        <v>0.05</v>
      </c>
    </row>
    <row r="52" spans="1:99" x14ac:dyDescent="0.25">
      <c r="A52" s="32" t="s">
        <v>129</v>
      </c>
      <c r="B52">
        <v>1</v>
      </c>
      <c r="C52">
        <v>1</v>
      </c>
      <c r="D52">
        <v>1</v>
      </c>
      <c r="E52">
        <v>1</v>
      </c>
      <c r="AU52">
        <v>50</v>
      </c>
      <c r="CU52">
        <v>0.05</v>
      </c>
    </row>
    <row r="53" spans="1:99" x14ac:dyDescent="0.25">
      <c r="A53" s="32" t="s">
        <v>130</v>
      </c>
      <c r="B53">
        <v>1</v>
      </c>
      <c r="C53">
        <v>1</v>
      </c>
      <c r="D53">
        <v>1</v>
      </c>
      <c r="E53">
        <v>1</v>
      </c>
      <c r="AU53">
        <v>50</v>
      </c>
      <c r="CQ53">
        <v>0.55000000000000004</v>
      </c>
      <c r="CR53">
        <v>0.15</v>
      </c>
      <c r="CU53">
        <v>0.05</v>
      </c>
    </row>
    <row r="54" spans="1:99" x14ac:dyDescent="0.25">
      <c r="A54" s="32" t="s">
        <v>131</v>
      </c>
      <c r="B54">
        <v>1</v>
      </c>
      <c r="C54">
        <v>1</v>
      </c>
      <c r="D54">
        <v>1</v>
      </c>
      <c r="E54">
        <v>1</v>
      </c>
      <c r="AU54">
        <v>50</v>
      </c>
      <c r="CU54">
        <v>0.05</v>
      </c>
    </row>
    <row r="55" spans="1:99" x14ac:dyDescent="0.25">
      <c r="A55" s="32" t="s">
        <v>132</v>
      </c>
      <c r="B55">
        <v>1</v>
      </c>
      <c r="C55">
        <v>1</v>
      </c>
      <c r="D55">
        <v>1</v>
      </c>
      <c r="E55">
        <v>1</v>
      </c>
      <c r="AU55">
        <v>50</v>
      </c>
      <c r="CU55">
        <v>0.05</v>
      </c>
    </row>
    <row r="56" spans="1:99" x14ac:dyDescent="0.25">
      <c r="A56" s="32" t="s">
        <v>133</v>
      </c>
      <c r="B56">
        <v>1</v>
      </c>
      <c r="C56">
        <v>1</v>
      </c>
      <c r="D56">
        <v>1</v>
      </c>
      <c r="E56">
        <v>1</v>
      </c>
      <c r="AU56">
        <v>50</v>
      </c>
      <c r="CU56">
        <v>0.05</v>
      </c>
    </row>
    <row r="57" spans="1:99" x14ac:dyDescent="0.25">
      <c r="A57" s="32" t="s">
        <v>134</v>
      </c>
      <c r="B57">
        <v>1</v>
      </c>
      <c r="C57">
        <v>1</v>
      </c>
      <c r="D57">
        <v>1</v>
      </c>
      <c r="E57">
        <v>1</v>
      </c>
      <c r="AU57">
        <v>50</v>
      </c>
      <c r="CU57">
        <v>0.05</v>
      </c>
    </row>
    <row r="58" spans="1:99" x14ac:dyDescent="0.25">
      <c r="A58" s="32" t="s">
        <v>135</v>
      </c>
      <c r="B58">
        <v>1</v>
      </c>
      <c r="C58">
        <v>1</v>
      </c>
      <c r="D58">
        <v>1</v>
      </c>
      <c r="E58">
        <v>1</v>
      </c>
      <c r="AU58">
        <v>50</v>
      </c>
      <c r="CU58">
        <v>0.05</v>
      </c>
    </row>
    <row r="59" spans="1:99" x14ac:dyDescent="0.25">
      <c r="A59" s="32" t="s">
        <v>136</v>
      </c>
      <c r="B59">
        <v>1</v>
      </c>
      <c r="C59">
        <v>1</v>
      </c>
      <c r="D59">
        <v>1</v>
      </c>
      <c r="E59">
        <v>1</v>
      </c>
      <c r="AU59">
        <v>50</v>
      </c>
      <c r="CU59">
        <v>0.05</v>
      </c>
    </row>
    <row r="60" spans="1:99" x14ac:dyDescent="0.25">
      <c r="A60" s="32" t="s">
        <v>30</v>
      </c>
      <c r="B60">
        <v>1</v>
      </c>
      <c r="C60">
        <v>1</v>
      </c>
      <c r="D60">
        <v>1</v>
      </c>
      <c r="E60">
        <v>1</v>
      </c>
      <c r="AU60">
        <v>50</v>
      </c>
      <c r="CU60">
        <v>0.05</v>
      </c>
    </row>
    <row r="61" spans="1:99" x14ac:dyDescent="0.25">
      <c r="A61" s="32" t="s">
        <v>36</v>
      </c>
      <c r="B61">
        <v>1</v>
      </c>
      <c r="C61">
        <v>1</v>
      </c>
      <c r="D61">
        <v>1</v>
      </c>
      <c r="E61">
        <v>1</v>
      </c>
      <c r="AU61">
        <v>50</v>
      </c>
      <c r="CU61">
        <v>0.05</v>
      </c>
    </row>
    <row r="62" spans="1:99" x14ac:dyDescent="0.25">
      <c r="A62" s="32" t="s">
        <v>31</v>
      </c>
      <c r="B62">
        <v>1</v>
      </c>
      <c r="C62">
        <v>1</v>
      </c>
      <c r="D62">
        <v>1</v>
      </c>
      <c r="E62">
        <v>1</v>
      </c>
      <c r="AU62">
        <v>50</v>
      </c>
      <c r="CU62">
        <v>0.05</v>
      </c>
    </row>
    <row r="63" spans="1:99" x14ac:dyDescent="0.25">
      <c r="A63" s="32" t="s">
        <v>137</v>
      </c>
      <c r="B63">
        <v>1</v>
      </c>
      <c r="C63">
        <v>1</v>
      </c>
      <c r="D63">
        <v>1</v>
      </c>
      <c r="E63">
        <v>1</v>
      </c>
      <c r="AU63">
        <v>50</v>
      </c>
      <c r="CU63">
        <v>0.05</v>
      </c>
    </row>
    <row r="64" spans="1:99" x14ac:dyDescent="0.25">
      <c r="A64" s="32" t="s">
        <v>34</v>
      </c>
      <c r="B64">
        <v>1</v>
      </c>
      <c r="C64">
        <v>1</v>
      </c>
      <c r="D64">
        <v>1</v>
      </c>
      <c r="E64">
        <v>1</v>
      </c>
      <c r="AU64">
        <v>50</v>
      </c>
      <c r="CS64" s="19">
        <v>2.7000000000000001E-3</v>
      </c>
      <c r="CT64">
        <v>0.3</v>
      </c>
      <c r="CU64">
        <v>0.05</v>
      </c>
    </row>
    <row r="65" spans="1:99" x14ac:dyDescent="0.25">
      <c r="A65" s="32" t="s">
        <v>32</v>
      </c>
      <c r="B65">
        <v>1</v>
      </c>
      <c r="C65">
        <v>1</v>
      </c>
      <c r="D65">
        <v>1</v>
      </c>
      <c r="E65">
        <v>1</v>
      </c>
      <c r="AU65">
        <v>50</v>
      </c>
      <c r="CU65">
        <v>0.05</v>
      </c>
    </row>
    <row r="66" spans="1:99" x14ac:dyDescent="0.25">
      <c r="A66" s="32" t="s">
        <v>38</v>
      </c>
      <c r="B66">
        <v>1</v>
      </c>
      <c r="C66">
        <v>1</v>
      </c>
      <c r="D66">
        <v>1</v>
      </c>
      <c r="E66">
        <v>1</v>
      </c>
      <c r="AU66">
        <v>50</v>
      </c>
      <c r="CU66">
        <v>0.05</v>
      </c>
    </row>
    <row r="67" spans="1:99" x14ac:dyDescent="0.25">
      <c r="A67" s="32" t="s">
        <v>35</v>
      </c>
      <c r="B67">
        <v>1</v>
      </c>
      <c r="C67">
        <v>1</v>
      </c>
      <c r="D67">
        <v>1</v>
      </c>
      <c r="E67">
        <v>1</v>
      </c>
      <c r="AU67">
        <v>50</v>
      </c>
      <c r="CU67">
        <v>0.05</v>
      </c>
    </row>
    <row r="68" spans="1:99" x14ac:dyDescent="0.25">
      <c r="A68" s="32" t="s">
        <v>138</v>
      </c>
      <c r="B68">
        <v>1</v>
      </c>
      <c r="C68">
        <v>1</v>
      </c>
      <c r="D68">
        <v>1</v>
      </c>
      <c r="E68">
        <v>1</v>
      </c>
      <c r="AU68">
        <v>50</v>
      </c>
      <c r="CU68">
        <v>0.05</v>
      </c>
    </row>
    <row r="69" spans="1:99" x14ac:dyDescent="0.25">
      <c r="A69" s="32" t="s">
        <v>139</v>
      </c>
      <c r="B69">
        <v>1</v>
      </c>
      <c r="C69">
        <v>1</v>
      </c>
      <c r="D69">
        <v>1</v>
      </c>
      <c r="E69">
        <v>1</v>
      </c>
      <c r="AU69">
        <v>50</v>
      </c>
      <c r="CU69">
        <v>0.05</v>
      </c>
    </row>
    <row r="70" spans="1:99" x14ac:dyDescent="0.25">
      <c r="A70" s="32" t="s">
        <v>40</v>
      </c>
      <c r="B70">
        <v>1</v>
      </c>
      <c r="C70">
        <v>1</v>
      </c>
      <c r="D70">
        <v>1</v>
      </c>
      <c r="E70">
        <v>1</v>
      </c>
      <c r="AU70">
        <v>50</v>
      </c>
      <c r="CU70">
        <v>0.05</v>
      </c>
    </row>
    <row r="71" spans="1:99" x14ac:dyDescent="0.25">
      <c r="A71" s="32" t="s">
        <v>41</v>
      </c>
      <c r="B71">
        <v>1</v>
      </c>
      <c r="C71">
        <v>1</v>
      </c>
      <c r="D71">
        <v>1</v>
      </c>
      <c r="E71">
        <v>1</v>
      </c>
      <c r="AU71">
        <v>50</v>
      </c>
      <c r="CU71">
        <v>0.05</v>
      </c>
    </row>
    <row r="72" spans="1:99" x14ac:dyDescent="0.25">
      <c r="A72" s="32" t="s">
        <v>42</v>
      </c>
      <c r="B72">
        <v>1</v>
      </c>
      <c r="C72">
        <v>1</v>
      </c>
      <c r="D72">
        <v>1</v>
      </c>
      <c r="E72">
        <v>1</v>
      </c>
      <c r="AU72">
        <v>50</v>
      </c>
      <c r="CU72">
        <v>0.05</v>
      </c>
    </row>
    <row r="73" spans="1:99" x14ac:dyDescent="0.25">
      <c r="A73" s="32" t="s">
        <v>37</v>
      </c>
      <c r="B73">
        <v>1</v>
      </c>
      <c r="C73">
        <v>1</v>
      </c>
      <c r="D73">
        <v>1</v>
      </c>
      <c r="E73">
        <v>1</v>
      </c>
      <c r="AU73">
        <v>50</v>
      </c>
      <c r="CU73">
        <v>0.05</v>
      </c>
    </row>
    <row r="74" spans="1:99" x14ac:dyDescent="0.25">
      <c r="A74" s="32" t="s">
        <v>45</v>
      </c>
      <c r="B74">
        <v>1</v>
      </c>
      <c r="C74">
        <v>1</v>
      </c>
      <c r="D74">
        <v>1</v>
      </c>
      <c r="E74">
        <v>1</v>
      </c>
      <c r="AU74">
        <v>50</v>
      </c>
      <c r="CU74">
        <v>0.05</v>
      </c>
    </row>
    <row r="75" spans="1:99" x14ac:dyDescent="0.25">
      <c r="A75" s="32" t="s">
        <v>43</v>
      </c>
      <c r="B75">
        <v>1</v>
      </c>
      <c r="C75">
        <v>1</v>
      </c>
      <c r="D75">
        <v>1</v>
      </c>
      <c r="E75">
        <v>1</v>
      </c>
      <c r="AU75">
        <v>50</v>
      </c>
      <c r="CU75">
        <v>0.05</v>
      </c>
    </row>
    <row r="76" spans="1:99" x14ac:dyDescent="0.25">
      <c r="A76" s="32" t="s">
        <v>33</v>
      </c>
      <c r="B76">
        <v>1</v>
      </c>
      <c r="C76">
        <v>1</v>
      </c>
      <c r="D76">
        <v>1</v>
      </c>
      <c r="E76">
        <v>1</v>
      </c>
      <c r="AU76">
        <v>50</v>
      </c>
      <c r="CU76">
        <v>0.05</v>
      </c>
    </row>
    <row r="77" spans="1:99" x14ac:dyDescent="0.25">
      <c r="A77" s="32" t="s">
        <v>140</v>
      </c>
      <c r="B77">
        <v>1</v>
      </c>
      <c r="C77">
        <v>1</v>
      </c>
      <c r="D77">
        <v>1</v>
      </c>
      <c r="E77">
        <v>1</v>
      </c>
      <c r="AU77">
        <v>50</v>
      </c>
      <c r="CU77">
        <v>0.05</v>
      </c>
    </row>
    <row r="78" spans="1:99" x14ac:dyDescent="0.25">
      <c r="A78" s="32" t="s">
        <v>39</v>
      </c>
      <c r="B78">
        <v>1</v>
      </c>
      <c r="C78">
        <v>1</v>
      </c>
      <c r="D78">
        <v>1</v>
      </c>
      <c r="E78">
        <v>1</v>
      </c>
      <c r="AU78">
        <v>50</v>
      </c>
      <c r="CU78">
        <v>0.05</v>
      </c>
    </row>
    <row r="79" spans="1:99" x14ac:dyDescent="0.25">
      <c r="A79" s="32" t="s">
        <v>141</v>
      </c>
      <c r="B79">
        <v>1</v>
      </c>
      <c r="C79">
        <v>1</v>
      </c>
      <c r="D79">
        <v>1</v>
      </c>
      <c r="E79">
        <v>1</v>
      </c>
      <c r="AU79">
        <v>50</v>
      </c>
      <c r="CU79">
        <v>0.05</v>
      </c>
    </row>
    <row r="80" spans="1:99" x14ac:dyDescent="0.25">
      <c r="A80" s="32" t="s">
        <v>44</v>
      </c>
      <c r="B80">
        <v>1</v>
      </c>
      <c r="C80">
        <v>1</v>
      </c>
      <c r="D80">
        <v>1</v>
      </c>
      <c r="E80">
        <v>1</v>
      </c>
      <c r="AU80">
        <v>50</v>
      </c>
      <c r="CU80">
        <v>0.05</v>
      </c>
    </row>
    <row r="81" spans="1:99" x14ac:dyDescent="0.25">
      <c r="A81" s="32" t="s">
        <v>259</v>
      </c>
      <c r="B81">
        <v>1</v>
      </c>
      <c r="C81">
        <v>1</v>
      </c>
      <c r="D81">
        <v>1</v>
      </c>
      <c r="E81">
        <v>1</v>
      </c>
      <c r="AU81">
        <v>50</v>
      </c>
      <c r="CU81">
        <v>0.05</v>
      </c>
    </row>
    <row r="82" spans="1:99" x14ac:dyDescent="0.25">
      <c r="A82" s="32" t="s">
        <v>142</v>
      </c>
      <c r="B82">
        <v>1</v>
      </c>
      <c r="C82">
        <v>1</v>
      </c>
      <c r="D82">
        <v>1</v>
      </c>
      <c r="E82">
        <v>1</v>
      </c>
      <c r="AN82" s="2">
        <v>15</v>
      </c>
      <c r="AO82">
        <v>35</v>
      </c>
      <c r="AP82">
        <v>50</v>
      </c>
      <c r="AQ82">
        <v>10</v>
      </c>
      <c r="AU82">
        <v>50</v>
      </c>
      <c r="CU82">
        <v>0.05</v>
      </c>
    </row>
    <row r="83" spans="1:99" x14ac:dyDescent="0.25">
      <c r="A83" s="32" t="s">
        <v>143</v>
      </c>
      <c r="B83">
        <v>1</v>
      </c>
      <c r="C83">
        <v>1</v>
      </c>
      <c r="D83">
        <v>1</v>
      </c>
      <c r="E83">
        <v>1</v>
      </c>
      <c r="AU83">
        <v>50</v>
      </c>
      <c r="CU83">
        <v>0.05</v>
      </c>
    </row>
    <row r="84" spans="1:99" x14ac:dyDescent="0.25">
      <c r="A84" s="32" t="s">
        <v>144</v>
      </c>
      <c r="B84">
        <v>1</v>
      </c>
      <c r="C84">
        <v>1</v>
      </c>
      <c r="D84">
        <v>1</v>
      </c>
      <c r="E84">
        <v>1</v>
      </c>
      <c r="AU84">
        <v>50</v>
      </c>
      <c r="CU84">
        <v>0.05</v>
      </c>
    </row>
    <row r="85" spans="1:99" x14ac:dyDescent="0.25">
      <c r="A85" s="32" t="s">
        <v>219</v>
      </c>
      <c r="B85">
        <v>1</v>
      </c>
      <c r="C85">
        <v>1</v>
      </c>
      <c r="D85">
        <v>1</v>
      </c>
      <c r="E85">
        <v>1</v>
      </c>
      <c r="AU85">
        <v>50</v>
      </c>
      <c r="CU85">
        <v>0.05</v>
      </c>
    </row>
    <row r="86" spans="1:99" x14ac:dyDescent="0.25">
      <c r="A86" s="32" t="s">
        <v>146</v>
      </c>
      <c r="B86">
        <v>1</v>
      </c>
      <c r="C86">
        <v>1</v>
      </c>
      <c r="D86">
        <v>1</v>
      </c>
      <c r="E86">
        <v>1</v>
      </c>
      <c r="AU86">
        <v>50</v>
      </c>
      <c r="CU86">
        <v>0.05</v>
      </c>
    </row>
    <row r="87" spans="1:99" x14ac:dyDescent="0.25">
      <c r="A87" s="32" t="s">
        <v>147</v>
      </c>
      <c r="B87">
        <v>1</v>
      </c>
      <c r="C87">
        <v>1</v>
      </c>
      <c r="D87">
        <v>1</v>
      </c>
      <c r="E87">
        <v>1</v>
      </c>
      <c r="AU87">
        <v>50</v>
      </c>
      <c r="CU87">
        <v>0.05</v>
      </c>
    </row>
    <row r="88" spans="1:99" x14ac:dyDescent="0.25">
      <c r="A88" s="32" t="s">
        <v>148</v>
      </c>
      <c r="B88">
        <v>1</v>
      </c>
      <c r="C88">
        <v>1</v>
      </c>
      <c r="D88">
        <v>1</v>
      </c>
      <c r="E88">
        <v>1</v>
      </c>
      <c r="AU88">
        <v>50</v>
      </c>
      <c r="CU88">
        <v>0.05</v>
      </c>
    </row>
    <row r="89" spans="1:99" x14ac:dyDescent="0.25">
      <c r="A89" s="32" t="s">
        <v>149</v>
      </c>
      <c r="B89">
        <v>1</v>
      </c>
      <c r="C89">
        <v>1</v>
      </c>
      <c r="D89">
        <v>1</v>
      </c>
      <c r="E89">
        <v>1</v>
      </c>
      <c r="AU89">
        <v>50</v>
      </c>
      <c r="CU89">
        <v>0.05</v>
      </c>
    </row>
    <row r="90" spans="1:99" x14ac:dyDescent="0.25">
      <c r="A90" s="32" t="s">
        <v>150</v>
      </c>
      <c r="B90">
        <v>1</v>
      </c>
      <c r="C90">
        <v>1</v>
      </c>
      <c r="D90">
        <v>1</v>
      </c>
      <c r="E90">
        <v>1</v>
      </c>
      <c r="AU90">
        <v>50</v>
      </c>
    </row>
    <row r="91" spans="1:99" x14ac:dyDescent="0.25">
      <c r="A91" s="32" t="s">
        <v>151</v>
      </c>
      <c r="B91">
        <v>1</v>
      </c>
      <c r="C91">
        <v>1</v>
      </c>
      <c r="D91">
        <v>1</v>
      </c>
      <c r="E91">
        <v>1</v>
      </c>
      <c r="AU91">
        <v>50</v>
      </c>
    </row>
    <row r="92" spans="1:99" x14ac:dyDescent="0.25">
      <c r="A92" s="32" t="s">
        <v>152</v>
      </c>
      <c r="B92">
        <v>1</v>
      </c>
      <c r="C92">
        <v>1</v>
      </c>
      <c r="D92">
        <v>1</v>
      </c>
      <c r="E92">
        <v>1</v>
      </c>
      <c r="AU92">
        <v>50</v>
      </c>
    </row>
    <row r="93" spans="1:99" x14ac:dyDescent="0.25">
      <c r="A93" s="32" t="s">
        <v>255</v>
      </c>
      <c r="B93">
        <v>1</v>
      </c>
      <c r="C93">
        <v>1</v>
      </c>
      <c r="D93">
        <v>1</v>
      </c>
      <c r="E93">
        <v>1</v>
      </c>
      <c r="AC93" s="31"/>
      <c r="AN93">
        <v>20</v>
      </c>
      <c r="AO93">
        <v>40</v>
      </c>
      <c r="AP93">
        <v>50</v>
      </c>
      <c r="AQ93">
        <v>10</v>
      </c>
    </row>
    <row r="94" spans="1:99" x14ac:dyDescent="0.25">
      <c r="A94" s="30" t="s">
        <v>248</v>
      </c>
      <c r="B94">
        <v>1</v>
      </c>
      <c r="C94">
        <v>1</v>
      </c>
      <c r="D94">
        <v>1</v>
      </c>
      <c r="E94">
        <v>1</v>
      </c>
    </row>
    <row r="95" spans="1:99" x14ac:dyDescent="0.25">
      <c r="A95" s="30" t="s">
        <v>249</v>
      </c>
      <c r="B95">
        <v>1</v>
      </c>
      <c r="C95">
        <v>1</v>
      </c>
      <c r="D95">
        <v>1</v>
      </c>
      <c r="E95">
        <v>1</v>
      </c>
    </row>
    <row r="96" spans="1:99" x14ac:dyDescent="0.25">
      <c r="A96" s="30" t="s">
        <v>251</v>
      </c>
      <c r="B96">
        <v>1</v>
      </c>
      <c r="C96">
        <v>1</v>
      </c>
      <c r="D96">
        <v>1</v>
      </c>
      <c r="E96">
        <v>1</v>
      </c>
    </row>
    <row r="97" spans="1:5" x14ac:dyDescent="0.25">
      <c r="A97" s="30" t="s">
        <v>252</v>
      </c>
      <c r="B97">
        <v>1</v>
      </c>
      <c r="C97">
        <v>1</v>
      </c>
      <c r="D97">
        <v>1</v>
      </c>
      <c r="E97">
        <v>1</v>
      </c>
    </row>
    <row r="98" spans="1:5" x14ac:dyDescent="0.25">
      <c r="A98" s="30" t="s">
        <v>253</v>
      </c>
      <c r="B98">
        <v>1</v>
      </c>
      <c r="C98">
        <v>1</v>
      </c>
      <c r="D98">
        <v>1</v>
      </c>
      <c r="E98">
        <v>1</v>
      </c>
    </row>
    <row r="99" spans="1:5" x14ac:dyDescent="0.25">
      <c r="A99" s="30" t="s">
        <v>145</v>
      </c>
      <c r="B99">
        <v>1</v>
      </c>
      <c r="C99">
        <v>1</v>
      </c>
      <c r="D99">
        <v>1</v>
      </c>
      <c r="E99">
        <v>1</v>
      </c>
    </row>
  </sheetData>
  <mergeCells count="32">
    <mergeCell ref="AN2:AQ2"/>
    <mergeCell ref="AV2:BB2"/>
    <mergeCell ref="BC2:BD2"/>
    <mergeCell ref="BE2:BH2"/>
    <mergeCell ref="CS2:CT2"/>
    <mergeCell ref="BK2:BQ2"/>
    <mergeCell ref="BR2:BY2"/>
    <mergeCell ref="BZ2:CD2"/>
    <mergeCell ref="CE2:CK2"/>
    <mergeCell ref="CL2:CP2"/>
    <mergeCell ref="CQ2:CR2"/>
    <mergeCell ref="AF2:AI2"/>
    <mergeCell ref="AJ2:AJ3"/>
    <mergeCell ref="AK2:AK3"/>
    <mergeCell ref="AL2:AL3"/>
    <mergeCell ref="AM2:AM3"/>
    <mergeCell ref="CS3:CT3"/>
    <mergeCell ref="Y2:Y3"/>
    <mergeCell ref="A2:A3"/>
    <mergeCell ref="B2:C2"/>
    <mergeCell ref="D2:E2"/>
    <mergeCell ref="F2:F3"/>
    <mergeCell ref="G2:G3"/>
    <mergeCell ref="H2:H3"/>
    <mergeCell ref="I2:L2"/>
    <mergeCell ref="M2:M3"/>
    <mergeCell ref="N2:N3"/>
    <mergeCell ref="O2:O3"/>
    <mergeCell ref="P2:X2"/>
    <mergeCell ref="BI2:BJ2"/>
    <mergeCell ref="Z2:Z3"/>
    <mergeCell ref="AA2:A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录入表</vt:lpstr>
      <vt:lpstr>科室绩效工资核算1</vt:lpstr>
      <vt:lpstr>科室绩效工资核算2</vt:lpstr>
      <vt:lpstr>中层绩效</vt:lpstr>
      <vt:lpstr>优质护理</vt:lpstr>
      <vt:lpstr>绩效明细表</vt:lpstr>
      <vt:lpstr>人员表</vt:lpstr>
      <vt:lpstr>中层系数</vt:lpstr>
      <vt:lpstr>奖励标准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2019-08-22T10:25:39Z</dcterms:modified>
</cp:coreProperties>
</file>