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calculator-debug\validation_data\"/>
    </mc:Choice>
  </mc:AlternateContent>
  <xr:revisionPtr revIDLastSave="0" documentId="13_ncr:1_{F50E9F99-B2CD-4509-8510-165D806B2612}" xr6:coauthVersionLast="47" xr6:coauthVersionMax="47" xr10:uidLastSave="{00000000-0000-0000-0000-000000000000}"/>
  <bookViews>
    <workbookView xWindow="1680" yWindow="37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3" i="11" l="1"/>
  <c r="F11" i="2" l="1"/>
  <c r="E13"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J15" i="14" a="1"/>
  <c r="E15" i="14" a="1"/>
  <c r="F15" i="10" a="1"/>
  <c r="I15" i="14" a="1"/>
  <c r="M15" i="14" a="1"/>
  <c r="K15" i="10" a="1"/>
  <c r="S15" i="10" a="1"/>
  <c r="D15" i="10" a="1"/>
  <c r="N15" i="14" a="1"/>
  <c r="E15" i="10" a="1"/>
  <c r="O15" i="10" a="1"/>
  <c r="G16" i="14" a="1"/>
  <c r="C15" i="14" a="1"/>
  <c r="D15" i="14" a="1"/>
  <c r="H15" i="14" a="1"/>
  <c r="B15" i="10" a="1"/>
  <c r="F16" i="14" a="1"/>
  <c r="N15" i="10" a="1"/>
  <c r="E10" i="11" a="1"/>
  <c r="L15" i="10" a="1"/>
  <c r="K15" i="14" a="1"/>
  <c r="G15" i="10" a="1"/>
  <c r="M15" i="10" a="1"/>
  <c r="E16" i="14" a="1"/>
  <c r="B15" i="14" a="1"/>
  <c r="H15" i="10" a="1"/>
  <c r="I16" i="14" a="1"/>
  <c r="J15" i="10" a="1"/>
  <c r="H16" i="14" a="1"/>
  <c r="D16" i="14" a="1"/>
  <c r="L15" i="14" a="1"/>
  <c r="F15" i="14" a="1"/>
  <c r="R15" i="10" a="1"/>
  <c r="G15" i="14" a="1"/>
  <c r="I15" i="10" a="1"/>
  <c r="C15" i="10" a="1"/>
  <c r="Q15" i="10" a="1"/>
  <c r="P15" i="10"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K16" i="10" a="1"/>
  <c r="B16" i="14"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P482" i="11" s="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P723" i="11" s="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P1281" i="11" s="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141" i="11"/>
  <c r="P453" i="11"/>
  <c r="P501" i="11"/>
  <c r="P765" i="11"/>
  <c r="P813" i="11"/>
  <c r="P945" i="11"/>
  <c r="P981" i="11"/>
  <c r="P1005" i="11"/>
  <c r="P1689" i="11"/>
  <c r="P40" i="11"/>
  <c r="R40" i="11" s="1"/>
  <c r="P64" i="11"/>
  <c r="R64" i="11" s="1"/>
  <c r="P172" i="11"/>
  <c r="P244" i="11"/>
  <c r="P292" i="11"/>
  <c r="P772" i="11"/>
  <c r="P1048" i="11"/>
  <c r="P1144" i="11"/>
  <c r="P1192" i="11"/>
  <c r="P1216" i="11"/>
  <c r="P1300" i="11"/>
  <c r="P1528" i="11"/>
  <c r="P1564" i="11"/>
  <c r="P1672"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65" i="11"/>
  <c r="P457" i="11"/>
  <c r="P1681" i="11"/>
  <c r="P1693" i="11"/>
  <c r="P1897" i="11"/>
  <c r="P63" i="11"/>
  <c r="R63" i="11" s="1"/>
  <c r="P135" i="11"/>
  <c r="P291" i="11"/>
  <c r="P1670"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316" i="11"/>
  <c r="P1388" i="11"/>
  <c r="P1532" i="11"/>
  <c r="P1604" i="11"/>
  <c r="P1676" i="11"/>
  <c r="P1892" i="11"/>
  <c r="P555" i="11"/>
  <c r="P771" i="11"/>
  <c r="P831" i="11"/>
  <c r="P1047" i="11"/>
  <c r="P1059" i="11"/>
  <c r="P1203" i="11"/>
  <c r="P1215" i="11"/>
  <c r="P1287" i="11"/>
  <c r="P1299" i="11"/>
  <c r="P1431" i="11"/>
  <c r="P1839" i="11"/>
  <c r="P1851" i="11"/>
  <c r="P2007" i="11"/>
  <c r="P334"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R16" i="11" s="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E14" i="2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J92" i="10" l="1"/>
  <c r="AO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BH8" i="11" l="1"/>
  <c r="AD3" i="19"/>
  <c r="BJ2" i="11"/>
  <c r="BJ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l="1"/>
  <c r="BL5" i="11" s="1"/>
  <c r="BB1220" i="11" s="1"/>
  <c r="BM4" i="11"/>
  <c r="BI4" i="11"/>
  <c r="BH7" i="11"/>
  <c r="BH10" i="11"/>
  <c r="BI10" i="11" s="1"/>
  <c r="BB189" i="11"/>
  <c r="BB57" i="11"/>
  <c r="BB1126" i="11"/>
  <c r="BB93" i="11"/>
  <c r="BB1523" i="11"/>
  <c r="BB1427" i="11"/>
  <c r="BB1273" i="11"/>
  <c r="BB224" i="11"/>
  <c r="BB1429" i="11"/>
  <c r="BB473" i="11"/>
  <c r="BB552" i="11"/>
  <c r="BB461" i="11"/>
  <c r="BB435" i="11"/>
  <c r="BB1838" i="11"/>
  <c r="BB1439" i="11"/>
  <c r="BB1089" i="11"/>
  <c r="BB1138" i="11"/>
  <c r="BB1152" i="11"/>
  <c r="BB1347" i="11"/>
  <c r="BB1883" i="11"/>
  <c r="BB704" i="11"/>
  <c r="BB1757" i="11"/>
  <c r="BB1552" i="11"/>
  <c r="BB797" i="11"/>
  <c r="BB953" i="11"/>
  <c r="BB526" i="11"/>
  <c r="BB1294" i="11"/>
  <c r="BB1409" i="11"/>
  <c r="BB91" i="11"/>
  <c r="BB227" i="11"/>
  <c r="BB1111" i="11"/>
  <c r="BB481" i="11"/>
  <c r="BB1615" i="11"/>
  <c r="BB470" i="11"/>
  <c r="BB136" i="11"/>
  <c r="BB259" i="11" l="1"/>
  <c r="BB720" i="11"/>
  <c r="BB1976" i="11"/>
  <c r="BB1802" i="11"/>
  <c r="BB1553" i="11"/>
  <c r="BB951" i="11"/>
  <c r="BB1700" i="11"/>
  <c r="BB1396" i="11"/>
  <c r="BB1925" i="11"/>
  <c r="BB834" i="11"/>
  <c r="BB54" i="11"/>
  <c r="BB1510" i="11"/>
  <c r="BB1852" i="11"/>
  <c r="BB1906" i="11"/>
  <c r="BB327" i="11"/>
  <c r="BB648" i="11"/>
  <c r="BB1248" i="11"/>
  <c r="BB380" i="11"/>
  <c r="BB505" i="11"/>
  <c r="BB1213" i="11"/>
  <c r="BB290" i="11"/>
  <c r="BB1460" i="11"/>
  <c r="BB1245" i="11"/>
  <c r="BB487" i="11"/>
  <c r="BB141" i="11"/>
  <c r="BB994" i="11"/>
  <c r="BB1763" i="11"/>
  <c r="BB1602" i="11"/>
  <c r="BB1754" i="11"/>
  <c r="BB1786" i="11"/>
  <c r="BB1837" i="11"/>
  <c r="BB222" i="11"/>
  <c r="BB1782" i="11"/>
  <c r="BB1380" i="11"/>
  <c r="BB281" i="11"/>
  <c r="BB1187" i="11"/>
  <c r="BB491" i="11"/>
  <c r="BB1202" i="11"/>
  <c r="BB2008" i="11"/>
  <c r="BB391" i="11"/>
  <c r="BB377" i="11"/>
  <c r="BB829" i="11"/>
  <c r="BB961" i="11"/>
  <c r="BB2014" i="11"/>
  <c r="BB405" i="11"/>
  <c r="BB1973" i="11"/>
  <c r="BB1235" i="11"/>
  <c r="BB706" i="11"/>
  <c r="BB297" i="11"/>
  <c r="BB1583" i="11"/>
  <c r="BB889" i="11"/>
  <c r="BB137" i="11"/>
  <c r="BB875" i="11"/>
  <c r="BB1442" i="11"/>
  <c r="BB1999" i="11"/>
  <c r="BB515" i="11"/>
  <c r="BB1867" i="11"/>
  <c r="BB840" i="11"/>
  <c r="BB306" i="11"/>
  <c r="BB694" i="11"/>
  <c r="BB1477" i="11"/>
  <c r="BB1015" i="11"/>
  <c r="BB1374" i="11"/>
  <c r="BB985" i="11"/>
  <c r="BB913" i="11"/>
  <c r="BB744" i="11"/>
  <c r="BB633" i="11"/>
  <c r="BB2007" i="11"/>
  <c r="BB1483" i="11"/>
  <c r="BB1117" i="11"/>
  <c r="BB168" i="11"/>
  <c r="BB459" i="11"/>
  <c r="BB1284" i="11"/>
  <c r="BB1566" i="11"/>
  <c r="BB1511" i="11"/>
  <c r="BB105" i="11"/>
  <c r="BB191" i="11"/>
  <c r="BB665" i="11"/>
  <c r="BB1775" i="11"/>
  <c r="BB972" i="11"/>
  <c r="BB429" i="11"/>
  <c r="BB1585" i="11"/>
  <c r="BB849" i="11"/>
  <c r="BB203" i="11"/>
  <c r="BB1570" i="11"/>
  <c r="BB225" i="11"/>
  <c r="BB107" i="11"/>
  <c r="BB647" i="11"/>
  <c r="BB131" i="11"/>
  <c r="BB719" i="11"/>
  <c r="BB1993" i="11"/>
  <c r="BB1970" i="11"/>
  <c r="BB970" i="11"/>
  <c r="BB49" i="11"/>
  <c r="BB204" i="11"/>
  <c r="BB220" i="11"/>
  <c r="BB310" i="11"/>
  <c r="BB1399" i="11"/>
  <c r="BB584" i="11"/>
  <c r="BB810" i="11"/>
  <c r="BB837" i="11"/>
  <c r="BB1718" i="11"/>
  <c r="BB277" i="11"/>
  <c r="BB1470" i="11"/>
  <c r="BB1487" i="11"/>
  <c r="BB431" i="11"/>
  <c r="BB75" i="11"/>
  <c r="BB808" i="11"/>
  <c r="BB1698" i="11"/>
  <c r="BB1534" i="11"/>
  <c r="BB1571" i="11"/>
  <c r="BB1458" i="11"/>
  <c r="BB1535" i="11"/>
  <c r="BB1607" i="11"/>
  <c r="BB1045" i="11"/>
  <c r="BB1690" i="11"/>
  <c r="BB1163" i="11"/>
  <c r="BB1875" i="11"/>
  <c r="BB1423" i="11"/>
  <c r="BB904" i="11"/>
  <c r="BB1776" i="11"/>
  <c r="BB1944" i="11"/>
  <c r="BB867" i="11"/>
  <c r="BB1132" i="11"/>
  <c r="BB1617" i="11"/>
  <c r="BB1229" i="11"/>
  <c r="BB1792" i="11"/>
  <c r="BB1954" i="11"/>
  <c r="BB751" i="11"/>
  <c r="BB1252" i="11"/>
  <c r="BB276" i="11"/>
  <c r="BB1359" i="11"/>
  <c r="BB179" i="11"/>
  <c r="BB939" i="11"/>
  <c r="BB715" i="11"/>
  <c r="BB27" i="11"/>
  <c r="BB207" i="11"/>
  <c r="BB1222" i="11"/>
  <c r="BB1489" i="11"/>
  <c r="BB1376" i="11"/>
  <c r="BB1895" i="11"/>
  <c r="BB1850" i="11"/>
  <c r="BB1153" i="11"/>
  <c r="BB353" i="11"/>
  <c r="BB236" i="11"/>
  <c r="BB711" i="11"/>
  <c r="BB261" i="11"/>
  <c r="BB1425" i="11"/>
  <c r="BB92" i="11"/>
  <c r="BB1901" i="11"/>
  <c r="BB536" i="11"/>
  <c r="BB205" i="11"/>
  <c r="BB857" i="11"/>
  <c r="BB651" i="11"/>
  <c r="BB621" i="11"/>
  <c r="BB1371" i="11"/>
  <c r="BB915" i="11"/>
  <c r="BB611" i="11"/>
  <c r="BB40" i="11"/>
  <c r="BB19" i="11"/>
  <c r="BB1688" i="11"/>
  <c r="BB286" i="11"/>
  <c r="BB173" i="11"/>
  <c r="BB907" i="11"/>
  <c r="BB94" i="11"/>
  <c r="BB1272" i="11"/>
  <c r="BB1029" i="11"/>
  <c r="BB147" i="11"/>
  <c r="BB455" i="11"/>
  <c r="BB1674" i="11"/>
  <c r="BB722" i="11"/>
  <c r="BB932" i="11"/>
  <c r="BB1624" i="11"/>
  <c r="BB85" i="11"/>
  <c r="BB177" i="11"/>
  <c r="BB1887" i="11"/>
  <c r="BB826" i="11"/>
  <c r="BB438" i="11"/>
  <c r="BB1435" i="11"/>
  <c r="BB650" i="11"/>
  <c r="BB1680" i="11"/>
  <c r="BB1186" i="11"/>
  <c r="BB1309" i="11"/>
  <c r="BB395" i="11"/>
  <c r="BB999" i="11"/>
  <c r="BB39" i="11"/>
  <c r="BB76" i="11"/>
  <c r="BB628" i="11"/>
  <c r="BB216" i="11"/>
  <c r="BB1362" i="11"/>
  <c r="BB275" i="11"/>
  <c r="BB1707" i="11"/>
  <c r="BB401" i="11"/>
  <c r="BB1065" i="11"/>
  <c r="BB2000" i="11"/>
  <c r="BB1166" i="11"/>
  <c r="BB1595" i="11"/>
  <c r="BB653" i="11"/>
  <c r="BB1033" i="11"/>
  <c r="BB671" i="11"/>
  <c r="BB739" i="11"/>
  <c r="BB1660" i="11"/>
  <c r="BB329" i="11"/>
  <c r="BB336" i="11"/>
  <c r="BB1547" i="11"/>
  <c r="BB504" i="11"/>
  <c r="BB813" i="11"/>
  <c r="BB1195" i="11"/>
  <c r="BB537" i="11"/>
  <c r="BB1300" i="11"/>
  <c r="BB1784" i="11"/>
  <c r="BB523" i="11"/>
  <c r="BB359" i="11"/>
  <c r="BB554" i="11"/>
  <c r="BB148" i="11"/>
  <c r="BB1105" i="11"/>
  <c r="BB769" i="11"/>
  <c r="BB499" i="11"/>
  <c r="BB156" i="11"/>
  <c r="BB422" i="11"/>
  <c r="BB916" i="11"/>
  <c r="BB2001" i="11"/>
  <c r="BB1160" i="11"/>
  <c r="BB358" i="11"/>
  <c r="BB253" i="11"/>
  <c r="BB31" i="11"/>
  <c r="BB1479" i="11"/>
  <c r="BB1953" i="11"/>
  <c r="BB17" i="11"/>
  <c r="BB1829" i="11"/>
  <c r="BB1476" i="11"/>
  <c r="BB16" i="11"/>
  <c r="BB824" i="11"/>
  <c r="BB1333" i="11"/>
  <c r="BB1498" i="11"/>
  <c r="BB1774" i="11"/>
  <c r="BB452" i="11"/>
  <c r="BB1064" i="11"/>
  <c r="BB1854" i="11"/>
  <c r="BB305" i="11"/>
  <c r="BB67" i="11"/>
  <c r="BB1196" i="11"/>
  <c r="BB118" i="11"/>
  <c r="BB381" i="11"/>
  <c r="BB339" i="11"/>
  <c r="BB357" i="11"/>
  <c r="BB159" i="11"/>
  <c r="BB844" i="11"/>
  <c r="BB1542" i="11"/>
  <c r="BB214" i="11"/>
  <c r="BB1394" i="11"/>
  <c r="BB495" i="11"/>
  <c r="BB1046" i="11"/>
  <c r="BB796" i="11"/>
  <c r="BB735" i="11"/>
  <c r="BB1878" i="11"/>
  <c r="BB496" i="11"/>
  <c r="BB793" i="11"/>
  <c r="BB223" i="11"/>
  <c r="BB1171" i="11"/>
  <c r="BB242" i="11"/>
  <c r="BB1384" i="11"/>
  <c r="BB1301" i="11"/>
  <c r="BB1197" i="11"/>
  <c r="BB936" i="11"/>
  <c r="BB272" i="11"/>
  <c r="BB1558" i="11"/>
  <c r="BB1116" i="11"/>
  <c r="BB34" i="11"/>
  <c r="BB138" i="11"/>
  <c r="BB1022" i="11"/>
  <c r="BB1655" i="11"/>
  <c r="BB294" i="11"/>
  <c r="BB29" i="11"/>
  <c r="BB1278" i="11"/>
  <c r="BB1143" i="11"/>
  <c r="BB1249" i="11"/>
  <c r="BB232" i="11"/>
  <c r="BB449" i="11"/>
  <c r="BB1503" i="11"/>
  <c r="BB1385" i="11"/>
  <c r="BB1013" i="11"/>
  <c r="BB966" i="11"/>
  <c r="BB778" i="11"/>
  <c r="BB531" i="11"/>
  <c r="BB702" i="11"/>
  <c r="BB805" i="11"/>
  <c r="BB1438" i="11"/>
  <c r="BB1263" i="11"/>
  <c r="BB78" i="11"/>
  <c r="BB1413" i="11"/>
  <c r="BB568" i="11"/>
  <c r="BB1265" i="11"/>
  <c r="BB1504" i="11"/>
  <c r="BB475" i="11"/>
  <c r="BB544" i="11"/>
  <c r="BB1760" i="11"/>
  <c r="BB1039" i="11"/>
  <c r="BB794" i="11"/>
  <c r="BB1750" i="11"/>
  <c r="BB166" i="11"/>
  <c r="BB185" i="11"/>
  <c r="BB74" i="11"/>
  <c r="BB1328" i="11"/>
  <c r="BB68" i="11"/>
  <c r="BB63" i="11"/>
  <c r="BB1732" i="11"/>
  <c r="BB955" i="11"/>
  <c r="BB1179" i="11"/>
  <c r="BB1183" i="11"/>
  <c r="BB1381" i="11"/>
  <c r="BB430" i="11"/>
  <c r="BB1392" i="11"/>
  <c r="BB609" i="11"/>
  <c r="BB287" i="11"/>
  <c r="BB789" i="11"/>
  <c r="BB1724" i="11"/>
  <c r="BB497" i="11"/>
  <c r="BB1364" i="11"/>
  <c r="BB119" i="11"/>
  <c r="BB717" i="11"/>
  <c r="BB1730" i="11"/>
  <c r="BB1224" i="11"/>
  <c r="BB1842" i="11"/>
  <c r="BB514" i="11"/>
  <c r="BB1726" i="11"/>
  <c r="BB1709" i="11"/>
  <c r="BB484" i="11"/>
  <c r="BB1264" i="11"/>
  <c r="BB1466" i="11"/>
  <c r="BB403" i="11"/>
  <c r="BB390" i="11"/>
  <c r="BB1933" i="11"/>
  <c r="BB594" i="11"/>
  <c r="BB121" i="11"/>
  <c r="BB1669" i="11"/>
  <c r="BB1104" i="11"/>
  <c r="BB540" i="11"/>
  <c r="BB1685" i="11"/>
  <c r="BB639" i="11"/>
  <c r="BB760" i="11"/>
  <c r="BB1474" i="11"/>
  <c r="BB1795" i="11"/>
  <c r="BB700" i="11"/>
  <c r="BB193" i="11"/>
  <c r="BB231" i="11"/>
  <c r="BB630" i="11"/>
  <c r="BB987" i="11"/>
  <c r="BB768" i="11"/>
  <c r="BB1279" i="11"/>
  <c r="BB343" i="11"/>
  <c r="BB1009" i="11"/>
  <c r="BB693" i="11"/>
  <c r="BB503" i="11"/>
  <c r="BB1592" i="11"/>
  <c r="BB696" i="11"/>
  <c r="BB301" i="11"/>
  <c r="BB1816" i="11"/>
  <c r="BB798" i="11"/>
  <c r="BB1449" i="11"/>
  <c r="BB1230" i="11"/>
  <c r="BB1721" i="11"/>
  <c r="BB1124" i="11"/>
  <c r="BB1055" i="11"/>
  <c r="BB654" i="11"/>
  <c r="BB1836" i="11"/>
  <c r="BB1108" i="11"/>
  <c r="BB604" i="11"/>
  <c r="BB1645" i="11"/>
  <c r="BB622" i="11"/>
  <c r="BB1879" i="11"/>
  <c r="BB1900"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182" i="11"/>
  <c r="AB182" i="11" s="1"/>
  <c r="BA1051" i="11"/>
  <c r="AB1051" i="11" s="1"/>
  <c r="BA1931" i="11"/>
  <c r="AB1931" i="11" s="1"/>
  <c r="BA1348" i="11"/>
  <c r="AB1348" i="11" s="1"/>
  <c r="BA1787" i="11"/>
  <c r="AB1787" i="11" s="1"/>
  <c r="AD1787" i="11" s="1" a="1"/>
  <c r="AD1787" i="11" s="1"/>
  <c r="AE1787" i="11" s="1"/>
  <c r="BA1359" i="11"/>
  <c r="AB1359" i="11" s="1"/>
  <c r="BA1053" i="11"/>
  <c r="AB1053" i="11" s="1"/>
  <c r="BA853" i="11"/>
  <c r="AB853" i="11" s="1"/>
  <c r="AD853" i="11" s="1" a="1"/>
  <c r="AD853" i="11" s="1"/>
  <c r="AE853" i="11" s="1"/>
  <c r="BA1300" i="11"/>
  <c r="AB1300" i="11" s="1"/>
  <c r="AA1300" i="11" s="1"/>
  <c r="BA1810" i="11"/>
  <c r="AB1810" i="11" s="1"/>
  <c r="BA22" i="11"/>
  <c r="AB22" i="11" s="1"/>
  <c r="BA18" i="11"/>
  <c r="AB18" i="11" s="1"/>
  <c r="BA1929" i="11"/>
  <c r="AB1929" i="11" s="1"/>
  <c r="BA841" i="11"/>
  <c r="AB841" i="11" s="1"/>
  <c r="BA779" i="11"/>
  <c r="AB779" i="11" s="1"/>
  <c r="BA41" i="11"/>
  <c r="AB41" i="11" s="1"/>
  <c r="BA330" i="11"/>
  <c r="AB330" i="11" s="1"/>
  <c r="AA330" i="11" s="1"/>
  <c r="BA1234" i="11"/>
  <c r="AB1234" i="11" s="1"/>
  <c r="BA1400" i="11"/>
  <c r="AB1400" i="11" s="1"/>
  <c r="BA729" i="11"/>
  <c r="AB729" i="11" s="1"/>
  <c r="AD729" i="11" s="1" a="1"/>
  <c r="AD729" i="11" s="1"/>
  <c r="AE729" i="11" s="1"/>
  <c r="BA310" i="11"/>
  <c r="AB310" i="11" s="1"/>
  <c r="BA514" i="11"/>
  <c r="AB514" i="11" s="1"/>
  <c r="BA525" i="11"/>
  <c r="AB525" i="11" s="1"/>
  <c r="BA1703" i="11"/>
  <c r="AB1703" i="11" s="1"/>
  <c r="BA510" i="11"/>
  <c r="AB510" i="11" s="1"/>
  <c r="BA474" i="11"/>
  <c r="AB474" i="11" s="1"/>
  <c r="BA440" i="11"/>
  <c r="AB440" i="11" s="1"/>
  <c r="BA713" i="11"/>
  <c r="AB713" i="11" s="1"/>
  <c r="BA1792" i="11"/>
  <c r="AB1792" i="11" s="1"/>
  <c r="BA688" i="11"/>
  <c r="AB688" i="11" s="1"/>
  <c r="BA378" i="11"/>
  <c r="AB378" i="11" s="1"/>
  <c r="AD378" i="11" s="1" a="1"/>
  <c r="AD378" i="11" s="1"/>
  <c r="AE378" i="11" s="1"/>
  <c r="BA1097" i="11"/>
  <c r="AB1097" i="11" s="1"/>
  <c r="BA1598" i="11"/>
  <c r="AB1598" i="11" s="1"/>
  <c r="BA1680" i="11"/>
  <c r="AB1680" i="11" s="1"/>
  <c r="BA617" i="11"/>
  <c r="AB617" i="11" s="1"/>
  <c r="BA59" i="11"/>
  <c r="AB59" i="11" s="1"/>
  <c r="BA552" i="11"/>
  <c r="AB552" i="11" s="1"/>
  <c r="BA94" i="11"/>
  <c r="AB94" i="11" s="1"/>
  <c r="BA1568" i="11"/>
  <c r="AB1568" i="11" s="1"/>
  <c r="BA1070" i="11"/>
  <c r="AB1070" i="11" s="1"/>
  <c r="BA87" i="11"/>
  <c r="AB87" i="11" s="1"/>
  <c r="BA896" i="11"/>
  <c r="AB896" i="11" s="1"/>
  <c r="BA477" i="11"/>
  <c r="AB477" i="11" s="1"/>
  <c r="BA1506" i="11"/>
  <c r="AB1506" i="11" s="1"/>
  <c r="AF1506" i="11" s="1" a="1"/>
  <c r="AF1506" i="11" s="1"/>
  <c r="BA1643" i="11"/>
  <c r="AB1643" i="11" s="1"/>
  <c r="BA1731" i="11"/>
  <c r="AB1731" i="11" s="1"/>
  <c r="BA1985" i="11"/>
  <c r="AB1985" i="11" s="1"/>
  <c r="BA1832" i="11"/>
  <c r="AB1832" i="11" s="1"/>
  <c r="AD1832" i="11" s="1" a="1"/>
  <c r="AD1832" i="11" s="1"/>
  <c r="AE1832" i="11" s="1"/>
  <c r="BA1621" i="11"/>
  <c r="AB1621" i="11" s="1"/>
  <c r="BA1137" i="11"/>
  <c r="AB1137" i="11" s="1"/>
  <c r="BA606" i="11"/>
  <c r="AB606" i="11" s="1"/>
  <c r="BA649" i="11"/>
  <c r="AB649" i="11" s="1"/>
  <c r="BA1678" i="11"/>
  <c r="AB1678" i="11" s="1"/>
  <c r="BA1943" i="11"/>
  <c r="AB1943" i="11" s="1"/>
  <c r="BA1483" i="11"/>
  <c r="AB1483" i="11" s="1"/>
  <c r="BA370" i="11"/>
  <c r="AB370" i="11" s="1"/>
  <c r="BA416" i="11"/>
  <c r="AB416" i="11" s="1"/>
  <c r="BA513" i="11"/>
  <c r="AB513" i="11" s="1"/>
  <c r="AF513" i="11" s="1" a="1"/>
  <c r="AF513" i="11" s="1"/>
  <c r="BA826" i="11"/>
  <c r="AB826" i="11" s="1"/>
  <c r="BA1130" i="11"/>
  <c r="AB1130" i="11" s="1"/>
  <c r="BA1770" i="11"/>
  <c r="AB1770" i="11" s="1"/>
  <c r="BA1378" i="11"/>
  <c r="AB1378" i="11" s="1"/>
  <c r="BA52" i="11"/>
  <c r="AB52" i="11" s="1"/>
  <c r="BA1068" i="11"/>
  <c r="AB1068" i="11" s="1"/>
  <c r="BA1814" i="11"/>
  <c r="AB1814" i="11" s="1"/>
  <c r="BA265" i="11"/>
  <c r="AB265" i="11" s="1"/>
  <c r="AF265" i="11" s="1" a="1"/>
  <c r="AF265" i="11" s="1"/>
  <c r="BA1755" i="11"/>
  <c r="AB1755" i="11" s="1"/>
  <c r="BA1263" i="11"/>
  <c r="AB1263" i="11" s="1"/>
  <c r="BA753" i="11"/>
  <c r="AB753" i="11" s="1"/>
  <c r="BA1199" i="11"/>
  <c r="AB1199" i="11" s="1"/>
  <c r="BA492" i="11"/>
  <c r="AB492" i="11" s="1"/>
  <c r="BA422" i="11"/>
  <c r="AB422" i="11" s="1"/>
  <c r="AD422" i="11" s="1" a="1"/>
  <c r="AD422" i="11" s="1"/>
  <c r="AE422" i="11" s="1"/>
  <c r="BA1548" i="11"/>
  <c r="AB1548" i="11" s="1"/>
  <c r="BA1050" i="11"/>
  <c r="AB1050" i="11" s="1"/>
  <c r="BA661" i="11"/>
  <c r="AB661" i="11" s="1"/>
  <c r="BA1273" i="11"/>
  <c r="AB1273" i="11" s="1"/>
  <c r="BA1451" i="11"/>
  <c r="AB1451" i="11" s="1"/>
  <c r="BA204" i="11"/>
  <c r="AB204" i="11" s="1"/>
  <c r="BA738" i="11"/>
  <c r="AB738" i="11" s="1"/>
  <c r="BA428" i="11"/>
  <c r="AB428" i="11" s="1"/>
  <c r="BA1986" i="11"/>
  <c r="AB1986" i="11" s="1"/>
  <c r="BA1303" i="11"/>
  <c r="AB1303" i="11" s="1"/>
  <c r="BA837" i="11"/>
  <c r="AB837" i="11" s="1"/>
  <c r="BA955" i="11"/>
  <c r="AB955" i="11" s="1"/>
  <c r="BA1690" i="11"/>
  <c r="AB1690" i="11" s="1"/>
  <c r="BA1938" i="11"/>
  <c r="AB1938" i="11" s="1"/>
  <c r="AF1938" i="11" s="1" a="1"/>
  <c r="AF1938" i="11" s="1"/>
  <c r="BA1813" i="11"/>
  <c r="AB1813" i="11" s="1"/>
  <c r="BA354" i="11"/>
  <c r="AB354" i="11" s="1"/>
  <c r="BA268" i="11"/>
  <c r="AB268" i="11" s="1"/>
  <c r="BA1547" i="11"/>
  <c r="AB1547" i="11" s="1"/>
  <c r="BA900" i="11"/>
  <c r="AB900" i="11" s="1"/>
  <c r="BA344" i="11"/>
  <c r="AB344" i="11" s="1"/>
  <c r="AF344" i="11" s="1" a="1"/>
  <c r="AF344" i="11" s="1"/>
  <c r="BA1116" i="11"/>
  <c r="AB1116" i="11" s="1"/>
  <c r="BA1623" i="11"/>
  <c r="AB1623" i="11" s="1"/>
  <c r="BA719" i="11"/>
  <c r="AB719" i="11" s="1"/>
  <c r="BA575" i="11"/>
  <c r="AB575" i="11" s="1"/>
  <c r="BA1434" i="11"/>
  <c r="AB1434" i="11" s="1"/>
  <c r="BA549" i="11"/>
  <c r="AB549" i="11" s="1"/>
  <c r="BA1518" i="11"/>
  <c r="AB1518" i="11" s="1"/>
  <c r="BA1047" i="11"/>
  <c r="AB1047" i="11" s="1"/>
  <c r="BA1066" i="11"/>
  <c r="AB1066" i="11" s="1"/>
  <c r="BA648" i="11"/>
  <c r="AB648" i="11" s="1"/>
  <c r="BA1880" i="11"/>
  <c r="AB1880" i="11" s="1"/>
  <c r="BA91" i="11"/>
  <c r="AB91" i="11" s="1"/>
  <c r="BA1385" i="11"/>
  <c r="AB1385" i="11" s="1"/>
  <c r="BA339" i="11"/>
  <c r="AB339" i="11" s="1"/>
  <c r="AD339" i="11" s="1" a="1"/>
  <c r="AD339" i="11" s="1"/>
  <c r="AE339" i="11" s="1"/>
  <c r="BA1200" i="11"/>
  <c r="AB1200" i="11" s="1"/>
  <c r="BA1262" i="11"/>
  <c r="AB1262" i="11" s="1"/>
  <c r="BA1188" i="11"/>
  <c r="AB1188" i="11" s="1"/>
  <c r="BA931" i="11"/>
  <c r="AB931" i="11" s="1"/>
  <c r="BA603" i="11"/>
  <c r="AB603" i="11" s="1"/>
  <c r="BA1763" i="11"/>
  <c r="AB1763" i="11" s="1"/>
  <c r="AD1763" i="11" s="1" a="1"/>
  <c r="AD1763" i="11" s="1"/>
  <c r="AE1763" i="11" s="1"/>
  <c r="BA883" i="11"/>
  <c r="AB883" i="11" s="1"/>
  <c r="BA2014" i="11"/>
  <c r="AB2014" i="11" s="1"/>
  <c r="BA1971" i="11"/>
  <c r="AB1971" i="11" s="1"/>
  <c r="BA435" i="11"/>
  <c r="AB435" i="11" s="1"/>
  <c r="BA1021" i="11"/>
  <c r="AB1021" i="11" s="1"/>
  <c r="BA1658" i="11"/>
  <c r="AB1658" i="11" s="1"/>
  <c r="BA307" i="11"/>
  <c r="AB307" i="11" s="1"/>
  <c r="BA1888" i="11"/>
  <c r="AB1888" i="11" s="1"/>
  <c r="BA520" i="11"/>
  <c r="AB520" i="11" s="1"/>
  <c r="BA1628" i="11"/>
  <c r="AB1628" i="11" s="1"/>
  <c r="BA1560" i="11"/>
  <c r="AB1560" i="11" s="1"/>
  <c r="BA797" i="11"/>
  <c r="AB797" i="11" s="1"/>
  <c r="BA325" i="11"/>
  <c r="AB325" i="11" s="1"/>
  <c r="BA1723" i="11"/>
  <c r="AB1723" i="11" s="1"/>
  <c r="BA1600" i="11"/>
  <c r="AB1600" i="11" s="1"/>
  <c r="BA1668" i="11"/>
  <c r="AB1668" i="11" s="1"/>
  <c r="BA847" i="11"/>
  <c r="AB847" i="11" s="1"/>
  <c r="BA1959" i="11"/>
  <c r="AB1959" i="11" s="1"/>
  <c r="BA1099" i="11"/>
  <c r="AB1099" i="11" s="1"/>
  <c r="BA175" i="11"/>
  <c r="AB175" i="11" s="1"/>
  <c r="BA898" i="11"/>
  <c r="AB898" i="11" s="1"/>
  <c r="BA421" i="11"/>
  <c r="AB421" i="11" s="1"/>
  <c r="BA1136" i="11"/>
  <c r="AB1136" i="11" s="1"/>
  <c r="BA910" i="11"/>
  <c r="AB910" i="11" s="1"/>
  <c r="BA654" i="11"/>
  <c r="AB654" i="11" s="1"/>
  <c r="BA223" i="11"/>
  <c r="AB223" i="11" s="1"/>
  <c r="BA1876" i="11"/>
  <c r="AB1876" i="11" s="1"/>
  <c r="BA1474" i="11"/>
  <c r="AB1474" i="11" s="1"/>
  <c r="BA600" i="11"/>
  <c r="AB600" i="11" s="1"/>
  <c r="BA453" i="11"/>
  <c r="AB453" i="11" s="1"/>
  <c r="BA1973" i="11"/>
  <c r="AB1973" i="11" s="1"/>
  <c r="BA601" i="11"/>
  <c r="AB601" i="11" s="1"/>
  <c r="BA879" i="11"/>
  <c r="AB879" i="11" s="1"/>
  <c r="BA1377" i="11"/>
  <c r="AB1377" i="11" s="1"/>
  <c r="AD1377" i="11" s="1" a="1"/>
  <c r="AD1377" i="11" s="1"/>
  <c r="AE1377" i="11" s="1"/>
  <c r="BA1920" i="11"/>
  <c r="AB1920" i="11" s="1"/>
  <c r="BA192" i="11"/>
  <c r="AB192" i="11" s="1"/>
  <c r="BA739" i="11"/>
  <c r="AB739" i="11" s="1"/>
  <c r="BA705" i="11"/>
  <c r="AB705" i="11" s="1"/>
  <c r="BA178" i="11"/>
  <c r="AB178" i="11" s="1"/>
  <c r="BA1295" i="11"/>
  <c r="AB1295" i="11" s="1"/>
  <c r="AD1295" i="11" s="1" a="1"/>
  <c r="AD1295" i="11" s="1"/>
  <c r="AE1295" i="11" s="1"/>
  <c r="BA1694" i="11"/>
  <c r="AB1694" i="11" s="1"/>
  <c r="BA2008" i="11"/>
  <c r="AB2008" i="11" s="1"/>
  <c r="BA401" i="11"/>
  <c r="AB401" i="11" s="1"/>
  <c r="BA1804" i="11"/>
  <c r="AB1804" i="11" s="1"/>
  <c r="BA115" i="11"/>
  <c r="AB115" i="11" s="1"/>
  <c r="BA459" i="11"/>
  <c r="AB459" i="11" s="1"/>
  <c r="BA1607" i="11"/>
  <c r="AB1607" i="11" s="1"/>
  <c r="BA1455" i="11"/>
  <c r="AB1455" i="11" s="1"/>
  <c r="BA886" i="11"/>
  <c r="AB886" i="11" s="1"/>
  <c r="BA101" i="11"/>
  <c r="AB101" i="11" s="1"/>
  <c r="BA1865" i="11"/>
  <c r="AB1865" i="11" s="1"/>
  <c r="BA511" i="11"/>
  <c r="AB511" i="11" s="1"/>
  <c r="BA1074" i="11" l="1"/>
  <c r="AB1074" i="11" s="1"/>
  <c r="AF1074" i="11" s="1" a="1"/>
  <c r="AF1074" i="11" s="1"/>
  <c r="BA839" i="11"/>
  <c r="AB839" i="11" s="1"/>
  <c r="BA1572" i="11"/>
  <c r="AB1572" i="11" s="1"/>
  <c r="BA1117" i="11"/>
  <c r="AB1117" i="11" s="1"/>
  <c r="BA504" i="11"/>
  <c r="AB504" i="11" s="1"/>
  <c r="AA504" i="11" s="1"/>
  <c r="BA1226" i="11"/>
  <c r="AB1226" i="11" s="1"/>
  <c r="BA1245" i="11"/>
  <c r="AB1245" i="11" s="1"/>
  <c r="BA991" i="11"/>
  <c r="AB991" i="11" s="1"/>
  <c r="BA2013" i="11"/>
  <c r="AB2013" i="11" s="1"/>
  <c r="BA1268" i="11"/>
  <c r="AB1268" i="11" s="1"/>
  <c r="AF1268" i="11" s="1" a="1"/>
  <c r="AF1268" i="11" s="1"/>
  <c r="BA1721" i="11"/>
  <c r="AB1721" i="11" s="1"/>
  <c r="AD1721" i="11" s="1" a="1"/>
  <c r="AD1721" i="11" s="1"/>
  <c r="AE1721" i="11" s="1"/>
  <c r="BA189" i="11"/>
  <c r="AB189" i="11" s="1"/>
  <c r="AD189" i="11" s="1" a="1"/>
  <c r="AD189" i="11" s="1"/>
  <c r="AE189" i="11" s="1"/>
  <c r="BA372" i="11"/>
  <c r="AB372" i="11" s="1"/>
  <c r="BA1131" i="11"/>
  <c r="AB1131" i="11" s="1"/>
  <c r="BA1109" i="11"/>
  <c r="AB1109" i="11" s="1"/>
  <c r="BA1957" i="11"/>
  <c r="AB1957" i="11" s="1"/>
  <c r="BA1165" i="11"/>
  <c r="AB1165" i="11" s="1"/>
  <c r="BA125" i="11"/>
  <c r="AB125" i="11" s="1"/>
  <c r="BA814" i="11"/>
  <c r="AB814" i="11" s="1"/>
  <c r="BA1936" i="11"/>
  <c r="AB1936" i="11" s="1"/>
  <c r="AF1936" i="11" s="1" a="1"/>
  <c r="AF1936" i="11" s="1"/>
  <c r="BA316" i="11"/>
  <c r="AB316" i="11" s="1"/>
  <c r="BA954" i="11"/>
  <c r="AB954" i="11" s="1"/>
  <c r="AF954" i="11" s="1" a="1"/>
  <c r="AF954" i="11" s="1"/>
  <c r="BA1964" i="11"/>
  <c r="AB1964" i="11" s="1"/>
  <c r="AA1964" i="11" s="1"/>
  <c r="BA1620" i="11"/>
  <c r="AB1620" i="11" s="1"/>
  <c r="AA1620" i="11" s="1"/>
  <c r="BA553" i="11"/>
  <c r="AB553" i="11" s="1"/>
  <c r="BA1193" i="11"/>
  <c r="AB1193" i="11" s="1"/>
  <c r="BA935" i="11"/>
  <c r="AB935" i="11" s="1"/>
  <c r="AD935" i="11" s="1" a="1"/>
  <c r="AD935" i="11" s="1"/>
  <c r="AE935" i="11" s="1"/>
  <c r="BA375" i="11"/>
  <c r="AB375" i="11" s="1"/>
  <c r="BA1419" i="11"/>
  <c r="AB1419" i="11" s="1"/>
  <c r="BA1635" i="11"/>
  <c r="AB1635" i="11" s="1"/>
  <c r="BA143" i="11"/>
  <c r="AB143" i="11" s="1"/>
  <c r="BA1146" i="11"/>
  <c r="AB1146" i="11" s="1"/>
  <c r="BA698" i="11"/>
  <c r="AB698" i="11" s="1"/>
  <c r="AD698" i="11" s="1" a="1"/>
  <c r="AD698" i="11" s="1"/>
  <c r="AE698" i="11" s="1"/>
  <c r="BA207" i="11"/>
  <c r="AB207" i="11" s="1"/>
  <c r="AD207" i="11" s="1" a="1"/>
  <c r="AD207" i="11" s="1"/>
  <c r="AE207" i="11" s="1"/>
  <c r="BA1516" i="11"/>
  <c r="AB1516" i="11" s="1"/>
  <c r="AA1516" i="11" s="1"/>
  <c r="BA1646" i="11"/>
  <c r="AB1646" i="11" s="1"/>
  <c r="AA1646" i="11" s="1"/>
  <c r="BA1699" i="11"/>
  <c r="AB1699" i="11" s="1"/>
  <c r="AF1699" i="11" s="1" a="1"/>
  <c r="AF1699" i="11" s="1"/>
  <c r="BA1885" i="11"/>
  <c r="AB1885" i="11" s="1"/>
  <c r="AF1885" i="11" s="1" a="1"/>
  <c r="AF1885" i="11" s="1"/>
  <c r="BA1734" i="11"/>
  <c r="AB1734" i="11" s="1"/>
  <c r="AA1734" i="11" s="1"/>
  <c r="BA25" i="11"/>
  <c r="AB25" i="11" s="1"/>
  <c r="BA1017" i="11"/>
  <c r="AB1017" i="11" s="1"/>
  <c r="BA685" i="11"/>
  <c r="AB685" i="11" s="1"/>
  <c r="BA1459" i="11"/>
  <c r="AB1459" i="11" s="1"/>
  <c r="AD1459" i="11" s="1" a="1"/>
  <c r="AD1459" i="11" s="1"/>
  <c r="AE1459" i="11" s="1"/>
  <c r="BA1126" i="11"/>
  <c r="AB1126" i="11" s="1"/>
  <c r="BA1702" i="11"/>
  <c r="AB1702" i="11" s="1"/>
  <c r="BA342" i="11"/>
  <c r="AB342" i="11" s="1"/>
  <c r="AA342" i="11" s="1"/>
  <c r="BA1811" i="11"/>
  <c r="AB1811" i="11" s="1"/>
  <c r="AF1811" i="11" s="1" a="1"/>
  <c r="AF1811" i="11" s="1"/>
  <c r="BA1381" i="11"/>
  <c r="AB1381" i="11" s="1"/>
  <c r="AA1381" i="11" s="1"/>
  <c r="BA1526" i="11"/>
  <c r="AB1526" i="11" s="1"/>
  <c r="BA614" i="11"/>
  <c r="AB614" i="11" s="1"/>
  <c r="BA1952" i="11"/>
  <c r="AB1952" i="11" s="1"/>
  <c r="BA1432" i="11"/>
  <c r="AB1432" i="11" s="1"/>
  <c r="BA461" i="11"/>
  <c r="AB461" i="11" s="1"/>
  <c r="BA1982" i="11"/>
  <c r="AB1982" i="11" s="1"/>
  <c r="BA1415" i="11"/>
  <c r="AB1415" i="11" s="1"/>
  <c r="BA1717" i="11"/>
  <c r="AB1717" i="11" s="1"/>
  <c r="BA1664" i="11"/>
  <c r="AB1664" i="11" s="1"/>
  <c r="BA1372" i="11"/>
  <c r="AB1372" i="11" s="1"/>
  <c r="AA1372" i="11" s="1"/>
  <c r="BA1565" i="11"/>
  <c r="AB1565" i="11" s="1"/>
  <c r="AA1565" i="11" s="1"/>
  <c r="BA1152" i="11"/>
  <c r="AB1152" i="11" s="1"/>
  <c r="AA1152" i="11" s="1"/>
  <c r="BA408" i="11"/>
  <c r="AB408" i="11" s="1"/>
  <c r="BA1346" i="11"/>
  <c r="AB1346" i="11" s="1"/>
  <c r="BA193" i="11"/>
  <c r="AB193" i="11" s="1"/>
  <c r="BA902" i="11"/>
  <c r="AB902" i="11" s="1"/>
  <c r="BA927" i="11"/>
  <c r="AB927" i="11" s="1"/>
  <c r="BA1187" i="11"/>
  <c r="AB1187" i="11" s="1"/>
  <c r="BA222" i="11"/>
  <c r="AB222" i="11" s="1"/>
  <c r="BA1688" i="11"/>
  <c r="AB1688" i="11" s="1"/>
  <c r="BA1543" i="11"/>
  <c r="AB1543" i="11" s="1"/>
  <c r="BA1697" i="11"/>
  <c r="AB1697" i="11" s="1"/>
  <c r="AD1697" i="11" s="1" a="1"/>
  <c r="AD1697" i="11" s="1"/>
  <c r="AE1697" i="11" s="1"/>
  <c r="BA773" i="11"/>
  <c r="AB773" i="11" s="1"/>
  <c r="AA773" i="11" s="1"/>
  <c r="BA1232" i="11"/>
  <c r="AB1232" i="11" s="1"/>
  <c r="AA1232" i="11" s="1"/>
  <c r="BA1307" i="11"/>
  <c r="AB1307" i="11" s="1"/>
  <c r="BA625" i="11"/>
  <c r="AB625" i="11" s="1"/>
  <c r="BA776" i="11"/>
  <c r="AB776" i="11" s="1"/>
  <c r="BA876" i="11"/>
  <c r="AB876" i="11" s="1"/>
  <c r="BA1418" i="11"/>
  <c r="AB1418" i="11" s="1"/>
  <c r="BA1091" i="11"/>
  <c r="AB1091" i="11" s="1"/>
  <c r="BA1154" i="11"/>
  <c r="AB1154" i="11" s="1"/>
  <c r="BA1930" i="11"/>
  <c r="AB1930" i="11" s="1"/>
  <c r="AD1930" i="11" s="1" a="1"/>
  <c r="AD1930" i="11" s="1"/>
  <c r="AE1930" i="11" s="1"/>
  <c r="BA1580" i="11"/>
  <c r="AB1580" i="11" s="1"/>
  <c r="BA727" i="11"/>
  <c r="AB727" i="11" s="1"/>
  <c r="AD727" i="11" s="1" a="1"/>
  <c r="AD727" i="11" s="1"/>
  <c r="AE727" i="11" s="1"/>
  <c r="BA450" i="11"/>
  <c r="AB450" i="11" s="1"/>
  <c r="AD450" i="11" s="1" a="1"/>
  <c r="AD450" i="11" s="1"/>
  <c r="AE450" i="11" s="1"/>
  <c r="BA618" i="11"/>
  <c r="AB618" i="11" s="1"/>
  <c r="AD618" i="11" s="1" a="1"/>
  <c r="AD618" i="11" s="1"/>
  <c r="AE618" i="11" s="1"/>
  <c r="BA1831" i="11"/>
  <c r="AB1831" i="11" s="1"/>
  <c r="BA1277" i="11"/>
  <c r="AB1277" i="11" s="1"/>
  <c r="AD1277" i="11" s="1" a="1"/>
  <c r="AD1277" i="11" s="1"/>
  <c r="AE1277" i="11" s="1"/>
  <c r="BA78" i="11"/>
  <c r="AB78" i="11" s="1"/>
  <c r="BA1042" i="11"/>
  <c r="AB1042" i="11" s="1"/>
  <c r="BA658" i="11"/>
  <c r="AB658" i="11" s="1"/>
  <c r="BA548" i="11"/>
  <c r="AB548" i="11" s="1"/>
  <c r="BA1758" i="11"/>
  <c r="AB1758" i="11" s="1"/>
  <c r="BA629" i="11"/>
  <c r="AB629" i="11" s="1"/>
  <c r="BA1968" i="11"/>
  <c r="AB1968" i="11" s="1"/>
  <c r="AA1968" i="11" s="1"/>
  <c r="BA804" i="11"/>
  <c r="AB804" i="11" s="1"/>
  <c r="AF804" i="11" s="1" a="1"/>
  <c r="AF804" i="11" s="1"/>
  <c r="BA1283" i="11"/>
  <c r="AB1283" i="11" s="1"/>
  <c r="AD1283" i="11" s="1" a="1"/>
  <c r="AD1283" i="11" s="1"/>
  <c r="AE1283" i="11" s="1"/>
  <c r="BA1812" i="11"/>
  <c r="AB1812" i="11" s="1"/>
  <c r="AA1812" i="11" s="1"/>
  <c r="BA68" i="11"/>
  <c r="AB68" i="11" s="1"/>
  <c r="BA1168" i="11"/>
  <c r="AB1168" i="11" s="1"/>
  <c r="BA1877" i="11"/>
  <c r="AB1877" i="11" s="1"/>
  <c r="AD1877" i="11" s="1" a="1"/>
  <c r="AD1877" i="11" s="1"/>
  <c r="AE1877" i="11" s="1"/>
  <c r="BA1121" i="11"/>
  <c r="AB1121" i="11" s="1"/>
  <c r="BA315" i="11"/>
  <c r="AB315" i="11" s="1"/>
  <c r="BA158" i="11"/>
  <c r="AB158" i="11" s="1"/>
  <c r="BA467" i="11"/>
  <c r="AB467" i="11" s="1"/>
  <c r="BA528" i="11"/>
  <c r="AB528" i="11" s="1"/>
  <c r="BA980" i="11"/>
  <c r="AB980" i="11" s="1"/>
  <c r="AF980" i="11" s="1" a="1"/>
  <c r="AF980" i="11" s="1"/>
  <c r="BA1025" i="11"/>
  <c r="AB1025" i="11" s="1"/>
  <c r="AD1025" i="11" s="1" a="1"/>
  <c r="AD1025" i="11" s="1"/>
  <c r="AE1025" i="11" s="1"/>
  <c r="BA468" i="11"/>
  <c r="AB468" i="11" s="1"/>
  <c r="AA468" i="11" s="1"/>
  <c r="BA1215" i="11"/>
  <c r="AB1215" i="11" s="1"/>
  <c r="AD1215" i="11" s="1" a="1"/>
  <c r="AD1215" i="11" s="1"/>
  <c r="AE1215" i="11" s="1"/>
  <c r="BA1128" i="11"/>
  <c r="AB1128" i="11" s="1"/>
  <c r="BA1250" i="11"/>
  <c r="AB1250" i="11" s="1"/>
  <c r="BA1218" i="11"/>
  <c r="AB1218" i="11" s="1"/>
  <c r="BA1745" i="11"/>
  <c r="AB1745" i="11" s="1"/>
  <c r="BA469" i="11"/>
  <c r="AB469" i="11" s="1"/>
  <c r="BA63" i="11"/>
  <c r="AB63" i="11" s="1"/>
  <c r="BA1513" i="11"/>
  <c r="AB1513" i="11" s="1"/>
  <c r="BA338" i="11"/>
  <c r="AB338" i="11" s="1"/>
  <c r="BA598" i="11"/>
  <c r="AB598" i="11" s="1"/>
  <c r="BA1588" i="11"/>
  <c r="AB1588" i="11" s="1"/>
  <c r="BA1785" i="11"/>
  <c r="AB1785" i="11" s="1"/>
  <c r="AF1785" i="11" s="1" a="1"/>
  <c r="AF1785" i="11" s="1"/>
  <c r="BA1517" i="11"/>
  <c r="AB1517" i="11" s="1"/>
  <c r="AD1517" i="11" s="1" a="1"/>
  <c r="AD1517" i="11" s="1"/>
  <c r="AE1517" i="11" s="1"/>
  <c r="BA722" i="11"/>
  <c r="AB722" i="11" s="1"/>
  <c r="BA1940" i="11"/>
  <c r="AB1940" i="11" s="1"/>
  <c r="BA88" i="11"/>
  <c r="AB88" i="11" s="1"/>
  <c r="BA596" i="11"/>
  <c r="AB596" i="11" s="1"/>
  <c r="BA1107" i="11"/>
  <c r="AB1107" i="11" s="1"/>
  <c r="BA1774" i="11"/>
  <c r="AB1774" i="11" s="1"/>
  <c r="BA136" i="11"/>
  <c r="AB136" i="11" s="1"/>
  <c r="BA1708" i="11"/>
  <c r="AB1708" i="11" s="1"/>
  <c r="BA1939" i="11"/>
  <c r="AB1939" i="11" s="1"/>
  <c r="BA1978" i="11"/>
  <c r="AB1978" i="11" s="1"/>
  <c r="AF1978" i="11" s="1" a="1"/>
  <c r="AF1978" i="11" s="1"/>
  <c r="BA808" i="11"/>
  <c r="AB808" i="11" s="1"/>
  <c r="AD808" i="11" s="1" a="1"/>
  <c r="AD808" i="11" s="1"/>
  <c r="AE808" i="11" s="1"/>
  <c r="BA426" i="11"/>
  <c r="AB426" i="11" s="1"/>
  <c r="AF426" i="11" s="1" a="1"/>
  <c r="AF426" i="11" s="1"/>
  <c r="BA1503" i="11"/>
  <c r="AB1503" i="11" s="1"/>
  <c r="BA351" i="11"/>
  <c r="AB351" i="11" s="1"/>
  <c r="BA1685" i="11"/>
  <c r="AB1685" i="11" s="1"/>
  <c r="BA383" i="11"/>
  <c r="AB383" i="11" s="1"/>
  <c r="BA895" i="11"/>
  <c r="AB895" i="11" s="1"/>
  <c r="BA1435" i="11"/>
  <c r="AB1435" i="11" s="1"/>
  <c r="BA391" i="11"/>
  <c r="AB391" i="11" s="1"/>
  <c r="BA1976" i="11"/>
  <c r="AB1976" i="11" s="1"/>
  <c r="BA220" i="11"/>
  <c r="AB220" i="11" s="1"/>
  <c r="BA225" i="11"/>
  <c r="AB225" i="11" s="1"/>
  <c r="AD225" i="11" s="1" a="1"/>
  <c r="AD225" i="11" s="1"/>
  <c r="AE225" i="11" s="1"/>
  <c r="BA1581" i="11"/>
  <c r="AB1581" i="11" s="1"/>
  <c r="AD1581" i="11" s="1" a="1"/>
  <c r="AD1581" i="11" s="1"/>
  <c r="AE1581" i="11" s="1"/>
  <c r="BA653" i="11"/>
  <c r="AB653" i="11" s="1"/>
  <c r="AF653" i="11" s="1" a="1"/>
  <c r="AF653" i="11" s="1"/>
  <c r="BA836" i="11"/>
  <c r="AB836" i="11" s="1"/>
  <c r="BA1578" i="11"/>
  <c r="AB1578" i="11" s="1"/>
  <c r="BA1180" i="11"/>
  <c r="AB1180" i="11" s="1"/>
  <c r="BA524" i="11"/>
  <c r="AB524" i="11" s="1"/>
  <c r="BA586" i="11"/>
  <c r="AB586" i="11" s="1"/>
  <c r="BA1084" i="11"/>
  <c r="AB1084" i="11" s="1"/>
  <c r="AF1084" i="11" s="1" a="1"/>
  <c r="AF1084" i="11" s="1"/>
  <c r="BA812" i="11"/>
  <c r="AB812" i="11" s="1"/>
  <c r="BA27" i="11"/>
  <c r="AB27" i="11" s="1"/>
  <c r="BA1360" i="11"/>
  <c r="AB1360" i="11" s="1"/>
  <c r="BA1709" i="11"/>
  <c r="AB1709" i="11" s="1"/>
  <c r="AF1709" i="11" s="1" a="1"/>
  <c r="AF1709" i="11" s="1"/>
  <c r="BA216" i="11"/>
  <c r="AB216" i="11" s="1"/>
  <c r="AF216" i="11" s="1" a="1"/>
  <c r="AF216" i="11" s="1"/>
  <c r="BA809" i="11"/>
  <c r="AB809" i="11" s="1"/>
  <c r="AD809" i="11" s="1" a="1"/>
  <c r="AD809" i="11" s="1"/>
  <c r="AE809" i="11" s="1"/>
  <c r="BA1039" i="11"/>
  <c r="AB1039" i="11" s="1"/>
  <c r="BA934" i="11"/>
  <c r="AB934" i="11" s="1"/>
  <c r="BA1862" i="11"/>
  <c r="AB1862" i="11" s="1"/>
  <c r="BA347" i="11"/>
  <c r="AB347" i="11" s="1"/>
  <c r="AD347" i="11" s="1" a="1"/>
  <c r="AD347" i="11" s="1"/>
  <c r="AE347" i="11" s="1"/>
  <c r="BA1945" i="11"/>
  <c r="AB1945" i="11" s="1"/>
  <c r="BA19" i="11"/>
  <c r="AB19" i="11" s="1"/>
  <c r="BA1450" i="11"/>
  <c r="AB1450" i="11" s="1"/>
  <c r="BA946" i="11"/>
  <c r="AB946" i="11" s="1"/>
  <c r="AA946" i="11" s="1"/>
  <c r="BA846" i="11"/>
  <c r="AB846" i="11" s="1"/>
  <c r="AF846" i="11" s="1" a="1"/>
  <c r="AF846" i="11" s="1"/>
  <c r="BA1124" i="11"/>
  <c r="AB1124" i="11" s="1"/>
  <c r="AA1124" i="11" s="1"/>
  <c r="BA542" i="11"/>
  <c r="AB542" i="11" s="1"/>
  <c r="AF542" i="11" s="1" a="1"/>
  <c r="AF542" i="11" s="1"/>
  <c r="BA1333" i="11"/>
  <c r="AB1333" i="11" s="1"/>
  <c r="AD1333" i="11" s="1" a="1"/>
  <c r="AD1333" i="11" s="1"/>
  <c r="AE1333" i="11" s="1"/>
  <c r="BA1158" i="11"/>
  <c r="AB1158" i="11" s="1"/>
  <c r="BA1900" i="11"/>
  <c r="AB1900" i="11" s="1"/>
  <c r="AF1900" i="11" s="1" a="1"/>
  <c r="AF1900" i="11" s="1"/>
  <c r="BA108" i="11"/>
  <c r="AB108" i="11" s="1"/>
  <c r="BA1437" i="11"/>
  <c r="AB1437" i="11" s="1"/>
  <c r="AF1437" i="11" s="1" a="1"/>
  <c r="AF1437" i="11" s="1"/>
  <c r="BA308" i="11"/>
  <c r="AB308" i="11" s="1"/>
  <c r="BA100" i="11"/>
  <c r="AB100" i="11" s="1"/>
  <c r="BA701" i="11"/>
  <c r="AB701" i="11" s="1"/>
  <c r="BA392" i="11"/>
  <c r="AB392" i="11" s="1"/>
  <c r="BA1222" i="11"/>
  <c r="AB1222" i="11" s="1"/>
  <c r="BA861" i="11"/>
  <c r="AB861" i="11" s="1"/>
  <c r="AA861" i="11" s="1"/>
  <c r="BA1781" i="11"/>
  <c r="AB1781" i="11" s="1"/>
  <c r="AD1781" i="11" s="1" a="1"/>
  <c r="AD1781" i="11" s="1"/>
  <c r="AE1781" i="11" s="1"/>
  <c r="BA199" i="11"/>
  <c r="AB199" i="11" s="1"/>
  <c r="AD199" i="11" s="1" a="1"/>
  <c r="AD199" i="11" s="1"/>
  <c r="AE199" i="11" s="1"/>
  <c r="BA1390" i="11"/>
  <c r="AB1390" i="11" s="1"/>
  <c r="BA1642" i="11"/>
  <c r="AB1642" i="11" s="1"/>
  <c r="BA1966" i="11"/>
  <c r="AB1966" i="11" s="1"/>
  <c r="BA613" i="11"/>
  <c r="AB613" i="11" s="1"/>
  <c r="BA1492" i="11"/>
  <c r="AB1492" i="11" s="1"/>
  <c r="AD1492" i="11" s="1" a="1"/>
  <c r="AD1492" i="11" s="1"/>
  <c r="AE1492" i="11" s="1"/>
  <c r="BA696" i="11"/>
  <c r="AB696" i="11" s="1"/>
  <c r="AD696" i="11" s="1" a="1"/>
  <c r="AD696" i="11" s="1"/>
  <c r="AE696" i="11" s="1"/>
  <c r="BA1798" i="11"/>
  <c r="AB1798" i="11" s="1"/>
  <c r="BA1993" i="11"/>
  <c r="AB1993" i="11" s="1"/>
  <c r="BA346" i="11"/>
  <c r="AB346" i="11" s="1"/>
  <c r="BA1744" i="11"/>
  <c r="AB1744" i="11" s="1"/>
  <c r="AA1744" i="11" s="1"/>
  <c r="BA1915" i="11"/>
  <c r="AB1915" i="11" s="1"/>
  <c r="AA1915" i="11" s="1"/>
  <c r="BA212" i="11"/>
  <c r="AB212" i="11" s="1"/>
  <c r="AF212" i="11" s="1" a="1"/>
  <c r="AF212" i="11" s="1"/>
  <c r="BA929" i="11"/>
  <c r="AB929" i="11" s="1"/>
  <c r="BA278" i="11"/>
  <c r="AB278" i="11" s="1"/>
  <c r="AD278" i="11" s="1" a="1"/>
  <c r="AD278" i="11" s="1"/>
  <c r="AE278" i="11" s="1"/>
  <c r="BA1486" i="11"/>
  <c r="AB1486" i="11" s="1"/>
  <c r="BA1411" i="11"/>
  <c r="AB1411" i="11" s="1"/>
  <c r="BA1338" i="11"/>
  <c r="AB1338" i="11" s="1"/>
  <c r="BA1006" i="11"/>
  <c r="AB1006" i="11" s="1"/>
  <c r="BA1949" i="11"/>
  <c r="AB1949" i="11" s="1"/>
  <c r="BA456" i="11"/>
  <c r="AB456" i="11" s="1"/>
  <c r="BA624" i="11"/>
  <c r="AB624" i="11" s="1"/>
  <c r="BA283" i="11"/>
  <c r="AB283" i="11" s="1"/>
  <c r="AD283" i="11" s="1" a="1"/>
  <c r="AD283" i="11" s="1"/>
  <c r="AE283" i="11" s="1"/>
  <c r="BA1496" i="11"/>
  <c r="AB1496" i="11" s="1"/>
  <c r="AA1496" i="11" s="1"/>
  <c r="BA1043" i="11"/>
  <c r="AB1043" i="11" s="1"/>
  <c r="AF1043" i="11" s="1" a="1"/>
  <c r="AF1043" i="11" s="1"/>
  <c r="BA117" i="11"/>
  <c r="AB117" i="11" s="1"/>
  <c r="BA1645" i="11"/>
  <c r="AB1645" i="11" s="1"/>
  <c r="BA825" i="11"/>
  <c r="AB825" i="11" s="1"/>
  <c r="BA999" i="11"/>
  <c r="AB999" i="11" s="1"/>
  <c r="BA1020" i="11"/>
  <c r="AB1020" i="11" s="1"/>
  <c r="AD1020" i="11" s="1" a="1"/>
  <c r="AD1020" i="11" s="1"/>
  <c r="AE1020" i="11" s="1"/>
  <c r="BA24" i="11"/>
  <c r="AB24" i="11" s="1"/>
  <c r="AF24" i="11" s="1" a="1"/>
  <c r="AF24" i="11" s="1"/>
  <c r="BA1994" i="11"/>
  <c r="AB1994" i="11" s="1"/>
  <c r="BA1387" i="11"/>
  <c r="AB1387" i="11" s="1"/>
  <c r="BA1328" i="11"/>
  <c r="AB1328" i="11" s="1"/>
  <c r="BA1102" i="11"/>
  <c r="AB1102" i="11" s="1"/>
  <c r="AA1102" i="11" s="1"/>
  <c r="BA166" i="11"/>
  <c r="AB166" i="11" s="1"/>
  <c r="AD166" i="11" s="1" a="1"/>
  <c r="AD166" i="11" s="1"/>
  <c r="AE166" i="11" s="1"/>
  <c r="BA202" i="11"/>
  <c r="AB202" i="11" s="1"/>
  <c r="AA202" i="11" s="1"/>
  <c r="BA1064" i="11"/>
  <c r="AB1064" i="11" s="1"/>
  <c r="BA1391" i="11"/>
  <c r="AB1391" i="11" s="1"/>
  <c r="AF1391" i="11" s="1" a="1"/>
  <c r="AF1391" i="11" s="1"/>
  <c r="BA295" i="11"/>
  <c r="AB295" i="11" s="1"/>
  <c r="AD295" i="11" s="1" a="1"/>
  <c r="AD295" i="11" s="1"/>
  <c r="AE295" i="11" s="1"/>
  <c r="BA794" i="11"/>
  <c r="AB794" i="11" s="1"/>
  <c r="BA1983" i="11"/>
  <c r="AB1983" i="11" s="1"/>
  <c r="BA194" i="11"/>
  <c r="AB194" i="11" s="1"/>
  <c r="BA163" i="11"/>
  <c r="AB163" i="11" s="1"/>
  <c r="BA844" i="11"/>
  <c r="AB844" i="11" s="1"/>
  <c r="BA1340" i="11"/>
  <c r="AB1340" i="11" s="1"/>
  <c r="BA747" i="11"/>
  <c r="AB747" i="11" s="1"/>
  <c r="AF747" i="11" s="1" a="1"/>
  <c r="AF747" i="11" s="1"/>
  <c r="BA133" i="11"/>
  <c r="AB133" i="11" s="1"/>
  <c r="AA133" i="11" s="1"/>
  <c r="BA982" i="11"/>
  <c r="AB982" i="11" s="1"/>
  <c r="AF982" i="11" s="1" a="1"/>
  <c r="AF982" i="11" s="1"/>
  <c r="BA1727" i="11"/>
  <c r="AB1727" i="11" s="1"/>
  <c r="BA732" i="11"/>
  <c r="AB732" i="11" s="1"/>
  <c r="BA562" i="11"/>
  <c r="AB562" i="11" s="1"/>
  <c r="AA562" i="11" s="1"/>
  <c r="BA134" i="11"/>
  <c r="AB134" i="11" s="1"/>
  <c r="BA464" i="11"/>
  <c r="AB464" i="11" s="1"/>
  <c r="BA198" i="11"/>
  <c r="AB198" i="11" s="1"/>
  <c r="BA1456" i="11"/>
  <c r="AB1456" i="11" s="1"/>
  <c r="BA1988" i="11"/>
  <c r="AB1988" i="11" s="1"/>
  <c r="BA1227" i="11"/>
  <c r="AB1227" i="11" s="1"/>
  <c r="BA1795" i="11"/>
  <c r="AB1795" i="11" s="1"/>
  <c r="AD1795" i="11" s="1" a="1"/>
  <c r="AD1795" i="11" s="1"/>
  <c r="AE1795" i="11" s="1"/>
  <c r="BA327" i="11"/>
  <c r="AB327" i="11" s="1"/>
  <c r="AD327" i="11" s="1" a="1"/>
  <c r="AD327" i="11" s="1"/>
  <c r="AE327" i="11" s="1"/>
  <c r="BA1590" i="11"/>
  <c r="AB1590" i="11" s="1"/>
  <c r="AA1590" i="11" s="1"/>
  <c r="BA806" i="11"/>
  <c r="AB806" i="11" s="1"/>
  <c r="BA420" i="11"/>
  <c r="AB420" i="11" s="1"/>
  <c r="BA1925" i="11"/>
  <c r="AB1925" i="11" s="1"/>
  <c r="BA1820" i="11"/>
  <c r="AB1820" i="11" s="1"/>
  <c r="BA951" i="11"/>
  <c r="AB951" i="11" s="1"/>
  <c r="BA949" i="11"/>
  <c r="AB949" i="11" s="1"/>
  <c r="BA1725" i="11"/>
  <c r="AB1725" i="11" s="1"/>
  <c r="BA1016" i="11"/>
  <c r="AB1016" i="11" s="1"/>
  <c r="BA1316" i="11"/>
  <c r="AB1316" i="11" s="1"/>
  <c r="BA1327" i="11"/>
  <c r="AB1327" i="11" s="1"/>
  <c r="AD1327" i="11" s="1" a="1"/>
  <c r="AD1327" i="11" s="1"/>
  <c r="AE1327" i="11" s="1"/>
  <c r="BA1634" i="11"/>
  <c r="AB1634" i="11" s="1"/>
  <c r="AF1634" i="11" s="1" a="1"/>
  <c r="AF1634" i="11" s="1"/>
  <c r="BA1140" i="11"/>
  <c r="AB1140" i="11" s="1"/>
  <c r="AA1140" i="11" s="1"/>
  <c r="BA438" i="11"/>
  <c r="AB438" i="11" s="1"/>
  <c r="BA154" i="11"/>
  <c r="AB154" i="11" s="1"/>
  <c r="BA1617" i="11"/>
  <c r="AB1617" i="11" s="1"/>
  <c r="BA1231" i="11"/>
  <c r="AB1231" i="11" s="1"/>
  <c r="BA445" i="11"/>
  <c r="AB445" i="11" s="1"/>
  <c r="BA870" i="11"/>
  <c r="AB870" i="11" s="1"/>
  <c r="BA1293" i="11"/>
  <c r="AB1293" i="11" s="1"/>
  <c r="BA1505" i="11"/>
  <c r="AB1505" i="11" s="1"/>
  <c r="BA42" i="11"/>
  <c r="AB42" i="11" s="1"/>
  <c r="AF42" i="11" s="1" a="1"/>
  <c r="AF42" i="11" s="1"/>
  <c r="BA1825" i="11"/>
  <c r="AB1825" i="11" s="1"/>
  <c r="AF1825" i="11" s="1" a="1"/>
  <c r="AF1825" i="11" s="1"/>
  <c r="BA1576" i="11"/>
  <c r="AB1576" i="11" s="1"/>
  <c r="AA1576" i="11" s="1"/>
  <c r="BA317" i="11"/>
  <c r="AB317" i="11" s="1"/>
  <c r="AF317" i="11" s="1" a="1"/>
  <c r="AF317" i="11" s="1"/>
  <c r="BA1783" i="11"/>
  <c r="AB1783" i="11" s="1"/>
  <c r="BA1395" i="11"/>
  <c r="AB1395" i="11" s="1"/>
  <c r="BA1089" i="11"/>
  <c r="AB1089" i="11" s="1"/>
  <c r="BA1577" i="11"/>
  <c r="AB1577" i="11" s="1"/>
  <c r="BA597" i="11"/>
  <c r="AB597" i="11" s="1"/>
  <c r="BA1739" i="11"/>
  <c r="AB1739" i="11" s="1"/>
  <c r="BA660" i="11"/>
  <c r="AB660" i="11" s="1"/>
  <c r="BA1693" i="11"/>
  <c r="AB1693" i="11" s="1"/>
  <c r="BA75" i="11"/>
  <c r="AB75" i="11" s="1"/>
  <c r="BA1481" i="11"/>
  <c r="AB1481" i="11" s="1"/>
  <c r="AD1481" i="11" s="1" a="1"/>
  <c r="AD1481" i="11" s="1"/>
  <c r="AE1481" i="11" s="1"/>
  <c r="BA845" i="11"/>
  <c r="AB845" i="11" s="1"/>
  <c r="AF845" i="11" s="1" a="1"/>
  <c r="AF845" i="11" s="1"/>
  <c r="BA485" i="11"/>
  <c r="AB485" i="11" s="1"/>
  <c r="AF485" i="11" s="1" a="1"/>
  <c r="AF485" i="11" s="1"/>
  <c r="BA1532" i="11"/>
  <c r="AB1532" i="11" s="1"/>
  <c r="BA748" i="11"/>
  <c r="AB748" i="11" s="1"/>
  <c r="BA402" i="11"/>
  <c r="AB402" i="11" s="1"/>
  <c r="BA1075" i="11"/>
  <c r="AB1075" i="11" s="1"/>
  <c r="BA530" i="11"/>
  <c r="AB530" i="11" s="1"/>
  <c r="BA557" i="11"/>
  <c r="AB557" i="11" s="1"/>
  <c r="BA817" i="11"/>
  <c r="AB817" i="11" s="1"/>
  <c r="BA642" i="11"/>
  <c r="AB642" i="11" s="1"/>
  <c r="AF642" i="11" s="1" a="1"/>
  <c r="AF642" i="11" s="1"/>
  <c r="BA863" i="11"/>
  <c r="AB863" i="11" s="1"/>
  <c r="AD863" i="11" s="1" a="1"/>
  <c r="AD863" i="11" s="1"/>
  <c r="AE863" i="11" s="1"/>
  <c r="BA1369" i="11"/>
  <c r="AB1369" i="11" s="1"/>
  <c r="AD1369" i="11" s="1" a="1"/>
  <c r="AD1369" i="11" s="1"/>
  <c r="AE1369" i="11" s="1"/>
  <c r="BA1556" i="11"/>
  <c r="AB1556" i="11" s="1"/>
  <c r="AA1556" i="11" s="1"/>
  <c r="BA1553" i="11"/>
  <c r="AB1553" i="11" s="1"/>
  <c r="AD1553" i="11" s="1" a="1"/>
  <c r="AD1553" i="11" s="1"/>
  <c r="AE1553" i="11" s="1"/>
  <c r="BA1801" i="11"/>
  <c r="AB1801" i="11" s="1"/>
  <c r="AD1801" i="11" s="1" a="1"/>
  <c r="AD1801" i="11" s="1"/>
  <c r="AE1801" i="11" s="1"/>
  <c r="BA1447" i="11"/>
  <c r="AB1447" i="11" s="1"/>
  <c r="BA1470" i="11"/>
  <c r="AB1470" i="11" s="1"/>
  <c r="BA512" i="11"/>
  <c r="AB512" i="11" s="1"/>
  <c r="BA880" i="11"/>
  <c r="AB880" i="11" s="1"/>
  <c r="BA1420" i="11"/>
  <c r="AB1420" i="11" s="1"/>
  <c r="BA1489" i="11"/>
  <c r="AB1489" i="11" s="1"/>
  <c r="BA252" i="11"/>
  <c r="AB252" i="11" s="1"/>
  <c r="BA1003" i="11"/>
  <c r="AB1003" i="11" s="1"/>
  <c r="BA395" i="11"/>
  <c r="AB395" i="11" s="1"/>
  <c r="AD395" i="11" s="1" a="1"/>
  <c r="AD395" i="11" s="1"/>
  <c r="AE395" i="11" s="1"/>
  <c r="BA447" i="11"/>
  <c r="AB447" i="11" s="1"/>
  <c r="AF447" i="11" s="1" a="1"/>
  <c r="AF447" i="11" s="1"/>
  <c r="BA1397" i="11"/>
  <c r="AB1397" i="11" s="1"/>
  <c r="AA1397" i="11" s="1"/>
  <c r="BA784" i="11"/>
  <c r="AB784" i="11" s="1"/>
  <c r="BA988" i="11"/>
  <c r="AB988" i="11" s="1"/>
  <c r="AF988" i="11" s="1" a="1"/>
  <c r="AF988" i="11" s="1"/>
  <c r="BA1094" i="11"/>
  <c r="AB1094" i="11" s="1"/>
  <c r="BA181" i="11"/>
  <c r="AB181" i="11" s="1"/>
  <c r="BA612" i="11"/>
  <c r="AB612" i="11" s="1"/>
  <c r="BA1113" i="11"/>
  <c r="AB1113" i="11" s="1"/>
  <c r="BA874" i="11"/>
  <c r="AB874" i="11" s="1"/>
  <c r="AF874" i="11" s="1" a="1"/>
  <c r="AF874" i="11" s="1"/>
  <c r="BA1917" i="11"/>
  <c r="AB1917" i="11" s="1"/>
  <c r="BA670" i="11"/>
  <c r="AB670" i="11" s="1"/>
  <c r="BA1139" i="11"/>
  <c r="AB1139" i="11" s="1"/>
  <c r="AA1139" i="11" s="1"/>
  <c r="BA1730" i="11"/>
  <c r="AB1730" i="11" s="1"/>
  <c r="AF1730" i="11" s="1" a="1"/>
  <c r="AF1730" i="11" s="1"/>
  <c r="BA824" i="11"/>
  <c r="AB824" i="11" s="1"/>
  <c r="AF824" i="11" s="1" a="1"/>
  <c r="AF824" i="11" s="1"/>
  <c r="BA1738" i="11"/>
  <c r="AB1738" i="11" s="1"/>
  <c r="BA970" i="11"/>
  <c r="AB970" i="11" s="1"/>
  <c r="BA620" i="11"/>
  <c r="AB620" i="11" s="1"/>
  <c r="BA594" i="11"/>
  <c r="AB594" i="11" s="1"/>
  <c r="BA1176" i="11"/>
  <c r="AB1176" i="11" s="1"/>
  <c r="BA213" i="11"/>
  <c r="AB213" i="11" s="1"/>
  <c r="AA213" i="11" s="1"/>
  <c r="BA767" i="11"/>
  <c r="AB767" i="11" s="1"/>
  <c r="BA1445" i="11"/>
  <c r="AB1445" i="11" s="1"/>
  <c r="BA1001" i="11"/>
  <c r="AB1001" i="11" s="1"/>
  <c r="AD1001" i="11" s="1" a="1"/>
  <c r="AD1001" i="11" s="1"/>
  <c r="AE1001" i="11" s="1"/>
  <c r="BA89" i="11"/>
  <c r="AB89" i="11" s="1"/>
  <c r="AA89" i="11" s="1"/>
  <c r="BA909" i="11"/>
  <c r="AB909" i="11" s="1"/>
  <c r="AF909" i="11" s="1" a="1"/>
  <c r="AF909" i="11" s="1"/>
  <c r="BA1090" i="11"/>
  <c r="AB1090" i="11" s="1"/>
  <c r="AA1090" i="11" s="1"/>
  <c r="BA1259" i="11"/>
  <c r="AB1259" i="11" s="1"/>
  <c r="BA1860" i="11"/>
  <c r="AB1860" i="11" s="1"/>
  <c r="BA1803" i="11"/>
  <c r="AB1803" i="11" s="1"/>
  <c r="BA1024" i="11"/>
  <c r="AB1024" i="11" s="1"/>
  <c r="BA205" i="11"/>
  <c r="AB205" i="11" s="1"/>
  <c r="AA205" i="11" s="1"/>
  <c r="BA1323" i="11"/>
  <c r="AB1323" i="11" s="1"/>
  <c r="BA631" i="11"/>
  <c r="AB631" i="11" s="1"/>
  <c r="BA860" i="11"/>
  <c r="AB860" i="11" s="1"/>
  <c r="BA1423" i="11"/>
  <c r="AB1423" i="11" s="1"/>
  <c r="BA256" i="11"/>
  <c r="AB256" i="11" s="1"/>
  <c r="AA256" i="11" s="1"/>
  <c r="BA758" i="11"/>
  <c r="AB758" i="11" s="1"/>
  <c r="AA758" i="11" s="1"/>
  <c r="BA1055" i="11"/>
  <c r="AB1055" i="11" s="1"/>
  <c r="AA1055" i="11" s="1"/>
  <c r="BA1848" i="11"/>
  <c r="AB1848" i="11" s="1"/>
  <c r="BA229" i="11"/>
  <c r="AB229" i="11" s="1"/>
  <c r="BA1104" i="11"/>
  <c r="AB1104" i="11" s="1"/>
  <c r="BA417" i="11"/>
  <c r="AB417" i="11" s="1"/>
  <c r="BA679" i="11"/>
  <c r="AB679" i="11" s="1"/>
  <c r="BA720" i="11"/>
  <c r="AB720" i="11" s="1"/>
  <c r="BA488" i="11"/>
  <c r="AB488" i="11" s="1"/>
  <c r="BA487" i="11"/>
  <c r="AB487" i="11" s="1"/>
  <c r="BA1270" i="11"/>
  <c r="AB1270" i="11" s="1"/>
  <c r="BA921" i="11"/>
  <c r="AB921" i="11" s="1"/>
  <c r="AA921" i="11" s="1"/>
  <c r="BA1769" i="11"/>
  <c r="AB1769" i="11" s="1"/>
  <c r="AD1769" i="11" s="1" a="1"/>
  <c r="AD1769" i="11" s="1"/>
  <c r="AE1769" i="11" s="1"/>
  <c r="BA1719" i="11"/>
  <c r="AB1719" i="11" s="1"/>
  <c r="AD1719" i="11" s="1" a="1"/>
  <c r="AD1719" i="11" s="1"/>
  <c r="AE1719" i="11" s="1"/>
  <c r="BA1296" i="11"/>
  <c r="AB1296" i="11" s="1"/>
  <c r="BA72" i="11"/>
  <c r="AB72" i="11" s="1"/>
  <c r="BA881" i="11"/>
  <c r="AB881" i="11" s="1"/>
  <c r="BA782" i="11"/>
  <c r="AB782" i="11" s="1"/>
  <c r="BA1204" i="11"/>
  <c r="AB1204" i="11" s="1"/>
  <c r="BA917" i="11"/>
  <c r="AB917" i="11" s="1"/>
  <c r="BA976" i="11"/>
  <c r="AB976" i="11" s="1"/>
  <c r="BA168" i="11"/>
  <c r="AB168" i="11" s="1"/>
  <c r="BA1839" i="11"/>
  <c r="AB1839" i="11" s="1"/>
  <c r="BA306" i="11"/>
  <c r="AB306" i="11" s="1"/>
  <c r="AA306" i="11" s="1"/>
  <c r="BA1692" i="11"/>
  <c r="AB1692" i="11" s="1"/>
  <c r="AF1692" i="11" s="1" a="1"/>
  <c r="AF1692" i="11" s="1"/>
  <c r="BA1120" i="11"/>
  <c r="AB1120" i="11" s="1"/>
  <c r="AD1120" i="11" s="1" a="1"/>
  <c r="AD1120" i="11" s="1"/>
  <c r="AE1120" i="11" s="1"/>
  <c r="BA925" i="11"/>
  <c r="AB925" i="11" s="1"/>
  <c r="BA31" i="11"/>
  <c r="AB31" i="11" s="1"/>
  <c r="BA98" i="11"/>
  <c r="AB98" i="11" s="1"/>
  <c r="BA889" i="11"/>
  <c r="AB889" i="11" s="1"/>
  <c r="BA341" i="11"/>
  <c r="AB341" i="11" s="1"/>
  <c r="BA537" i="11"/>
  <c r="AB537" i="11" s="1"/>
  <c r="BA730" i="11"/>
  <c r="AB730" i="11" s="1"/>
  <c r="BA1524" i="11"/>
  <c r="AB1524" i="11" s="1"/>
  <c r="BA1402" i="11"/>
  <c r="AB1402" i="11" s="1"/>
  <c r="BA1041" i="11"/>
  <c r="AB1041" i="11" s="1"/>
  <c r="AD1041" i="11" s="1" a="1"/>
  <c r="AD1041" i="11" s="1"/>
  <c r="AE1041" i="11" s="1"/>
  <c r="BA1760" i="11"/>
  <c r="AB1760" i="11" s="1"/>
  <c r="AA1760" i="11" s="1"/>
  <c r="BA769" i="11"/>
  <c r="AB769" i="11" s="1"/>
  <c r="AA769" i="11" s="1"/>
  <c r="BA1054" i="11"/>
  <c r="AB1054" i="11" s="1"/>
  <c r="BA1286" i="11"/>
  <c r="AB1286" i="11" s="1"/>
  <c r="BA786" i="11"/>
  <c r="AB786" i="11" s="1"/>
  <c r="BA733" i="11"/>
  <c r="AB733" i="11" s="1"/>
  <c r="AF733" i="11" s="1" a="1"/>
  <c r="AF733" i="11" s="1"/>
  <c r="BA314" i="11"/>
  <c r="AB314" i="11" s="1"/>
  <c r="BA1166" i="11"/>
  <c r="AB1166" i="11" s="1"/>
  <c r="BA1288" i="11"/>
  <c r="AB1288" i="11" s="1"/>
  <c r="BA1482" i="11"/>
  <c r="AB1482" i="11" s="1"/>
  <c r="BA255" i="11"/>
  <c r="AB255" i="11" s="1"/>
  <c r="AD255" i="11" s="1" a="1"/>
  <c r="AD255" i="11" s="1"/>
  <c r="AE255" i="11" s="1"/>
  <c r="BA1894" i="11"/>
  <c r="AB1894" i="11" s="1"/>
  <c r="AA1894" i="11" s="1"/>
  <c r="BA360" i="11"/>
  <c r="AB360" i="11" s="1"/>
  <c r="AA360" i="11" s="1"/>
  <c r="BA1566" i="11"/>
  <c r="AB1566" i="11" s="1"/>
  <c r="AF1566" i="11" s="1" a="1"/>
  <c r="AF1566" i="11" s="1"/>
  <c r="BA1208" i="11"/>
  <c r="AB1208" i="11" s="1"/>
  <c r="AA1208" i="11" s="1"/>
  <c r="BA81" i="11"/>
  <c r="AB81" i="11" s="1"/>
  <c r="BA1261" i="11"/>
  <c r="AB1261" i="11" s="1"/>
  <c r="BA37" i="11"/>
  <c r="AB37" i="11" s="1"/>
  <c r="AF37" i="11" s="1" a="1"/>
  <c r="AF37" i="11" s="1"/>
  <c r="BA1045" i="11"/>
  <c r="AB1045" i="11" s="1"/>
  <c r="BA1077" i="11"/>
  <c r="AB1077" i="11" s="1"/>
  <c r="BA1142" i="11"/>
  <c r="AB1142" i="11" s="1"/>
  <c r="AD1142" i="11" s="1" a="1"/>
  <c r="AD1142" i="11" s="1"/>
  <c r="AE1142" i="11" s="1"/>
  <c r="BA1975" i="11"/>
  <c r="AB1975" i="11" s="1"/>
  <c r="BA926" i="11"/>
  <c r="AB926" i="11" s="1"/>
  <c r="BA1663" i="11"/>
  <c r="AB1663" i="11" s="1"/>
  <c r="AF1663" i="11" s="1" a="1"/>
  <c r="AF1663" i="11" s="1"/>
  <c r="BA1384" i="11"/>
  <c r="AB1384" i="11" s="1"/>
  <c r="AA1384" i="11" s="1"/>
  <c r="BA1429" i="11"/>
  <c r="AB1429" i="11" s="1"/>
  <c r="AA1429" i="11" s="1"/>
  <c r="BA1230" i="11"/>
  <c r="AB1230" i="11" s="1"/>
  <c r="AF1230" i="11" s="1" a="1"/>
  <c r="AF1230" i="11" s="1"/>
  <c r="BA1991" i="11"/>
  <c r="AB1991" i="11" s="1"/>
  <c r="AA1991" i="11" s="1"/>
  <c r="BA50" i="11"/>
  <c r="AB50" i="11" s="1"/>
  <c r="AA50" i="11" s="1"/>
  <c r="BA823" i="11"/>
  <c r="AB823" i="11" s="1"/>
  <c r="AD823" i="11" s="1" a="1"/>
  <c r="AD823" i="11" s="1"/>
  <c r="AE823" i="11" s="1"/>
  <c r="BA1417" i="11"/>
  <c r="AB1417" i="11" s="1"/>
  <c r="BA269" i="11"/>
  <c r="AB269" i="11" s="1"/>
  <c r="AF269" i="11" s="1" a="1"/>
  <c r="AF269" i="11" s="1"/>
  <c r="BA1255" i="11"/>
  <c r="AB1255" i="11" s="1"/>
  <c r="AA1255" i="11" s="1"/>
  <c r="BA1858" i="11"/>
  <c r="AB1858" i="11" s="1"/>
  <c r="BA1656" i="11"/>
  <c r="AB1656" i="11" s="1"/>
  <c r="AD1656" i="11" s="1" a="1"/>
  <c r="AD1656" i="11" s="1"/>
  <c r="AE1656" i="11" s="1"/>
  <c r="BA228" i="11"/>
  <c r="AB228" i="11" s="1"/>
  <c r="AF228" i="11" s="1" a="1"/>
  <c r="AF228" i="11" s="1"/>
  <c r="BA1918" i="11"/>
  <c r="AB1918" i="11" s="1"/>
  <c r="AF1918" i="11" s="1" a="1"/>
  <c r="AF1918" i="11" s="1"/>
  <c r="BA132" i="11"/>
  <c r="AB132" i="11" s="1"/>
  <c r="AD132" i="11" s="1" a="1"/>
  <c r="AD132" i="11" s="1"/>
  <c r="AE132" i="11" s="1"/>
  <c r="BA211" i="11"/>
  <c r="AB211" i="11" s="1"/>
  <c r="AA211" i="11" s="1"/>
  <c r="BA1926" i="11"/>
  <c r="AB1926" i="11" s="1"/>
  <c r="AF1926" i="11" s="1" a="1"/>
  <c r="AF1926" i="11" s="1"/>
  <c r="BA1453" i="11"/>
  <c r="AB1453" i="11" s="1"/>
  <c r="AF1453" i="11" s="1" a="1"/>
  <c r="AF1453" i="11" s="1"/>
  <c r="BA155" i="11"/>
  <c r="AB155" i="11" s="1"/>
  <c r="AA155" i="11" s="1"/>
  <c r="BA497" i="11"/>
  <c r="AB497" i="11" s="1"/>
  <c r="BA967" i="11"/>
  <c r="AB967" i="11" s="1"/>
  <c r="AD967" i="11" s="1" a="1"/>
  <c r="AD967" i="11" s="1"/>
  <c r="AE967" i="11" s="1"/>
  <c r="BA1373" i="11"/>
  <c r="AB1373" i="11" s="1"/>
  <c r="AF1373" i="11" s="1" a="1"/>
  <c r="AF1373" i="11" s="1"/>
  <c r="BA39" i="11"/>
  <c r="AB39" i="11" s="1"/>
  <c r="BA1822" i="11"/>
  <c r="AB1822" i="11" s="1"/>
  <c r="BA1426" i="11"/>
  <c r="AB1426" i="11" s="1"/>
  <c r="AF1426" i="11" s="1" a="1"/>
  <c r="AF1426" i="11" s="1"/>
  <c r="BA460" i="11"/>
  <c r="AB460" i="11" s="1"/>
  <c r="AF460" i="11" s="1" a="1"/>
  <c r="AF460" i="11" s="1"/>
  <c r="BA1599" i="11"/>
  <c r="AB1599" i="11" s="1"/>
  <c r="AA1599" i="11" s="1"/>
  <c r="BA55" i="11"/>
  <c r="AB55" i="11" s="1"/>
  <c r="AA55" i="11" s="1"/>
  <c r="BA691" i="11"/>
  <c r="AB691" i="11" s="1"/>
  <c r="AF691" i="11" s="1" a="1"/>
  <c r="AF691" i="11" s="1"/>
  <c r="BA919" i="11"/>
  <c r="AB919" i="11" s="1"/>
  <c r="AF919" i="11" s="1" a="1"/>
  <c r="AF919" i="11" s="1"/>
  <c r="BA49" i="11"/>
  <c r="AB49" i="11" s="1"/>
  <c r="AD49" i="11" s="1" a="1"/>
  <c r="AD49" i="11" s="1"/>
  <c r="AE49" i="11" s="1"/>
  <c r="BA788" i="11"/>
  <c r="AB788" i="11" s="1"/>
  <c r="BA427" i="11"/>
  <c r="AB427" i="11" s="1"/>
  <c r="AD427" i="11" s="1" a="1"/>
  <c r="AD427" i="11" s="1"/>
  <c r="AE427" i="11" s="1"/>
  <c r="BA1177" i="11"/>
  <c r="AB1177" i="11" s="1"/>
  <c r="BA664" i="11"/>
  <c r="AB664" i="11" s="1"/>
  <c r="BA1641" i="11"/>
  <c r="AB1641" i="11" s="1"/>
  <c r="BA214" i="11"/>
  <c r="AB214" i="11" s="1"/>
  <c r="AF214" i="11" s="1" a="1"/>
  <c r="AF214" i="11" s="1"/>
  <c r="BA815" i="11"/>
  <c r="AB815" i="11" s="1"/>
  <c r="AF815" i="11" s="1" a="1"/>
  <c r="AF815" i="11" s="1"/>
  <c r="BA1840" i="11"/>
  <c r="AB1840" i="11" s="1"/>
  <c r="AF1840" i="11" s="1" a="1"/>
  <c r="AF1840" i="11" s="1"/>
  <c r="BA490" i="11"/>
  <c r="AB490" i="11" s="1"/>
  <c r="AD490" i="11" s="1" a="1"/>
  <c r="AD490" i="11" s="1"/>
  <c r="AE490" i="11" s="1"/>
  <c r="BA1790" i="11"/>
  <c r="AB1790" i="11" s="1"/>
  <c r="AF1790" i="11" s="1" a="1"/>
  <c r="AF1790" i="11" s="1"/>
  <c r="BA891" i="11"/>
  <c r="AB891" i="11" s="1"/>
  <c r="AD891" i="11" s="1" a="1"/>
  <c r="AD891" i="11" s="1"/>
  <c r="AE891" i="11" s="1"/>
  <c r="BA1463" i="11"/>
  <c r="AB1463" i="11" s="1"/>
  <c r="BA737" i="11"/>
  <c r="AB737" i="11" s="1"/>
  <c r="AA737" i="11" s="1"/>
  <c r="BA835" i="11"/>
  <c r="AB835" i="11" s="1"/>
  <c r="AD835" i="11" s="1" a="1"/>
  <c r="AD835" i="11" s="1"/>
  <c r="AE835" i="11" s="1"/>
  <c r="BA531" i="11"/>
  <c r="AB531" i="11" s="1"/>
  <c r="BA1030" i="11"/>
  <c r="AB1030" i="11" s="1"/>
  <c r="AD1030" i="11" s="1" a="1"/>
  <c r="AD1030" i="11" s="1"/>
  <c r="AE1030" i="11" s="1"/>
  <c r="BA1639" i="11"/>
  <c r="AB1639" i="11" s="1"/>
  <c r="AA1639" i="11" s="1"/>
  <c r="BA1511" i="11"/>
  <c r="AB1511" i="11" s="1"/>
  <c r="AD1511" i="11" s="1" a="1"/>
  <c r="AD1511" i="11" s="1"/>
  <c r="AE1511" i="11" s="1"/>
  <c r="BA142" i="11"/>
  <c r="AB142" i="11" s="1"/>
  <c r="AF142" i="11" s="1" a="1"/>
  <c r="AF142" i="11" s="1"/>
  <c r="BA593" i="11"/>
  <c r="AB593" i="11" s="1"/>
  <c r="AA593" i="11" s="1"/>
  <c r="BA1014" i="11"/>
  <c r="AB1014" i="11" s="1"/>
  <c r="AA1014" i="11" s="1"/>
  <c r="BA1624" i="11"/>
  <c r="AB1624" i="11" s="1"/>
  <c r="AF1624" i="11" s="1" a="1"/>
  <c r="AF1624" i="11" s="1"/>
  <c r="BA332" i="11"/>
  <c r="AB332" i="11" s="1"/>
  <c r="AA332" i="11" s="1"/>
  <c r="BA1659" i="11"/>
  <c r="AB1659" i="11" s="1"/>
  <c r="BA695" i="11"/>
  <c r="AB695" i="11" s="1"/>
  <c r="AF695" i="11" s="1" a="1"/>
  <c r="AF695" i="11" s="1"/>
  <c r="BA1564" i="11"/>
  <c r="AB1564" i="11" s="1"/>
  <c r="BA1037" i="11"/>
  <c r="AB1037" i="11" s="1"/>
  <c r="BA1106" i="11"/>
  <c r="AB1106" i="11" s="1"/>
  <c r="AA1106" i="11" s="1"/>
  <c r="BA1724" i="11"/>
  <c r="AB1724" i="11" s="1"/>
  <c r="AF1724" i="11" s="1" a="1"/>
  <c r="AF1724" i="11" s="1"/>
  <c r="BA1726" i="11"/>
  <c r="AB1726" i="11" s="1"/>
  <c r="AD1726" i="11" s="1" a="1"/>
  <c r="AD1726" i="11" s="1"/>
  <c r="AE1726" i="11" s="1"/>
  <c r="BA1297" i="11"/>
  <c r="AB1297" i="11" s="1"/>
  <c r="AD1297" i="11" s="1" a="1"/>
  <c r="AD1297" i="11" s="1"/>
  <c r="AE1297" i="11" s="1"/>
  <c r="BA731" i="11"/>
  <c r="AB731" i="11" s="1"/>
  <c r="AD731" i="11" s="1" a="1"/>
  <c r="AD731" i="11" s="1"/>
  <c r="AE731" i="11" s="1"/>
  <c r="BA1771" i="11"/>
  <c r="AB1771" i="11" s="1"/>
  <c r="AD1771" i="11" s="1" a="1"/>
  <c r="AD1771" i="11" s="1"/>
  <c r="AE1771" i="11" s="1"/>
  <c r="BA1334" i="11"/>
  <c r="AB1334" i="11" s="1"/>
  <c r="AF1334" i="11" s="1" a="1"/>
  <c r="AF1334" i="11" s="1"/>
  <c r="BA274" i="11"/>
  <c r="AB274" i="11" s="1"/>
  <c r="AF274" i="11" s="1" a="1"/>
  <c r="AF274" i="11" s="1"/>
  <c r="BA1682" i="11"/>
  <c r="AB1682" i="11" s="1"/>
  <c r="AD1682" i="11" s="1" a="1"/>
  <c r="AD1682" i="11" s="1"/>
  <c r="AE1682" i="11" s="1"/>
  <c r="BA1842" i="11"/>
  <c r="AB1842" i="11" s="1"/>
  <c r="AD1842" i="11" s="1" a="1"/>
  <c r="AD1842" i="11" s="1"/>
  <c r="AE1842" i="11" s="1"/>
  <c r="BA201" i="11"/>
  <c r="AB201" i="11" s="1"/>
  <c r="AD201" i="11" s="1" a="1"/>
  <c r="AD201" i="11" s="1"/>
  <c r="AE201" i="11" s="1"/>
  <c r="BA388" i="11"/>
  <c r="AB388" i="11" s="1"/>
  <c r="AD388" i="11" s="1" a="1"/>
  <c r="AD388" i="11" s="1"/>
  <c r="AE388" i="11" s="1"/>
  <c r="BA536" i="11"/>
  <c r="AB536" i="11" s="1"/>
  <c r="AF536" i="11" s="1" a="1"/>
  <c r="AF536" i="11" s="1"/>
  <c r="BA271" i="11"/>
  <c r="AB271" i="11" s="1"/>
  <c r="AA271" i="11" s="1"/>
  <c r="BA321" i="11"/>
  <c r="AB321" i="11" s="1"/>
  <c r="AA321" i="11" s="1"/>
  <c r="BA1604" i="11"/>
  <c r="AB1604" i="11" s="1"/>
  <c r="AA1604" i="11" s="1"/>
  <c r="BA668" i="11"/>
  <c r="AB668" i="11" s="1"/>
  <c r="AA668" i="11" s="1"/>
  <c r="BA1932" i="11"/>
  <c r="AB1932" i="11" s="1"/>
  <c r="AA1932" i="11" s="1"/>
  <c r="BA390" i="11"/>
  <c r="AB390" i="11" s="1"/>
  <c r="AD390" i="11" s="1" a="1"/>
  <c r="AD390" i="11" s="1"/>
  <c r="AE390" i="11" s="1"/>
  <c r="BA48" i="11"/>
  <c r="AB48" i="11" s="1"/>
  <c r="AA48" i="11" s="1"/>
  <c r="BA1881" i="11"/>
  <c r="AB1881" i="11" s="1"/>
  <c r="BA1905" i="11"/>
  <c r="AB1905" i="11" s="1"/>
  <c r="AF1905" i="11" s="1" a="1"/>
  <c r="AF1905" i="11" s="1"/>
  <c r="BA973" i="11"/>
  <c r="AB973" i="11" s="1"/>
  <c r="AD973" i="11" s="1" a="1"/>
  <c r="AD973" i="11" s="1"/>
  <c r="AE973" i="11" s="1"/>
  <c r="BA857" i="11"/>
  <c r="AB857" i="11" s="1"/>
  <c r="BA61" i="11"/>
  <c r="AB61" i="11" s="1"/>
  <c r="AD61" i="11" s="1" a="1"/>
  <c r="AD61" i="11" s="1"/>
  <c r="AE61" i="11" s="1"/>
  <c r="BA1891" i="11"/>
  <c r="AB1891" i="11" s="1"/>
  <c r="AA1891" i="11" s="1"/>
  <c r="BA584" i="11"/>
  <c r="AB584" i="11" s="1"/>
  <c r="AA584" i="11" s="1"/>
  <c r="BA246" i="11"/>
  <c r="AB246" i="11" s="1"/>
  <c r="AD246" i="11" s="1" a="1"/>
  <c r="AD246" i="11" s="1"/>
  <c r="AE246" i="11" s="1"/>
  <c r="BA1960" i="11"/>
  <c r="AB1960" i="11" s="1"/>
  <c r="AD1960" i="11" s="1" a="1"/>
  <c r="AD1960" i="11" s="1"/>
  <c r="AE1960" i="11" s="1"/>
  <c r="BA489" i="11"/>
  <c r="AB489" i="11" s="1"/>
  <c r="AA489" i="11" s="1"/>
  <c r="BA129" i="11"/>
  <c r="AB129" i="11" s="1"/>
  <c r="AD129" i="11" s="1" a="1"/>
  <c r="AD129" i="11" s="1"/>
  <c r="AE129" i="11" s="1"/>
  <c r="BA1388" i="11"/>
  <c r="AB1388" i="11" s="1"/>
  <c r="AA1388" i="11" s="1"/>
  <c r="BA1209" i="11"/>
  <c r="AB1209" i="11" s="1"/>
  <c r="AF1209" i="11" s="1" a="1"/>
  <c r="AF1209" i="11" s="1"/>
  <c r="BA1667" i="11"/>
  <c r="AB1667" i="11" s="1"/>
  <c r="AD1667" i="11" s="1" a="1"/>
  <c r="AD1667" i="11" s="1"/>
  <c r="AE1667" i="11" s="1"/>
  <c r="BA1151" i="11"/>
  <c r="AB1151" i="11" s="1"/>
  <c r="AD1151" i="11" s="1" a="1"/>
  <c r="AD1151" i="11" s="1"/>
  <c r="AE1151" i="11" s="1"/>
  <c r="BA752" i="11"/>
  <c r="AB752" i="11" s="1"/>
  <c r="BA147" i="11"/>
  <c r="AB147" i="11" s="1"/>
  <c r="AF147" i="11" s="1" a="1"/>
  <c r="AF147" i="11" s="1"/>
  <c r="BA398" i="11"/>
  <c r="AB398" i="11" s="1"/>
  <c r="AF398" i="11" s="1" a="1"/>
  <c r="AF398" i="11" s="1"/>
  <c r="BA1332" i="11"/>
  <c r="AB1332" i="11" s="1"/>
  <c r="AF1332" i="11" s="1" a="1"/>
  <c r="AF1332" i="11" s="1"/>
  <c r="BA1389" i="11"/>
  <c r="AB1389" i="11" s="1"/>
  <c r="AA1389" i="11" s="1"/>
  <c r="BA610" i="11"/>
  <c r="AB610" i="11" s="1"/>
  <c r="AA610" i="11" s="1"/>
  <c r="BA772" i="11"/>
  <c r="AB772" i="11" s="1"/>
  <c r="AD772" i="11" s="1" a="1"/>
  <c r="AD772" i="11" s="1"/>
  <c r="AE772" i="11" s="1"/>
  <c r="BA1253" i="11"/>
  <c r="AB1253" i="11" s="1"/>
  <c r="AF1253" i="11" s="1" a="1"/>
  <c r="AF1253" i="11" s="1"/>
  <c r="BA1748" i="11"/>
  <c r="AB1748" i="11" s="1"/>
  <c r="AF1748" i="11" s="1" a="1"/>
  <c r="AF1748" i="11" s="1"/>
  <c r="BA297" i="11"/>
  <c r="AB297" i="11" s="1"/>
  <c r="AD297" i="11" s="1" a="1"/>
  <c r="AD297" i="11" s="1"/>
  <c r="AE297" i="11" s="1"/>
  <c r="BA77" i="11"/>
  <c r="AB77" i="11" s="1"/>
  <c r="AA77" i="11" s="1"/>
  <c r="BA1870" i="11"/>
  <c r="AB1870" i="11" s="1"/>
  <c r="AD1870" i="11" s="1" a="1"/>
  <c r="AD1870" i="11" s="1"/>
  <c r="AE1870" i="11" s="1"/>
  <c r="BA1443" i="11"/>
  <c r="AB1443" i="11" s="1"/>
  <c r="BA820" i="11"/>
  <c r="AB820" i="11" s="1"/>
  <c r="AF820" i="11" s="1" a="1"/>
  <c r="AF820" i="11" s="1"/>
  <c r="BA1504" i="11"/>
  <c r="AB1504" i="11" s="1"/>
  <c r="AF1504" i="11" s="1" a="1"/>
  <c r="AF1504" i="11" s="1"/>
  <c r="BA1382" i="11"/>
  <c r="AB1382" i="11" s="1"/>
  <c r="AF1382" i="11" s="1" a="1"/>
  <c r="AF1382" i="11" s="1"/>
  <c r="BA1851" i="11"/>
  <c r="AB1851" i="11" s="1"/>
  <c r="AA1851" i="11" s="1"/>
  <c r="BA1465" i="11"/>
  <c r="AB1465" i="11" s="1"/>
  <c r="AD1465" i="11" s="1" a="1"/>
  <c r="AD1465" i="11" s="1"/>
  <c r="AE1465" i="11" s="1"/>
  <c r="BA790" i="11"/>
  <c r="AB790" i="11" s="1"/>
  <c r="AF790" i="11" s="1" a="1"/>
  <c r="AF790" i="11" s="1"/>
  <c r="BA774" i="11"/>
  <c r="AB774" i="11" s="1"/>
  <c r="AD774" i="11" s="1" a="1"/>
  <c r="AD774" i="11" s="1"/>
  <c r="AE774" i="11" s="1"/>
  <c r="BA940" i="11"/>
  <c r="AB940" i="11" s="1"/>
  <c r="AD940" i="11" s="1" a="1"/>
  <c r="AD940" i="11" s="1"/>
  <c r="AE940" i="11" s="1"/>
  <c r="BA1857" i="11"/>
  <c r="AB1857" i="11" s="1"/>
  <c r="BA483" i="11"/>
  <c r="AB483" i="11" s="1"/>
  <c r="AF483" i="11" s="1" a="1"/>
  <c r="AF483" i="11" s="1"/>
  <c r="BA1135" i="11"/>
  <c r="AB1135" i="11" s="1"/>
  <c r="AD1135" i="11" s="1" a="1"/>
  <c r="AD1135" i="11" s="1"/>
  <c r="AE1135" i="11" s="1"/>
  <c r="BA1167" i="11"/>
  <c r="AB1167" i="11" s="1"/>
  <c r="BA785" i="11"/>
  <c r="AB785" i="11" s="1"/>
  <c r="BA829" i="11"/>
  <c r="AB829" i="11" s="1"/>
  <c r="AD829" i="11" s="1" a="1"/>
  <c r="AD829" i="11" s="1"/>
  <c r="AE829" i="11" s="1"/>
  <c r="BA602" i="11"/>
  <c r="AB602" i="11" s="1"/>
  <c r="AA602" i="11" s="1"/>
  <c r="BA1308" i="11"/>
  <c r="AB1308" i="11" s="1"/>
  <c r="AF1308" i="11" s="1" a="1"/>
  <c r="AF1308" i="11" s="1"/>
  <c r="BA369" i="11"/>
  <c r="AB369" i="11" s="1"/>
  <c r="AD369" i="11" s="1" a="1"/>
  <c r="AD369" i="11" s="1"/>
  <c r="AE369" i="11" s="1"/>
  <c r="BA1650" i="11"/>
  <c r="AB1650" i="11" s="1"/>
  <c r="AF1650" i="11" s="1" a="1"/>
  <c r="AF1650" i="11" s="1"/>
  <c r="BA866" i="11"/>
  <c r="AB866" i="11" s="1"/>
  <c r="AA866" i="11" s="1"/>
  <c r="BA534" i="11"/>
  <c r="AB534" i="11" s="1"/>
  <c r="AA534" i="11" s="1"/>
  <c r="BA801" i="11"/>
  <c r="AB801" i="11" s="1"/>
  <c r="BA1741" i="11"/>
  <c r="AB1741" i="11" s="1"/>
  <c r="AF1741" i="11" s="1" a="1"/>
  <c r="AF1741" i="11" s="1"/>
  <c r="BA1780" i="11"/>
  <c r="AB1780" i="11" s="1"/>
  <c r="BA1246" i="11"/>
  <c r="AB1246" i="11" s="1"/>
  <c r="BA904" i="11"/>
  <c r="AB904" i="11" s="1"/>
  <c r="BA1815" i="11"/>
  <c r="AB1815" i="11" s="1"/>
  <c r="AD1815" i="11" s="1" a="1"/>
  <c r="AD1815" i="11" s="1"/>
  <c r="AE1815" i="11" s="1"/>
  <c r="BA655" i="11"/>
  <c r="AB655" i="11" s="1"/>
  <c r="AD655" i="11" s="1" a="1"/>
  <c r="AD655" i="11" s="1"/>
  <c r="AE655" i="11" s="1"/>
  <c r="BA1211" i="11"/>
  <c r="AB1211" i="11" s="1"/>
  <c r="AA1211" i="11" s="1"/>
  <c r="BA356" i="11"/>
  <c r="AB356" i="11" s="1"/>
  <c r="AA356" i="11" s="1"/>
  <c r="BA1782" i="11"/>
  <c r="AB1782" i="11" s="1"/>
  <c r="AD1782" i="11" s="1" a="1"/>
  <c r="AD1782" i="11" s="1"/>
  <c r="AE1782" i="11" s="1"/>
  <c r="BA1144" i="11"/>
  <c r="AB1144" i="11" s="1"/>
  <c r="AA1144" i="11" s="1"/>
  <c r="BA507" i="11"/>
  <c r="AB507" i="11" s="1"/>
  <c r="AF507" i="11" s="1" a="1"/>
  <c r="AF507" i="11" s="1"/>
  <c r="BA431" i="11"/>
  <c r="AB431" i="11" s="1"/>
  <c r="BA451" i="11"/>
  <c r="AB451" i="11" s="1"/>
  <c r="AD451" i="11" s="1" a="1"/>
  <c r="AD451" i="11" s="1"/>
  <c r="AE451" i="11" s="1"/>
  <c r="BA275" i="11"/>
  <c r="AB275" i="11" s="1"/>
  <c r="AF275" i="11" s="1" a="1"/>
  <c r="AF275" i="11" s="1"/>
  <c r="BA1652" i="11"/>
  <c r="AB1652" i="11" s="1"/>
  <c r="BA62" i="11"/>
  <c r="AB62" i="11" s="1"/>
  <c r="BA350" i="11"/>
  <c r="AB350" i="11" s="1"/>
  <c r="AF350" i="11" s="1" a="1"/>
  <c r="AF350" i="11" s="1"/>
  <c r="BA80" i="11"/>
  <c r="AB80" i="11" s="1"/>
  <c r="AF80" i="11" s="1" a="1"/>
  <c r="AF80" i="11" s="1"/>
  <c r="BA1622" i="11"/>
  <c r="AB1622" i="11" s="1"/>
  <c r="AA1622" i="11" s="1"/>
  <c r="BA1559" i="11"/>
  <c r="AB1559" i="11" s="1"/>
  <c r="AA1559" i="11" s="1"/>
  <c r="BA1530" i="11"/>
  <c r="AB1530" i="11" s="1"/>
  <c r="AD1530" i="11" s="1" a="1"/>
  <c r="AD1530" i="11" s="1"/>
  <c r="AE1530" i="11" s="1"/>
  <c r="BA106" i="11"/>
  <c r="AB106" i="11" s="1"/>
  <c r="AD106" i="11" s="1" a="1"/>
  <c r="AD106" i="11" s="1"/>
  <c r="AE106" i="11" s="1"/>
  <c r="BA1765" i="11"/>
  <c r="AB1765" i="11" s="1"/>
  <c r="AA1765" i="11" s="1"/>
  <c r="BA247" i="11"/>
  <c r="AB247" i="11" s="1"/>
  <c r="BA746" i="11"/>
  <c r="AB746" i="11" s="1"/>
  <c r="AD746" i="11" s="1" a="1"/>
  <c r="AD746" i="11" s="1"/>
  <c r="AE746" i="11" s="1"/>
  <c r="BA1830" i="11"/>
  <c r="AB1830" i="11" s="1"/>
  <c r="AA1830" i="11" s="1"/>
  <c r="BA1220" i="11"/>
  <c r="AB1220" i="11" s="1"/>
  <c r="BA1186" i="11"/>
  <c r="AB1186" i="11" s="1"/>
  <c r="AD1186" i="11" s="1" a="1"/>
  <c r="AD1186" i="11" s="1"/>
  <c r="AE1186" i="11" s="1"/>
  <c r="BA1835" i="11"/>
  <c r="AB1835" i="11" s="1"/>
  <c r="AF1835" i="11" s="1" a="1"/>
  <c r="AF1835" i="11" s="1"/>
  <c r="BA1944" i="11"/>
  <c r="AB1944" i="11" s="1"/>
  <c r="AD1944" i="11" s="1" a="1"/>
  <c r="AD1944" i="11" s="1"/>
  <c r="AE1944" i="11" s="1"/>
  <c r="BA1258" i="11"/>
  <c r="AB1258" i="11" s="1"/>
  <c r="AF1258" i="11" s="1" a="1"/>
  <c r="AF1258" i="11" s="1"/>
  <c r="BA1589" i="11"/>
  <c r="AB1589" i="11" s="1"/>
  <c r="AF1589" i="11" s="1" a="1"/>
  <c r="AF1589" i="11" s="1"/>
  <c r="BA196" i="11"/>
  <c r="AB196" i="11" s="1"/>
  <c r="AA196" i="11" s="1"/>
  <c r="BA1575" i="11"/>
  <c r="AB1575" i="11" s="1"/>
  <c r="AD1575" i="11" s="1" a="1"/>
  <c r="AD1575" i="11" s="1"/>
  <c r="AE1575" i="11" s="1"/>
  <c r="BA1824" i="11"/>
  <c r="AB1824" i="11" s="1"/>
  <c r="AF1824" i="11" s="1" a="1"/>
  <c r="AF1824" i="11" s="1"/>
  <c r="BA941" i="11"/>
  <c r="AB941" i="11" s="1"/>
  <c r="AD941" i="11" s="1" a="1"/>
  <c r="AD941" i="11" s="1"/>
  <c r="AE941" i="11" s="1"/>
  <c r="BA944" i="11"/>
  <c r="AB944" i="11" s="1"/>
  <c r="AF944" i="11" s="1" a="1"/>
  <c r="AF944" i="11" s="1"/>
  <c r="BA21" i="11"/>
  <c r="AB21" i="11" s="1"/>
  <c r="AD21" i="11" s="1" a="1"/>
  <c r="AD21" i="11" s="1"/>
  <c r="AE21" i="11" s="1"/>
  <c r="BA551" i="11"/>
  <c r="AB551" i="11" s="1"/>
  <c r="AA551" i="11" s="1"/>
  <c r="BA1523" i="11"/>
  <c r="AB1523" i="11" s="1"/>
  <c r="AD1523" i="11" s="1" a="1"/>
  <c r="AD1523" i="11" s="1"/>
  <c r="AE1523" i="11" s="1"/>
  <c r="BA1510" i="11"/>
  <c r="AB1510" i="11" s="1"/>
  <c r="AD1510" i="11" s="1" a="1"/>
  <c r="AD1510" i="11" s="1"/>
  <c r="AE1510" i="11" s="1"/>
  <c r="BA608" i="11"/>
  <c r="AB608" i="11" s="1"/>
  <c r="AF608" i="11" s="1" a="1"/>
  <c r="AF608" i="11" s="1"/>
  <c r="BA248" i="11"/>
  <c r="AB248" i="11" s="1"/>
  <c r="AA248" i="11" s="1"/>
  <c r="BA1594" i="11"/>
  <c r="AB1594" i="11" s="1"/>
  <c r="AD1594" i="11" s="1" a="1"/>
  <c r="AD1594" i="11" s="1"/>
  <c r="AE1594" i="11" s="1"/>
  <c r="BA2000" i="11"/>
  <c r="AB2000" i="11" s="1"/>
  <c r="AA2000" i="11" s="1"/>
  <c r="BA186" i="11"/>
  <c r="AB186" i="11" s="1"/>
  <c r="AA186" i="11" s="1"/>
  <c r="BA361" i="11"/>
  <c r="AB361" i="11" s="1"/>
  <c r="BA1698" i="11"/>
  <c r="AB1698" i="11" s="1"/>
  <c r="AA1698" i="11" s="1"/>
  <c r="BA1695" i="11"/>
  <c r="AB1695" i="11" s="1"/>
  <c r="AF1695" i="11" s="1" a="1"/>
  <c r="AF1695" i="11" s="1"/>
  <c r="BA807" i="11"/>
  <c r="AB807" i="11" s="1"/>
  <c r="AF807" i="11" s="1" a="1"/>
  <c r="AF807" i="11" s="1"/>
  <c r="BA986" i="11"/>
  <c r="AB986" i="11" s="1"/>
  <c r="AF986" i="11" s="1" a="1"/>
  <c r="AF986" i="11" s="1"/>
  <c r="BA662" i="11"/>
  <c r="AB662" i="11" s="1"/>
  <c r="AA662" i="11" s="1"/>
  <c r="BA1767" i="11"/>
  <c r="AB1767" i="11" s="1"/>
  <c r="AD1767" i="11" s="1" a="1"/>
  <c r="AD1767" i="11" s="1"/>
  <c r="AE1767" i="11" s="1"/>
  <c r="BA1028" i="11"/>
  <c r="AB1028" i="11" s="1"/>
  <c r="AF1028" i="11" s="1" a="1"/>
  <c r="AF1028" i="11" s="1"/>
  <c r="BA644" i="11"/>
  <c r="AB644" i="11" s="1"/>
  <c r="AA644" i="11" s="1"/>
  <c r="BA1164" i="11"/>
  <c r="AB1164" i="11" s="1"/>
  <c r="AF1164" i="11" s="1" a="1"/>
  <c r="AF1164" i="11" s="1"/>
  <c r="BA1706" i="11"/>
  <c r="AB1706" i="11" s="1"/>
  <c r="AF1706" i="11" s="1" a="1"/>
  <c r="AF1706" i="11" s="1"/>
  <c r="BA479" i="11"/>
  <c r="AB479" i="11" s="1"/>
  <c r="AF479" i="11" s="1" a="1"/>
  <c r="AF479" i="11" s="1"/>
  <c r="BA961" i="11"/>
  <c r="AB961" i="11" s="1"/>
  <c r="BA755" i="11"/>
  <c r="AB755" i="11" s="1"/>
  <c r="AF755" i="11" s="1" a="1"/>
  <c r="AF755" i="11" s="1"/>
  <c r="BA1478" i="11"/>
  <c r="AB1478" i="11" s="1"/>
  <c r="AA1478" i="11" s="1"/>
  <c r="BA473" i="11"/>
  <c r="AB473" i="11" s="1"/>
  <c r="AF473" i="11" s="1" a="1"/>
  <c r="AF473" i="11" s="1"/>
  <c r="BA538" i="11"/>
  <c r="AB538" i="11" s="1"/>
  <c r="AA538" i="11" s="1"/>
  <c r="BA419" i="11"/>
  <c r="AB419" i="11" s="1"/>
  <c r="AD419" i="11" s="1" a="1"/>
  <c r="AD419" i="11" s="1"/>
  <c r="AE419" i="11" s="1"/>
  <c r="BA1196" i="11"/>
  <c r="AB1196" i="11" s="1"/>
  <c r="AF1196" i="11" s="1" a="1"/>
  <c r="AF1196" i="11" s="1"/>
  <c r="BA950" i="11"/>
  <c r="AB950" i="11" s="1"/>
  <c r="AD950" i="11" s="1" a="1"/>
  <c r="AD950" i="11" s="1"/>
  <c r="AE950" i="11" s="1"/>
  <c r="BA651" i="11"/>
  <c r="AB651" i="11" s="1"/>
  <c r="AF651" i="11" s="1" a="1"/>
  <c r="AF651" i="11" s="1"/>
  <c r="BA979" i="11"/>
  <c r="AB979" i="11" s="1"/>
  <c r="AA979" i="11" s="1"/>
  <c r="BA251" i="11"/>
  <c r="AB251" i="11" s="1"/>
  <c r="AD251" i="11" s="1" a="1"/>
  <c r="AD251" i="11" s="1"/>
  <c r="AE251" i="11" s="1"/>
  <c r="BA1950" i="11"/>
  <c r="AB1950" i="11" s="1"/>
  <c r="AF1950" i="11" s="1" a="1"/>
  <c r="AF1950" i="11" s="1"/>
  <c r="BA885" i="11"/>
  <c r="AB885" i="11" s="1"/>
  <c r="BA1912" i="11"/>
  <c r="AB1912" i="11" s="1"/>
  <c r="AD1912" i="11" s="1" a="1"/>
  <c r="AD1912" i="11" s="1"/>
  <c r="AE1912" i="11" s="1"/>
  <c r="BA480" i="11"/>
  <c r="AB480" i="11" s="1"/>
  <c r="AA480" i="11" s="1"/>
  <c r="BA1802" i="11"/>
  <c r="AB1802" i="11" s="1"/>
  <c r="AF1802" i="11" s="1" a="1"/>
  <c r="AF1802" i="11" s="1"/>
  <c r="BA1082" i="11"/>
  <c r="AB1082" i="11" s="1"/>
  <c r="AD1082" i="11" s="1" a="1"/>
  <c r="AD1082" i="11" s="1"/>
  <c r="AE1082" i="11" s="1"/>
  <c r="BA1408" i="11"/>
  <c r="AB1408" i="11" s="1"/>
  <c r="AD1408" i="11" s="1" a="1"/>
  <c r="AD1408" i="11" s="1"/>
  <c r="AE1408" i="11" s="1"/>
  <c r="BA164" i="11"/>
  <c r="AB164" i="11" s="1"/>
  <c r="AD164" i="11" s="1" a="1"/>
  <c r="AD164" i="11" s="1"/>
  <c r="AE164" i="11" s="1"/>
  <c r="BA1358" i="11"/>
  <c r="AB1358" i="11" s="1"/>
  <c r="AD1358" i="11" s="1" a="1"/>
  <c r="AD1358" i="11" s="1"/>
  <c r="AE1358" i="11" s="1"/>
  <c r="BA1343" i="11"/>
  <c r="AB1343" i="11" s="1"/>
  <c r="AA1343" i="11" s="1"/>
  <c r="BA1436" i="11"/>
  <c r="AB1436" i="11" s="1"/>
  <c r="AA1436" i="11" s="1"/>
  <c r="BA1008" i="11"/>
  <c r="AB1008" i="11" s="1"/>
  <c r="AD1008" i="11" s="1" a="1"/>
  <c r="AD1008" i="11" s="1"/>
  <c r="AE1008" i="11" s="1"/>
  <c r="BA622" i="11"/>
  <c r="AB622" i="11" s="1"/>
  <c r="AD622" i="11" s="1" a="1"/>
  <c r="AD622" i="11" s="1"/>
  <c r="AE622" i="11" s="1"/>
  <c r="BA234" i="11"/>
  <c r="AB234" i="11" s="1"/>
  <c r="BA1992" i="11"/>
  <c r="AB1992" i="11" s="1"/>
  <c r="AA1992" i="11" s="1"/>
  <c r="BA1772" i="11"/>
  <c r="AB1772" i="11" s="1"/>
  <c r="AD1772" i="11" s="1" a="1"/>
  <c r="AD1772" i="11" s="1"/>
  <c r="AE1772" i="11" s="1"/>
  <c r="BA1284" i="11"/>
  <c r="AB1284" i="11" s="1"/>
  <c r="AA1284" i="11" s="1"/>
  <c r="BA261" i="11"/>
  <c r="AB261" i="11" s="1"/>
  <c r="AA261" i="11" s="1"/>
  <c r="BA1552" i="11"/>
  <c r="AB1552" i="11" s="1"/>
  <c r="AA1552" i="11" s="1"/>
  <c r="BA763" i="11"/>
  <c r="AB763" i="11" s="1"/>
  <c r="AF763" i="11" s="1" a="1"/>
  <c r="AF763" i="11" s="1"/>
  <c r="BA1393" i="11"/>
  <c r="AB1393" i="11" s="1"/>
  <c r="AA1393" i="11" s="1"/>
  <c r="BA1601" i="11"/>
  <c r="AB1601" i="11" s="1"/>
  <c r="AD1601" i="11" s="1" a="1"/>
  <c r="AD1601" i="11" s="1"/>
  <c r="AE1601" i="11" s="1"/>
  <c r="BA1407" i="11"/>
  <c r="AB1407" i="11" s="1"/>
  <c r="AA1407" i="11" s="1"/>
  <c r="BA1786" i="11"/>
  <c r="AB1786" i="11" s="1"/>
  <c r="AD1786" i="11" s="1" a="1"/>
  <c r="AD1786" i="11" s="1"/>
  <c r="AE1786" i="11" s="1"/>
  <c r="BA718" i="11"/>
  <c r="AB718" i="11" s="1"/>
  <c r="AD718" i="11" s="1" a="1"/>
  <c r="AD718" i="11" s="1"/>
  <c r="AE718" i="11" s="1"/>
  <c r="BA1119" i="11"/>
  <c r="AB1119" i="11" s="1"/>
  <c r="BA1219" i="11"/>
  <c r="AB1219" i="11" s="1"/>
  <c r="AD1219" i="11" s="1" a="1"/>
  <c r="AD1219" i="11" s="1"/>
  <c r="AE1219" i="11" s="1"/>
  <c r="BA1756" i="11"/>
  <c r="AB1756" i="11" s="1"/>
  <c r="BA429" i="11"/>
  <c r="AB429" i="11" s="1"/>
  <c r="AD429" i="11" s="1" a="1"/>
  <c r="AD429" i="11" s="1"/>
  <c r="AE429" i="11" s="1"/>
  <c r="BA1362" i="11"/>
  <c r="AB1362" i="11" s="1"/>
  <c r="AA1362" i="11" s="1"/>
  <c r="BA1213" i="11"/>
  <c r="AB1213" i="11" s="1"/>
  <c r="AA1213" i="11" s="1"/>
  <c r="BA259" i="11"/>
  <c r="AB259" i="11" s="1"/>
  <c r="AF259" i="11" s="1" a="1"/>
  <c r="AF259" i="11" s="1"/>
  <c r="BA1201" i="11"/>
  <c r="AB1201" i="11" s="1"/>
  <c r="AA1201" i="11" s="1"/>
  <c r="BA326" i="11"/>
  <c r="AB326" i="11" s="1"/>
  <c r="AA326" i="11" s="1"/>
  <c r="BA913" i="11"/>
  <c r="AB913" i="11" s="1"/>
  <c r="AA913" i="11" s="1"/>
  <c r="BA754" i="11"/>
  <c r="AB754" i="11" s="1"/>
  <c r="AF754" i="11" s="1" a="1"/>
  <c r="AF754" i="11" s="1"/>
  <c r="BA457" i="11"/>
  <c r="AB457" i="11" s="1"/>
  <c r="AD457" i="11" s="1" a="1"/>
  <c r="AD457" i="11" s="1"/>
  <c r="AE457" i="11" s="1"/>
  <c r="BA795" i="11"/>
  <c r="AB795" i="11" s="1"/>
  <c r="BA38" i="11"/>
  <c r="AB38" i="11" s="1"/>
  <c r="AF38" i="11" s="1" a="1"/>
  <c r="AF38" i="11" s="1"/>
  <c r="BA1404" i="11"/>
  <c r="AB1404" i="11" s="1"/>
  <c r="AA1404" i="11" s="1"/>
  <c r="BA1896" i="11"/>
  <c r="AB1896" i="11" s="1"/>
  <c r="AA1896" i="11" s="1"/>
  <c r="BA1133" i="11"/>
  <c r="AB1133" i="11" s="1"/>
  <c r="AD1133" i="11" s="1" a="1"/>
  <c r="AD1133" i="11" s="1"/>
  <c r="AE1133" i="11" s="1"/>
  <c r="BA1214" i="11"/>
  <c r="AB1214" i="11" s="1"/>
  <c r="AD1214" i="11" s="1" a="1"/>
  <c r="AD1214" i="11" s="1"/>
  <c r="AE1214" i="11" s="1"/>
  <c r="BA412" i="11"/>
  <c r="AB412" i="11" s="1"/>
  <c r="AF412" i="11" s="1" a="1"/>
  <c r="AF412" i="11" s="1"/>
  <c r="BA717" i="11"/>
  <c r="AB717" i="11" s="1"/>
  <c r="AF717" i="11" s="1" a="1"/>
  <c r="AF717" i="11" s="1"/>
  <c r="BA527" i="11"/>
  <c r="AB527" i="11" s="1"/>
  <c r="AD527" i="11" s="1" a="1"/>
  <c r="AD527" i="11" s="1"/>
  <c r="AE527" i="11" s="1"/>
  <c r="BA1869" i="11"/>
  <c r="AB1869" i="11" s="1"/>
  <c r="AF1869" i="11" s="1" a="1"/>
  <c r="AF1869" i="11" s="1"/>
  <c r="BA1178" i="11"/>
  <c r="AB1178" i="11" s="1"/>
  <c r="AA1178" i="11" s="1"/>
  <c r="BA523" i="11"/>
  <c r="AB523" i="11" s="1"/>
  <c r="AD523" i="11" s="1" a="1"/>
  <c r="AD523" i="11" s="1"/>
  <c r="AE523" i="11" s="1"/>
  <c r="BA348" i="11"/>
  <c r="AB348" i="11" s="1"/>
  <c r="BA1533" i="11"/>
  <c r="AB1533" i="11" s="1"/>
  <c r="AF1533" i="11" s="1" a="1"/>
  <c r="AF1533" i="11" s="1"/>
  <c r="BA1777" i="11"/>
  <c r="AB1777" i="11" s="1"/>
  <c r="AA1777" i="11" s="1"/>
  <c r="BA299" i="11"/>
  <c r="AB299" i="11" s="1"/>
  <c r="AD299" i="11" s="1" a="1"/>
  <c r="AD299" i="11" s="1"/>
  <c r="AE299" i="11" s="1"/>
  <c r="BA2002" i="11"/>
  <c r="AB2002" i="11" s="1"/>
  <c r="BA506" i="11"/>
  <c r="AB506" i="11" s="1"/>
  <c r="AA506" i="11" s="1"/>
  <c r="BA1519" i="11"/>
  <c r="AB1519" i="11" s="1"/>
  <c r="AF1519" i="11" s="1" a="1"/>
  <c r="AF1519" i="11" s="1"/>
  <c r="BA482" i="11"/>
  <c r="AB482" i="11" s="1"/>
  <c r="AF482" i="11" s="1" a="1"/>
  <c r="AF482" i="11" s="1"/>
  <c r="BA2007" i="11"/>
  <c r="AB2007" i="11" s="1"/>
  <c r="AD2007" i="11" s="1" a="1"/>
  <c r="AD2007" i="11" s="1"/>
  <c r="AE2007" i="11" s="1"/>
  <c r="BA33" i="11"/>
  <c r="AB33" i="11" s="1"/>
  <c r="AA33" i="11" s="1"/>
  <c r="BA423" i="11"/>
  <c r="AB423" i="11" s="1"/>
  <c r="AA423" i="11" s="1"/>
  <c r="BA1229" i="11"/>
  <c r="AB1229" i="11" s="1"/>
  <c r="AF1229" i="11" s="1" a="1"/>
  <c r="AF1229" i="11" s="1"/>
  <c r="BA1934" i="11"/>
  <c r="AB1934" i="11" s="1"/>
  <c r="BA1670" i="11"/>
  <c r="AB1670" i="11" s="1"/>
  <c r="AF1670" i="11" s="1" a="1"/>
  <c r="AF1670" i="11" s="1"/>
  <c r="BA813" i="11"/>
  <c r="AB813" i="11" s="1"/>
  <c r="AF813" i="11" s="1" a="1"/>
  <c r="AF813" i="11" s="1"/>
  <c r="BA508" i="11"/>
  <c r="AB508" i="11" s="1"/>
  <c r="AF508" i="11" s="1" a="1"/>
  <c r="AF508" i="11" s="1"/>
  <c r="BA1386" i="11"/>
  <c r="AB1386" i="11" s="1"/>
  <c r="AD1386" i="11" s="1" a="1"/>
  <c r="AD1386" i="11" s="1"/>
  <c r="AE1386" i="11" s="1"/>
  <c r="BA1464" i="11"/>
  <c r="AB1464" i="11" s="1"/>
  <c r="AD1464" i="11" s="1" a="1"/>
  <c r="AD1464" i="11" s="1"/>
  <c r="AE1464" i="11" s="1"/>
  <c r="BA702" i="11"/>
  <c r="AB702" i="11" s="1"/>
  <c r="AF702" i="11" s="1" a="1"/>
  <c r="AF702" i="11" s="1"/>
  <c r="BA1610" i="11"/>
  <c r="AB1610" i="11" s="1"/>
  <c r="AA1610" i="11" s="1"/>
  <c r="BA714" i="11"/>
  <c r="AB714" i="11" s="1"/>
  <c r="AA714" i="11" s="1"/>
  <c r="BA1083" i="11"/>
  <c r="AB1083" i="11" s="1"/>
  <c r="AA1083" i="11" s="1"/>
  <c r="BA1614" i="11"/>
  <c r="AB1614" i="11" s="1"/>
  <c r="AF1614" i="11" s="1" a="1"/>
  <c r="AF1614" i="11" s="1"/>
  <c r="BA455" i="11"/>
  <c r="AB455" i="11" s="1"/>
  <c r="AD455" i="11" s="1" a="1"/>
  <c r="AD455" i="11" s="1"/>
  <c r="AE455" i="11" s="1"/>
  <c r="BA54" i="11"/>
  <c r="AB54" i="11" s="1"/>
  <c r="BA1613" i="11"/>
  <c r="AB1613" i="11" s="1"/>
  <c r="AA1613" i="11" s="1"/>
  <c r="BA1471" i="11"/>
  <c r="AB1471" i="11" s="1"/>
  <c r="AD1471" i="11" s="1" a="1"/>
  <c r="AD1471" i="11" s="1"/>
  <c r="AE1471" i="11" s="1"/>
  <c r="BA1351" i="11"/>
  <c r="AB1351" i="11" s="1"/>
  <c r="AD1351" i="11" s="1" a="1"/>
  <c r="AD1351" i="11" s="1"/>
  <c r="AE1351" i="11" s="1"/>
  <c r="BA1148" i="11"/>
  <c r="AB1148" i="11" s="1"/>
  <c r="AF1148" i="11" s="1" a="1"/>
  <c r="AF1148" i="11" s="1"/>
  <c r="BA1242" i="11"/>
  <c r="AB1242" i="11" s="1"/>
  <c r="AF1242" i="11" s="1" a="1"/>
  <c r="AF1242" i="11" s="1"/>
  <c r="BA1155" i="11"/>
  <c r="AB1155" i="11" s="1"/>
  <c r="AD1155" i="11" s="1" a="1"/>
  <c r="AD1155" i="11" s="1"/>
  <c r="AE1155" i="11" s="1"/>
  <c r="BA1278" i="11"/>
  <c r="AB1278" i="11" s="1"/>
  <c r="AD1278" i="11" s="1" a="1"/>
  <c r="AD1278" i="11" s="1"/>
  <c r="AE1278" i="11" s="1"/>
  <c r="BA1716" i="11"/>
  <c r="AB1716" i="11" s="1"/>
  <c r="AA1716" i="11" s="1"/>
  <c r="BA156" i="11"/>
  <c r="AB156" i="11" s="1"/>
  <c r="AF156" i="11" s="1" a="1"/>
  <c r="AF156" i="11" s="1"/>
  <c r="BA159" i="11"/>
  <c r="AB159" i="11" s="1"/>
  <c r="AD159" i="11" s="1" a="1"/>
  <c r="AD159" i="11" s="1"/>
  <c r="AE159" i="11" s="1"/>
  <c r="BA1275" i="11"/>
  <c r="AB1275" i="11" s="1"/>
  <c r="AA1275" i="11" s="1"/>
  <c r="BA1595" i="11"/>
  <c r="AB1595" i="11" s="1"/>
  <c r="BA1071" i="11"/>
  <c r="AB1071" i="11" s="1"/>
  <c r="AF1071" i="11" s="1" a="1"/>
  <c r="AF1071" i="11" s="1"/>
  <c r="BA832" i="11"/>
  <c r="AB832" i="11" s="1"/>
  <c r="AD832" i="11" s="1" a="1"/>
  <c r="AD832" i="11" s="1"/>
  <c r="AE832" i="11" s="1"/>
  <c r="BA1736" i="11"/>
  <c r="AB1736" i="11" s="1"/>
  <c r="AF1736" i="11" s="1" a="1"/>
  <c r="AF1736" i="11" s="1"/>
  <c r="BA393" i="11"/>
  <c r="AB393" i="11" s="1"/>
  <c r="AD393" i="11" s="1" a="1"/>
  <c r="AD393" i="11" s="1"/>
  <c r="AE393" i="11" s="1"/>
  <c r="BA1260" i="11"/>
  <c r="AB1260" i="11" s="1"/>
  <c r="AF1260" i="11" s="1" a="1"/>
  <c r="AF1260" i="11" s="1"/>
  <c r="BA1289" i="11"/>
  <c r="AB1289" i="11" s="1"/>
  <c r="AD1289" i="11" s="1" a="1"/>
  <c r="AD1289" i="11" s="1"/>
  <c r="AE1289" i="11" s="1"/>
  <c r="BA1032" i="11"/>
  <c r="AB1032" i="11" s="1"/>
  <c r="AF1032" i="11" s="1" a="1"/>
  <c r="AF1032" i="11" s="1"/>
  <c r="BA1361" i="11"/>
  <c r="AB1361" i="11" s="1"/>
  <c r="AF1361" i="11" s="1" a="1"/>
  <c r="AF1361" i="11" s="1"/>
  <c r="BA236" i="11"/>
  <c r="AB236" i="11" s="1"/>
  <c r="AF236" i="11" s="1" a="1"/>
  <c r="AF236" i="11" s="1"/>
  <c r="BA1000" i="11"/>
  <c r="AB1000" i="11" s="1"/>
  <c r="AA1000" i="11" s="1"/>
  <c r="BA312" i="11"/>
  <c r="AB312" i="11" s="1"/>
  <c r="AD312" i="11" s="1" a="1"/>
  <c r="AD312" i="11" s="1"/>
  <c r="AE312" i="11" s="1"/>
  <c r="BA1105" i="11"/>
  <c r="AB1105" i="11" s="1"/>
  <c r="AD1105" i="11" s="1" a="1"/>
  <c r="AD1105" i="11" s="1"/>
  <c r="AE1105" i="11" s="1"/>
  <c r="BA1951" i="11"/>
  <c r="AB1951" i="11" s="1"/>
  <c r="AD1951" i="11" s="1" a="1"/>
  <c r="AD1951" i="11" s="1"/>
  <c r="AE1951" i="11" s="1"/>
  <c r="BA768" i="11"/>
  <c r="AB768" i="11" s="1"/>
  <c r="AA768" i="11" s="1"/>
  <c r="BA1191" i="11"/>
  <c r="AB1191" i="11" s="1"/>
  <c r="AA1191" i="11" s="1"/>
  <c r="BA322" i="11"/>
  <c r="AB322" i="11" s="1"/>
  <c r="AD322" i="11" s="1" a="1"/>
  <c r="AD322" i="11" s="1"/>
  <c r="AE322" i="11" s="1"/>
  <c r="BA1700" i="11"/>
  <c r="AB1700" i="11" s="1"/>
  <c r="AF1700" i="11" s="1" a="1"/>
  <c r="AF1700" i="11" s="1"/>
  <c r="BA1345" i="11"/>
  <c r="AB1345" i="11" s="1"/>
  <c r="AF1345" i="11" s="1" a="1"/>
  <c r="AF1345" i="11" s="1"/>
  <c r="BA1707" i="11"/>
  <c r="AB1707" i="11" s="1"/>
  <c r="AD1707" i="11" s="1" a="1"/>
  <c r="AD1707" i="11" s="1"/>
  <c r="AE1707" i="11" s="1"/>
  <c r="BA165" i="11"/>
  <c r="AB165" i="11" s="1"/>
  <c r="AD165" i="11" s="1" a="1"/>
  <c r="AD165" i="11" s="1"/>
  <c r="AE165" i="11" s="1"/>
  <c r="BA1901" i="11"/>
  <c r="AB1901" i="11" s="1"/>
  <c r="AD1901" i="11" s="1" a="1"/>
  <c r="AD1901" i="11" s="1"/>
  <c r="AE1901" i="11" s="1"/>
  <c r="BA1309" i="11"/>
  <c r="AB1309" i="11" s="1"/>
  <c r="AF1309" i="11" s="1" a="1"/>
  <c r="AF1309" i="11" s="1"/>
  <c r="BA1828" i="11"/>
  <c r="AB1828" i="11" s="1"/>
  <c r="AA1828" i="11" s="1"/>
  <c r="BA430" i="11"/>
  <c r="AB430" i="11" s="1"/>
  <c r="BA500" i="11"/>
  <c r="AB500" i="11" s="1"/>
  <c r="AA500" i="11" s="1"/>
  <c r="BA1856" i="11"/>
  <c r="AB1856" i="11" s="1"/>
  <c r="AF1856" i="11" s="1" a="1"/>
  <c r="AF1856" i="11" s="1"/>
  <c r="BA1714" i="11"/>
  <c r="AB1714" i="11" s="1"/>
  <c r="AA1714" i="11" s="1"/>
  <c r="BA1457" i="11"/>
  <c r="AB1457" i="11" s="1"/>
  <c r="AD1457" i="11" s="1" a="1"/>
  <c r="AD1457" i="11" s="1"/>
  <c r="AE1457" i="11" s="1"/>
  <c r="BA1257" i="11"/>
  <c r="AB1257" i="11" s="1"/>
  <c r="AA1257" i="11" s="1"/>
  <c r="BA219" i="11"/>
  <c r="AB219" i="11" s="1"/>
  <c r="AF219" i="11" s="1" a="1"/>
  <c r="AF219" i="11" s="1"/>
  <c r="BA1060" i="11"/>
  <c r="AB1060" i="11" s="1"/>
  <c r="AD1060" i="11" s="1" a="1"/>
  <c r="AD1060" i="11" s="1"/>
  <c r="AE1060" i="11" s="1"/>
  <c r="BA656" i="11"/>
  <c r="AB656" i="11" s="1"/>
  <c r="AF656" i="11" s="1" a="1"/>
  <c r="AF656" i="11" s="1"/>
  <c r="BA1546" i="11"/>
  <c r="AB1546" i="11" s="1"/>
  <c r="AD1546" i="11" s="1" a="1"/>
  <c r="AD1546" i="11" s="1"/>
  <c r="AE1546" i="11" s="1"/>
  <c r="BA959" i="11"/>
  <c r="AB959" i="11" s="1"/>
  <c r="AA959" i="11" s="1"/>
  <c r="BA57" i="11"/>
  <c r="AB57" i="11" s="1"/>
  <c r="AD57" i="11" s="1" a="1"/>
  <c r="AD57" i="11" s="1"/>
  <c r="AE57" i="11" s="1"/>
  <c r="BA1687" i="11"/>
  <c r="AB1687" i="11" s="1"/>
  <c r="AD1687" i="11" s="1" a="1"/>
  <c r="AD1687" i="11" s="1"/>
  <c r="AE1687" i="11" s="1"/>
  <c r="BA1287" i="11"/>
  <c r="AB1287" i="11" s="1"/>
  <c r="BA663" i="11"/>
  <c r="AB663" i="11" s="1"/>
  <c r="AD663" i="11" s="1" a="1"/>
  <c r="AD663" i="11" s="1"/>
  <c r="AE663" i="11" s="1"/>
  <c r="BA1515" i="11"/>
  <c r="AB1515" i="11" s="1"/>
  <c r="AD1515" i="11" s="1" a="1"/>
  <c r="AD1515" i="11" s="1"/>
  <c r="AE1515" i="11" s="1"/>
  <c r="BA855" i="11"/>
  <c r="AB855" i="11" s="1"/>
  <c r="AF855" i="11" s="1" a="1"/>
  <c r="AF855" i="11" s="1"/>
  <c r="BA1990" i="11"/>
  <c r="AB1990" i="11" s="1"/>
  <c r="AF1990" i="11" s="1" a="1"/>
  <c r="AF1990" i="11" s="1"/>
  <c r="BA231" i="11"/>
  <c r="AB231" i="11" s="1"/>
  <c r="AD231" i="11" s="1" a="1"/>
  <c r="AD231" i="11" s="1"/>
  <c r="AE231" i="11" s="1"/>
  <c r="BA997" i="11"/>
  <c r="AB997" i="11" s="1"/>
  <c r="AD997" i="11" s="1" a="1"/>
  <c r="AD997" i="11" s="1"/>
  <c r="AE997" i="11" s="1"/>
  <c r="BA583" i="11"/>
  <c r="AB583" i="11" s="1"/>
  <c r="AD583" i="11" s="1" a="1"/>
  <c r="AD583" i="11" s="1"/>
  <c r="AE583" i="11" s="1"/>
  <c r="BA1972" i="11"/>
  <c r="AB1972" i="11" s="1"/>
  <c r="AD1972" i="11" s="1" a="1"/>
  <c r="AD1972" i="11" s="1"/>
  <c r="AE1972" i="11" s="1"/>
  <c r="BA208" i="11"/>
  <c r="AB208" i="11" s="1"/>
  <c r="AA208" i="11" s="1"/>
  <c r="BA1732" i="11"/>
  <c r="AB1732" i="11" s="1"/>
  <c r="AD1732" i="11" s="1" a="1"/>
  <c r="AD1732" i="11" s="1"/>
  <c r="AE1732" i="11" s="1"/>
  <c r="BA448" i="11"/>
  <c r="AB448" i="11" s="1"/>
  <c r="BA1497" i="11"/>
  <c r="AB1497" i="11" s="1"/>
  <c r="AA1497" i="11" s="1"/>
  <c r="BA1430" i="11"/>
  <c r="AB1430" i="11" s="1"/>
  <c r="AD1430" i="11" s="1" a="1"/>
  <c r="AD1430" i="11" s="1"/>
  <c r="AE1430" i="11" s="1"/>
  <c r="BA1826" i="11"/>
  <c r="AB1826" i="11" s="1"/>
  <c r="AA1826" i="11" s="1"/>
  <c r="BA502" i="11"/>
  <c r="AB502" i="11" s="1"/>
  <c r="AA502" i="11" s="1"/>
  <c r="BA650" i="11"/>
  <c r="AB650" i="11" s="1"/>
  <c r="AF650" i="11" s="1" a="1"/>
  <c r="AF650" i="11" s="1"/>
  <c r="BA319" i="11"/>
  <c r="AB319" i="11" s="1"/>
  <c r="AF319" i="11" s="1" a="1"/>
  <c r="AF319" i="11" s="1"/>
  <c r="BA1366" i="11"/>
  <c r="AB1366" i="11" s="1"/>
  <c r="AF1366" i="11" s="1" a="1"/>
  <c r="AF1366" i="11" s="1"/>
  <c r="BA188" i="11"/>
  <c r="AB188" i="11" s="1"/>
  <c r="AD188" i="11" s="1" a="1"/>
  <c r="AD188" i="11" s="1"/>
  <c r="AE188" i="11" s="1"/>
  <c r="BA171" i="11"/>
  <c r="AB171" i="11" s="1"/>
  <c r="AD171" i="11" s="1" a="1"/>
  <c r="AD171" i="11" s="1"/>
  <c r="AE171" i="11" s="1"/>
  <c r="BA1859" i="11"/>
  <c r="AB1859" i="11" s="1"/>
  <c r="AD1859" i="11" s="1" a="1"/>
  <c r="AD1859" i="11" s="1"/>
  <c r="AE1859" i="11" s="1"/>
  <c r="BA1776" i="11"/>
  <c r="AB1776" i="11" s="1"/>
  <c r="AD1776" i="11" s="1" a="1"/>
  <c r="AD1776" i="11" s="1"/>
  <c r="AE1776" i="11" s="1"/>
  <c r="BA1281" i="11"/>
  <c r="AB1281" i="11" s="1"/>
  <c r="AD1281" i="11" s="1" a="1"/>
  <c r="AD1281" i="11" s="1"/>
  <c r="AE1281" i="11" s="1"/>
  <c r="BA1452" i="11"/>
  <c r="AB1452" i="11" s="1"/>
  <c r="AA1452" i="11" s="1"/>
  <c r="BA1710" i="11"/>
  <c r="AB1710" i="11" s="1"/>
  <c r="AD1710" i="11" s="1" a="1"/>
  <c r="AD1710" i="11" s="1"/>
  <c r="AE1710" i="11" s="1"/>
  <c r="BA111" i="11"/>
  <c r="AB111" i="11" s="1"/>
  <c r="AA111" i="11" s="1"/>
  <c r="BA1557" i="11"/>
  <c r="AB1557" i="11" s="1"/>
  <c r="AA1557" i="11" s="1"/>
  <c r="BA756" i="11"/>
  <c r="AB756" i="11" s="1"/>
  <c r="AA756" i="11" s="1"/>
  <c r="AD205" i="11" a="1"/>
  <c r="AD205" i="11" s="1"/>
  <c r="AE205" i="11" s="1"/>
  <c r="AF1020" i="11" a="1"/>
  <c r="AF1020" i="11" s="1"/>
  <c r="AD1332" i="11" a="1"/>
  <c r="AD1332" i="11" s="1"/>
  <c r="AE1332" i="11" s="1"/>
  <c r="AD1391" i="11" a="1"/>
  <c r="AD1391" i="11" s="1"/>
  <c r="AE1391" i="11" s="1"/>
  <c r="AF1787" i="11" a="1"/>
  <c r="AF1787" i="11" s="1"/>
  <c r="AF295" i="11" a="1"/>
  <c r="AF295" i="11" s="1"/>
  <c r="BA743" i="11"/>
  <c r="AB743" i="11" s="1"/>
  <c r="AD743" i="11" s="1" a="1"/>
  <c r="AD743" i="11" s="1"/>
  <c r="AE743" i="11" s="1"/>
  <c r="BA107" i="11"/>
  <c r="AB107" i="11" s="1"/>
  <c r="AD107" i="11" s="1" a="1"/>
  <c r="AD107" i="11" s="1"/>
  <c r="AE107" i="11" s="1"/>
  <c r="BA978" i="11"/>
  <c r="AB978" i="11" s="1"/>
  <c r="AD978" i="11" s="1" a="1"/>
  <c r="AD978" i="11" s="1"/>
  <c r="AE978" i="11" s="1"/>
  <c r="BA796" i="11"/>
  <c r="AB796" i="11" s="1"/>
  <c r="AD796" i="11" s="1" a="1"/>
  <c r="AD796" i="11" s="1"/>
  <c r="AE796" i="11" s="1"/>
  <c r="BA1677" i="11"/>
  <c r="AB1677" i="11" s="1"/>
  <c r="AA1677" i="11" s="1"/>
  <c r="BA56" i="11"/>
  <c r="AB56" i="11" s="1"/>
  <c r="BA821" i="11"/>
  <c r="AB821" i="11" s="1"/>
  <c r="BA43" i="11"/>
  <c r="AB43" i="11" s="1"/>
  <c r="AF43" i="11" s="1" a="1"/>
  <c r="AF43" i="11" s="1"/>
  <c r="BA443" i="11"/>
  <c r="AB443" i="11" s="1"/>
  <c r="AD443" i="11" s="1" a="1"/>
  <c r="AD443" i="11" s="1"/>
  <c r="AE443" i="11" s="1"/>
  <c r="BA791" i="11"/>
  <c r="AB791" i="11" s="1"/>
  <c r="AA791" i="11" s="1"/>
  <c r="BA1476" i="11"/>
  <c r="AB1476" i="11" s="1"/>
  <c r="AF1476" i="11" s="1" a="1"/>
  <c r="AF1476" i="11" s="1"/>
  <c r="BA1440" i="11"/>
  <c r="AB1440" i="11" s="1"/>
  <c r="AA1440" i="11" s="1"/>
  <c r="BA611" i="11"/>
  <c r="AB611" i="11" s="1"/>
  <c r="AD611" i="11" s="1" a="1"/>
  <c r="AD611" i="11" s="1"/>
  <c r="AE611" i="11" s="1"/>
  <c r="BA798" i="11"/>
  <c r="AB798" i="11" s="1"/>
  <c r="AF798" i="11" s="1" a="1"/>
  <c r="AF798" i="11" s="1"/>
  <c r="BA1145" i="11"/>
  <c r="AB1145" i="11" s="1"/>
  <c r="AA1145" i="11" s="1"/>
  <c r="BA652" i="11"/>
  <c r="AB652" i="11" s="1"/>
  <c r="AD652" i="11" s="1" a="1"/>
  <c r="AD652" i="11" s="1"/>
  <c r="AE652" i="11" s="1"/>
  <c r="BA576" i="11"/>
  <c r="AB576" i="11" s="1"/>
  <c r="AD576" i="11" s="1" a="1"/>
  <c r="AD576" i="11" s="1"/>
  <c r="AE576" i="11" s="1"/>
  <c r="BA681" i="11"/>
  <c r="AB681" i="11" s="1"/>
  <c r="AD681" i="11" s="1" a="1"/>
  <c r="AD681" i="11" s="1"/>
  <c r="AE681" i="11" s="1"/>
  <c r="BA329" i="11"/>
  <c r="AB329" i="11" s="1"/>
  <c r="AD329" i="11" s="1" a="1"/>
  <c r="AD329" i="11" s="1"/>
  <c r="AE329" i="11" s="1"/>
  <c r="BA1302" i="11"/>
  <c r="AB1302" i="11" s="1"/>
  <c r="AA1302" i="11" s="1"/>
  <c r="BA637" i="11"/>
  <c r="AB637" i="11" s="1"/>
  <c r="AA637" i="11" s="1"/>
  <c r="BA1827" i="11"/>
  <c r="AB1827" i="11" s="1"/>
  <c r="AD1827" i="11" s="1" a="1"/>
  <c r="AD1827" i="11" s="1"/>
  <c r="AE1827" i="11" s="1"/>
  <c r="BA493" i="11"/>
  <c r="AB493" i="11" s="1"/>
  <c r="AF493" i="11" s="1" a="1"/>
  <c r="AF493" i="11" s="1"/>
  <c r="BA1264" i="11"/>
  <c r="AB1264" i="11" s="1"/>
  <c r="AF1264" i="11" s="1" a="1"/>
  <c r="AF1264" i="11" s="1"/>
  <c r="BA914" i="11"/>
  <c r="AB914" i="11" s="1"/>
  <c r="AA914" i="11" s="1"/>
  <c r="BA1026" i="11"/>
  <c r="AB1026" i="11" s="1"/>
  <c r="AD1026" i="11" s="1" a="1"/>
  <c r="AD1026" i="11" s="1"/>
  <c r="AE1026" i="11" s="1"/>
  <c r="BA1317" i="11"/>
  <c r="AB1317" i="11" s="1"/>
  <c r="AF1317" i="11" s="1" a="1"/>
  <c r="AF1317" i="11" s="1"/>
  <c r="BA1544" i="11"/>
  <c r="AB1544" i="11" s="1"/>
  <c r="AA1544" i="11" s="1"/>
  <c r="BA1537" i="11"/>
  <c r="AB1537" i="11" s="1"/>
  <c r="AF1537" i="11" s="1" a="1"/>
  <c r="AF1537" i="11" s="1"/>
  <c r="BA399" i="11"/>
  <c r="AB399" i="11" s="1"/>
  <c r="AA399" i="11" s="1"/>
  <c r="BA1561" i="11"/>
  <c r="AB1561" i="11" s="1"/>
  <c r="AD1561" i="11" s="1" a="1"/>
  <c r="AD1561" i="11" s="1"/>
  <c r="AE1561" i="11" s="1"/>
  <c r="BA139" i="11"/>
  <c r="AB139" i="11" s="1"/>
  <c r="AF139" i="11" s="1" a="1"/>
  <c r="AF139" i="11" s="1"/>
  <c r="BA2004" i="11"/>
  <c r="AB2004" i="11" s="1"/>
  <c r="AA2004" i="11" s="1"/>
  <c r="BA1280" i="11"/>
  <c r="AB1280" i="11" s="1"/>
  <c r="AA1280" i="11" s="1"/>
  <c r="BA1239" i="11"/>
  <c r="AB1239" i="11" s="1"/>
  <c r="AD1239" i="11" s="1" a="1"/>
  <c r="AD1239" i="11" s="1"/>
  <c r="AE1239" i="11" s="1"/>
  <c r="BA827" i="11"/>
  <c r="AB827" i="11" s="1"/>
  <c r="AD827" i="11" s="1" a="1"/>
  <c r="AD827" i="11" s="1"/>
  <c r="AE827" i="11" s="1"/>
  <c r="BA1606" i="11"/>
  <c r="AB1606" i="11" s="1"/>
  <c r="AF1606" i="11" s="1" a="1"/>
  <c r="AF1606" i="11" s="1"/>
  <c r="BA1837" i="11"/>
  <c r="AB1837" i="11" s="1"/>
  <c r="AD1837" i="11" s="1" a="1"/>
  <c r="AD1837" i="11" s="1"/>
  <c r="AE1837" i="11" s="1"/>
  <c r="BA140" i="11"/>
  <c r="AB140" i="11" s="1"/>
  <c r="AF140" i="11" s="1" a="1"/>
  <c r="AF140" i="11" s="1"/>
  <c r="BA805" i="11"/>
  <c r="AB805" i="11" s="1"/>
  <c r="AF805" i="11" s="1" a="1"/>
  <c r="AF805" i="11" s="1"/>
  <c r="BA1829" i="11"/>
  <c r="AB1829" i="11" s="1"/>
  <c r="AF1829" i="11" s="1" a="1"/>
  <c r="AF1829" i="11" s="1"/>
  <c r="BA1315" i="11"/>
  <c r="AB1315" i="11" s="1"/>
  <c r="AD1315" i="11" s="1" a="1"/>
  <c r="AD1315" i="11" s="1"/>
  <c r="AE1315" i="11" s="1"/>
  <c r="BA40" i="11"/>
  <c r="AB40" i="11" s="1"/>
  <c r="AD40" i="11" s="1" a="1"/>
  <c r="AD40" i="11" s="1"/>
  <c r="AE40" i="11" s="1"/>
  <c r="BA1632" i="11"/>
  <c r="AB1632" i="11" s="1"/>
  <c r="AD1632" i="11" s="1" a="1"/>
  <c r="AD1632" i="11" s="1"/>
  <c r="AE1632" i="11" s="1"/>
  <c r="BA963" i="11"/>
  <c r="AB963" i="11" s="1"/>
  <c r="AD963" i="11" s="1" a="1"/>
  <c r="AD963" i="11" s="1"/>
  <c r="AE963" i="11" s="1"/>
  <c r="BA1079" i="11"/>
  <c r="AB1079" i="11" s="1"/>
  <c r="AA1079" i="11" s="1"/>
  <c r="BA1987" i="11"/>
  <c r="AB1987" i="11" s="1"/>
  <c r="AF1987" i="11" s="1" a="1"/>
  <c r="AF1987" i="11" s="1"/>
  <c r="BA1410" i="11"/>
  <c r="AB1410" i="11" s="1"/>
  <c r="AD1410" i="11" s="1" a="1"/>
  <c r="AD1410" i="11" s="1"/>
  <c r="AE1410" i="11" s="1"/>
  <c r="BA800" i="11"/>
  <c r="AB800" i="11" s="1"/>
  <c r="AF800" i="11" s="1" a="1"/>
  <c r="AF800" i="11" s="1"/>
  <c r="BA1855" i="11"/>
  <c r="AB1855" i="11" s="1"/>
  <c r="AF1855" i="11" s="1" a="1"/>
  <c r="AF1855" i="11" s="1"/>
  <c r="BA1462" i="11"/>
  <c r="AB1462" i="11" s="1"/>
  <c r="AA1462" i="11" s="1"/>
  <c r="BA686" i="11"/>
  <c r="AB686" i="11" s="1"/>
  <c r="AF686" i="11" s="1" a="1"/>
  <c r="AF686" i="11" s="1"/>
  <c r="BA1011" i="11"/>
  <c r="AB1011" i="11" s="1"/>
  <c r="AA1011" i="11" s="1"/>
  <c r="BA353" i="11"/>
  <c r="AB353" i="11" s="1"/>
  <c r="AA353" i="11" s="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AA1701" i="11" s="1"/>
  <c r="BA932" i="11"/>
  <c r="AB932" i="11" s="1"/>
  <c r="AF932" i="11" s="1" a="1"/>
  <c r="AF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A2011" i="11" s="1"/>
  <c r="BA1582" i="11"/>
  <c r="AB1582" i="11" s="1"/>
  <c r="AF1582" i="11" s="1" a="1"/>
  <c r="AF1582" i="11" s="1"/>
  <c r="BA1913" i="11"/>
  <c r="AB1913" i="11" s="1"/>
  <c r="AA1913" i="11" s="1"/>
  <c r="BA146" i="11"/>
  <c r="AB146" i="11" s="1"/>
  <c r="AA146" i="11" s="1"/>
  <c r="BA621" i="11"/>
  <c r="AB621" i="11" s="1"/>
  <c r="AA621" i="11" s="1"/>
  <c r="BA555" i="11"/>
  <c r="AB555" i="11" s="1"/>
  <c r="AD555" i="11" s="1" a="1"/>
  <c r="AD555" i="11" s="1"/>
  <c r="AE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D1040" i="11" s="1" a="1"/>
  <c r="AD1040" i="11" s="1"/>
  <c r="AE1040" i="11" s="1"/>
  <c r="BA777" i="11"/>
  <c r="AB777" i="11" s="1"/>
  <c r="AF777" i="11" s="1" a="1"/>
  <c r="AF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AD1883" i="11" s="1" a="1"/>
  <c r="AD1883" i="11" s="1"/>
  <c r="AE1883" i="11" s="1"/>
  <c r="BA1899" i="11"/>
  <c r="AB1899" i="11" s="1"/>
  <c r="AA1899" i="11" s="1"/>
  <c r="BA1240" i="11"/>
  <c r="AB1240" i="11" s="1"/>
  <c r="AA1240" i="11" s="1"/>
  <c r="BA1551" i="11"/>
  <c r="AB1551" i="11" s="1"/>
  <c r="AA1551" i="11" s="1"/>
  <c r="BA1279" i="11"/>
  <c r="AB1279" i="11" s="1"/>
  <c r="AD1279" i="11" s="1" a="1"/>
  <c r="AD1279" i="11" s="1"/>
  <c r="AE1279" i="11" s="1"/>
  <c r="BA1584" i="11"/>
  <c r="AB1584" i="11" s="1"/>
  <c r="AA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AA1494" i="11" s="1"/>
  <c r="BA71" i="11"/>
  <c r="AB71" i="11" s="1"/>
  <c r="AD71" i="11" s="1" a="1"/>
  <c r="AD71" i="11" s="1"/>
  <c r="AE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F853" i="11" a="1"/>
  <c r="AF853" i="11" s="1"/>
  <c r="AF388" i="11" a="1"/>
  <c r="AF388" i="11" s="1"/>
  <c r="AF347" i="11" a="1"/>
  <c r="AF347" i="11" s="1"/>
  <c r="AD1437" i="11" a="1"/>
  <c r="AD1437" i="11" s="1"/>
  <c r="AE1437" i="11" s="1"/>
  <c r="AF378" i="11" a="1"/>
  <c r="AF378" i="11" s="1"/>
  <c r="AF1763" i="11" a="1"/>
  <c r="AF1763" i="11" s="1"/>
  <c r="AF1682" i="11" a="1"/>
  <c r="AF1682" i="11" s="1"/>
  <c r="AD1900" i="11" a="1"/>
  <c r="AD1900" i="11" s="1"/>
  <c r="AE1900" i="11" s="1"/>
  <c r="BA588" i="11"/>
  <c r="AB588" i="11" s="1"/>
  <c r="AA588" i="11" s="1"/>
  <c r="AD1938" i="11" a="1"/>
  <c r="AD1938" i="11" s="1"/>
  <c r="AE1938" i="11" s="1"/>
  <c r="AD1506" i="11" a="1"/>
  <c r="AD1506" i="11" s="1"/>
  <c r="AE1506" i="11" s="1"/>
  <c r="AF339" i="11" a="1"/>
  <c r="AF339" i="11" s="1"/>
  <c r="AF696" i="11" a="1"/>
  <c r="AF696" i="11" s="1"/>
  <c r="AF1377" i="11" a="1"/>
  <c r="AF1377" i="11" s="1"/>
  <c r="AD265" i="11" a="1"/>
  <c r="AD265" i="11" s="1"/>
  <c r="AE265" i="11" s="1"/>
  <c r="AD344" i="11" a="1"/>
  <c r="AD344" i="11" s="1"/>
  <c r="AE344" i="11" s="1"/>
  <c r="AF1687" i="11" a="1"/>
  <c r="AF1687" i="11" s="1"/>
  <c r="AF422" i="11" a="1"/>
  <c r="AF422" i="11" s="1"/>
  <c r="AF1832" i="11" a="1"/>
  <c r="AF1832" i="11" s="1"/>
  <c r="AD988" i="11" a="1"/>
  <c r="AD988" i="11" s="1"/>
  <c r="AE988" i="11" s="1"/>
  <c r="AD1071" i="11" a="1"/>
  <c r="AD1071" i="11" s="1"/>
  <c r="AE1071" i="11" s="1"/>
  <c r="BA567" i="11"/>
  <c r="AB567" i="11" s="1"/>
  <c r="AA567"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AF1295" i="11" a="1"/>
  <c r="AF1295" i="11" s="1"/>
  <c r="AF1277" i="11" a="1"/>
  <c r="AF1277" i="11" s="1"/>
  <c r="AD1074" i="11" a="1"/>
  <c r="AD1074" i="11" s="1"/>
  <c r="AE1074" i="11" s="1"/>
  <c r="AF935" i="11" a="1"/>
  <c r="AF935" i="11" s="1"/>
  <c r="AD37" i="11" a="1"/>
  <c r="AD37" i="11" s="1"/>
  <c r="AE37" i="11" s="1"/>
  <c r="BA1867" i="11"/>
  <c r="AB1867" i="11" s="1"/>
  <c r="AD1867" i="11" s="1" a="1"/>
  <c r="AD1867" i="11" s="1"/>
  <c r="AE1867" i="11" s="1"/>
  <c r="BA1850" i="11"/>
  <c r="AB1850" i="11" s="1"/>
  <c r="AA1850" i="11" s="1"/>
  <c r="BA444" i="11"/>
  <c r="AB444" i="11" s="1"/>
  <c r="AD444" i="11" s="1" a="1"/>
  <c r="AD444" i="11" s="1"/>
  <c r="AE444" i="11" s="1"/>
  <c r="BA36" i="11"/>
  <c r="AB36" i="11" s="1"/>
  <c r="AA36" i="11" s="1"/>
  <c r="AF1801" i="11" a="1"/>
  <c r="AF1801" i="11" s="1"/>
  <c r="AD536" i="11" a="1"/>
  <c r="AD536" i="11" s="1"/>
  <c r="AE536" i="11" s="1"/>
  <c r="AD1699" i="11" a="1"/>
  <c r="AD1699" i="11" s="1"/>
  <c r="AE1699" i="11" s="1"/>
  <c r="BA1619" i="11"/>
  <c r="AB1619" i="11" s="1"/>
  <c r="AA1619" i="11" s="1"/>
  <c r="BA405" i="11"/>
  <c r="AB405" i="11" s="1"/>
  <c r="AA405" i="11" s="1"/>
  <c r="BA1671" i="11"/>
  <c r="AB1671" i="11" s="1"/>
  <c r="AF1671" i="11" s="1" a="1"/>
  <c r="AF1671" i="11" s="1"/>
  <c r="BA535" i="11"/>
  <c r="AB535" i="11" s="1"/>
  <c r="AF535" i="11" s="1" a="1"/>
  <c r="AF535" i="11" s="1"/>
  <c r="BA558" i="11"/>
  <c r="AB558" i="11" s="1"/>
  <c r="AA558" i="11" s="1"/>
  <c r="BA323" i="11"/>
  <c r="AB323" i="11" s="1"/>
  <c r="AF323" i="11" s="1" a="1"/>
  <c r="AF323" i="11" s="1"/>
  <c r="BA1018" i="11"/>
  <c r="AB1018" i="11" s="1"/>
  <c r="AA1018" i="11" s="1"/>
  <c r="BA1086" i="11"/>
  <c r="AB1086" i="11" s="1"/>
  <c r="AF1086" i="11" s="1" a="1"/>
  <c r="AF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AA364" i="11" s="1"/>
  <c r="BA161" i="11"/>
  <c r="AB161" i="11" s="1"/>
  <c r="AF161" i="11" s="1" a="1"/>
  <c r="AF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A1431" i="11" s="1"/>
  <c r="BA1318" i="11"/>
  <c r="AB1318" i="11" s="1"/>
  <c r="AA1318" i="11" s="1"/>
  <c r="BA379" i="11"/>
  <c r="AB379" i="11" s="1"/>
  <c r="AD379" i="11" s="1" a="1"/>
  <c r="AD379" i="11" s="1"/>
  <c r="AE379" i="11" s="1"/>
  <c r="BA690" i="11"/>
  <c r="AB690" i="11" s="1"/>
  <c r="AD690" i="11" s="1" a="1"/>
  <c r="AD690" i="11" s="1"/>
  <c r="AE690" i="11" s="1"/>
  <c r="BA1350" i="11"/>
  <c r="AB1350" i="11" s="1"/>
  <c r="AA1350" i="11" s="1"/>
  <c r="BA592" i="11"/>
  <c r="AB592" i="11" s="1"/>
  <c r="AF592" i="11" s="1" a="1"/>
  <c r="AF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AF882" i="11" s="1" a="1"/>
  <c r="AF882" i="11" s="1"/>
  <c r="BA1626" i="11"/>
  <c r="AB1626" i="11" s="1"/>
  <c r="AA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AF579" i="11" s="1" a="1"/>
  <c r="AF579" i="11" s="1"/>
  <c r="BA1022" i="11"/>
  <c r="AB1022" i="11" s="1"/>
  <c r="AA1022" i="11" s="1"/>
  <c r="BA1773" i="11"/>
  <c r="AB1773" i="11" s="1"/>
  <c r="AA1773" i="11" s="1"/>
  <c r="BA334" i="11"/>
  <c r="AB334" i="11" s="1"/>
  <c r="AA334" i="11" s="1"/>
  <c r="BA160" i="11"/>
  <c r="AB160" i="11" s="1"/>
  <c r="AD160" i="11" s="1" a="1"/>
  <c r="AD160" i="11" s="1"/>
  <c r="AE160" i="11" s="1"/>
  <c r="BA1202" i="11"/>
  <c r="AB1202" i="11" s="1"/>
  <c r="AD1202" i="11" s="1" a="1"/>
  <c r="AD1202" i="11" s="1"/>
  <c r="AE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F858" i="11" s="1" a="1"/>
  <c r="AF858" i="11" s="1"/>
  <c r="BA1276" i="11"/>
  <c r="AB1276" i="11" s="1"/>
  <c r="AA1276" i="11" s="1"/>
  <c r="BA875" i="11"/>
  <c r="AB875" i="11" s="1"/>
  <c r="AD875" i="11" s="1" a="1"/>
  <c r="AD875" i="11" s="1"/>
  <c r="AE875" i="11" s="1"/>
  <c r="BA856" i="11"/>
  <c r="AB856" i="11" s="1"/>
  <c r="AA856" i="11" s="1"/>
  <c r="BA153" i="11"/>
  <c r="AB153" i="11" s="1"/>
  <c r="AF153" i="11" s="1" a="1"/>
  <c r="AF153" i="11" s="1"/>
  <c r="BA1081" i="11"/>
  <c r="AB1081" i="11" s="1"/>
  <c r="AF1081" i="11" s="1" a="1"/>
  <c r="AF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AA1156" i="11" s="1"/>
  <c r="BA148" i="11"/>
  <c r="AB148" i="11" s="1"/>
  <c r="AA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D1784" i="11" s="1" a="1"/>
  <c r="AD1784" i="11" s="1"/>
  <c r="AE1784" i="11" s="1"/>
  <c r="BA669" i="11"/>
  <c r="AB669" i="11" s="1"/>
  <c r="AA669" i="11" s="1"/>
  <c r="BA1027" i="11"/>
  <c r="AB1027" i="11" s="1"/>
  <c r="AF1027" i="11" s="1" a="1"/>
  <c r="AF1027" i="11" s="1"/>
  <c r="BA605" i="11"/>
  <c r="AB605" i="11" s="1"/>
  <c r="AA605" i="11" s="1"/>
  <c r="BA381" i="11"/>
  <c r="AB381" i="11" s="1"/>
  <c r="AA381" i="11" s="1"/>
  <c r="BA1439" i="11"/>
  <c r="AB1439" i="11" s="1"/>
  <c r="AA1439" i="11" s="1"/>
  <c r="BA1864" i="11"/>
  <c r="AB1864" i="11" s="1"/>
  <c r="AD1864" i="11" s="1" a="1"/>
  <c r="AD1864" i="11" s="1"/>
  <c r="AE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A505" i="11" s="1"/>
  <c r="AD874" i="11" a="1"/>
  <c r="AD874" i="11" s="1"/>
  <c r="AE874" i="11" s="1"/>
  <c r="AD1714" i="11" a="1"/>
  <c r="AD1714" i="11" s="1"/>
  <c r="AE1714"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D1906" i="11" s="1" a="1"/>
  <c r="AD1906" i="11" s="1"/>
  <c r="AE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AD1062" i="11" s="1" a="1"/>
  <c r="AD1062" i="11" s="1"/>
  <c r="AE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D1791" i="11" s="1" a="1"/>
  <c r="AD1791" i="11" s="1"/>
  <c r="AE1791" i="11" s="1"/>
  <c r="BA240" i="11"/>
  <c r="AB240" i="11" s="1"/>
  <c r="AF240" i="11" s="1" a="1"/>
  <c r="AF240" i="11" s="1"/>
  <c r="BA697" i="11"/>
  <c r="AB697" i="11" s="1"/>
  <c r="AD697" i="11" s="1" a="1"/>
  <c r="AD697" i="11" s="1"/>
  <c r="AE697" i="11" s="1"/>
  <c r="BA203" i="11"/>
  <c r="AB203" i="11" s="1"/>
  <c r="AA203" i="11" s="1"/>
  <c r="BA176" i="11"/>
  <c r="AB176" i="11" s="1"/>
  <c r="AA176" i="11" s="1"/>
  <c r="BA665" i="11"/>
  <c r="AB665" i="11" s="1"/>
  <c r="AA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AA1879" i="11" s="1"/>
  <c r="BA675" i="11"/>
  <c r="AB675" i="11" s="1"/>
  <c r="AA675" i="11" s="1"/>
  <c r="BA1887" i="11"/>
  <c r="AB1887" i="11" s="1"/>
  <c r="AD1887" i="11" s="1" a="1"/>
  <c r="AD1887" i="11" s="1"/>
  <c r="AE1887" i="11" s="1"/>
  <c r="BA1115" i="11"/>
  <c r="AB1115" i="11" s="1"/>
  <c r="AA1115" i="11" s="1"/>
  <c r="BA1031" i="11"/>
  <c r="AB1031" i="11" s="1"/>
  <c r="AA1031" i="11" s="1"/>
  <c r="BA357" i="11"/>
  <c r="AB357" i="11" s="1"/>
  <c r="AD357" i="11" s="1" a="1"/>
  <c r="AD357" i="11" s="1"/>
  <c r="AE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F1449" i="11" s="1" a="1"/>
  <c r="AF1449" i="11" s="1"/>
  <c r="BA905" i="11"/>
  <c r="AB905" i="11" s="1"/>
  <c r="AF905" i="11" s="1" a="1"/>
  <c r="AF905" i="11" s="1"/>
  <c r="BA494" i="11"/>
  <c r="AB494" i="11" s="1"/>
  <c r="AF494" i="11" s="1" a="1"/>
  <c r="AF494" i="11" s="1"/>
  <c r="BA1768" i="11"/>
  <c r="AB1768" i="11" s="1"/>
  <c r="AA1768" i="11" s="1"/>
  <c r="BA302" i="11"/>
  <c r="AB302" i="11" s="1"/>
  <c r="AD302" i="11" s="1" a="1"/>
  <c r="AD302" i="11" s="1"/>
  <c r="AE302" i="11" s="1"/>
  <c r="BA985" i="11"/>
  <c r="AB985" i="11" s="1"/>
  <c r="AD985" i="11" s="1" a="1"/>
  <c r="AD985" i="11" s="1"/>
  <c r="AE985" i="11" s="1"/>
  <c r="BA1305" i="11"/>
  <c r="AB1305" i="11" s="1"/>
  <c r="AA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A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AA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D1596" i="11" s="1" a="1"/>
  <c r="AD1596" i="11" s="1"/>
  <c r="AE1596" i="11" s="1"/>
  <c r="BA1460" i="11"/>
  <c r="AB1460" i="11" s="1"/>
  <c r="AF1460" i="11" s="1" a="1"/>
  <c r="AF1460" i="11" s="1"/>
  <c r="BA573" i="11"/>
  <c r="AB573" i="11" s="1"/>
  <c r="AA573" i="11" s="1"/>
  <c r="BA169" i="11"/>
  <c r="AB169" i="11" s="1"/>
  <c r="AF169" i="11" s="1" a="1"/>
  <c r="AF169" i="11" s="1"/>
  <c r="BA635" i="11"/>
  <c r="AB635" i="11" s="1"/>
  <c r="AA635" i="11" s="1"/>
  <c r="BA580" i="11"/>
  <c r="AB580" i="11" s="1"/>
  <c r="AA580" i="11" s="1"/>
  <c r="BA1729" i="11"/>
  <c r="AB1729" i="11" s="1"/>
  <c r="AF1729" i="11" s="1" a="1"/>
  <c r="AF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AD197" i="11" s="1" a="1"/>
  <c r="AD197" i="11" s="1"/>
  <c r="AE197" i="11" s="1"/>
  <c r="BA1349" i="11"/>
  <c r="AB1349" i="11" s="1"/>
  <c r="AD1349" i="11" s="1" a="1"/>
  <c r="AD1349" i="11" s="1"/>
  <c r="AE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A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AD1733" i="11" s="1" a="1"/>
  <c r="AD1733" i="11" s="1"/>
  <c r="AE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D1996" i="11" s="1" a="1"/>
  <c r="AD1996" i="11" s="1"/>
  <c r="AE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A1947" i="11" s="1"/>
  <c r="BA195" i="11"/>
  <c r="AB195" i="11" s="1"/>
  <c r="AA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A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A386" i="11" s="1"/>
  <c r="BA1347" i="11"/>
  <c r="AB1347" i="11" s="1"/>
  <c r="AD1347" i="11" s="1" a="1"/>
  <c r="AD1347" i="11" s="1"/>
  <c r="AE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A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AF1223" i="11" s="1" a="1"/>
  <c r="AF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A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A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A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AA787" i="11" s="1"/>
  <c r="BA1653" i="11"/>
  <c r="AB1653" i="11" s="1"/>
  <c r="AF1653" i="11" s="1" a="1"/>
  <c r="AF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F766" i="11" s="1" a="1"/>
  <c r="AF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AA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A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A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A287" i="11" s="1"/>
  <c r="BA1854" i="11"/>
  <c r="AB1854" i="11" s="1"/>
  <c r="AF1854" i="11" s="1" a="1"/>
  <c r="AF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AA109" i="11" s="1"/>
  <c r="BA1304" i="11"/>
  <c r="AB1304" i="11" s="1"/>
  <c r="AA1304" i="11" s="1"/>
  <c r="BA137" i="11"/>
  <c r="AB137" i="11" s="1"/>
  <c r="AD137" i="11" s="1" a="1"/>
  <c r="AD137" i="11" s="1"/>
  <c r="AE137" i="11" s="1"/>
  <c r="BA336" i="11"/>
  <c r="AB336" i="11" s="1"/>
  <c r="AF336" i="11" s="1" a="1"/>
  <c r="AF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AF150" i="11" s="1" a="1"/>
  <c r="AF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AD1878" i="11" s="1" a="1"/>
  <c r="AD1878" i="11" s="1"/>
  <c r="AE1878" i="11" s="1"/>
  <c r="BA1686" i="11"/>
  <c r="AB1686" i="11" s="1"/>
  <c r="AF1686" i="11" s="1" a="1"/>
  <c r="AF1686" i="11" s="1"/>
  <c r="BA90" i="11"/>
  <c r="AB90" i="11" s="1"/>
  <c r="AD90" i="11" s="1" a="1"/>
  <c r="AD90" i="11" s="1"/>
  <c r="AE90" i="11" s="1"/>
  <c r="BA750" i="11"/>
  <c r="AB750" i="11" s="1"/>
  <c r="AD750" i="11" s="1" a="1"/>
  <c r="AD750" i="11" s="1"/>
  <c r="AE750" i="11" s="1"/>
  <c r="BA541" i="11"/>
  <c r="AB541" i="11" s="1"/>
  <c r="AA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AA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AA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AD1354" i="11" s="1" a="1"/>
  <c r="AD1354" i="11" s="1"/>
  <c r="AE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AD942" i="11" s="1" a="1"/>
  <c r="AD942" i="11" s="1"/>
  <c r="AE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A1475" i="11" s="1"/>
  <c r="BA638" i="11"/>
  <c r="AB638" i="11" s="1"/>
  <c r="BA1611" i="11"/>
  <c r="AB1611" i="11" s="1"/>
  <c r="BA1065" i="11"/>
  <c r="AB1065" i="11" s="1"/>
  <c r="AF1065" i="11" s="1" a="1"/>
  <c r="AF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AA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AA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AD615" i="11" s="1" a="1"/>
  <c r="AD615" i="11" s="1"/>
  <c r="AE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D114" i="11" s="1" a="1"/>
  <c r="AD114" i="11" s="1"/>
  <c r="AE114" i="11" s="1"/>
  <c r="BA1935" i="11"/>
  <c r="AB1935" i="11" s="1"/>
  <c r="AA1935" i="11" s="1"/>
  <c r="BA1754" i="11"/>
  <c r="AB1754" i="11" s="1"/>
  <c r="AA1754" i="11" s="1"/>
  <c r="BA907" i="11"/>
  <c r="AB907" i="11" s="1"/>
  <c r="AA907" i="11" s="1"/>
  <c r="BA288" i="11"/>
  <c r="AB288" i="11" s="1"/>
  <c r="AA288" i="11" s="1"/>
  <c r="BA1217" i="11"/>
  <c r="AB1217" i="11" s="1"/>
  <c r="AD1217" i="11" s="1" a="1"/>
  <c r="AD1217" i="11" s="1"/>
  <c r="AE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AA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AA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AA526" i="11" s="1"/>
  <c r="BA1753" i="11"/>
  <c r="AB1753" i="11" s="1"/>
  <c r="AA1753" i="11" s="1"/>
  <c r="BA873" i="11"/>
  <c r="AB873" i="11" s="1"/>
  <c r="AA873" i="11" s="1"/>
  <c r="BA971" i="11"/>
  <c r="AB971" i="11" s="1"/>
  <c r="AD971" i="11" s="1" a="1"/>
  <c r="AD971" i="11" s="1"/>
  <c r="AE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AA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AA1321" i="11" s="1"/>
  <c r="BA1244" i="11"/>
  <c r="AB1244" i="11" s="1"/>
  <c r="AA1244" i="11" s="1"/>
  <c r="BA550" i="11"/>
  <c r="AB550" i="11" s="1"/>
  <c r="AA550" i="11" s="1"/>
  <c r="BA23" i="11"/>
  <c r="AB23" i="11" s="1"/>
  <c r="AF23" i="11" s="1" a="1"/>
  <c r="AF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A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AA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AD1197" i="11" s="1" a="1"/>
  <c r="AD1197" i="11" s="1"/>
  <c r="AE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AD1058" i="11" s="1" a="1"/>
  <c r="AD1058" i="11" s="1"/>
  <c r="AE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A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524" i="11" a="1"/>
  <c r="AD524" i="11" s="1"/>
  <c r="AE524" i="11" s="1"/>
  <c r="AD101" i="11" a="1"/>
  <c r="AD101" i="11" s="1"/>
  <c r="AE101" i="11" s="1"/>
  <c r="AA1180" i="11"/>
  <c r="AD453" i="11" a="1"/>
  <c r="AD453" i="11" s="1"/>
  <c r="AE453" i="11" s="1"/>
  <c r="AD27" i="11" a="1"/>
  <c r="AD27" i="11" s="1"/>
  <c r="AE27"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456" i="11" a="1"/>
  <c r="AD456" i="11" s="1"/>
  <c r="AE456" i="11" s="1"/>
  <c r="AF1262" i="11" a="1"/>
  <c r="AF1262" i="11" s="1"/>
  <c r="AD447" i="11" a="1"/>
  <c r="AD447" i="11" s="1"/>
  <c r="AE447" i="11" s="1"/>
  <c r="AD648" i="11" a="1"/>
  <c r="AD648" i="11" s="1"/>
  <c r="AE648" i="11" s="1"/>
  <c r="AD19" i="11" a="1"/>
  <c r="AD19" i="11" s="1"/>
  <c r="AE19" i="11" s="1"/>
  <c r="AF117" i="11" a="1"/>
  <c r="AF117" i="11" s="1"/>
  <c r="AD1734" i="11" a="1"/>
  <c r="AD1734" i="11" s="1"/>
  <c r="AE1734" i="11" s="1"/>
  <c r="AF354" i="11" a="1"/>
  <c r="AF354" i="11" s="1"/>
  <c r="AD181" i="11" a="1"/>
  <c r="AD181" i="11" s="1"/>
  <c r="AE181" i="11" s="1"/>
  <c r="AF1303" i="11" a="1"/>
  <c r="AF1303" i="11" s="1"/>
  <c r="AA24" i="11"/>
  <c r="AD1126" i="11" a="1"/>
  <c r="AD1126" i="11" s="1"/>
  <c r="AE1126" i="11" s="1"/>
  <c r="AD1263" i="11" a="1"/>
  <c r="AD1263" i="11" s="1"/>
  <c r="AE1263" i="11" s="1"/>
  <c r="AD670" i="11" a="1"/>
  <c r="AD670" i="11" s="1"/>
  <c r="AE670" i="11" s="1"/>
  <c r="AD1378" i="11" a="1"/>
  <c r="AD1378" i="11" s="1"/>
  <c r="AE1378" i="11" s="1"/>
  <c r="AD513" i="11" a="1"/>
  <c r="AD513" i="11" s="1"/>
  <c r="AE513" i="11" s="1"/>
  <c r="AD370" i="11" a="1"/>
  <c r="AD370" i="11" s="1"/>
  <c r="AE370" i="11" s="1"/>
  <c r="AD649" i="11" a="1"/>
  <c r="AD649" i="11" s="1"/>
  <c r="AE649" i="11" s="1"/>
  <c r="AF504" i="11" a="1"/>
  <c r="AF504" i="11" s="1"/>
  <c r="AA1226" i="11"/>
  <c r="AF1222" i="11" a="1"/>
  <c r="AF1222" i="11" s="1"/>
  <c r="AA1801" i="11"/>
  <c r="AA1295" i="11"/>
  <c r="AA1084" i="11"/>
  <c r="AA1377" i="1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813" i="11" a="1"/>
  <c r="AF1813" i="11" s="1"/>
  <c r="AF1690" i="11" a="1"/>
  <c r="AF1690" i="11" s="1"/>
  <c r="AA837" i="11"/>
  <c r="AF88" i="11" a="1"/>
  <c r="AF88" i="11" s="1"/>
  <c r="AD1814" i="11" a="1"/>
  <c r="AD1814" i="11" s="1"/>
  <c r="AE1814" i="11" s="1"/>
  <c r="AD100" i="11" a="1"/>
  <c r="AD100" i="11" s="1"/>
  <c r="AE100" i="11" s="1"/>
  <c r="AD1402" i="11" a="1"/>
  <c r="AD1402" i="11" s="1"/>
  <c r="AE1402" i="11" s="1"/>
  <c r="AA75" i="11"/>
  <c r="AD1097" i="11" a="1"/>
  <c r="AD1097" i="11" s="1"/>
  <c r="AE1097" i="11" s="1"/>
  <c r="AA688" i="11"/>
  <c r="AD1580" i="11" a="1"/>
  <c r="AD1580" i="11" s="1"/>
  <c r="AE1580" i="11" s="1"/>
  <c r="AD713" i="11" a="1"/>
  <c r="AD713" i="11" s="1"/>
  <c r="AE713" i="11" s="1"/>
  <c r="AF510" i="11" a="1"/>
  <c r="AF510" i="11" s="1"/>
  <c r="AA1642" i="11"/>
  <c r="AD1860" i="11" a="1"/>
  <c r="AD1860" i="11" s="1"/>
  <c r="AE1860" i="11" s="1"/>
  <c r="AA316" i="11"/>
  <c r="AA229" i="11"/>
  <c r="AA1804" i="11"/>
  <c r="AA586" i="11"/>
  <c r="AA705" i="11"/>
  <c r="AA1193" i="11"/>
  <c r="AA420" i="11"/>
  <c r="AA1470" i="11"/>
  <c r="AA910" i="11"/>
  <c r="AA1959" i="11"/>
  <c r="AA143" i="11"/>
  <c r="AA1006" i="11"/>
  <c r="AA252" i="11"/>
  <c r="AA435" i="11"/>
  <c r="AA1862" i="11"/>
  <c r="AA931" i="11"/>
  <c r="AA784" i="11"/>
  <c r="AA575" i="11"/>
  <c r="AA1547" i="11"/>
  <c r="AA1017" i="11"/>
  <c r="AA999" i="11"/>
  <c r="AA1113" i="11"/>
  <c r="AA1273" i="11"/>
  <c r="AA1158" i="11"/>
  <c r="AA1199" i="11"/>
  <c r="AA1328" i="11"/>
  <c r="AA1137" i="11"/>
  <c r="AA701" i="11"/>
  <c r="AA620" i="11"/>
  <c r="AA594" i="11"/>
  <c r="AA1432" i="11"/>
  <c r="AA1016" i="11"/>
  <c r="AA1474" i="11"/>
  <c r="AA1769"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428" i="11"/>
  <c r="AA31" i="11"/>
  <c r="AF1940" i="11" a="1"/>
  <c r="AF1940" i="11" s="1"/>
  <c r="AA1050" i="11"/>
  <c r="AA492" i="11"/>
  <c r="AA753" i="11"/>
  <c r="AF1387" i="11" a="1"/>
  <c r="AF1387" i="11" s="1"/>
  <c r="AD1577" i="11" a="1"/>
  <c r="AD1577" i="11" s="1"/>
  <c r="AE1577" i="11" s="1"/>
  <c r="AA1130" i="11"/>
  <c r="AA597" i="11"/>
  <c r="AD839" i="11" a="1"/>
  <c r="AD839" i="11" s="1"/>
  <c r="AE839" i="11" s="1"/>
  <c r="AF1739" i="11" a="1"/>
  <c r="AF1739" i="11" s="1"/>
  <c r="AA1678" i="11"/>
  <c r="AF606" i="11" a="1"/>
  <c r="AF606" i="11" s="1"/>
  <c r="AF1621" i="11" a="1"/>
  <c r="AF1621" i="11" s="1"/>
  <c r="AA1985" i="11"/>
  <c r="AD392" i="11" a="1"/>
  <c r="AD392" i="11" s="1"/>
  <c r="AE392" i="11" s="1"/>
  <c r="AF1070" i="11" a="1"/>
  <c r="AF1070" i="11" s="1"/>
  <c r="AA1154" i="11"/>
  <c r="AA1881" i="11"/>
  <c r="AA1680"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895" i="11" a="1"/>
  <c r="AD895" i="11" s="1"/>
  <c r="AE895" i="11" s="1"/>
  <c r="AA806" i="11"/>
  <c r="AD417" i="11" a="1"/>
  <c r="AD417" i="11" s="1"/>
  <c r="AE417" i="11" s="1"/>
  <c r="AA1411" i="11"/>
  <c r="AA1635" i="11"/>
  <c r="AD797" i="11" a="1"/>
  <c r="AD797" i="11" s="1"/>
  <c r="AE797" i="11" s="1"/>
  <c r="AA1489" i="11"/>
  <c r="AF1658" i="11" a="1"/>
  <c r="AF1658" i="11" s="1"/>
  <c r="AA934" i="11"/>
  <c r="AF624" i="11" a="1"/>
  <c r="AF624" i="11" s="1"/>
  <c r="AD91" i="11" a="1"/>
  <c r="AD91" i="11" s="1"/>
  <c r="AE91" i="11" s="1"/>
  <c r="AF549" i="11" a="1"/>
  <c r="AF549" i="11" s="1"/>
  <c r="AA1450" i="11"/>
  <c r="AD1645" i="11" a="1"/>
  <c r="AD1645" i="11" s="1"/>
  <c r="AE1645" i="11" s="1"/>
  <c r="AD25" i="11" a="1"/>
  <c r="AD25" i="11" s="1"/>
  <c r="AE25" i="11" s="1"/>
  <c r="AA1572" i="11"/>
  <c r="AA1731" i="11"/>
  <c r="AD896" i="11" a="1"/>
  <c r="AD896" i="11" s="1"/>
  <c r="AE896" i="11" s="1"/>
  <c r="AA1983" i="11"/>
  <c r="AD1390" i="11" a="1"/>
  <c r="AD1390" i="11" s="1"/>
  <c r="AE1390" i="11" s="1"/>
  <c r="AF431" i="11" a="1"/>
  <c r="AF431" i="11" s="1"/>
  <c r="AF1400" i="11" a="1"/>
  <c r="AF1400" i="11" s="1"/>
  <c r="AD1463" i="11" a="1"/>
  <c r="AD1463" i="11" s="1"/>
  <c r="AE1463" i="11" s="1"/>
  <c r="AA1976" i="11"/>
  <c r="AA531" i="11"/>
  <c r="AD18" i="11" a="1"/>
  <c r="AD18" i="11" s="1"/>
  <c r="AE18" i="11" s="1"/>
  <c r="AA885" i="1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654" i="11" a="1"/>
  <c r="AF654" i="11" s="1"/>
  <c r="AD1136" i="11" a="1"/>
  <c r="AD1136" i="11" s="1"/>
  <c r="AE1136" i="11" s="1"/>
  <c r="AD898" i="11" a="1"/>
  <c r="AD898" i="11" s="1"/>
  <c r="AE898" i="11" s="1"/>
  <c r="AD1634" i="11" a="1"/>
  <c r="AD1634" i="11" s="1"/>
  <c r="AE1634" i="11" s="1"/>
  <c r="AD1717" i="11" a="1"/>
  <c r="AD1717" i="11" s="1"/>
  <c r="AE1717" i="11" s="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1187" i="11" a="1"/>
  <c r="AF1187" i="11" s="1"/>
  <c r="AD925" i="11" a="1"/>
  <c r="AD925" i="11" s="1"/>
  <c r="AE925" i="11" s="1"/>
  <c r="AA722" i="11"/>
  <c r="AD1451" i="11" a="1"/>
  <c r="AD1451" i="11" s="1"/>
  <c r="AE1451" i="11" s="1"/>
  <c r="AF661" i="11" a="1"/>
  <c r="AF661" i="11" s="1"/>
  <c r="AD1548" i="11" a="1"/>
  <c r="AD1548" i="11" s="1"/>
  <c r="AE1548" i="11" s="1"/>
  <c r="AD1395" i="11" a="1"/>
  <c r="AD1395" i="11" s="1"/>
  <c r="AE1395" i="11" s="1"/>
  <c r="AF1089" i="11" a="1"/>
  <c r="AF1089" i="11" s="1"/>
  <c r="AF1107" i="11" a="1"/>
  <c r="AF1107" i="11" s="1"/>
  <c r="AD537" i="11" a="1"/>
  <c r="AD537" i="11" s="1"/>
  <c r="AE537" i="11" s="1"/>
  <c r="AF730" i="11" a="1"/>
  <c r="AF730" i="11" s="1"/>
  <c r="AD625" i="11" a="1"/>
  <c r="AD625" i="11" s="1"/>
  <c r="AE625" i="11" s="1"/>
  <c r="AD776" i="11" a="1"/>
  <c r="AD776" i="11" s="1"/>
  <c r="AE776" i="11" s="1"/>
  <c r="AA660" i="11"/>
  <c r="AA1117" i="11"/>
  <c r="AF1064" i="11" a="1"/>
  <c r="AF1064" i="11" s="1"/>
  <c r="AD1643" i="11" a="1"/>
  <c r="AD1643" i="11" s="1"/>
  <c r="AE1643" i="11" s="1"/>
  <c r="AA87" i="11"/>
  <c r="AA94" i="11"/>
  <c r="AA1578" i="11"/>
  <c r="AF886" i="11" a="1"/>
  <c r="AF886" i="11" s="1"/>
  <c r="AD1607" i="11" a="1"/>
  <c r="AD1607" i="11" s="1"/>
  <c r="AE1607" i="11" s="1"/>
  <c r="AF951" i="11" a="1"/>
  <c r="AF951" i="11" s="1"/>
  <c r="AD614" i="11" a="1"/>
  <c r="AD614" i="11" s="1"/>
  <c r="AE614" i="11" s="1"/>
  <c r="AD1104" i="11" a="1"/>
  <c r="AD1104" i="11" s="1"/>
  <c r="AE1104" i="11" s="1"/>
  <c r="AA528" i="11"/>
  <c r="AD1270" i="11" a="1"/>
  <c r="AD1270" i="11" s="1"/>
  <c r="AE1270" i="11" s="1"/>
  <c r="AD520" i="11" a="1"/>
  <c r="AD520" i="11" s="1"/>
  <c r="AE520" i="11" s="1"/>
  <c r="AD307" i="11" a="1"/>
  <c r="AD307" i="11" s="1"/>
  <c r="AE307" i="11" s="1"/>
  <c r="AA1617" i="1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935" i="11"/>
  <c r="AA278" i="11"/>
  <c r="AD512" i="11" a="1"/>
  <c r="AD512" i="11" s="1"/>
  <c r="AE512" i="11" s="1"/>
  <c r="AD175" i="11" a="1"/>
  <c r="AD175" i="11" s="1"/>
  <c r="AE175" i="11" s="1"/>
  <c r="AA216" i="11"/>
  <c r="AF1723" i="11" a="1"/>
  <c r="AF1723" i="11" s="1"/>
  <c r="AD1949" i="11" a="1"/>
  <c r="AD1949" i="11" s="1"/>
  <c r="AE1949" i="11" s="1"/>
  <c r="AA1003" i="11"/>
  <c r="AA1763" i="11"/>
  <c r="AA347" i="11"/>
  <c r="AA339" i="11"/>
  <c r="AA1699" i="11"/>
  <c r="AA988" i="11"/>
  <c r="AA344" i="11"/>
  <c r="AA846" i="11"/>
  <c r="AA1938" i="11"/>
  <c r="AA685" i="11"/>
  <c r="AA1020" i="11"/>
  <c r="AA874" i="11"/>
  <c r="AA422" i="11"/>
  <c r="AA1900" i="11"/>
  <c r="AA265" i="11"/>
  <c r="AA1074" i="11"/>
  <c r="AA1437" i="11"/>
  <c r="AD308" i="11" a="1"/>
  <c r="AD308" i="11" s="1"/>
  <c r="AE308" i="11" s="1"/>
  <c r="AA1832" i="11"/>
  <c r="AA1506" i="11"/>
  <c r="AA1391" i="11"/>
  <c r="AA295" i="11"/>
  <c r="AD912" i="11" a="1"/>
  <c r="AD912" i="11" s="1"/>
  <c r="AE912" i="11" s="1"/>
  <c r="AA1930" i="11"/>
  <c r="AA378" i="11"/>
  <c r="AA1001" i="11"/>
  <c r="AA1054" i="11"/>
  <c r="AA1503" i="11"/>
  <c r="AA310" i="11"/>
  <c r="AA1340" i="11"/>
  <c r="AA350" i="11"/>
  <c r="AA1109" i="11"/>
  <c r="AA1259" i="11"/>
  <c r="AA147" i="11"/>
  <c r="AA1165" i="11"/>
  <c r="AA125" i="11"/>
  <c r="AA801" i="11"/>
  <c r="AA134" i="11"/>
  <c r="AA56" i="11"/>
  <c r="AA219" i="11"/>
  <c r="AA497" i="11"/>
  <c r="AA1974" i="11"/>
  <c r="AA1075" i="11"/>
  <c r="AA1166" i="11"/>
  <c r="AA372" i="11"/>
  <c r="AA1288" i="11"/>
  <c r="AD391" i="11" a="1"/>
  <c r="AD391" i="11" s="1"/>
  <c r="AE391" i="11" s="1"/>
  <c r="AD1167" i="11" a="1"/>
  <c r="AD1167" i="11" s="1"/>
  <c r="AE1167" i="11" s="1"/>
  <c r="AA557" i="11"/>
  <c r="AA785" i="11"/>
  <c r="AD78" i="11" a="1"/>
  <c r="AD78" i="11" s="1"/>
  <c r="AE78" i="11" s="1"/>
  <c r="AA39" i="11"/>
  <c r="AA817" i="11"/>
  <c r="AA1756" i="11"/>
  <c r="AD1822" i="11" a="1"/>
  <c r="AD1822" i="11" s="1"/>
  <c r="AE1822" i="11" s="1"/>
  <c r="AD22" i="11" a="1"/>
  <c r="AD22" i="11" s="1"/>
  <c r="AE22" i="11" s="1"/>
  <c r="AA658" i="11"/>
  <c r="AD360" i="11" a="1"/>
  <c r="AD360" i="11" s="1"/>
  <c r="AE360" i="11" s="1"/>
  <c r="AA814" i="11"/>
  <c r="AA788" i="11"/>
  <c r="AA1564" i="11"/>
  <c r="AA836" i="11"/>
  <c r="AF348" i="11" a="1"/>
  <c r="AF348" i="11" s="1"/>
  <c r="AF1641" i="11" a="1"/>
  <c r="AF1641" i="11" s="1"/>
  <c r="AA1045" i="11"/>
  <c r="AF1443" i="11" a="1"/>
  <c r="AF1443" i="11" s="1"/>
  <c r="AA1595" i="11"/>
  <c r="AD464" i="11" a="1"/>
  <c r="AD464" i="11" s="1"/>
  <c r="AE464" i="11" s="1"/>
  <c r="AD1598" i="11" a="1"/>
  <c r="AD1598" i="11" s="1"/>
  <c r="AE1598" i="11" s="1"/>
  <c r="AF767" i="11" a="1"/>
  <c r="AF767" i="11" s="1"/>
  <c r="AA1268" i="11"/>
  <c r="AF1456" i="11" a="1"/>
  <c r="AF1456" i="11" s="1"/>
  <c r="AF1445" i="11" a="1"/>
  <c r="AF1445" i="11" s="1"/>
  <c r="AD844" i="11" a="1"/>
  <c r="AD844" i="11" s="1"/>
  <c r="AE844" i="11" s="1"/>
  <c r="AD613" i="11" a="1"/>
  <c r="AD613" i="11" s="1"/>
  <c r="AE613" i="11" s="1"/>
  <c r="AA530" i="11"/>
  <c r="AA1726" i="11"/>
  <c r="AF1297" i="11" a="1"/>
  <c r="AF1297" i="11" s="1"/>
  <c r="AD1482" i="11" a="1"/>
  <c r="AD1482" i="11" s="1"/>
  <c r="AE1482" i="11" s="1"/>
  <c r="AF779" i="11" a="1"/>
  <c r="AF779" i="11" s="1"/>
  <c r="AF68" i="11" a="1"/>
  <c r="AF68" i="11" s="1"/>
  <c r="AA1727" i="11"/>
  <c r="AD1168" i="11" a="1"/>
  <c r="AD1168" i="11" s="1"/>
  <c r="AE1168" i="11" s="1"/>
  <c r="AA1656" i="11"/>
  <c r="AF1358" i="11" a="1"/>
  <c r="AF1358" i="11" s="1"/>
  <c r="AF1968" i="11" a="1"/>
  <c r="AF1968" i="11" s="1"/>
  <c r="AA346" i="11"/>
  <c r="AD562" i="11" a="1"/>
  <c r="AD562" i="11" s="1"/>
  <c r="AE562" i="11" s="1"/>
  <c r="AD1024" i="11" a="1"/>
  <c r="AD1024" i="11" s="1"/>
  <c r="AE1024" i="11" s="1"/>
  <c r="AF205" i="11" a="1"/>
  <c r="AF205" i="11" s="1"/>
  <c r="AD1936" i="11" a="1"/>
  <c r="AD1936" i="11" s="1"/>
  <c r="AE1936" i="11" s="1"/>
  <c r="AF1877" i="11" a="1"/>
  <c r="AF1877" i="11" s="1"/>
  <c r="AF1714" i="11" a="1"/>
  <c r="AF1714" i="11" s="1"/>
  <c r="AF1281" i="11" a="1"/>
  <c r="AF1281" i="11" s="1"/>
  <c r="AF664" i="11" a="1"/>
  <c r="AF664" i="11" s="1"/>
  <c r="AD1323" i="11" a="1"/>
  <c r="AD1323" i="11" s="1"/>
  <c r="AE1323" i="11" s="1"/>
  <c r="AA1261" i="11"/>
  <c r="AF1106" i="11" a="1"/>
  <c r="AF1106" i="11" s="1"/>
  <c r="AA941" i="11"/>
  <c r="AD1409" i="11" a="1"/>
  <c r="AD1409" i="11" s="1"/>
  <c r="AE1409" i="11" s="1"/>
  <c r="AD213" i="11" a="1"/>
  <c r="AD213" i="11" s="1"/>
  <c r="AE213" i="11" s="1"/>
  <c r="AA631" i="11"/>
  <c r="AF786" i="11" a="1"/>
  <c r="AF786" i="11" s="1"/>
  <c r="AF163" i="11" a="1"/>
  <c r="AF163" i="11" s="1"/>
  <c r="AF1857" i="11" a="1"/>
  <c r="AF1857" i="11" s="1"/>
  <c r="AA34" i="11"/>
  <c r="AD330" i="11" a="1"/>
  <c r="AD330" i="11" s="1"/>
  <c r="AE330" i="11" s="1"/>
  <c r="AA1492" i="11"/>
  <c r="AD1209" i="11" a="1"/>
  <c r="AD1209" i="11" s="1"/>
  <c r="AE1209" i="11" s="1"/>
  <c r="AA231" i="11"/>
  <c r="AA1105" i="11"/>
  <c r="AD1300" i="11" a="1"/>
  <c r="AD1300" i="11" s="1"/>
  <c r="AE1300" i="11" s="1"/>
  <c r="AA388" i="11"/>
  <c r="AD448" i="11" a="1"/>
  <c r="AD448" i="11" s="1"/>
  <c r="AE448" i="11" s="1"/>
  <c r="AA1359" i="11"/>
  <c r="AA1758" i="11"/>
  <c r="AF1208" i="11" a="1"/>
  <c r="AF1208" i="11" s="1"/>
  <c r="AD1177" i="11" a="1"/>
  <c r="AD1177" i="11" s="1"/>
  <c r="AE1177" i="11" s="1"/>
  <c r="AF1710" i="11" a="1"/>
  <c r="AF1710" i="11" s="1"/>
  <c r="AD991" i="11" a="1"/>
  <c r="AD991" i="11" s="1"/>
  <c r="AE991" i="11" s="1"/>
  <c r="AF1781" i="11" a="1"/>
  <c r="AF1781" i="11" s="1"/>
  <c r="AD1286" i="11" a="1"/>
  <c r="AD1286" i="11" s="1"/>
  <c r="AE1286" i="11" s="1"/>
  <c r="AD194" i="11" a="1"/>
  <c r="AD194" i="11" s="1"/>
  <c r="AE194" i="11" s="1"/>
  <c r="AD857" i="11" a="1"/>
  <c r="AD857" i="11" s="1"/>
  <c r="AE857" i="11" s="1"/>
  <c r="AD733" i="11" a="1"/>
  <c r="AD733" i="11" s="1"/>
  <c r="AE733" i="11" s="1"/>
  <c r="AD383" i="11" a="1"/>
  <c r="AD383" i="11" s="1"/>
  <c r="AE383" i="11" s="1"/>
  <c r="AD402" i="11" a="1"/>
  <c r="AD402" i="11" s="1"/>
  <c r="AE402" i="11" s="1"/>
  <c r="AD314" i="11" a="1"/>
  <c r="AD314" i="11" s="1"/>
  <c r="AE314" i="11" s="1"/>
  <c r="AA729" i="11"/>
  <c r="AD1966" i="11" a="1"/>
  <c r="AD1966" i="11" s="1"/>
  <c r="AE1966" i="11" s="1"/>
  <c r="AD1234" i="11" a="1"/>
  <c r="AD1234" i="11" s="1"/>
  <c r="AE1234" i="11" s="1"/>
  <c r="AA129" i="11"/>
  <c r="AF1131" i="11" a="1"/>
  <c r="AF1131" i="11" s="1"/>
  <c r="AF1119" i="11" a="1"/>
  <c r="AF1119" i="11" s="1"/>
  <c r="AF1227" i="11" a="1"/>
  <c r="AF1227" i="11" s="1"/>
  <c r="AA1219" i="11"/>
  <c r="AD1929" i="11" a="1"/>
  <c r="AD1929" i="11" s="1"/>
  <c r="AE1929" i="11" s="1"/>
  <c r="AD1417" i="11" a="1"/>
  <c r="AD1417" i="11" s="1"/>
  <c r="AE1417" i="11" s="1"/>
  <c r="AD1957" i="11" a="1"/>
  <c r="AD1957" i="11" s="1"/>
  <c r="AE1957" i="11" s="1"/>
  <c r="AA220" i="11"/>
  <c r="AD1934" i="11" a="1"/>
  <c r="AD1934" i="11" s="1"/>
  <c r="AE1934" i="11" s="1"/>
  <c r="AF247" i="11" a="1"/>
  <c r="AF247" i="11" s="1"/>
  <c r="AD1810" i="11" a="1"/>
  <c r="AD1810" i="11" s="1"/>
  <c r="AE1810" i="11" s="1"/>
  <c r="AF225" i="11" a="1"/>
  <c r="AF225" i="11" s="1"/>
  <c r="AD1993" i="11" a="1"/>
  <c r="AD1993" i="11" s="1"/>
  <c r="AE1993" i="11" s="1"/>
  <c r="AA732" i="11"/>
  <c r="AD1803" i="11" a="1"/>
  <c r="AD1803" i="11" s="1"/>
  <c r="AE1803" i="11" s="1"/>
  <c r="AA1220" i="11"/>
  <c r="AF795" i="11" a="1"/>
  <c r="AF795" i="11" s="1"/>
  <c r="AA1186" i="11"/>
  <c r="AD54" i="11" a="1"/>
  <c r="AD54" i="11" s="1"/>
  <c r="AE54" i="11" s="1"/>
  <c r="AD1348" i="11" a="1"/>
  <c r="AD1348" i="11" s="1"/>
  <c r="AE1348" i="11" s="1"/>
  <c r="AA1931" i="11"/>
  <c r="AD412" i="11" a="1"/>
  <c r="AD412" i="11" s="1"/>
  <c r="AE412" i="11" s="1"/>
  <c r="AD1659" i="11" a="1"/>
  <c r="AD1659" i="11" s="1"/>
  <c r="AE1659" i="11" s="1"/>
  <c r="AD430" i="11" a="1"/>
  <c r="AD430" i="11" s="1"/>
  <c r="AE430" i="11" s="1"/>
  <c r="AD182" i="11" a="1"/>
  <c r="AD182" i="11" s="1"/>
  <c r="AE182" i="11" s="1"/>
  <c r="AF629" i="11" a="1"/>
  <c r="AF629" i="11" s="1"/>
  <c r="AF1037" i="11" a="1"/>
  <c r="AF1037" i="11" s="1"/>
  <c r="AA81" i="11"/>
  <c r="AA1652" i="11"/>
  <c r="AA1277" i="11"/>
  <c r="AA696" i="11"/>
  <c r="AA1687" i="11"/>
  <c r="AA1287" i="11"/>
  <c r="AA1682" i="11"/>
  <c r="AA642" i="11"/>
  <c r="AA863" i="11"/>
  <c r="AA853" i="11"/>
  <c r="AA536" i="11"/>
  <c r="AA1787" i="11"/>
  <c r="AA1780" i="11"/>
  <c r="AA297" i="11"/>
  <c r="AA821" i="11"/>
  <c r="AA37" i="11"/>
  <c r="AA1077" i="11"/>
  <c r="AD1856" i="11" a="1"/>
  <c r="AD1856" i="11" s="1"/>
  <c r="AE1856" i="11" s="1"/>
  <c r="AD1478" i="11" a="1"/>
  <c r="AD1478" i="11" s="1"/>
  <c r="AE1478" i="11" s="1"/>
  <c r="AF1734" i="11" a="1"/>
  <c r="AF1734" i="11" s="1"/>
  <c r="AF631" i="11" a="1"/>
  <c r="AF631" i="11" s="1"/>
  <c r="AA1209" i="11"/>
  <c r="AF1126" i="11" a="1"/>
  <c r="AF1126" i="11" s="1"/>
  <c r="AF448" i="11" a="1"/>
  <c r="AF448" i="11" s="1"/>
  <c r="AF181" i="11" a="1"/>
  <c r="AF181" i="11" s="1"/>
  <c r="AF1105" i="11" a="1"/>
  <c r="AF1105" i="11" s="1"/>
  <c r="AF1492" i="11" a="1"/>
  <c r="AF1492" i="11" s="1"/>
  <c r="AA648" i="11"/>
  <c r="AD1758" i="11" a="1"/>
  <c r="AD1758" i="11" s="1"/>
  <c r="AE1758" i="11" s="1"/>
  <c r="AF231" i="11" a="1"/>
  <c r="AF231" i="11" s="1"/>
  <c r="AD1208" i="11" a="1"/>
  <c r="AD1208" i="11" s="1"/>
  <c r="AE1208" i="11" s="1"/>
  <c r="AD1857" i="11" a="1"/>
  <c r="AD1857" i="11" s="1"/>
  <c r="AE1857" i="11" s="1"/>
  <c r="AF1261" i="11" a="1"/>
  <c r="AF1261" i="11" s="1"/>
  <c r="AD1968" i="11" a="1"/>
  <c r="AD1968" i="11" s="1"/>
  <c r="AE1968" i="11" s="1"/>
  <c r="AA1024" i="11"/>
  <c r="AF1323" i="11" a="1"/>
  <c r="AF1323" i="11" s="1"/>
  <c r="AD664" i="11" a="1"/>
  <c r="AD664" i="11" s="1"/>
  <c r="AE664" i="11" s="1"/>
  <c r="AF346" i="11" a="1"/>
  <c r="AF346" i="11" s="1"/>
  <c r="AF1024" i="11" a="1"/>
  <c r="AF1024" i="11" s="1"/>
  <c r="AD346" i="11" a="1"/>
  <c r="AD346" i="11" s="1"/>
  <c r="AE346" i="11" s="1"/>
  <c r="AA181" i="11"/>
  <c r="AF330" i="11" a="1"/>
  <c r="AF330" i="11" s="1"/>
  <c r="AD117" i="11" a="1"/>
  <c r="AD117" i="11" s="1"/>
  <c r="AE117" i="11" s="1"/>
  <c r="AA117" i="11"/>
  <c r="AA786" i="11"/>
  <c r="AF1226" i="11" a="1"/>
  <c r="AF1226" i="11" s="1"/>
  <c r="AD1359" i="11" a="1"/>
  <c r="AD1359" i="11" s="1"/>
  <c r="AE1359" i="11" s="1"/>
  <c r="AD1226" i="11" a="1"/>
  <c r="AD1226" i="11" s="1"/>
  <c r="AE1226" i="11" s="1"/>
  <c r="AD163" i="11" a="1"/>
  <c r="AD163" i="11" s="1"/>
  <c r="AE163" i="11" s="1"/>
  <c r="AF278" i="11" a="1"/>
  <c r="AF278" i="11" s="1"/>
  <c r="AD871" i="11" a="1"/>
  <c r="AD871" i="11" s="1"/>
  <c r="AE871" i="11" s="1"/>
  <c r="AD1084" i="11" a="1"/>
  <c r="AD1084" i="11" s="1"/>
  <c r="AE1084" i="11" s="1"/>
  <c r="AF1003" i="11" a="1"/>
  <c r="AF1003" i="11" s="1"/>
  <c r="AD1003" i="11" a="1"/>
  <c r="AD1003" i="11" s="1"/>
  <c r="AE1003" i="11" s="1"/>
  <c r="AA1323" i="11"/>
  <c r="AA1877" i="11"/>
  <c r="AF1830" i="11" a="1"/>
  <c r="AF1830" i="11" s="1"/>
  <c r="AA447" i="11"/>
  <c r="AF648" i="11" a="1"/>
  <c r="AF648" i="11" s="1"/>
  <c r="AA354" i="11"/>
  <c r="AD504" i="11" a="1"/>
  <c r="AD504" i="11" s="1"/>
  <c r="AE504" i="11" s="1"/>
  <c r="AD631" i="11" a="1"/>
  <c r="AD631" i="11" s="1"/>
  <c r="AE631" i="11" s="1"/>
  <c r="AD1262" i="11" a="1"/>
  <c r="AD1262" i="11" s="1"/>
  <c r="AE1262" i="11" s="1"/>
  <c r="AF19" i="11" a="1"/>
  <c r="AF19" i="11" s="1"/>
  <c r="AA370" i="11"/>
  <c r="AA448" i="11"/>
  <c r="AA513" i="11"/>
  <c r="AA19" i="11"/>
  <c r="AA163" i="11"/>
  <c r="AA1262" i="11"/>
  <c r="AF213" i="11" a="1"/>
  <c r="AF213" i="11" s="1"/>
  <c r="AD354" i="11" a="1"/>
  <c r="AD354" i="11" s="1"/>
  <c r="AE354" i="11" s="1"/>
  <c r="AF1758" i="11" a="1"/>
  <c r="AF1758" i="11" s="1"/>
  <c r="AD786" i="11" a="1"/>
  <c r="AD786" i="11" s="1"/>
  <c r="AE786" i="11" s="1"/>
  <c r="AF370" i="11" a="1"/>
  <c r="AF370" i="11" s="1"/>
  <c r="AA1857" i="11"/>
  <c r="AF1263" i="11" a="1"/>
  <c r="AF1263" i="11" s="1"/>
  <c r="AD94" i="11" a="1"/>
  <c r="AD94" i="11" s="1"/>
  <c r="AE94" i="11" s="1"/>
  <c r="AF1656" i="11" a="1"/>
  <c r="AF1656" i="11" s="1"/>
  <c r="AA1936" i="11"/>
  <c r="AD1106" i="11" a="1"/>
  <c r="AD1106" i="11" s="1"/>
  <c r="AE1106" i="11" s="1"/>
  <c r="AA664" i="11"/>
  <c r="AD1261" i="11" a="1"/>
  <c r="AD1261" i="11" s="1"/>
  <c r="AE1261" i="11" s="1"/>
  <c r="AA91" i="11"/>
  <c r="AD1976" i="11" a="1"/>
  <c r="AD1976" i="11" s="1"/>
  <c r="AE1976" i="11" s="1"/>
  <c r="AF1450" i="11" a="1"/>
  <c r="AF1450" i="11" s="1"/>
  <c r="AF1731" i="11" a="1"/>
  <c r="AF1731" i="11" s="1"/>
  <c r="AF1976" i="11" a="1"/>
  <c r="AF1976" i="11" s="1"/>
  <c r="AD1489" i="11" a="1"/>
  <c r="AD1489" i="11" s="1"/>
  <c r="AE1489" i="11" s="1"/>
  <c r="AD1450" i="11" a="1"/>
  <c r="AD1450" i="11" s="1"/>
  <c r="AE1450" i="11" s="1"/>
  <c r="AD1731" i="11" a="1"/>
  <c r="AD1731" i="11" s="1"/>
  <c r="AE1731" i="11" s="1"/>
  <c r="AD1658" i="11" a="1"/>
  <c r="AD1658" i="11" s="1"/>
  <c r="AE1658" i="11" s="1"/>
  <c r="AA549" i="11"/>
  <c r="AD1983" i="11" a="1"/>
  <c r="AD1983" i="11" s="1"/>
  <c r="AE1983" i="11" s="1"/>
  <c r="AD176" i="11" a="1"/>
  <c r="AD176" i="11" s="1"/>
  <c r="AE176" i="11" s="1"/>
  <c r="AD1411" i="11" a="1"/>
  <c r="AD1411" i="11" s="1"/>
  <c r="AE1411" i="11" s="1"/>
  <c r="AA524" i="11"/>
  <c r="AF1983" i="11" a="1"/>
  <c r="AF1983" i="11" s="1"/>
  <c r="AA896" i="11"/>
  <c r="AF896" i="11" a="1"/>
  <c r="AF896" i="11" s="1"/>
  <c r="AF524" i="11" a="1"/>
  <c r="AF524" i="11" s="1"/>
  <c r="AD531" i="11" a="1"/>
  <c r="AD531" i="11" s="1"/>
  <c r="AE531" i="11" s="1"/>
  <c r="AF234" i="11" a="1"/>
  <c r="AF234" i="11" s="1"/>
  <c r="AD234" i="11" a="1"/>
  <c r="AD234" i="11" s="1"/>
  <c r="AE234" i="11" s="1"/>
  <c r="AF553" i="11" a="1"/>
  <c r="AF553" i="11" s="1"/>
  <c r="AD553" i="11" a="1"/>
  <c r="AD553" i="11" s="1"/>
  <c r="AE553" i="11" s="1"/>
  <c r="AF1360" i="11" a="1"/>
  <c r="AF1360" i="11" s="1"/>
  <c r="AA1360" i="11"/>
  <c r="AA1702" i="11"/>
  <c r="AD1702" i="11" a="1"/>
  <c r="AD1702" i="11" s="1"/>
  <c r="AE1702" i="11" s="1"/>
  <c r="AF1831" i="11" a="1"/>
  <c r="AF1831" i="11" s="1"/>
  <c r="AD1831" i="11" a="1"/>
  <c r="AD1831" i="11" s="1"/>
  <c r="AE1831" i="11" s="1"/>
  <c r="AF885" i="11" a="1"/>
  <c r="AF885" i="11" s="1"/>
  <c r="AD885" i="11" a="1"/>
  <c r="AD885" i="11" s="1"/>
  <c r="AE885" i="11" s="1"/>
  <c r="AD1858" i="11" a="1"/>
  <c r="AD1858" i="11" s="1"/>
  <c r="AE1858" i="11" s="1"/>
  <c r="AA1858" i="11"/>
  <c r="AF589" i="11" a="1"/>
  <c r="AF589" i="11" s="1"/>
  <c r="AA1390" i="1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F204" i="11" a="1"/>
  <c r="AF204" i="11" s="1"/>
  <c r="AD204" i="11" a="1"/>
  <c r="AD204" i="11" s="1"/>
  <c r="AE204" i="11" s="1"/>
  <c r="AA204" i="11"/>
  <c r="AD1994" i="11" a="1"/>
  <c r="AD1994" i="11" s="1"/>
  <c r="AE1994" i="11" s="1"/>
  <c r="AF1994" i="11" a="1"/>
  <c r="AF1994" i="11" s="1"/>
  <c r="AA820" i="11"/>
  <c r="AA431" i="11"/>
  <c r="AD431" i="11" a="1"/>
  <c r="AD431" i="11" s="1"/>
  <c r="AE431" i="11" s="1"/>
  <c r="AA926" i="11"/>
  <c r="AD926" i="11" a="1"/>
  <c r="AD926" i="11" s="1"/>
  <c r="AE926" i="11" s="1"/>
  <c r="AF926" i="11" a="1"/>
  <c r="AF926" i="11" s="1"/>
  <c r="AF1463" i="11" a="1"/>
  <c r="AF1463" i="11" s="1"/>
  <c r="AA1463" i="11"/>
  <c r="AD650" i="11" a="1"/>
  <c r="AD650" i="11" s="1"/>
  <c r="AE650" i="11" s="1"/>
  <c r="AA25" i="11"/>
  <c r="AA18" i="11"/>
  <c r="AD766" i="11" a="1"/>
  <c r="AD766" i="11" s="1"/>
  <c r="AE766" i="11" s="1"/>
  <c r="AF511" i="11" a="1"/>
  <c r="AF511" i="11" s="1"/>
  <c r="AF197" i="11" a="1"/>
  <c r="AF197" i="11" s="1"/>
  <c r="AD806" i="11" a="1"/>
  <c r="AD806" i="11" s="1"/>
  <c r="AE806" i="11" s="1"/>
  <c r="AD1288" i="11" a="1"/>
  <c r="AD1288" i="11" s="1"/>
  <c r="AE1288" i="11" s="1"/>
  <c r="AA1138" i="11"/>
  <c r="AF955" i="11" a="1"/>
  <c r="AF955" i="11" s="1"/>
  <c r="AD955" i="11" a="1"/>
  <c r="AD955" i="11" s="1"/>
  <c r="AE955" i="11" s="1"/>
  <c r="AA955" i="11"/>
  <c r="AA612" i="11"/>
  <c r="AD612" i="11" a="1"/>
  <c r="AD612" i="11" s="1"/>
  <c r="AE612" i="11" s="1"/>
  <c r="AF612" i="11" a="1"/>
  <c r="AF612" i="11" s="1"/>
  <c r="AF1068" i="11" a="1"/>
  <c r="AF1068" i="11" s="1"/>
  <c r="AA1068" i="11"/>
  <c r="AD1068" i="11" a="1"/>
  <c r="AD1068" i="11" s="1"/>
  <c r="AE1068" i="11" s="1"/>
  <c r="AF59" i="11" a="1"/>
  <c r="AF59" i="11" s="1"/>
  <c r="AD59" i="11" a="1"/>
  <c r="AD59" i="11" s="1"/>
  <c r="AE59" i="11" s="1"/>
  <c r="AA59" i="11"/>
  <c r="AA351" i="11"/>
  <c r="AD351" i="11" a="1"/>
  <c r="AD351" i="11" s="1"/>
  <c r="AE351" i="11" s="1"/>
  <c r="AF351" i="11" a="1"/>
  <c r="AF351" i="11" s="1"/>
  <c r="AD1975" i="11" a="1"/>
  <c r="AD1975" i="11" s="1"/>
  <c r="AE1975" i="11" s="1"/>
  <c r="AF1975" i="11" a="1"/>
  <c r="AF1975" i="11" s="1"/>
  <c r="AA1975" i="11"/>
  <c r="AD1400" i="11" a="1"/>
  <c r="AD1400" i="11" s="1"/>
  <c r="AE1400" i="11" s="1"/>
  <c r="AA1400" i="11"/>
  <c r="AD1051" i="11" a="1"/>
  <c r="AD1051" i="11" s="1"/>
  <c r="AE1051" i="11" s="1"/>
  <c r="AA1051" i="11"/>
  <c r="AF1051" i="11" a="1"/>
  <c r="AF1051" i="11" s="1"/>
  <c r="AF464" i="11" a="1"/>
  <c r="AF464" i="11" s="1"/>
  <c r="AA464" i="11"/>
  <c r="AF18" i="11" a="1"/>
  <c r="AF18" i="11" s="1"/>
  <c r="AF1139" i="11" a="1"/>
  <c r="AF1139" i="11" s="1"/>
  <c r="AA1645" i="11"/>
  <c r="AF25" i="11" a="1"/>
  <c r="AF25" i="11" s="1"/>
  <c r="AF1390" i="11" a="1"/>
  <c r="AF1390" i="11" s="1"/>
  <c r="AF91" i="11" a="1"/>
  <c r="AF91" i="11" s="1"/>
  <c r="AD549" i="11" a="1"/>
  <c r="AD549" i="11" s="1"/>
  <c r="AE549" i="11" s="1"/>
  <c r="AF1645" i="11" a="1"/>
  <c r="AF1645" i="11" s="1"/>
  <c r="AA1831" i="11"/>
  <c r="AF806" i="11" a="1"/>
  <c r="AF806" i="11" s="1"/>
  <c r="AF531" i="11" a="1"/>
  <c r="AF531" i="11" s="1"/>
  <c r="AF1860" i="11" a="1"/>
  <c r="AF1860" i="11" s="1"/>
  <c r="AD228" i="11" a="1"/>
  <c r="AD228" i="11" s="1"/>
  <c r="AE228" i="11" s="1"/>
  <c r="AA1523" i="11"/>
  <c r="AF1635" i="11" a="1"/>
  <c r="AF1635" i="11" s="1"/>
  <c r="AF1489" i="11" a="1"/>
  <c r="AF1489" i="11" s="1"/>
  <c r="AD1360" i="11" a="1"/>
  <c r="AD1360" i="11" s="1"/>
  <c r="AE1360" i="11" s="1"/>
  <c r="AA1658" i="11"/>
  <c r="AD934" i="11" a="1"/>
  <c r="AD934" i="11" s="1"/>
  <c r="AE934" i="11" s="1"/>
  <c r="AA797" i="11"/>
  <c r="AA1030" i="11"/>
  <c r="AD193" i="11" a="1"/>
  <c r="AD193" i="11" s="1"/>
  <c r="AE193" i="11" s="1"/>
  <c r="AD1588" i="11" a="1"/>
  <c r="AD1588" i="11" s="1"/>
  <c r="AE1588" i="11" s="1"/>
  <c r="AA1994" i="11"/>
  <c r="AA553" i="11"/>
  <c r="AA417" i="11"/>
  <c r="AF1858" i="11" a="1"/>
  <c r="AF1858" i="11" s="1"/>
  <c r="AF934" i="11" a="1"/>
  <c r="AF934" i="11" s="1"/>
  <c r="AF797" i="11" a="1"/>
  <c r="AF797" i="11" s="1"/>
  <c r="AF1030" i="11" a="1"/>
  <c r="AF1030" i="11" s="1"/>
  <c r="AF917" i="11" a="1"/>
  <c r="AF917" i="11" s="1"/>
  <c r="AF417" i="11" a="1"/>
  <c r="AF417" i="11" s="1"/>
  <c r="AF1702" i="11" a="1"/>
  <c r="AF1702" i="11" s="1"/>
  <c r="AA624" i="11"/>
  <c r="AF1572" i="11" a="1"/>
  <c r="AF1572" i="11" s="1"/>
  <c r="AD1692" i="11" a="1"/>
  <c r="AD1692" i="11" s="1"/>
  <c r="AE1692" i="11" s="1"/>
  <c r="AD1572" i="11" a="1"/>
  <c r="AD1572" i="11" s="1"/>
  <c r="AE1572" i="11" s="1"/>
  <c r="AD244" i="11" a="1"/>
  <c r="AD244" i="11" s="1"/>
  <c r="AE244" i="11" s="1"/>
  <c r="AD147" i="11" a="1"/>
  <c r="AD147" i="11" s="1"/>
  <c r="AE147" i="11" s="1"/>
  <c r="AF1418" i="11" a="1"/>
  <c r="AF1418" i="11" s="1"/>
  <c r="AF314" i="11" a="1"/>
  <c r="AF314" i="11" s="1"/>
  <c r="AA976" i="11"/>
  <c r="AD1206" i="11" a="1"/>
  <c r="AD1206" i="11" s="1"/>
  <c r="AE1206" i="11" s="1"/>
  <c r="AD219" i="11" a="1"/>
  <c r="AD219" i="11" s="1"/>
  <c r="AE219" i="11" s="1"/>
  <c r="AF1109" i="11" a="1"/>
  <c r="AF1109" i="11" s="1"/>
  <c r="AF1547" i="11" a="1"/>
  <c r="AF1547" i="11" s="1"/>
  <c r="AF61" i="11" a="1"/>
  <c r="AF61" i="11" s="1"/>
  <c r="AF134" i="11" a="1"/>
  <c r="AF134" i="11" s="1"/>
  <c r="AF1945" i="11" a="1"/>
  <c r="AF1945" i="11" s="1"/>
  <c r="AF1206" i="11" a="1"/>
  <c r="AF1206" i="11" s="1"/>
  <c r="AF575" i="11" a="1"/>
  <c r="AF575" i="11" s="1"/>
  <c r="AD310" i="11" a="1"/>
  <c r="AD310" i="11" s="1"/>
  <c r="AE310" i="11" s="1"/>
  <c r="AF497" i="11" a="1"/>
  <c r="AF497" i="11" s="1"/>
  <c r="AD143" i="11" a="1"/>
  <c r="AD143" i="11" s="1"/>
  <c r="AE143" i="11" s="1"/>
  <c r="AD575" i="11" a="1"/>
  <c r="AD575" i="11" s="1"/>
  <c r="AE575" i="11" s="1"/>
  <c r="AF701" i="11" a="1"/>
  <c r="AF701" i="11" s="1"/>
  <c r="AD1547" i="11" a="1"/>
  <c r="AD1547" i="11" s="1"/>
  <c r="AE1547" i="11" s="1"/>
  <c r="AD1017" i="11" a="1"/>
  <c r="AD1017" i="11" s="1"/>
  <c r="AE1017" i="11" s="1"/>
  <c r="AF1193" i="11" a="1"/>
  <c r="AF1193" i="11" s="1"/>
  <c r="AD624" i="11" a="1"/>
  <c r="AD624" i="11" s="1"/>
  <c r="AE624" i="11" s="1"/>
  <c r="AF1411" i="11" a="1"/>
  <c r="AF1411" i="11" s="1"/>
  <c r="AF1113" i="11" a="1"/>
  <c r="AF1113" i="11" s="1"/>
  <c r="AD1165" i="11" a="1"/>
  <c r="AD1165" i="11" s="1"/>
  <c r="AE1165" i="11" s="1"/>
  <c r="AF435" i="11" a="1"/>
  <c r="AF435" i="11" s="1"/>
  <c r="AD56" i="11" a="1"/>
  <c r="AD56" i="11" s="1"/>
  <c r="AE56" i="11" s="1"/>
  <c r="AF1959" i="11" a="1"/>
  <c r="AF1959" i="11" s="1"/>
  <c r="AD784" i="11" a="1"/>
  <c r="AD784" i="11" s="1"/>
  <c r="AE784" i="11" s="1"/>
  <c r="AF946" i="11" a="1"/>
  <c r="AF946" i="11" s="1"/>
  <c r="AF1947" i="11" a="1"/>
  <c r="AF1947" i="11" s="1"/>
  <c r="AF1804" i="11" a="1"/>
  <c r="AF1804" i="11" s="1"/>
  <c r="AF801" i="11" a="1"/>
  <c r="AF801" i="11" s="1"/>
  <c r="AD1635" i="11" a="1"/>
  <c r="AD1635" i="11" s="1"/>
  <c r="AE1635" i="11" s="1"/>
  <c r="AD1193" i="11" a="1"/>
  <c r="AD1193" i="11" s="1"/>
  <c r="AE1193" i="11" s="1"/>
  <c r="AD435" i="11" a="1"/>
  <c r="AD435" i="11" s="1"/>
  <c r="AE435" i="11" s="1"/>
  <c r="AD701" i="11" a="1"/>
  <c r="AD701" i="11" s="1"/>
  <c r="AE701" i="11" s="1"/>
  <c r="AF125" i="11" a="1"/>
  <c r="AF125" i="11" s="1"/>
  <c r="AD801" i="11" a="1"/>
  <c r="AD801" i="11" s="1"/>
  <c r="AE801" i="11" s="1"/>
  <c r="AD1959" i="11" a="1"/>
  <c r="AD1959" i="11" s="1"/>
  <c r="AE1959" i="11" s="1"/>
  <c r="AF143" i="11" a="1"/>
  <c r="AF143" i="11" s="1"/>
  <c r="AD1054" i="11" a="1"/>
  <c r="AD1054" i="11" s="1"/>
  <c r="AE1054" i="11" s="1"/>
  <c r="AF784" i="11" a="1"/>
  <c r="AF784" i="11" s="1"/>
  <c r="AD229" i="11" a="1"/>
  <c r="AD229" i="11" s="1"/>
  <c r="AE229" i="11" s="1"/>
  <c r="AD1804" i="11" a="1"/>
  <c r="AD1804" i="11" s="1"/>
  <c r="AE1804" i="11" s="1"/>
  <c r="AD1113" i="11" a="1"/>
  <c r="AD1113" i="11" s="1"/>
  <c r="AE1113" i="11" s="1"/>
  <c r="AF1273" i="11" a="1"/>
  <c r="AF1273" i="11" s="1"/>
  <c r="AF594" i="11" a="1"/>
  <c r="AF594" i="11" s="1"/>
  <c r="AD705" i="11" a="1"/>
  <c r="AD705" i="11" s="1"/>
  <c r="AE705" i="11" s="1"/>
  <c r="AD134" i="11" a="1"/>
  <c r="AD134" i="11" s="1"/>
  <c r="AE134" i="11" s="1"/>
  <c r="AD910" i="11" a="1"/>
  <c r="AD910" i="11" s="1"/>
  <c r="AE910" i="11" s="1"/>
  <c r="AF1199" i="11" a="1"/>
  <c r="AF1199" i="11" s="1"/>
  <c r="AF620" i="11" a="1"/>
  <c r="AF620" i="11" s="1"/>
  <c r="AF999" i="11" a="1"/>
  <c r="AF999" i="11" s="1"/>
  <c r="AD1777" i="11" a="1"/>
  <c r="AD1777" i="11" s="1"/>
  <c r="AE1777" i="11" s="1"/>
  <c r="AF229" i="11" a="1"/>
  <c r="AF229" i="11" s="1"/>
  <c r="AD1273" i="11" a="1"/>
  <c r="AD1273" i="11" s="1"/>
  <c r="AE1273" i="11" s="1"/>
  <c r="AF1158" i="11" a="1"/>
  <c r="AF1158" i="11" s="1"/>
  <c r="AD594" i="11" a="1"/>
  <c r="AD594" i="11" s="1"/>
  <c r="AE594" i="11" s="1"/>
  <c r="AD497" i="11" a="1"/>
  <c r="AD497" i="11" s="1"/>
  <c r="AE497" i="11" s="1"/>
  <c r="AF586" i="11" a="1"/>
  <c r="AF586" i="11" s="1"/>
  <c r="AF705" i="11" a="1"/>
  <c r="AF705" i="11" s="1"/>
  <c r="AD1328" i="11" a="1"/>
  <c r="AD1328" i="11" s="1"/>
  <c r="AE1328" i="11" s="1"/>
  <c r="AD1259" i="11" a="1"/>
  <c r="AD1259" i="11" s="1"/>
  <c r="AE1259" i="11" s="1"/>
  <c r="AF386" i="11" a="1"/>
  <c r="AF386" i="11" s="1"/>
  <c r="AF910" i="11" a="1"/>
  <c r="AF910" i="11" s="1"/>
  <c r="AD1199" i="11" a="1"/>
  <c r="AD1199" i="11" s="1"/>
  <c r="AE1199" i="11" s="1"/>
  <c r="AD620" i="11" a="1"/>
  <c r="AD620" i="11" s="1"/>
  <c r="AE620" i="11" s="1"/>
  <c r="AD999" i="11" a="1"/>
  <c r="AD999" i="11" s="1"/>
  <c r="AE999" i="11" s="1"/>
  <c r="AF1974" i="11" a="1"/>
  <c r="AF1974" i="11" s="1"/>
  <c r="AF1340" i="11" a="1"/>
  <c r="AF1340" i="11" s="1"/>
  <c r="AD1158" i="11" a="1"/>
  <c r="AD1158" i="11" s="1"/>
  <c r="AE1158" i="11" s="1"/>
  <c r="AD586" i="11" a="1"/>
  <c r="AD586" i="11" s="1"/>
  <c r="AE586" i="11" s="1"/>
  <c r="AF342" i="11" a="1"/>
  <c r="AF342" i="11" s="1"/>
  <c r="AF1328" i="11" a="1"/>
  <c r="AF1328" i="11" s="1"/>
  <c r="AF1503" i="11" a="1"/>
  <c r="AF1503" i="11" s="1"/>
  <c r="AF1259" i="11" a="1"/>
  <c r="AF1259" i="11" s="1"/>
  <c r="AD1470" i="11" a="1"/>
  <c r="AD1470" i="11" s="1"/>
  <c r="AE1470" i="11" s="1"/>
  <c r="AF1006" i="11" a="1"/>
  <c r="AF1006" i="11" s="1"/>
  <c r="AF640" i="11" a="1"/>
  <c r="AF640" i="11" s="1"/>
  <c r="AD252" i="11" a="1"/>
  <c r="AD252" i="11" s="1"/>
  <c r="AE252" i="11" s="1"/>
  <c r="AD1974" i="11" a="1"/>
  <c r="AD1974" i="11" s="1"/>
  <c r="AE1974"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340" i="11" a="1"/>
  <c r="AD1340" i="11" s="1"/>
  <c r="AE1340" i="11" s="1"/>
  <c r="AD316" i="11" a="1"/>
  <c r="AD316" i="11" s="1"/>
  <c r="AE316" i="11" s="1"/>
  <c r="AD1503" i="11" a="1"/>
  <c r="AD1503" i="11" s="1"/>
  <c r="AE1503" i="11" s="1"/>
  <c r="AF1862" i="11" a="1"/>
  <c r="AF1862" i="11" s="1"/>
  <c r="AF1470" i="11" a="1"/>
  <c r="AF1470" i="11" s="1"/>
  <c r="AD1006" i="11" a="1"/>
  <c r="AD1006" i="11" s="1"/>
  <c r="AE1006" i="11" s="1"/>
  <c r="AF252" i="11" a="1"/>
  <c r="AF252" i="11" s="1"/>
  <c r="AD1862" i="11" a="1"/>
  <c r="AD1862" i="11" s="1"/>
  <c r="AE1862" i="11" s="1"/>
  <c r="AF420" i="11" a="1"/>
  <c r="AF420" i="11" s="1"/>
  <c r="AF316" i="11" a="1"/>
  <c r="AF316" i="11" s="1"/>
  <c r="AF1142" i="11" a="1"/>
  <c r="AF1142" i="11" s="1"/>
  <c r="AF310" i="11" a="1"/>
  <c r="AF310" i="11" s="1"/>
  <c r="AD1109" i="11" a="1"/>
  <c r="AD1109" i="11" s="1"/>
  <c r="AE1109" i="11" s="1"/>
  <c r="AF1165" i="11" a="1"/>
  <c r="AF1165" i="11" s="1"/>
  <c r="AD420" i="11" a="1"/>
  <c r="AD420" i="11" s="1"/>
  <c r="AE420" i="11" s="1"/>
  <c r="AF166" i="11" a="1"/>
  <c r="AF166" i="11" s="1"/>
  <c r="AD125" i="11" a="1"/>
  <c r="AD125" i="11" s="1"/>
  <c r="AE125" i="11" s="1"/>
  <c r="AD85" i="11" a="1"/>
  <c r="AD85" i="11" s="1"/>
  <c r="AE85" i="11" s="1"/>
  <c r="AF56" i="11" a="1"/>
  <c r="AF56" i="11" s="1"/>
  <c r="AF1054" i="11" a="1"/>
  <c r="AF1054" i="11" s="1"/>
  <c r="AA1293" i="11"/>
  <c r="AA1813" i="11"/>
  <c r="AA1941" i="11"/>
  <c r="AA1505" i="11"/>
  <c r="AF63" i="11" a="1"/>
  <c r="AF63" i="11" s="1"/>
  <c r="AF1286" i="11" a="1"/>
  <c r="AF1286" i="11" s="1"/>
  <c r="AF976" i="11" a="1"/>
  <c r="AF976" i="11" s="1"/>
  <c r="AF1066" i="11" a="1"/>
  <c r="AF1066" i="11" s="1"/>
  <c r="AD1738" i="11" a="1"/>
  <c r="AD1738" i="11" s="1"/>
  <c r="AE1738" i="11" s="1"/>
  <c r="AA1286" i="11"/>
  <c r="AA1945" i="11"/>
  <c r="AD1066" i="11" a="1"/>
  <c r="AD1066" i="11" s="1"/>
  <c r="AE1066" i="11" s="1"/>
  <c r="AA727" i="11"/>
  <c r="AF1659" i="11" a="1"/>
  <c r="AF1659" i="11" s="1"/>
  <c r="AA1885" i="11"/>
  <c r="AD1505" i="11" a="1"/>
  <c r="AD1505" i="11" s="1"/>
  <c r="AE1505" i="11" s="1"/>
  <c r="AA1418" i="11"/>
  <c r="AA733" i="11"/>
  <c r="AF729" i="11" a="1"/>
  <c r="AF729" i="11" s="1"/>
  <c r="AF54" i="11" a="1"/>
  <c r="AF54" i="11" s="1"/>
  <c r="AF1186" i="11" a="1"/>
  <c r="AF1186" i="11" s="1"/>
  <c r="AF1459" i="11" a="1"/>
  <c r="AF1459" i="11" s="1"/>
  <c r="AF1234" i="11" a="1"/>
  <c r="AF1234" i="11" s="1"/>
  <c r="AD909" i="11" a="1"/>
  <c r="AD909" i="11" s="1"/>
  <c r="AE909" i="11" s="1"/>
  <c r="AA1770" i="11"/>
  <c r="AA182" i="11"/>
  <c r="AD732" i="11" a="1"/>
  <c r="AD732" i="11" s="1"/>
  <c r="AE732" i="11" s="1"/>
  <c r="AF927" i="11" a="1"/>
  <c r="AF927" i="11" s="1"/>
  <c r="AA61" i="11"/>
  <c r="AA402" i="11"/>
  <c r="AA314" i="11"/>
  <c r="AF732" i="11" a="1"/>
  <c r="AF732" i="11" s="1"/>
  <c r="AA1348" i="11"/>
  <c r="AF617" i="11" a="1"/>
  <c r="AF617" i="11" s="1"/>
  <c r="AA927" i="11"/>
  <c r="AF402" i="11" a="1"/>
  <c r="AF402" i="11" s="1"/>
  <c r="AD1578" i="11" a="1"/>
  <c r="AD1578" i="11" s="1"/>
  <c r="AE1578" i="11" s="1"/>
  <c r="AF182" i="11" a="1"/>
  <c r="AF182" i="11" s="1"/>
  <c r="AF1348" i="11" a="1"/>
  <c r="AF1348" i="11" s="1"/>
  <c r="AA617" i="11"/>
  <c r="AF1094" i="11" a="1"/>
  <c r="AF1094" i="11" s="1"/>
  <c r="AA1785" i="11"/>
  <c r="AA383" i="11"/>
  <c r="AF991" i="11" a="1"/>
  <c r="AF991" i="11" s="1"/>
  <c r="AF1518" i="11" a="1"/>
  <c r="AF1518" i="11" s="1"/>
  <c r="AF1738" i="11" a="1"/>
  <c r="AF1738" i="11" s="1"/>
  <c r="AA1094" i="11"/>
  <c r="AF383" i="11" a="1"/>
  <c r="AF383" i="11" s="1"/>
  <c r="AF1966" i="11" a="1"/>
  <c r="AF1966" i="11" s="1"/>
  <c r="AA1810" i="11"/>
  <c r="AA991" i="11"/>
  <c r="AA1037" i="11"/>
  <c r="AD63" i="11" a="1"/>
  <c r="AD63" i="11" s="1"/>
  <c r="AE63" i="11" s="1"/>
  <c r="AD1518" i="11" a="1"/>
  <c r="AD1518" i="11" s="1"/>
  <c r="AE1518" i="11" s="1"/>
  <c r="AA1659" i="11"/>
  <c r="AA1966" i="11"/>
  <c r="AA54" i="11"/>
  <c r="AF1810" i="11" a="1"/>
  <c r="AF1810" i="11" s="1"/>
  <c r="AF1929" i="11" a="1"/>
  <c r="AF1929" i="11" s="1"/>
  <c r="AF683" i="11" a="1"/>
  <c r="AF683" i="11" s="1"/>
  <c r="AA1234" i="11"/>
  <c r="AD1119" i="11" a="1"/>
  <c r="AD1119" i="11" s="1"/>
  <c r="AE1119" i="11" s="1"/>
  <c r="AF1219" i="11" a="1"/>
  <c r="AF1219" i="11" s="1"/>
  <c r="AD1770" i="11" a="1"/>
  <c r="AD1770" i="11" s="1"/>
  <c r="AE1770" i="11" s="1"/>
  <c r="AF857" i="11" a="1"/>
  <c r="AF857" i="11" s="1"/>
  <c r="AF1417" i="11" a="1"/>
  <c r="AF1417" i="11" s="1"/>
  <c r="AF1578" i="11" a="1"/>
  <c r="AF1578" i="11" s="1"/>
  <c r="AF341" i="11" a="1"/>
  <c r="AF341" i="11" s="1"/>
  <c r="AD1037" i="11" a="1"/>
  <c r="AD1037" i="11" s="1"/>
  <c r="AE1037" i="11" s="1"/>
  <c r="AD629" i="11" a="1"/>
  <c r="AD629" i="11" s="1"/>
  <c r="AE629" i="11" s="1"/>
  <c r="AA951" i="11"/>
  <c r="AF1934" i="11" a="1"/>
  <c r="AF1934" i="11" s="1"/>
  <c r="AF307" i="11" a="1"/>
  <c r="AF307" i="11" s="1"/>
  <c r="AA1917" i="11"/>
  <c r="AA629"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F1986" i="11" a="1"/>
  <c r="AF1986" i="11" s="1"/>
  <c r="AD876" i="11" a="1"/>
  <c r="AD876" i="11" s="1"/>
  <c r="AE876" i="11" s="1"/>
  <c r="AD416" i="11" a="1"/>
  <c r="AD416" i="11" s="1"/>
  <c r="AE416" i="11" s="1"/>
  <c r="AF1803" i="11" a="1"/>
  <c r="AF1803" i="11" s="1"/>
  <c r="AA698" i="11"/>
  <c r="AD487" i="11" a="1"/>
  <c r="AD487" i="11" s="1"/>
  <c r="AE487" i="11" s="1"/>
  <c r="AA487" i="1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F1423" i="11" a="1"/>
  <c r="AF1423" i="11" s="1"/>
  <c r="AA1423" i="11"/>
  <c r="AD1423" i="11" a="1"/>
  <c r="AD1423" i="11" s="1"/>
  <c r="AE1423" i="11" s="1"/>
  <c r="AF1610" i="11" a="1"/>
  <c r="AF1610" i="11" s="1"/>
  <c r="AD1610" i="11" a="1"/>
  <c r="AD1610" i="11" s="1"/>
  <c r="AE1610" i="11" s="1"/>
  <c r="AD917" i="11" a="1"/>
  <c r="AD917" i="11" s="1"/>
  <c r="AE917" i="11" s="1"/>
  <c r="AD1880" i="11" a="1"/>
  <c r="AD1880" i="11" s="1"/>
  <c r="AE1880" i="11" s="1"/>
  <c r="AF193" i="11" a="1"/>
  <c r="AF193" i="11" s="1"/>
  <c r="AD1293" i="11" a="1"/>
  <c r="AD1293" i="11" s="1"/>
  <c r="AE1293" i="11" s="1"/>
  <c r="AA1860" i="11"/>
  <c r="AF1430" i="11" a="1"/>
  <c r="AF1430" i="11" s="1"/>
  <c r="AF1941" i="11" a="1"/>
  <c r="AF1941"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F133" i="11" a="1"/>
  <c r="AF133" i="11" s="1"/>
  <c r="AF1042" i="11" a="1"/>
  <c r="AF1042" i="11" s="1"/>
  <c r="AD1042" i="11" a="1"/>
  <c r="AD1042" i="11" s="1"/>
  <c r="AE1042" i="11" s="1"/>
  <c r="AA1042" i="11"/>
  <c r="AF1255" i="11" a="1"/>
  <c r="AF1255" i="11" s="1"/>
  <c r="AD1255" i="11" a="1"/>
  <c r="AD1255" i="11" s="1"/>
  <c r="AE1255" i="11" s="1"/>
  <c r="AF361" i="11" a="1"/>
  <c r="AF361" i="11" s="1"/>
  <c r="AA361" i="11"/>
  <c r="AF1404" i="11" a="1"/>
  <c r="AF1404" i="11" s="1"/>
  <c r="AF75" i="11" a="1"/>
  <c r="AF75" i="11" s="1"/>
  <c r="AF1200" i="11" a="1"/>
  <c r="AF1200"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A1471" i="11"/>
  <c r="AA904" i="11"/>
  <c r="AD904" i="11" a="1"/>
  <c r="AD904" i="11" s="1"/>
  <c r="AE904" i="11" s="1"/>
  <c r="AF904" i="11" a="1"/>
  <c r="AF904" i="11" s="1"/>
  <c r="AD75" i="11" a="1"/>
  <c r="AD75" i="11" s="1"/>
  <c r="AE75" i="11" s="1"/>
  <c r="AA1200" i="11"/>
  <c r="AA1755" i="11"/>
  <c r="AD1920" i="11" a="1"/>
  <c r="AD1920" i="11" s="1"/>
  <c r="AE1920" i="11" s="1"/>
  <c r="AF1920" i="11" a="1"/>
  <c r="AF1920" i="11" s="1"/>
  <c r="AA1920" i="11"/>
  <c r="AA154" i="11"/>
  <c r="AD154" i="11" a="1"/>
  <c r="AD154" i="11" s="1"/>
  <c r="AE154" i="11" s="1"/>
  <c r="AA1688" i="11"/>
  <c r="AF1688" i="11" a="1"/>
  <c r="AF1688" i="11" s="1"/>
  <c r="AD1688" i="11" a="1"/>
  <c r="AD1688" i="11" s="1"/>
  <c r="AE1688" i="11" s="1"/>
  <c r="AF1943" i="11" a="1"/>
  <c r="AF1943" i="11" s="1"/>
  <c r="AD1943" i="11" a="1"/>
  <c r="AD1943" i="11" s="1"/>
  <c r="AE1943" i="11" s="1"/>
  <c r="AA1943" i="11"/>
  <c r="AF1988" i="11" a="1"/>
  <c r="AF1988" i="11" s="1"/>
  <c r="AD1988" i="11" a="1"/>
  <c r="AD1988" i="11" s="1"/>
  <c r="AE1988" i="11" s="1"/>
  <c r="AA1988" i="11"/>
  <c r="AD752" i="11" a="1"/>
  <c r="AD752" i="11" s="1"/>
  <c r="AE752" i="11" s="1"/>
  <c r="AA752" i="11"/>
  <c r="AF752" i="11" a="1"/>
  <c r="AF752" i="11" s="1"/>
  <c r="AA1865" i="1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A41" i="11"/>
  <c r="AF41" i="11" a="1"/>
  <c r="AF41" i="11" s="1"/>
  <c r="AD482" i="11" a="1"/>
  <c r="AD482" i="11" s="1"/>
  <c r="AE482" i="11" s="1"/>
  <c r="AA663" i="11"/>
  <c r="AF663" i="11" a="1"/>
  <c r="AF663" i="11" s="1"/>
  <c r="AA1798" i="11"/>
  <c r="AF1798" i="11" a="1"/>
  <c r="AF1798" i="11" s="1"/>
  <c r="AA1053" i="11"/>
  <c r="AD1053" i="11" a="1"/>
  <c r="AD1053" i="11" s="1"/>
  <c r="AE1053" i="11" s="1"/>
  <c r="AF961" i="11" a="1"/>
  <c r="AF961" i="11" s="1"/>
  <c r="AD961" i="11" a="1"/>
  <c r="AD961" i="11" s="1"/>
  <c r="AE961" i="11" s="1"/>
  <c r="AA961" i="11"/>
  <c r="AA681" i="11"/>
  <c r="AD1385" i="11" a="1"/>
  <c r="AD1385" i="11" s="1"/>
  <c r="AE1385" i="11" s="1"/>
  <c r="AF487" i="11" a="1"/>
  <c r="AF487" i="11" s="1"/>
  <c r="AD1176" i="11" a="1"/>
  <c r="AD1176" i="11" s="1"/>
  <c r="AE1176" i="11" s="1"/>
  <c r="AD361" i="11" a="1"/>
  <c r="AD361" i="11" s="1"/>
  <c r="AE361" i="11" s="1"/>
  <c r="AF1053" i="11" a="1"/>
  <c r="AF1053" i="11" s="1"/>
  <c r="AF1820" i="11" a="1"/>
  <c r="AF1820" i="11" s="1"/>
  <c r="AD1820" i="11" a="1"/>
  <c r="AD1820" i="11" s="1"/>
  <c r="AE1820" i="11" s="1"/>
  <c r="AD1973" i="11" a="1"/>
  <c r="AD1973" i="11" s="1"/>
  <c r="AE1973" i="11" s="1"/>
  <c r="AF1973" i="11" a="1"/>
  <c r="AF1973" i="11" s="1"/>
  <c r="AA1973" i="1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514" i="11" a="1"/>
  <c r="AD514" i="11" s="1"/>
  <c r="AE514" i="11" s="1"/>
  <c r="AA514" i="11"/>
  <c r="AF514" i="11" a="1"/>
  <c r="AF514" i="11" s="1"/>
  <c r="AD841" i="11" a="1"/>
  <c r="AD841" i="11" s="1"/>
  <c r="AE841" i="11" s="1"/>
  <c r="AF841" i="11" a="1"/>
  <c r="AF841" i="11" s="1"/>
  <c r="AA841" i="11"/>
  <c r="AD768" i="11" a="1"/>
  <c r="AD768" i="11" s="1"/>
  <c r="AE768" i="11" s="1"/>
  <c r="AA713" i="11"/>
  <c r="AA1385" i="11"/>
  <c r="AA1880" i="11"/>
  <c r="AF832" i="11" a="1"/>
  <c r="AF832" i="11" s="1"/>
  <c r="AD902" i="11" a="1"/>
  <c r="AD902" i="11" s="1"/>
  <c r="AE902" i="11" s="1"/>
  <c r="AF1642" i="11" a="1"/>
  <c r="AF1642" i="11" s="1"/>
  <c r="AA1245" i="11"/>
  <c r="AD41" i="11" a="1"/>
  <c r="AD41" i="11" s="1"/>
  <c r="AE41" i="11" s="1"/>
  <c r="AA1526" i="11"/>
  <c r="AF1526" i="11" a="1"/>
  <c r="AF1526" i="11" s="1"/>
  <c r="AD1526" i="11" a="1"/>
  <c r="AD1526" i="11" s="1"/>
  <c r="AE1526" i="11" s="1"/>
  <c r="AF1982" i="11" a="1"/>
  <c r="AF1982" i="11" s="1"/>
  <c r="AD1982" i="11" a="1"/>
  <c r="AD1982" i="11" s="1"/>
  <c r="AE1982" i="11" s="1"/>
  <c r="AA1982" i="11"/>
  <c r="AF1543" i="11" a="1"/>
  <c r="AF1543" i="11" s="1"/>
  <c r="AD1543" i="11" a="1"/>
  <c r="AD1543" i="11" s="1"/>
  <c r="AE1543" i="11" s="1"/>
  <c r="AA1543" i="11"/>
  <c r="AA1814" i="11"/>
  <c r="AF1814" i="11" a="1"/>
  <c r="AF1814" i="11" s="1"/>
  <c r="AA1402" i="11"/>
  <c r="AF1402" i="11" a="1"/>
  <c r="AF1402" i="11" s="1"/>
  <c r="AF1481" i="11" a="1"/>
  <c r="AF1481" i="11" s="1"/>
  <c r="AA1481" i="11"/>
  <c r="AA1580" i="11"/>
  <c r="AF1580" i="11" a="1"/>
  <c r="AF1580" i="11" s="1"/>
  <c r="AD1435" i="11" a="1"/>
  <c r="AD1435" i="11" s="1"/>
  <c r="AE1435" i="11" s="1"/>
  <c r="AF1435" i="11" a="1"/>
  <c r="AF1435" i="11" s="1"/>
  <c r="AA1435" i="11"/>
  <c r="AF602" i="11" a="1"/>
  <c r="AF602" i="11" s="1"/>
  <c r="AD1426" i="11" a="1"/>
  <c r="AD1426" i="11" s="1"/>
  <c r="AE1426" i="11" s="1"/>
  <c r="AF548" i="11" a="1"/>
  <c r="AF548" i="11" s="1"/>
  <c r="AA548" i="11"/>
  <c r="AD548" i="11" a="1"/>
  <c r="AD548" i="11" s="1"/>
  <c r="AE548" i="11" s="1"/>
  <c r="AF1246" i="11" a="1"/>
  <c r="AF1246" i="11" s="1"/>
  <c r="AD1246" i="11" a="1"/>
  <c r="AD1246" i="11" s="1"/>
  <c r="AE1246" i="11" s="1"/>
  <c r="AA1246" i="11"/>
  <c r="AA1856" i="11"/>
  <c r="AF555" i="11" a="1"/>
  <c r="AF555" i="11" s="1"/>
  <c r="AF713" i="11" a="1"/>
  <c r="AF713" i="11" s="1"/>
  <c r="AF902" i="11" a="1"/>
  <c r="AF902" i="11" s="1"/>
  <c r="AD1642" i="11" a="1"/>
  <c r="AD1642" i="11" s="1"/>
  <c r="AE1642" i="11" s="1"/>
  <c r="AA1820" i="11"/>
  <c r="AA879" i="11"/>
  <c r="AD1798" i="11" a="1"/>
  <c r="AD1798" i="11" s="1"/>
  <c r="AE1798" i="11" s="1"/>
  <c r="AA1600" i="11"/>
  <c r="AF1471" i="11" a="1"/>
  <c r="AF1471" i="11" s="1"/>
  <c r="AD870" i="11" a="1"/>
  <c r="AD870" i="11" s="1"/>
  <c r="AE870" i="11" s="1"/>
  <c r="AD198" i="11" a="1"/>
  <c r="AD198" i="11" s="1"/>
  <c r="AE198" i="11" s="1"/>
  <c r="AD178" i="11" a="1"/>
  <c r="AD178" i="11" s="1"/>
  <c r="AE178" i="11" s="1"/>
  <c r="AD1985" i="11" a="1"/>
  <c r="AD1985" i="11" s="1"/>
  <c r="AE1985" i="11" s="1"/>
  <c r="AF1523" i="11" a="1"/>
  <c r="AF1523" i="11" s="1"/>
  <c r="AD428" i="11" a="1"/>
  <c r="AD428" i="11" s="1"/>
  <c r="AE428" i="11" s="1"/>
  <c r="AD1746" i="11" a="1"/>
  <c r="AD1746" i="11" s="1"/>
  <c r="AE1746" i="11" s="1"/>
  <c r="AD1623" i="11" a="1"/>
  <c r="AD1623" i="11" s="1"/>
  <c r="AE1623" i="11" s="1"/>
  <c r="AD720" i="11" a="1"/>
  <c r="AD720" i="11" s="1"/>
  <c r="AE720" i="11" s="1"/>
  <c r="AF603" i="11" a="1"/>
  <c r="AF603" i="11" s="1"/>
  <c r="AD1703" i="11" a="1"/>
  <c r="AD1703" i="11" s="1"/>
  <c r="AE1703" i="11" s="1"/>
  <c r="AD1564" i="11" a="1"/>
  <c r="AD1564" i="11" s="1"/>
  <c r="AE1564" i="11" s="1"/>
  <c r="AF597" i="11" a="1"/>
  <c r="AF597" i="11" s="1"/>
  <c r="AD1745" i="11" a="1"/>
  <c r="AD1745" i="11" s="1"/>
  <c r="AE1745" i="11" s="1"/>
  <c r="AF1595" i="11" a="1"/>
  <c r="AF1595" i="11" s="1"/>
  <c r="AD1595" i="11" a="1"/>
  <c r="AD1595" i="11" s="1"/>
  <c r="AE1595" i="11" s="1"/>
  <c r="AF1016" i="11" a="1"/>
  <c r="AF1016" i="11" s="1"/>
  <c r="AD782" i="11" a="1"/>
  <c r="AD782" i="11" s="1"/>
  <c r="AE782" i="11" s="1"/>
  <c r="AF1510" i="11" a="1"/>
  <c r="AF1510" i="11" s="1"/>
  <c r="AA1167" i="11"/>
  <c r="AA1822" i="11"/>
  <c r="AA392" i="11"/>
  <c r="AA268" i="11"/>
  <c r="AA1695" i="11"/>
  <c r="AA895" i="11"/>
  <c r="AA870" i="11"/>
  <c r="AF55" i="11" a="1"/>
  <c r="AF55"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D1075" i="11" a="1"/>
  <c r="AD1075" i="11" s="1"/>
  <c r="AE1075" i="11" s="1"/>
  <c r="AA234" i="11"/>
  <c r="AF158" i="11" a="1"/>
  <c r="AF158" i="11" s="1"/>
  <c r="AD1940" i="11" a="1"/>
  <c r="AD1940" i="11" s="1"/>
  <c r="AE1940" i="11" s="1"/>
  <c r="AF1154" i="11" a="1"/>
  <c r="AF1154" i="11" s="1"/>
  <c r="AF1288" i="11" a="1"/>
  <c r="AF1288" i="11" s="1"/>
  <c r="AF1167" i="11" a="1"/>
  <c r="AF1167" i="11" s="1"/>
  <c r="AF1564" i="11" a="1"/>
  <c r="AF1564" i="11" s="1"/>
  <c r="AD739" i="11" a="1"/>
  <c r="AD739" i="11" s="1"/>
  <c r="AE739" i="11" s="1"/>
  <c r="AF1756" i="11" a="1"/>
  <c r="AF1756" i="11" s="1"/>
  <c r="AF1745" i="11" a="1"/>
  <c r="AF1745" i="11" s="1"/>
  <c r="AF1474" i="11" a="1"/>
  <c r="AF1474" i="11" s="1"/>
  <c r="AD440" i="11" a="1"/>
  <c r="AD440" i="11" s="1"/>
  <c r="AE440" i="11" s="1"/>
  <c r="AD1532" i="11" a="1"/>
  <c r="AD1532" i="11" s="1"/>
  <c r="AE1532" i="11" s="1"/>
  <c r="AD603" i="11" a="1"/>
  <c r="AD603" i="11" s="1"/>
  <c r="AE603" i="11" s="1"/>
  <c r="AF201" i="11" a="1"/>
  <c r="AF201" i="11" s="1"/>
  <c r="AF428" i="11" a="1"/>
  <c r="AF428" i="11" s="1"/>
  <c r="AD1166" i="11" a="1"/>
  <c r="AD1166" i="11" s="1"/>
  <c r="AE1166" i="11" s="1"/>
  <c r="AF421" i="11" a="1"/>
  <c r="AF421" i="11" s="1"/>
  <c r="AD1664" i="11" a="1"/>
  <c r="AD1664" i="11" s="1"/>
  <c r="AE1664" i="11" s="1"/>
  <c r="AF1839" i="11" a="1"/>
  <c r="AF1839" i="11" s="1"/>
  <c r="AF1822" i="11" a="1"/>
  <c r="AF1822" i="11" s="1"/>
  <c r="AD1695" i="11" a="1"/>
  <c r="AD1695" i="11" s="1"/>
  <c r="AE1695" i="11" s="1"/>
  <c r="AA508" i="11"/>
  <c r="AD598" i="11" a="1"/>
  <c r="AD598" i="11" s="1"/>
  <c r="AE598" i="11" s="1"/>
  <c r="AF839" i="11" a="1"/>
  <c r="AF839" i="11" s="1"/>
  <c r="AD222" i="11" a="1"/>
  <c r="AD222" i="11" s="1"/>
  <c r="AE222" i="11" s="1"/>
  <c r="AA860" i="11"/>
  <c r="AF895" i="11" a="1"/>
  <c r="AF895" i="11" s="1"/>
  <c r="AF720" i="11" a="1"/>
  <c r="AF720" i="11" s="1"/>
  <c r="AF2008" i="11" a="1"/>
  <c r="AF2008" i="11" s="1"/>
  <c r="AF178" i="11" a="1"/>
  <c r="AF178" i="11" s="1"/>
  <c r="AA1577" i="11"/>
  <c r="AD597" i="11" a="1"/>
  <c r="AD597" i="11" s="1"/>
  <c r="AE597" i="11" s="1"/>
  <c r="AD785" i="11" a="1"/>
  <c r="AD785" i="11" s="1"/>
  <c r="AE785" i="11" s="1"/>
  <c r="AA782" i="11"/>
  <c r="AD1016" i="11" a="1"/>
  <c r="AD1016" i="11" s="1"/>
  <c r="AE1016" i="11" s="1"/>
  <c r="AF1985" i="11" a="1"/>
  <c r="AF1985" i="11" s="1"/>
  <c r="AD1888" i="11" a="1"/>
  <c r="AD1888" i="11" s="1"/>
  <c r="AE1888" i="11" s="1"/>
  <c r="AA1621" i="11"/>
  <c r="AF1099" i="11" a="1"/>
  <c r="AF1099" i="11" s="1"/>
  <c r="AD2013" i="11" a="1"/>
  <c r="AD2013" i="11" s="1"/>
  <c r="AE2013" i="11" s="1"/>
  <c r="AD1346" i="11" a="1"/>
  <c r="AD1346" i="11" s="1"/>
  <c r="AE1346" i="11" s="1"/>
  <c r="AF598" i="11" a="1"/>
  <c r="AF598" i="11" s="1"/>
  <c r="AA839" i="11"/>
  <c r="AD900" i="11" a="1"/>
  <c r="AD900" i="11" s="1"/>
  <c r="AE900" i="11" s="1"/>
  <c r="AA222" i="11"/>
  <c r="AA748" i="11"/>
  <c r="AF860" i="11" a="1"/>
  <c r="AF860" i="11" s="1"/>
  <c r="AA1811" i="11"/>
  <c r="AD1455" i="11" a="1"/>
  <c r="AD1455" i="11" s="1"/>
  <c r="AE1455" i="11" s="1"/>
  <c r="AA391" i="11"/>
  <c r="AF557" i="11" a="1"/>
  <c r="AF557" i="11" s="1"/>
  <c r="AD1641" i="11" a="1"/>
  <c r="AD1641" i="11" s="1"/>
  <c r="AE1641" i="11" s="1"/>
  <c r="AD2008" i="11" a="1"/>
  <c r="AD2008" i="11" s="1"/>
  <c r="AE2008" i="11" s="1"/>
  <c r="AF1577" i="11" a="1"/>
  <c r="AF1577" i="11" s="1"/>
  <c r="AF1130" i="11" a="1"/>
  <c r="AF1130" i="11" s="1"/>
  <c r="AF785" i="11" a="1"/>
  <c r="AF785" i="11" s="1"/>
  <c r="AD39" i="11" a="1"/>
  <c r="AD39" i="11" s="1"/>
  <c r="AE39" i="11" s="1"/>
  <c r="AD1443" i="11" a="1"/>
  <c r="AD1443" i="11" s="1"/>
  <c r="AE1443" i="11" s="1"/>
  <c r="AF521" i="11" a="1"/>
  <c r="AF521" i="11" s="1"/>
  <c r="AF1881" i="11" a="1"/>
  <c r="AF1881" i="11" s="1"/>
  <c r="AF753" i="11" a="1"/>
  <c r="AF753" i="11" s="1"/>
  <c r="AF438" i="11" a="1"/>
  <c r="AF438" i="11" s="1"/>
  <c r="AF1888" i="11" a="1"/>
  <c r="AF1888" i="11" s="1"/>
  <c r="AD610" i="11" a="1"/>
  <c r="AD610" i="11" s="1"/>
  <c r="AE610" i="11" s="1"/>
  <c r="AD1621" i="11" a="1"/>
  <c r="AD1621" i="11" s="1"/>
  <c r="AE1621" i="11" s="1"/>
  <c r="AD1387" i="11" a="1"/>
  <c r="AD1387" i="11" s="1"/>
  <c r="AE1387" i="11" s="1"/>
  <c r="AA348" i="11"/>
  <c r="AA900" i="11"/>
  <c r="AD748" i="11" a="1"/>
  <c r="AD748" i="11" s="1"/>
  <c r="AE748" i="11" s="1"/>
  <c r="AF1925" i="11" a="1"/>
  <c r="AF1925" i="11" s="1"/>
  <c r="AF1455" i="11" a="1"/>
  <c r="AF1455" i="11" s="1"/>
  <c r="AD31" i="11" a="1"/>
  <c r="AD31" i="11" s="1"/>
  <c r="AE31" i="11" s="1"/>
  <c r="AD372" i="11" a="1"/>
  <c r="AD372" i="11" s="1"/>
  <c r="AE372" i="11" s="1"/>
  <c r="AA747" i="11"/>
  <c r="AD80" i="11" a="1"/>
  <c r="AD80" i="11" s="1"/>
  <c r="AE80" i="11" s="1"/>
  <c r="AF391" i="11" a="1"/>
  <c r="AF391" i="11" s="1"/>
  <c r="AD557" i="11" a="1"/>
  <c r="AD557" i="11" s="1"/>
  <c r="AE557" i="11" s="1"/>
  <c r="AA1641" i="11"/>
  <c r="AD929" i="11" a="1"/>
  <c r="AD929" i="11" s="1"/>
  <c r="AE929" i="11" s="1"/>
  <c r="AD1130" i="11" a="1"/>
  <c r="AD1130" i="11" s="1"/>
  <c r="AE1130" i="11" s="1"/>
  <c r="AA78" i="11"/>
  <c r="AF39" i="11" a="1"/>
  <c r="AF39" i="11" s="1"/>
  <c r="AA1443" i="11"/>
  <c r="AD2014" i="11" a="1"/>
  <c r="AD2014" i="11" s="1"/>
  <c r="AE2014" i="11" s="1"/>
  <c r="AD1432" i="11" a="1"/>
  <c r="AD1432" i="11" s="1"/>
  <c r="AE1432" i="11" s="1"/>
  <c r="AD1881" i="11" a="1"/>
  <c r="AD1881" i="11" s="1"/>
  <c r="AE1881" i="11" s="1"/>
  <c r="AD753" i="11" a="1"/>
  <c r="AD753" i="11" s="1"/>
  <c r="AE753" i="11" s="1"/>
  <c r="AD438" i="11" a="1"/>
  <c r="AD438" i="11" s="1"/>
  <c r="AE438" i="11" s="1"/>
  <c r="AF610" i="11" a="1"/>
  <c r="AF610" i="11" s="1"/>
  <c r="AD847" i="11" a="1"/>
  <c r="AD847" i="11" s="1"/>
  <c r="AE847" i="11" s="1"/>
  <c r="AD788" i="11" a="1"/>
  <c r="AD788" i="11" s="1"/>
  <c r="AE788" i="11" s="1"/>
  <c r="AA1839" i="11"/>
  <c r="AD1188" i="11" a="1"/>
  <c r="AD1188" i="11" s="1"/>
  <c r="AE1188" i="11" s="1"/>
  <c r="AA1346" i="11"/>
  <c r="AF1996" i="11" a="1"/>
  <c r="AF1996" i="11" s="1"/>
  <c r="AD348" i="11" a="1"/>
  <c r="AD348" i="11" s="1"/>
  <c r="AE348" i="11" s="1"/>
  <c r="AF825" i="11" a="1"/>
  <c r="AF825" i="11" s="1"/>
  <c r="AA525" i="11"/>
  <c r="AA1835" i="11"/>
  <c r="AF22" i="11" a="1"/>
  <c r="AF22" i="11" s="1"/>
  <c r="AD1925" i="11" a="1"/>
  <c r="AD1925" i="11" s="1"/>
  <c r="AE1925" i="11" s="1"/>
  <c r="AF31" i="11" a="1"/>
  <c r="AF31" i="11" s="1"/>
  <c r="AD1050" i="11" a="1"/>
  <c r="AD1050" i="11" s="1"/>
  <c r="AE1050" i="11" s="1"/>
  <c r="AF492" i="11" a="1"/>
  <c r="AF492" i="11" s="1"/>
  <c r="AF372" i="11" a="1"/>
  <c r="AF372" i="11" s="1"/>
  <c r="AF929" i="11" a="1"/>
  <c r="AF929" i="11" s="1"/>
  <c r="AF78" i="11" a="1"/>
  <c r="AF78" i="11" s="1"/>
  <c r="AF2014" i="11" a="1"/>
  <c r="AF2014" i="11" s="1"/>
  <c r="AD813" i="11" a="1"/>
  <c r="AD813" i="11" s="1"/>
  <c r="AE813" i="11" s="1"/>
  <c r="AF1432" i="11" a="1"/>
  <c r="AF1432" i="11" s="1"/>
  <c r="AF1792" i="11" a="1"/>
  <c r="AF1792" i="11" s="1"/>
  <c r="AF1045" i="11" a="1"/>
  <c r="AF1045" i="11" s="1"/>
  <c r="AF788" i="11" a="1"/>
  <c r="AF788" i="11" s="1"/>
  <c r="AF1188" i="11" a="1"/>
  <c r="AF1188" i="11" s="1"/>
  <c r="AA1047" i="11"/>
  <c r="AD55" i="11" a="1"/>
  <c r="AD55" i="11" s="1"/>
  <c r="AE55" i="11" s="1"/>
  <c r="AA1870" i="11"/>
  <c r="AA825" i="11"/>
  <c r="AF1685" i="11" a="1"/>
  <c r="AF1685" i="11" s="1"/>
  <c r="AD525" i="11" a="1"/>
  <c r="AD525" i="11" s="1"/>
  <c r="AE525" i="11" s="1"/>
  <c r="AF1075" i="11" a="1"/>
  <c r="AF1075" i="11" s="1"/>
  <c r="AA22" i="11"/>
  <c r="AA1940" i="11"/>
  <c r="AF1050" i="11" a="1"/>
  <c r="AF1050" i="11" s="1"/>
  <c r="AD492" i="11" a="1"/>
  <c r="AD492" i="11" s="1"/>
  <c r="AE492" i="11" s="1"/>
  <c r="AD1154" i="11" a="1"/>
  <c r="AD1154" i="11" s="1"/>
  <c r="AE1154" i="11" s="1"/>
  <c r="AF658" i="11" a="1"/>
  <c r="AF658" i="11" s="1"/>
  <c r="AD817" i="11" a="1"/>
  <c r="AD817" i="11" s="1"/>
  <c r="AE817" i="11" s="1"/>
  <c r="AA1792" i="11"/>
  <c r="AA1532" i="11"/>
  <c r="AF1680" i="11" a="1"/>
  <c r="AF1680" i="11" s="1"/>
  <c r="AF1166" i="11" a="1"/>
  <c r="AF1166" i="11" s="1"/>
  <c r="AD1045" i="11" a="1"/>
  <c r="AD1045" i="11" s="1"/>
  <c r="AE1045" i="11" s="1"/>
  <c r="AF1338" i="11" a="1"/>
  <c r="AF1338" i="11" s="1"/>
  <c r="AF1678" i="11" a="1"/>
  <c r="AF1678"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D1756" i="11" a="1"/>
  <c r="AD1756" i="11" s="1"/>
  <c r="AE1756" i="11" s="1"/>
  <c r="AD1474" i="11" a="1"/>
  <c r="AD1474" i="11" s="1"/>
  <c r="AE1474" i="11" s="1"/>
  <c r="AF440" i="11" a="1"/>
  <c r="AF440" i="11" s="1"/>
  <c r="AD1680" i="11" a="1"/>
  <c r="AD1680" i="11" s="1"/>
  <c r="AE1680" i="11" s="1"/>
  <c r="AD1678" i="11" a="1"/>
  <c r="AD1678" i="11" s="1"/>
  <c r="AE1678" i="11" s="1"/>
  <c r="AF814" i="11" a="1"/>
  <c r="AF814" i="11" s="1"/>
  <c r="AD836" i="11" a="1"/>
  <c r="AD836" i="11" s="1"/>
  <c r="AE836" i="11" s="1"/>
  <c r="AA1387" i="11"/>
  <c r="AA606" i="11"/>
  <c r="AA1739" i="11"/>
  <c r="AA1070" i="11"/>
  <c r="AD1146" i="11" a="1"/>
  <c r="AD1146" i="11" s="1"/>
  <c r="AE1146" i="11" s="1"/>
  <c r="AA1146" i="11"/>
  <c r="AF1300" i="11" a="1"/>
  <c r="AF1300" i="11" s="1"/>
  <c r="AF103" i="11" a="1"/>
  <c r="AF103" i="11" s="1"/>
  <c r="AA103" i="11"/>
  <c r="AA1222" i="11"/>
  <c r="AF649" i="11" a="1"/>
  <c r="AF649" i="11" s="1"/>
  <c r="AF1359" i="11" a="1"/>
  <c r="AF1359" i="11" s="1"/>
  <c r="AD1222" i="11" a="1"/>
  <c r="AD1222" i="11" s="1"/>
  <c r="AE1222" i="11" s="1"/>
  <c r="AA649" i="11"/>
  <c r="AA136" i="11"/>
  <c r="AA857" i="11"/>
  <c r="AA341" i="1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A614" i="11"/>
  <c r="AF1104" i="11" a="1"/>
  <c r="AF1104" i="11" s="1"/>
  <c r="AD1774" i="11" a="1"/>
  <c r="AD1774" i="11" s="1"/>
  <c r="AE1774" i="11" s="1"/>
  <c r="AD1227" i="11" a="1"/>
  <c r="AD1227" i="11" s="1"/>
  <c r="AE1227" i="11" s="1"/>
  <c r="AA1929" i="11"/>
  <c r="AA194" i="11"/>
  <c r="AA1957" i="11"/>
  <c r="AA1934" i="11"/>
  <c r="AF698" i="11" a="1"/>
  <c r="AF698" i="11" s="1"/>
  <c r="AA520" i="11"/>
  <c r="AA307" i="11"/>
  <c r="AA973" i="11"/>
  <c r="AF1524" i="11" a="1"/>
  <c r="AF1524" i="11" s="1"/>
  <c r="AD1917" i="11" a="1"/>
  <c r="AD1917" i="11" s="1"/>
  <c r="AE1917" i="11" s="1"/>
  <c r="AA477" i="11"/>
  <c r="AA1803" i="11"/>
  <c r="AF1607" i="11" a="1"/>
  <c r="AF1607" i="11" s="1"/>
  <c r="AD1783" i="11" a="1"/>
  <c r="AD1783" i="11" s="1"/>
  <c r="AE1783" i="11" s="1"/>
  <c r="AF552" i="11" a="1"/>
  <c r="AF552" i="11" s="1"/>
  <c r="AA1131" i="11"/>
  <c r="AA1104" i="11"/>
  <c r="AD528" i="11" a="1"/>
  <c r="AD528" i="11" s="1"/>
  <c r="AE528" i="11" s="1"/>
  <c r="AA1774" i="11"/>
  <c r="AA1373" i="11"/>
  <c r="AA1227" i="11"/>
  <c r="AA1366" i="11"/>
  <c r="AA430" i="11"/>
  <c r="AF1091" i="11" a="1"/>
  <c r="AF1091" i="11" s="1"/>
  <c r="AF194" i="11" a="1"/>
  <c r="AF194" i="11" s="1"/>
  <c r="AF1957" i="11" a="1"/>
  <c r="AF1957" i="11" s="1"/>
  <c r="AF520" i="11" a="1"/>
  <c r="AF520" i="11" s="1"/>
  <c r="AA1524" i="11"/>
  <c r="AF477" i="11" a="1"/>
  <c r="AF477" i="11" s="1"/>
  <c r="AF1993" i="11" a="1"/>
  <c r="AF1993" i="11" s="1"/>
  <c r="AA1607" i="11"/>
  <c r="AA259" i="11"/>
  <c r="AF528" i="11" a="1"/>
  <c r="AF528" i="11" s="1"/>
  <c r="AA1270" i="11"/>
  <c r="AD1373" i="11" a="1"/>
  <c r="AD1373" i="11" s="1"/>
  <c r="AE1373" i="11" s="1"/>
  <c r="AF1151" i="11" a="1"/>
  <c r="AF1151" i="11" s="1"/>
  <c r="AF430" i="11" a="1"/>
  <c r="AF430" i="11" s="1"/>
  <c r="AA1091" i="11"/>
  <c r="AD220" i="11" a="1"/>
  <c r="AD220" i="11" s="1"/>
  <c r="AE220" i="11" s="1"/>
  <c r="AA596" i="11"/>
  <c r="AF1220" i="11" a="1"/>
  <c r="AF1220" i="11" s="1"/>
  <c r="AD1617" i="11" a="1"/>
  <c r="AD1617" i="11" s="1"/>
  <c r="AE1617" i="11" s="1"/>
  <c r="AA1993" i="11"/>
  <c r="AD1693" i="11" a="1"/>
  <c r="AD1693" i="11" s="1"/>
  <c r="AE1693" i="11" s="1"/>
  <c r="AF1708" i="11" a="1"/>
  <c r="AF1708" i="11" s="1"/>
  <c r="AD795" i="11" a="1"/>
  <c r="AD795" i="11" s="1"/>
  <c r="AE795" i="11" s="1"/>
  <c r="AF480" i="11" a="1"/>
  <c r="AF480" i="11" s="1"/>
  <c r="AF1270" i="11" a="1"/>
  <c r="AF1270" i="11" s="1"/>
  <c r="AA1119" i="11"/>
  <c r="AA1151" i="11"/>
  <c r="AF220" i="11" a="1"/>
  <c r="AF220" i="11" s="1"/>
  <c r="AF596" i="11" a="1"/>
  <c r="AF596" i="11" s="1"/>
  <c r="AA247" i="11"/>
  <c r="AF1568" i="11" a="1"/>
  <c r="AF1568" i="11" s="1"/>
  <c r="AD1220" i="11" a="1"/>
  <c r="AD1220" i="11" s="1"/>
  <c r="AE1220" i="11" s="1"/>
  <c r="AF1617" i="11" a="1"/>
  <c r="AF1617" i="11" s="1"/>
  <c r="AA1693" i="11"/>
  <c r="AA1708" i="11"/>
  <c r="AA795" i="11"/>
  <c r="AA412" i="11"/>
  <c r="AD480" i="11" a="1"/>
  <c r="AD480" i="11" s="1"/>
  <c r="AE480" i="11" s="1"/>
  <c r="AF1639" i="11" a="1"/>
  <c r="AF1639" i="11" s="1"/>
  <c r="AD247" i="11" a="1"/>
  <c r="AD247" i="11" s="1"/>
  <c r="AE247" i="11" s="1"/>
  <c r="AA738" i="11"/>
  <c r="AF1931" i="11" a="1"/>
  <c r="AF1931" i="11" s="1"/>
  <c r="AD1568" i="11" a="1"/>
  <c r="AD1568" i="11" s="1"/>
  <c r="AE1568" i="11" s="1"/>
  <c r="AD356" i="11" a="1"/>
  <c r="AD356" i="11" s="1"/>
  <c r="AE356" i="11" s="1"/>
  <c r="AF660" i="11" a="1"/>
  <c r="AF660" i="11" s="1"/>
  <c r="AA401" i="11"/>
  <c r="AA1250" i="11"/>
  <c r="AF1548" i="11" a="1"/>
  <c r="AF1548" i="11" s="1"/>
  <c r="AD779" i="11" a="1"/>
  <c r="AD779" i="11" s="1"/>
  <c r="AE779" i="11" s="1"/>
  <c r="AD1089" i="11" a="1"/>
  <c r="AD1089" i="11" s="1"/>
  <c r="AE1089" i="11" s="1"/>
  <c r="AD722" i="11" a="1"/>
  <c r="AD722" i="11" s="1"/>
  <c r="AE722" i="11" s="1"/>
  <c r="AD87" i="11" a="1"/>
  <c r="AD87" i="11" s="1"/>
  <c r="AE87" i="11" s="1"/>
  <c r="AD980" i="11" a="1"/>
  <c r="AD980" i="11" s="1"/>
  <c r="AE980" i="11" s="1"/>
  <c r="AF255" i="11" a="1"/>
  <c r="AF255" i="11" s="1"/>
  <c r="AD315" i="11" a="1"/>
  <c r="AD315" i="11" s="1"/>
  <c r="AE315" i="11" s="1"/>
  <c r="AD661" i="11" a="1"/>
  <c r="AD661" i="11" s="1"/>
  <c r="AE661" i="11" s="1"/>
  <c r="AA68" i="11"/>
  <c r="AF537" i="11" a="1"/>
  <c r="AF537" i="11" s="1"/>
  <c r="AA1231" i="11"/>
  <c r="AF898" i="11" a="1"/>
  <c r="AF898" i="11" s="1"/>
  <c r="AA1482" i="11"/>
  <c r="AA445" i="11"/>
  <c r="AD660" i="11" a="1"/>
  <c r="AD660" i="11" s="1"/>
  <c r="AE660" i="11" s="1"/>
  <c r="AA1513" i="11"/>
  <c r="AD168" i="11" a="1"/>
  <c r="AD168" i="11" s="1"/>
  <c r="AE168" i="11" s="1"/>
  <c r="AF338" i="11" a="1"/>
  <c r="AF338" i="11" s="1"/>
  <c r="AF1434" i="11" a="1"/>
  <c r="AF1434" i="11" s="1"/>
  <c r="AD42" i="11" a="1"/>
  <c r="AD42" i="11" s="1"/>
  <c r="AE42" i="11" s="1"/>
  <c r="AD1187" i="11" a="1"/>
  <c r="AD1187" i="11" s="1"/>
  <c r="AE1187" i="11" s="1"/>
  <c r="AA315" i="11"/>
  <c r="AA1548" i="11"/>
  <c r="AF94" i="11" a="1"/>
  <c r="AF94" i="11" s="1"/>
  <c r="AD804" i="11" a="1"/>
  <c r="AD804" i="11" s="1"/>
  <c r="AE804" i="11" s="1"/>
  <c r="AF613" i="11" a="1"/>
  <c r="AF613" i="11" s="1"/>
  <c r="AF530" i="11" a="1"/>
  <c r="AF530" i="11" s="1"/>
  <c r="AD949" i="11" a="1"/>
  <c r="AD949" i="11" s="1"/>
  <c r="AE949" i="11" s="1"/>
  <c r="AA1725" i="11"/>
  <c r="AA537" i="11"/>
  <c r="AA779" i="11"/>
  <c r="AA255" i="11"/>
  <c r="AA980" i="11"/>
  <c r="AA1136" i="11"/>
  <c r="AF808" i="11" a="1"/>
  <c r="AF808" i="11" s="1"/>
  <c r="AA767" i="11"/>
  <c r="AF1250" i="11" a="1"/>
  <c r="AF1250" i="11" s="1"/>
  <c r="AF722" i="11" a="1"/>
  <c r="AF722" i="11" s="1"/>
  <c r="AA898" i="11"/>
  <c r="AF87" i="11" a="1"/>
  <c r="AF87" i="11" s="1"/>
  <c r="AD1268" i="11" a="1"/>
  <c r="AD1268" i="11" s="1"/>
  <c r="AE1268" i="11" s="1"/>
  <c r="AD1727" i="11" a="1"/>
  <c r="AD1727" i="11" s="1"/>
  <c r="AE1727" i="11" s="1"/>
  <c r="AA1089" i="11"/>
  <c r="AA1643" i="11"/>
  <c r="AA679" i="11"/>
  <c r="AD401" i="11" a="1"/>
  <c r="AD401" i="11" s="1"/>
  <c r="AE401" i="11" s="1"/>
  <c r="AA661" i="11"/>
  <c r="AA1694" i="11"/>
  <c r="AA1952" i="11"/>
  <c r="AA730" i="11"/>
  <c r="AD1971" i="11" a="1"/>
  <c r="AD1971" i="11" s="1"/>
  <c r="AE1971" i="11" s="1"/>
  <c r="AF1960" i="11" a="1"/>
  <c r="AF1960" i="11" s="1"/>
  <c r="AD921" i="11" a="1"/>
  <c r="AD921" i="11" s="1"/>
  <c r="AE921" i="11" s="1"/>
  <c r="AF1482" i="11" a="1"/>
  <c r="AF1482" i="11" s="1"/>
  <c r="AD68" i="11" a="1"/>
  <c r="AD68" i="11" s="1"/>
  <c r="AE68" i="11" s="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A844" i="11"/>
  <c r="AF679" i="11" a="1"/>
  <c r="AF679" i="11" s="1"/>
  <c r="AA1451" i="11"/>
  <c r="AD1694" i="11" a="1"/>
  <c r="AD1694" i="11" s="1"/>
  <c r="AE1694" i="11" s="1"/>
  <c r="AD1952" i="11" a="1"/>
  <c r="AD1952" i="11" s="1"/>
  <c r="AE1952" i="11" s="1"/>
  <c r="AA1107" i="11"/>
  <c r="AD730" i="11" a="1"/>
  <c r="AD730" i="11" s="1"/>
  <c r="AE730" i="11" s="1"/>
  <c r="AA1504" i="11"/>
  <c r="AA1971" i="11"/>
  <c r="AA1025" i="1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F844" i="11" a="1"/>
  <c r="AF844" i="11" s="1"/>
  <c r="AA460" i="11"/>
  <c r="AA115" i="11"/>
  <c r="AF1451" i="11" a="1"/>
  <c r="AF1451" i="11" s="1"/>
  <c r="AD1107" i="11" a="1"/>
  <c r="AD1107" i="11" s="1"/>
  <c r="AE1107" i="11" s="1"/>
  <c r="AA883" i="11"/>
  <c r="AF1168" i="11" a="1"/>
  <c r="AF1168" i="11" s="1"/>
  <c r="AA1064" i="11"/>
  <c r="AD1021" i="11" a="1"/>
  <c r="AD1021" i="11" s="1"/>
  <c r="AE1021" i="11" s="1"/>
  <c r="AF625" i="11" a="1"/>
  <c r="AF625" i="11" s="1"/>
  <c r="AF1598" i="11" a="1"/>
  <c r="AF1598" i="11" s="1"/>
  <c r="AD408" i="11" a="1"/>
  <c r="AD408" i="11" s="1"/>
  <c r="AE408" i="11" s="1"/>
  <c r="AF445" i="11" a="1"/>
  <c r="AF445" i="11" s="1"/>
  <c r="AF719" i="11" a="1"/>
  <c r="AF719" i="11" s="1"/>
  <c r="AF1116" i="11" a="1"/>
  <c r="AF1116" i="11" s="1"/>
  <c r="AA1121" i="11"/>
  <c r="AF115" i="11" a="1"/>
  <c r="AF115" i="11" s="1"/>
  <c r="AF1395" i="11" a="1"/>
  <c r="AF1395" i="11" s="1"/>
  <c r="AA654" i="11"/>
  <c r="AA1663" i="11"/>
  <c r="AD883" i="11" a="1"/>
  <c r="AD883" i="11" s="1"/>
  <c r="AE883" i="11" s="1"/>
  <c r="AA1168" i="11"/>
  <c r="AD881" i="11" a="1"/>
  <c r="AD881" i="11" s="1"/>
  <c r="AE881" i="11" s="1"/>
  <c r="AA625" i="11"/>
  <c r="AA1598" i="11"/>
  <c r="AF408" i="11" a="1"/>
  <c r="AF408" i="11" s="1"/>
  <c r="AA338" i="11"/>
  <c r="AA1434" i="11"/>
  <c r="AA719" i="11"/>
  <c r="AA1116" i="11"/>
  <c r="AA42" i="11"/>
  <c r="AA1187" i="11"/>
  <c r="AD1825" i="11" a="1"/>
  <c r="AD1825" i="11" s="1"/>
  <c r="AE1825" i="11" s="1"/>
  <c r="AF1121" i="11" a="1"/>
  <c r="AF1121" i="11" s="1"/>
  <c r="AA1395" i="11"/>
  <c r="AA613" i="11"/>
  <c r="AD530" i="11" a="1"/>
  <c r="AD530" i="11" s="1"/>
  <c r="AE530" i="11" s="1"/>
  <c r="AF949" i="11" a="1"/>
  <c r="AF949" i="11" s="1"/>
  <c r="AF1725" i="11" a="1"/>
  <c r="AF1725" i="11" s="1"/>
  <c r="AD654" i="11" a="1"/>
  <c r="AD654" i="11" s="1"/>
  <c r="AE654" i="11" s="1"/>
  <c r="AF1136" i="11" a="1"/>
  <c r="AF1136" i="11" s="1"/>
  <c r="AD767" i="11" a="1"/>
  <c r="AD767" i="11" s="1"/>
  <c r="AE767" i="11" s="1"/>
  <c r="AF881" i="11" a="1"/>
  <c r="AF881" i="11" s="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A2013" i="11"/>
  <c r="AD1070" i="11" a="1"/>
  <c r="AD1070" i="11" s="1"/>
  <c r="AE1070" i="11" s="1"/>
  <c r="AD606" i="11" a="1"/>
  <c r="AD606" i="11" s="1"/>
  <c r="AE606" i="11" s="1"/>
  <c r="AF685" i="11" a="1"/>
  <c r="AF685" i="11" s="1"/>
  <c r="AA1949" i="11"/>
  <c r="AD216" i="11" a="1"/>
  <c r="AD216" i="11" s="1"/>
  <c r="AE216" i="11" s="1"/>
  <c r="AF308" i="11" a="1"/>
  <c r="AF308" i="11" s="1"/>
  <c r="AD685" i="11" a="1"/>
  <c r="AD685" i="11" s="1"/>
  <c r="AE685" i="11" s="1"/>
  <c r="AF1949" i="11" a="1"/>
  <c r="AF1949" i="11" s="1"/>
  <c r="AA512" i="11"/>
  <c r="AA1723" i="11"/>
  <c r="AA308" i="11"/>
  <c r="AF512" i="11" a="1"/>
  <c r="AF512" i="11" s="1"/>
  <c r="AD1723" i="11" a="1"/>
  <c r="AD1723" i="11" s="1"/>
  <c r="AE1723" i="11" s="1"/>
  <c r="AF1146" i="11" a="1"/>
  <c r="AF1146" i="11" s="1"/>
  <c r="AA175" i="11"/>
  <c r="AA1378" i="11"/>
  <c r="AA207" i="11"/>
  <c r="AA1263" i="11"/>
  <c r="AD1303" i="11" a="1"/>
  <c r="AD1303" i="11" s="1"/>
  <c r="AE1303" i="11" s="1"/>
  <c r="AF1378" i="11" a="1"/>
  <c r="AF1378" i="11" s="1"/>
  <c r="AA670" i="11"/>
  <c r="AA1303" i="11"/>
  <c r="AF670" i="11" a="1"/>
  <c r="AF670" i="11" s="1"/>
  <c r="AA1668" i="11"/>
  <c r="AD24" i="11" a="1"/>
  <c r="AD24" i="11" s="1"/>
  <c r="AE24" i="11" s="1"/>
  <c r="AA1126" i="11"/>
  <c r="AA456" i="11"/>
  <c r="AA1628" i="11"/>
  <c r="AA1039" i="11"/>
  <c r="AF456" i="11" a="1"/>
  <c r="AF456" i="11" s="1"/>
  <c r="AF1628" i="11" a="1"/>
  <c r="AF1628" i="11" s="1"/>
  <c r="AF1039" i="11" a="1"/>
  <c r="AF1039" i="11" s="1"/>
  <c r="AD1419" i="11" a="1"/>
  <c r="AD1419" i="11" s="1"/>
  <c r="AE1419" i="11" s="1"/>
  <c r="AA192" i="11"/>
  <c r="AF192" i="11" a="1"/>
  <c r="AF192" i="11" s="1"/>
  <c r="AD192" i="11" a="1"/>
  <c r="AD192" i="11" s="1"/>
  <c r="AE192" i="11" s="1"/>
  <c r="AF1447" i="11" a="1"/>
  <c r="AF1447" i="11" s="1"/>
  <c r="AD1447" i="11" a="1"/>
  <c r="AD1447" i="11" s="1"/>
  <c r="AE1447" i="11" s="1"/>
  <c r="AA1447" i="11"/>
  <c r="AA453" i="1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F101" i="11" a="1"/>
  <c r="AF101" i="11" s="1"/>
  <c r="AF1180" i="11" a="1"/>
  <c r="AF1180" i="11" s="1"/>
  <c r="AA101" i="11"/>
  <c r="AD1180" i="11" a="1"/>
  <c r="AD1180" i="11" s="1"/>
  <c r="AE1180" i="11" s="1"/>
  <c r="AF1420" i="11" a="1"/>
  <c r="AF1420" i="11" s="1"/>
  <c r="AF27" i="11" a="1"/>
  <c r="AF27" i="11" s="1"/>
  <c r="AF1486" i="11" a="1"/>
  <c r="AF1486" i="11" s="1"/>
  <c r="AA1420" i="11"/>
  <c r="AA27" i="11"/>
  <c r="AA1486" i="11"/>
  <c r="AF1646" i="11" l="1" a="1"/>
  <c r="AF1646" i="11" s="1"/>
  <c r="AF1516" i="11" a="1"/>
  <c r="AF1516" i="11" s="1"/>
  <c r="AA327" i="11"/>
  <c r="AA1978" i="11"/>
  <c r="AF207" i="11" a="1"/>
  <c r="AF207" i="11" s="1"/>
  <c r="AA214" i="11"/>
  <c r="AF809" i="11" a="1"/>
  <c r="AF809" i="11" s="1"/>
  <c r="AF360" i="11" a="1"/>
  <c r="AF360" i="11" s="1"/>
  <c r="AD133" i="11" a="1"/>
  <c r="AD133" i="11" s="1"/>
  <c r="AE133" i="11" s="1"/>
  <c r="AA1719" i="11"/>
  <c r="AD1829" i="11" a="1"/>
  <c r="AD1829" i="11" s="1"/>
  <c r="AE1829" i="11" s="1"/>
  <c r="AD321" i="11" a="1"/>
  <c r="AD321" i="11" s="1"/>
  <c r="AE321" i="11" s="1"/>
  <c r="AF199" i="11" a="1"/>
  <c r="AF199" i="11" s="1"/>
  <c r="AA80" i="11"/>
  <c r="AD1915" i="11" a="1"/>
  <c r="AD1915" i="11" s="1"/>
  <c r="AE1915" i="11" s="1"/>
  <c r="AF256" i="11" a="1"/>
  <c r="AF256" i="11" s="1"/>
  <c r="AA1258" i="11"/>
  <c r="AF1369" i="11" a="1"/>
  <c r="AF1369" i="11" s="1"/>
  <c r="AF1102" i="11" a="1"/>
  <c r="AF1102" i="11" s="1"/>
  <c r="AD1730" i="11" a="1"/>
  <c r="AD1730" i="11" s="1"/>
  <c r="AE1730" i="11" s="1"/>
  <c r="AA319" i="11"/>
  <c r="AF1289" i="11" a="1"/>
  <c r="AF1289" i="11" s="1"/>
  <c r="AA608" i="11"/>
  <c r="AA763" i="11"/>
  <c r="AF1327" i="11" a="1"/>
  <c r="AF1327" i="11" s="1"/>
  <c r="AA1297" i="11"/>
  <c r="AA426" i="11"/>
  <c r="AF1124" i="11" a="1"/>
  <c r="AF1124" i="11" s="1"/>
  <c r="AD769" i="11" a="1"/>
  <c r="AD769" i="11" s="1"/>
  <c r="AE769" i="11" s="1"/>
  <c r="AD1232" i="11" a="1"/>
  <c r="AD1232" i="11" s="1"/>
  <c r="AE1232" i="11" s="1"/>
  <c r="AF527" i="11" a="1"/>
  <c r="AF527" i="11" s="1"/>
  <c r="AF1429" i="11" a="1"/>
  <c r="AF1429" i="11" s="1"/>
  <c r="AA1215" i="11"/>
  <c r="AD1891" i="11" a="1"/>
  <c r="AD1891" i="11" s="1"/>
  <c r="AE1891" i="11" s="1"/>
  <c r="AD1389" i="11" a="1"/>
  <c r="AD1389" i="11" s="1"/>
  <c r="AE1389" i="11" s="1"/>
  <c r="AD317" i="11" a="1"/>
  <c r="AD317" i="11" s="1"/>
  <c r="AE317" i="11" s="1"/>
  <c r="AD982" i="11" a="1"/>
  <c r="AD982" i="11" s="1"/>
  <c r="AE982" i="11" s="1"/>
  <c r="AD1393" i="11" a="1"/>
  <c r="AD1393" i="11" s="1"/>
  <c r="AE1393" i="11" s="1"/>
  <c r="AA1944" i="11"/>
  <c r="AA225" i="11"/>
  <c r="AA1767" i="11"/>
  <c r="AA1332" i="11"/>
  <c r="AF1795" i="11" a="1"/>
  <c r="AF1795" i="11" s="1"/>
  <c r="AD1566" i="11" a="1"/>
  <c r="AD1566" i="11" s="1"/>
  <c r="AE1566" i="11" s="1"/>
  <c r="AA1511" i="11"/>
  <c r="AD1812" i="11" a="1"/>
  <c r="AD1812" i="11" s="1"/>
  <c r="AE1812" i="11" s="1"/>
  <c r="AA950" i="11"/>
  <c r="AA1196" i="11"/>
  <c r="AF1055" i="11" a="1"/>
  <c r="AF1055" i="11" s="1"/>
  <c r="AD460" i="11" a="1"/>
  <c r="AD460" i="11" s="1"/>
  <c r="AE460" i="11" s="1"/>
  <c r="AA804" i="11"/>
  <c r="AD1504" i="11" a="1"/>
  <c r="AD1504" i="11" s="1"/>
  <c r="AE1504" i="11" s="1"/>
  <c r="AA1510" i="11"/>
  <c r="AD747" i="11" a="1"/>
  <c r="AD747" i="11" s="1"/>
  <c r="AE747" i="11" s="1"/>
  <c r="AD1964" i="11" a="1"/>
  <c r="AD1964" i="11" s="1"/>
  <c r="AE1964" i="11" s="1"/>
  <c r="AF1760" i="11" a="1"/>
  <c r="AF1760" i="11" s="1"/>
  <c r="AA954" i="11"/>
  <c r="AD426" i="11" a="1"/>
  <c r="AD426" i="11" s="1"/>
  <c r="AE426" i="11" s="1"/>
  <c r="AF71" i="11" a="1"/>
  <c r="AF71" i="11" s="1"/>
  <c r="AF1812" i="11" a="1"/>
  <c r="AF1812" i="11" s="1"/>
  <c r="AD1646" i="11" a="1"/>
  <c r="AD1646" i="11" s="1"/>
  <c r="AE1646" i="11" s="1"/>
  <c r="AF1576" i="11" a="1"/>
  <c r="AF1576" i="11" s="1"/>
  <c r="AD1258" i="11" a="1"/>
  <c r="AD1258" i="11" s="1"/>
  <c r="AE1258" i="11" s="1"/>
  <c r="AA982" i="11"/>
  <c r="AD1516" i="11" a="1"/>
  <c r="AD1516" i="11" s="1"/>
  <c r="AE1516" i="11" s="1"/>
  <c r="AD1599" i="11" a="1"/>
  <c r="AD1599" i="11" s="1"/>
  <c r="AE1599" i="11" s="1"/>
  <c r="AF1140" i="11" a="1"/>
  <c r="AF1140" i="11" s="1"/>
  <c r="AF1232" i="11" a="1"/>
  <c r="AF1232" i="11" s="1"/>
  <c r="AD602" i="11" a="1"/>
  <c r="AD602" i="11" s="1"/>
  <c r="AE602" i="11" s="1"/>
  <c r="AF1891" i="11" a="1"/>
  <c r="AF1891" i="11" s="1"/>
  <c r="AD398" i="11" a="1"/>
  <c r="AD398" i="11" s="1"/>
  <c r="AE398" i="11" s="1"/>
  <c r="AA485" i="11"/>
  <c r="AD1576" i="11" a="1"/>
  <c r="AD1576" i="11" s="1"/>
  <c r="AE1576" i="11" s="1"/>
  <c r="AD1724" i="11" a="1"/>
  <c r="AD1724" i="11" s="1"/>
  <c r="AE1724" i="11" s="1"/>
  <c r="AA1327" i="11"/>
  <c r="AF1620" i="11" a="1"/>
  <c r="AF1620" i="11" s="1"/>
  <c r="AD542" i="11" a="1"/>
  <c r="AD542" i="11" s="1"/>
  <c r="AE542" i="11" s="1"/>
  <c r="AF1726" i="11" a="1"/>
  <c r="AF1726" i="11" s="1"/>
  <c r="AD485" i="11" a="1"/>
  <c r="AD485" i="11" s="1"/>
  <c r="AE485" i="11" s="1"/>
  <c r="AF1517" i="11" a="1"/>
  <c r="AF1517" i="11" s="1"/>
  <c r="AA1308" i="11"/>
  <c r="AF773" i="11" a="1"/>
  <c r="AF773" i="11" s="1"/>
  <c r="AA1697" i="11"/>
  <c r="AF89" i="11" a="1"/>
  <c r="AF89" i="11" s="1"/>
  <c r="AF1511" i="11" a="1"/>
  <c r="AF1511" i="11" s="1"/>
  <c r="AF1744" i="11" a="1"/>
  <c r="AF1744" i="11" s="1"/>
  <c r="AD1744" i="11" a="1"/>
  <c r="AD1744" i="11" s="1"/>
  <c r="AE1744" i="11" s="1"/>
  <c r="AF655" i="11" a="1"/>
  <c r="AF655" i="11" s="1"/>
  <c r="AD1556" i="11" a="1"/>
  <c r="AD1556" i="11" s="1"/>
  <c r="AE1556" i="11" s="1"/>
  <c r="AF584" i="11" a="1"/>
  <c r="AF584" i="11" s="1"/>
  <c r="AF165" i="11" a="1"/>
  <c r="AF165" i="11" s="1"/>
  <c r="AD1429" i="11" a="1"/>
  <c r="AD1429" i="11" s="1"/>
  <c r="AE1429" i="11" s="1"/>
  <c r="AF1389" i="11" a="1"/>
  <c r="AF1389" i="11" s="1"/>
  <c r="AA1369" i="11"/>
  <c r="AA317" i="11"/>
  <c r="AA228" i="11"/>
  <c r="AD89" i="11" a="1"/>
  <c r="AD89" i="11" s="1"/>
  <c r="AE89" i="11" s="1"/>
  <c r="AF1721" i="11" a="1"/>
  <c r="AF1721" i="11" s="1"/>
  <c r="AA1815" i="11"/>
  <c r="AA142" i="11"/>
  <c r="AD342" i="11" a="1"/>
  <c r="AD342" i="11" s="1"/>
  <c r="AE342" i="11" s="1"/>
  <c r="AF327" i="11" a="1"/>
  <c r="AF327" i="11" s="1"/>
  <c r="AD1102" i="11" a="1"/>
  <c r="AD1102" i="11" s="1"/>
  <c r="AE1102" i="11" s="1"/>
  <c r="AD1894" i="11" a="1"/>
  <c r="AD1894" i="11" s="1"/>
  <c r="AE1894" i="11" s="1"/>
  <c r="AD350" i="11" a="1"/>
  <c r="AD350" i="11" s="1"/>
  <c r="AE350" i="11" s="1"/>
  <c r="AF1393" i="11" a="1"/>
  <c r="AF1393" i="11" s="1"/>
  <c r="AA909" i="11"/>
  <c r="AF1553" i="11" a="1"/>
  <c r="AF1553" i="11" s="1"/>
  <c r="AA1537" i="11"/>
  <c r="AA1358" i="11"/>
  <c r="AA1289" i="11"/>
  <c r="AA576" i="11"/>
  <c r="AA997" i="11"/>
  <c r="AF1815" i="11" a="1"/>
  <c r="AF1815" i="11" s="1"/>
  <c r="AA1707" i="11"/>
  <c r="AD259" i="11" a="1"/>
  <c r="AD259" i="11" s="1"/>
  <c r="AE259" i="11" s="1"/>
  <c r="AD1519" i="11" a="1"/>
  <c r="AD1519" i="11" s="1"/>
  <c r="AE1519" i="11" s="1"/>
  <c r="AA1721" i="11"/>
  <c r="AD319" i="11" a="1"/>
  <c r="AD319" i="11" s="1"/>
  <c r="AE319" i="11" s="1"/>
  <c r="AD1663" i="11" a="1"/>
  <c r="AD1663" i="11" s="1"/>
  <c r="AE1663" i="11" s="1"/>
  <c r="AA1724" i="11"/>
  <c r="AA1918" i="11"/>
  <c r="AA1043" i="11"/>
  <c r="AF395" i="11" a="1"/>
  <c r="AF395" i="11" s="1"/>
  <c r="AF1025" i="11" a="1"/>
  <c r="AF1025" i="11" s="1"/>
  <c r="AA398" i="11"/>
  <c r="AF861" i="11" a="1"/>
  <c r="AF861" i="11" s="1"/>
  <c r="AA542" i="11"/>
  <c r="AD642" i="11" a="1"/>
  <c r="AD642" i="11" s="1"/>
  <c r="AE642" i="11" s="1"/>
  <c r="AD1382" i="11" a="1"/>
  <c r="AD1382" i="11" s="1"/>
  <c r="AE1382" i="11" s="1"/>
  <c r="AA555" i="11"/>
  <c r="AF1719" i="11" a="1"/>
  <c r="AF1719" i="11" s="1"/>
  <c r="AD1620" i="11" a="1"/>
  <c r="AD1620" i="11" s="1"/>
  <c r="AE1620" i="11" s="1"/>
  <c r="AA1634" i="11"/>
  <c r="AF1283" i="11" a="1"/>
  <c r="AF1283" i="11" s="1"/>
  <c r="AD1124" i="11" a="1"/>
  <c r="AD1124" i="11" s="1"/>
  <c r="AE1124" i="11" s="1"/>
  <c r="AA1566" i="11"/>
  <c r="AA395" i="11"/>
  <c r="AD1709" i="11" a="1"/>
  <c r="AD1709" i="11" s="1"/>
  <c r="AE1709" i="11" s="1"/>
  <c r="AF271" i="11" a="1"/>
  <c r="AF271" i="11" s="1"/>
  <c r="AF202" i="11" a="1"/>
  <c r="AF202" i="11" s="1"/>
  <c r="AF950" i="11" a="1"/>
  <c r="AF950" i="11" s="1"/>
  <c r="AA132" i="11"/>
  <c r="AF1155" i="11" a="1"/>
  <c r="AF1155" i="11" s="1"/>
  <c r="AF1622" i="11" a="1"/>
  <c r="AF1622" i="11" s="1"/>
  <c r="AF1944" i="11" a="1"/>
  <c r="AF1944" i="11" s="1"/>
  <c r="AA246" i="11"/>
  <c r="AA1553" i="11"/>
  <c r="AF1556" i="11" a="1"/>
  <c r="AF1556" i="11" s="1"/>
  <c r="AA1825" i="11"/>
  <c r="AF921" i="11" a="1"/>
  <c r="AF921" i="11" s="1"/>
  <c r="AD202" i="11" a="1"/>
  <c r="AD202" i="11" s="1"/>
  <c r="AE202" i="11" s="1"/>
  <c r="AA1041" i="11"/>
  <c r="AA1709" i="11"/>
  <c r="AF1001" i="11" a="1"/>
  <c r="AF1001" i="11" s="1"/>
  <c r="AA655" i="11"/>
  <c r="AF1915" i="11" a="1"/>
  <c r="AF1915" i="11" s="1"/>
  <c r="AF1581" i="11" a="1"/>
  <c r="AF1581" i="11" s="1"/>
  <c r="AA845" i="11"/>
  <c r="AD702" i="11" a="1"/>
  <c r="AD702" i="11" s="1"/>
  <c r="AE702" i="11" s="1"/>
  <c r="AF1964" i="11" a="1"/>
  <c r="AF1964" i="11" s="1"/>
  <c r="AF769" i="11" a="1"/>
  <c r="AF769" i="11" s="1"/>
  <c r="AF468" i="11" a="1"/>
  <c r="AF468" i="11" s="1"/>
  <c r="AF1767" i="11" a="1"/>
  <c r="AF1767" i="11" s="1"/>
  <c r="AF1211" i="11" a="1"/>
  <c r="AF1211" i="11" s="1"/>
  <c r="AD1590" i="11" a="1"/>
  <c r="AD1590" i="11" s="1"/>
  <c r="AE1590" i="11" s="1"/>
  <c r="AD824" i="11" a="1"/>
  <c r="AD824" i="11" s="1"/>
  <c r="AE824" i="11" s="1"/>
  <c r="AA702" i="11"/>
  <c r="AD1366" i="11" a="1"/>
  <c r="AD1366" i="11" s="1"/>
  <c r="AE1366" i="11" s="1"/>
  <c r="AD1639" i="11" a="1"/>
  <c r="AD1639" i="11" s="1"/>
  <c r="AE1639" i="11" s="1"/>
  <c r="AA283" i="11"/>
  <c r="AD584" i="11" a="1"/>
  <c r="AD584" i="11" s="1"/>
  <c r="AE584" i="11" s="1"/>
  <c r="AD1201" i="11" a="1"/>
  <c r="AD1201" i="11" s="1"/>
  <c r="AE1201" i="11" s="1"/>
  <c r="AF1565" i="11" a="1"/>
  <c r="AF1565" i="11" s="1"/>
  <c r="AF2007" i="11" a="1"/>
  <c r="AF2007" i="11" s="1"/>
  <c r="AD1211" i="11" a="1"/>
  <c r="AD1211" i="11" s="1"/>
  <c r="AE1211" i="11" s="1"/>
  <c r="AA1283" i="11"/>
  <c r="AA1519" i="11"/>
  <c r="AF1894" i="11" a="1"/>
  <c r="AF1894" i="11" s="1"/>
  <c r="AD1918" i="11" a="1"/>
  <c r="AD1918" i="11" s="1"/>
  <c r="AE1918" i="11" s="1"/>
  <c r="AF1496" i="11" a="1"/>
  <c r="AF1496" i="11" s="1"/>
  <c r="AD763" i="11" a="1"/>
  <c r="AD763" i="11" s="1"/>
  <c r="AE763" i="11" s="1"/>
  <c r="AD271" i="11" a="1"/>
  <c r="AD271" i="11" s="1"/>
  <c r="AE271" i="11" s="1"/>
  <c r="AD820" i="11" a="1"/>
  <c r="AD820" i="11" s="1"/>
  <c r="AE820" i="11" s="1"/>
  <c r="AF829" i="11" a="1"/>
  <c r="AF829" i="11" s="1"/>
  <c r="AF1716" i="11" a="1"/>
  <c r="AF1716" i="11" s="1"/>
  <c r="AA815" i="11"/>
  <c r="AA1060" i="11"/>
  <c r="AF321" i="11" a="1"/>
  <c r="AF321" i="11" s="1"/>
  <c r="AF132" i="11" a="1"/>
  <c r="AF132" i="11" s="1"/>
  <c r="AD1308" i="11" a="1"/>
  <c r="AD1308" i="11" s="1"/>
  <c r="AE1308" i="11" s="1"/>
  <c r="AF618" i="11" a="1"/>
  <c r="AF618" i="11" s="1"/>
  <c r="AA450" i="11"/>
  <c r="AD1785" i="11" a="1"/>
  <c r="AD1785" i="11" s="1"/>
  <c r="AE1785" i="11" s="1"/>
  <c r="AA1426" i="11"/>
  <c r="AD1196" i="11" a="1"/>
  <c r="AD1196" i="11" s="1"/>
  <c r="AE1196" i="11" s="1"/>
  <c r="AF1590" i="11" a="1"/>
  <c r="AF1590" i="11" s="1"/>
  <c r="AD256" i="11" a="1"/>
  <c r="AD256" i="11" s="1"/>
  <c r="AE256" i="11" s="1"/>
  <c r="AD717" i="11" a="1"/>
  <c r="AD717" i="11" s="1"/>
  <c r="AE717" i="11" s="1"/>
  <c r="AA809" i="11"/>
  <c r="AD1835" i="11" a="1"/>
  <c r="AD1835" i="11" s="1"/>
  <c r="AE1835" i="11" s="1"/>
  <c r="AF714" i="11" a="1"/>
  <c r="AF714" i="11" s="1"/>
  <c r="AF189" i="11" a="1"/>
  <c r="AF189" i="11" s="1"/>
  <c r="AA1581" i="11"/>
  <c r="AF248" i="11" a="1"/>
  <c r="AF248" i="11" s="1"/>
  <c r="AD468" i="11" a="1"/>
  <c r="AD468" i="11" s="1"/>
  <c r="AE468" i="11" s="1"/>
  <c r="AD1978" i="11" a="1"/>
  <c r="AD1978" i="11" s="1"/>
  <c r="AE1978" i="11" s="1"/>
  <c r="AF1201" i="11" a="1"/>
  <c r="AF1201" i="11" s="1"/>
  <c r="AD1565" i="11" a="1"/>
  <c r="AD1565" i="11" s="1"/>
  <c r="AE1565" i="11" s="1"/>
  <c r="AA1278" i="11"/>
  <c r="AF1384" i="11" a="1"/>
  <c r="AF1384" i="11" s="1"/>
  <c r="AA1795" i="11"/>
  <c r="AD653" i="11" a="1"/>
  <c r="AD653" i="11" s="1"/>
  <c r="AE653" i="11" s="1"/>
  <c r="AF164" i="11" a="1"/>
  <c r="AF164" i="11" s="1"/>
  <c r="AD1700" i="11" a="1"/>
  <c r="AD1700" i="11" s="1"/>
  <c r="AE1700" i="11" s="1"/>
  <c r="AA829" i="11"/>
  <c r="AD861" i="11" a="1"/>
  <c r="AD861" i="11" s="1"/>
  <c r="AE861" i="11" s="1"/>
  <c r="AD212" i="11" a="1"/>
  <c r="AD212" i="11" s="1"/>
  <c r="AE212" i="11" s="1"/>
  <c r="AD1055" i="11" a="1"/>
  <c r="AD1055" i="11" s="1"/>
  <c r="AE1055" i="11" s="1"/>
  <c r="AA1032" i="11"/>
  <c r="AF727" i="11" a="1"/>
  <c r="AF727" i="11" s="1"/>
  <c r="AA1382" i="11"/>
  <c r="AD845" i="11" a="1"/>
  <c r="AD845" i="11" s="1"/>
  <c r="AE845" i="11" s="1"/>
  <c r="AA1730" i="11"/>
  <c r="AA166" i="11"/>
  <c r="AF450" i="11" a="1"/>
  <c r="AF450" i="11" s="1"/>
  <c r="AD248" i="11" a="1"/>
  <c r="AD248" i="11" s="1"/>
  <c r="AE248" i="11" s="1"/>
  <c r="AF1041" i="11" a="1"/>
  <c r="AF1041" i="11" s="1"/>
  <c r="AD608" i="11" a="1"/>
  <c r="AD608" i="11" s="1"/>
  <c r="AE608" i="11" s="1"/>
  <c r="AD758" i="11" a="1"/>
  <c r="AD758" i="11" s="1"/>
  <c r="AE758" i="11" s="1"/>
  <c r="AF1215" i="11" a="1"/>
  <c r="AF1215" i="11" s="1"/>
  <c r="AD1139" i="11" a="1"/>
  <c r="AD1139" i="11" s="1"/>
  <c r="AE1139" i="11" s="1"/>
  <c r="AA653" i="11"/>
  <c r="AA164" i="11"/>
  <c r="AD1384" i="11" a="1"/>
  <c r="AD1384" i="11" s="1"/>
  <c r="AE1384" i="11" s="1"/>
  <c r="AD214" i="11" a="1"/>
  <c r="AD214" i="11" s="1"/>
  <c r="AE214" i="11" s="1"/>
  <c r="AD1537" i="11" a="1"/>
  <c r="AD1537" i="11" s="1"/>
  <c r="AE1537" i="11" s="1"/>
  <c r="AD846" i="11" a="1"/>
  <c r="AD846" i="11" s="1"/>
  <c r="AE846" i="11" s="1"/>
  <c r="AF863" i="11" a="1"/>
  <c r="AF863" i="11" s="1"/>
  <c r="AF1381" i="11" a="1"/>
  <c r="AF1381" i="11" s="1"/>
  <c r="AA1781" i="11"/>
  <c r="AA199" i="11"/>
  <c r="AD773" i="11" a="1"/>
  <c r="AD773" i="11" s="1"/>
  <c r="AE773" i="11" s="1"/>
  <c r="AD1372" i="11" a="1"/>
  <c r="AD1372" i="11" s="1"/>
  <c r="AE1372" i="11" s="1"/>
  <c r="AA2007" i="11"/>
  <c r="AF1278" i="11" a="1"/>
  <c r="AF1278" i="11" s="1"/>
  <c r="AA808" i="11"/>
  <c r="AF283" i="11" a="1"/>
  <c r="AF283" i="11" s="1"/>
  <c r="AA188" i="11"/>
  <c r="AF1372" i="11" a="1"/>
  <c r="AF1372" i="11" s="1"/>
  <c r="AF758" i="11" a="1"/>
  <c r="AF758" i="11" s="1"/>
  <c r="AD1011" i="11" a="1"/>
  <c r="AD1011" i="11" s="1"/>
  <c r="AE1011" i="11" s="1"/>
  <c r="AA1333" i="11"/>
  <c r="AD1345" i="11" a="1"/>
  <c r="AD1345" i="11" s="1"/>
  <c r="AE1345" i="11" s="1"/>
  <c r="AA1883" i="11"/>
  <c r="AF1333" i="11" a="1"/>
  <c r="AF1333" i="11" s="1"/>
  <c r="AA1345" i="11"/>
  <c r="AF1769" i="11" a="1"/>
  <c r="AF1769" i="11" s="1"/>
  <c r="AD142" i="11" a="1"/>
  <c r="AD142" i="11" s="1"/>
  <c r="AE142" i="11" s="1"/>
  <c r="AA1517" i="11"/>
  <c r="AD1140" i="11" a="1"/>
  <c r="AD1140" i="11" s="1"/>
  <c r="AE1140" i="11" s="1"/>
  <c r="AF326" i="11" a="1"/>
  <c r="AF326" i="11" s="1"/>
  <c r="AA482" i="11"/>
  <c r="AF1120" i="11" a="1"/>
  <c r="AF1120" i="11" s="1"/>
  <c r="AA1155" i="11"/>
  <c r="AF1011" i="11" a="1"/>
  <c r="AF1011" i="11" s="1"/>
  <c r="AD954" i="11" a="1"/>
  <c r="AD954" i="11" s="1"/>
  <c r="AE954" i="11" s="1"/>
  <c r="AF1930" i="11" a="1"/>
  <c r="AF1930" i="11" s="1"/>
  <c r="AF246" i="11" a="1"/>
  <c r="AF246" i="11" s="1"/>
  <c r="AA717" i="11"/>
  <c r="AD1152" i="11" a="1"/>
  <c r="AD1152" i="11" s="1"/>
  <c r="AE1152" i="11" s="1"/>
  <c r="AA1028" i="11"/>
  <c r="AF1604" i="11" a="1"/>
  <c r="AF1604" i="11" s="1"/>
  <c r="AA1120" i="11"/>
  <c r="AF1707" i="11" a="1"/>
  <c r="AF1707" i="11" s="1"/>
  <c r="AA545" i="11"/>
  <c r="AF1152" i="11" a="1"/>
  <c r="AF1152" i="11" s="1"/>
  <c r="AA618" i="11"/>
  <c r="AF1090" i="11" a="1"/>
  <c r="AF1090" i="11" s="1"/>
  <c r="AF1599" i="11" a="1"/>
  <c r="AF1599" i="11" s="1"/>
  <c r="AA189" i="11"/>
  <c r="AA882" i="11"/>
  <c r="AD1028" i="11" a="1"/>
  <c r="AD1028" i="11" s="1"/>
  <c r="AE1028" i="11" s="1"/>
  <c r="AD1381" i="11" a="1"/>
  <c r="AD1381" i="11" s="1"/>
  <c r="AE1381" i="11" s="1"/>
  <c r="AD1604" i="11" a="1"/>
  <c r="AD1604" i="11" s="1"/>
  <c r="AE1604" i="11" s="1"/>
  <c r="AD1397" i="11" a="1"/>
  <c r="AD1397" i="11" s="1"/>
  <c r="AE1397" i="11" s="1"/>
  <c r="AD744" i="11" a="1"/>
  <c r="AD744" i="11" s="1"/>
  <c r="AE744" i="11" s="1"/>
  <c r="AD815" i="11" a="1"/>
  <c r="AD815" i="11" s="1"/>
  <c r="AE815" i="11" s="1"/>
  <c r="AA824" i="11"/>
  <c r="AF1397" i="11" a="1"/>
  <c r="AF1397" i="11" s="1"/>
  <c r="AF941" i="11" a="1"/>
  <c r="AF941" i="11" s="1"/>
  <c r="AF297" i="11" a="1"/>
  <c r="AF297" i="11" s="1"/>
  <c r="AF562" i="11" a="1"/>
  <c r="AF562" i="11" s="1"/>
  <c r="AD1090" i="11" a="1"/>
  <c r="AD1090" i="11" s="1"/>
  <c r="AE1090" i="11" s="1"/>
  <c r="AD882" i="11" a="1"/>
  <c r="AD882" i="11" s="1"/>
  <c r="AE882" i="11" s="1"/>
  <c r="AF287" i="11" a="1"/>
  <c r="AF287" i="11" s="1"/>
  <c r="AD1043" i="11" a="1"/>
  <c r="AD1043" i="11" s="1"/>
  <c r="AE1043" i="11" s="1"/>
  <c r="AA212" i="11"/>
  <c r="AD1622" i="11" a="1"/>
  <c r="AD1622" i="11" s="1"/>
  <c r="AE1622" i="11" s="1"/>
  <c r="AD326" i="11" a="1"/>
  <c r="AD326" i="11" s="1"/>
  <c r="AE326" i="11" s="1"/>
  <c r="AD656" i="11" a="1"/>
  <c r="AD656" i="11" s="1"/>
  <c r="AE656" i="11" s="1"/>
  <c r="AD1404" i="11" a="1"/>
  <c r="AD1404" i="11" s="1"/>
  <c r="AE1404" i="11" s="1"/>
  <c r="AA1135" i="11"/>
  <c r="AD1830" i="11" a="1"/>
  <c r="AD1830" i="11" s="1"/>
  <c r="AE1830" i="11" s="1"/>
  <c r="AA1142" i="11"/>
  <c r="AA656" i="11"/>
  <c r="AF1478" i="11" a="1"/>
  <c r="AF1478" i="11" s="1"/>
  <c r="AF21" i="11" a="1"/>
  <c r="AF21" i="11" s="1"/>
  <c r="AF1777" i="11" a="1"/>
  <c r="AF1777" i="11" s="1"/>
  <c r="AD275" i="11" a="1"/>
  <c r="AD275" i="11" s="1"/>
  <c r="AE275" i="11" s="1"/>
  <c r="AF1135" i="11" a="1"/>
  <c r="AF1135" i="11" s="1"/>
  <c r="AA1430" i="11"/>
  <c r="AF1870" i="11" a="1"/>
  <c r="AF1870" i="11" s="1"/>
  <c r="AA153" i="11"/>
  <c r="AA832" i="11"/>
  <c r="AA527" i="11"/>
  <c r="AF979" i="11" a="1"/>
  <c r="AF979" i="11" s="1"/>
  <c r="AA772" i="11"/>
  <c r="AA201" i="11"/>
  <c r="AA275" i="11"/>
  <c r="AD714" i="11" a="1"/>
  <c r="AD714" i="11" s="1"/>
  <c r="AE714" i="11" s="1"/>
  <c r="AA165" i="11"/>
  <c r="AA21" i="11"/>
  <c r="AA1710" i="11"/>
  <c r="AD156" i="11" a="1"/>
  <c r="AD156" i="11" s="1"/>
  <c r="AE156" i="11" s="1"/>
  <c r="AF973" i="11" a="1"/>
  <c r="AF973" i="11" s="1"/>
  <c r="AA1650" i="11"/>
  <c r="AF768" i="11" a="1"/>
  <c r="AF768" i="11" s="1"/>
  <c r="AF188" i="11" a="1"/>
  <c r="AF188" i="11" s="1"/>
  <c r="AF681" i="11" a="1"/>
  <c r="AF681" i="11" s="1"/>
  <c r="AA813" i="11"/>
  <c r="AD1083" i="11" a="1"/>
  <c r="AD1083" i="11" s="1"/>
  <c r="AE1083" i="11" s="1"/>
  <c r="AA236" i="11"/>
  <c r="AF1465" i="11" a="1"/>
  <c r="AF1465" i="11" s="1"/>
  <c r="AF1014" i="11" a="1"/>
  <c r="AF1014" i="11" s="1"/>
  <c r="AA835" i="11"/>
  <c r="AF835" i="11" a="1"/>
  <c r="AF835" i="11" s="1"/>
  <c r="AA1869" i="11"/>
  <c r="AF1083" i="11" a="1"/>
  <c r="AF1083" i="11" s="1"/>
  <c r="AD979" i="11" a="1"/>
  <c r="AD979" i="11" s="1"/>
  <c r="AE979" i="11" s="1"/>
  <c r="AD1650" i="11" a="1"/>
  <c r="AD1650" i="11" s="1"/>
  <c r="AE1650" i="11" s="1"/>
  <c r="AF294" i="11" a="1"/>
  <c r="AF294" i="11" s="1"/>
  <c r="AD196" i="11" a="1"/>
  <c r="AD196" i="11" s="1"/>
  <c r="AE196" i="11" s="1"/>
  <c r="AF1932" i="11" a="1"/>
  <c r="AF1932" i="11" s="1"/>
  <c r="AF668" i="11" a="1"/>
  <c r="AF668" i="11" s="1"/>
  <c r="AA1601" i="11"/>
  <c r="AD644" i="11" a="1"/>
  <c r="AD644" i="11" s="1"/>
  <c r="AE644" i="11" s="1"/>
  <c r="AD236" i="11" a="1"/>
  <c r="AD236" i="11" s="1"/>
  <c r="AE236" i="11" s="1"/>
  <c r="AF1972" i="11" a="1"/>
  <c r="AF1972" i="11" s="1"/>
  <c r="AA1771" i="11"/>
  <c r="AD1926" i="11" a="1"/>
  <c r="AD1926" i="11" s="1"/>
  <c r="AE1926" i="11" s="1"/>
  <c r="AF1601" i="11" a="1"/>
  <c r="AF1601" i="11" s="1"/>
  <c r="AD593" i="11" a="1"/>
  <c r="AD593" i="11" s="1"/>
  <c r="AE593" i="11" s="1"/>
  <c r="AF772" i="11" a="1"/>
  <c r="AF772" i="11" s="1"/>
  <c r="AA583" i="11"/>
  <c r="AF1559" i="11" a="1"/>
  <c r="AF1559" i="11" s="1"/>
  <c r="AF593" i="11" a="1"/>
  <c r="AF593" i="11" s="1"/>
  <c r="AD1405" i="11" a="1"/>
  <c r="AD1405" i="11" s="1"/>
  <c r="AE1405" i="11" s="1"/>
  <c r="AD1869" i="11" a="1"/>
  <c r="AD1869" i="11" s="1"/>
  <c r="AE1869" i="11" s="1"/>
  <c r="AF1530" i="11" a="1"/>
  <c r="AF1530" i="11" s="1"/>
  <c r="AA1594" i="11"/>
  <c r="AF33" i="11" a="1"/>
  <c r="AF33" i="11" s="1"/>
  <c r="AA490" i="11"/>
  <c r="AF405" i="11" a="1"/>
  <c r="AF405" i="11" s="1"/>
  <c r="AF369" i="11" a="1"/>
  <c r="AF369" i="11" s="1"/>
  <c r="AA691" i="11"/>
  <c r="AF196" i="11" a="1"/>
  <c r="AF196" i="11" s="1"/>
  <c r="AD33" i="11" a="1"/>
  <c r="AD33" i="11" s="1"/>
  <c r="AE33" i="11" s="1"/>
  <c r="AA1164" i="11"/>
  <c r="AA1530" i="11"/>
  <c r="AD318" i="11" a="1"/>
  <c r="AD318" i="11" s="1"/>
  <c r="AE318" i="11" s="1"/>
  <c r="AF490" i="11" a="1"/>
  <c r="AF490" i="11" s="1"/>
  <c r="AA1465" i="11"/>
  <c r="AD1932" i="11" a="1"/>
  <c r="AD1932" i="11" s="1"/>
  <c r="AE1932" i="11" s="1"/>
  <c r="AA1840" i="11"/>
  <c r="AD691" i="11" a="1"/>
  <c r="AD691" i="11" s="1"/>
  <c r="AE691" i="11" s="1"/>
  <c r="AF1991" i="11" a="1"/>
  <c r="AF1991" i="11" s="1"/>
  <c r="AA1926" i="11"/>
  <c r="AA1230" i="11"/>
  <c r="AF997" i="11" a="1"/>
  <c r="AF997" i="11" s="1"/>
  <c r="AD1014" i="11" a="1"/>
  <c r="AD1014" i="11" s="1"/>
  <c r="AE1014" i="11" s="1"/>
  <c r="AF913" i="11" a="1"/>
  <c r="AF913" i="11" s="1"/>
  <c r="AA1972" i="11"/>
  <c r="AD760" i="11" a="1"/>
  <c r="AD760" i="11" s="1"/>
  <c r="AE760" i="11" s="1"/>
  <c r="AD1230" i="11" a="1"/>
  <c r="AD1230" i="11" s="1"/>
  <c r="AE1230" i="11" s="1"/>
  <c r="AA731" i="11"/>
  <c r="AF1241" i="11" a="1"/>
  <c r="AF1241" i="11" s="1"/>
  <c r="AD1840" i="11" a="1"/>
  <c r="AD1840" i="11" s="1"/>
  <c r="AE1840" i="11" s="1"/>
  <c r="AA1791" i="11"/>
  <c r="AD1991" i="11" a="1"/>
  <c r="AD1991" i="11" s="1"/>
  <c r="AE1991" i="11" s="1"/>
  <c r="AF1771" i="11" a="1"/>
  <c r="AF1771" i="11" s="1"/>
  <c r="AD913" i="11" a="1"/>
  <c r="AD913" i="11" s="1"/>
  <c r="AE913" i="11" s="1"/>
  <c r="AA1040" i="11"/>
  <c r="AD1559" i="11" a="1"/>
  <c r="AD1559" i="11" s="1"/>
  <c r="AE1559" i="11" s="1"/>
  <c r="AF731" i="11" a="1"/>
  <c r="AF731" i="11" s="1"/>
  <c r="AA1460" i="11"/>
  <c r="AF1347" i="11" a="1"/>
  <c r="AF1347" i="11" s="1"/>
  <c r="AA1361" i="11"/>
  <c r="AD1589" i="11" a="1"/>
  <c r="AD1589" i="11" s="1"/>
  <c r="AE1589" i="11" s="1"/>
  <c r="AF1594" i="11" a="1"/>
  <c r="AF1594" i="11" s="1"/>
  <c r="AF1407" i="11" a="1"/>
  <c r="AF1407" i="11" s="1"/>
  <c r="AF541" i="11" a="1"/>
  <c r="AF541" i="11" s="1"/>
  <c r="AA1782" i="11"/>
  <c r="AA827" i="11"/>
  <c r="AD489" i="11" a="1"/>
  <c r="AD489" i="11" s="1"/>
  <c r="AE489" i="11" s="1"/>
  <c r="AA743" i="11"/>
  <c r="AD405" i="11" a="1"/>
  <c r="AD405" i="11" s="1"/>
  <c r="AE405" i="11" s="1"/>
  <c r="AD668" i="11" a="1"/>
  <c r="AD668" i="11" s="1"/>
  <c r="AE668" i="11" s="1"/>
  <c r="AD1716" i="11" a="1"/>
  <c r="AD1716" i="11" s="1"/>
  <c r="AE1716" i="11" s="1"/>
  <c r="AA369" i="11"/>
  <c r="AF489" i="11" a="1"/>
  <c r="AF489" i="11" s="1"/>
  <c r="AD1407" i="11" a="1"/>
  <c r="AD1407" i="11" s="1"/>
  <c r="AE1407" i="11" s="1"/>
  <c r="AF1782" i="11" a="1"/>
  <c r="AF1782" i="11" s="1"/>
  <c r="AD790" i="11" a="1"/>
  <c r="AD790" i="11" s="1"/>
  <c r="AE790" i="11" s="1"/>
  <c r="AA1960" i="11"/>
  <c r="AD651" i="11" a="1"/>
  <c r="AD651" i="11" s="1"/>
  <c r="AE651" i="11" s="1"/>
  <c r="AA842" i="11"/>
  <c r="AA790" i="11"/>
  <c r="AA1589" i="11"/>
  <c r="AA651" i="11"/>
  <c r="AF1546" i="11" a="1"/>
  <c r="AF1546" i="11" s="1"/>
  <c r="AA106" i="11"/>
  <c r="AA1334" i="11"/>
  <c r="AD919" i="11" a="1"/>
  <c r="AD919" i="11" s="1"/>
  <c r="AE919" i="11" s="1"/>
  <c r="AD1624" i="11" a="1"/>
  <c r="AD1624" i="11" s="1"/>
  <c r="AE1624" i="11" s="1"/>
  <c r="AA919" i="11"/>
  <c r="AF129" i="11" a="1"/>
  <c r="AF129" i="11" s="1"/>
  <c r="AD1790" i="11" a="1"/>
  <c r="AD1790" i="11" s="1"/>
  <c r="AE1790" i="11" s="1"/>
  <c r="AF50" i="11" a="1"/>
  <c r="AF50" i="11" s="1"/>
  <c r="AF106" i="11" a="1"/>
  <c r="AF106" i="11" s="1"/>
  <c r="AD1144" i="11" a="1"/>
  <c r="AD1144" i="11" s="1"/>
  <c r="AE1144" i="11" s="1"/>
  <c r="AF866" i="11" a="1"/>
  <c r="AF866" i="11" s="1"/>
  <c r="AA1453" i="11"/>
  <c r="AD1453" i="11" a="1"/>
  <c r="AD1453" i="11" s="1"/>
  <c r="AE1453" i="11" s="1"/>
  <c r="AA1790" i="11"/>
  <c r="AF774" i="11" a="1"/>
  <c r="AF774" i="11" s="1"/>
  <c r="AF1144" i="11" a="1"/>
  <c r="AF1144" i="11" s="1"/>
  <c r="AD50" i="11" a="1"/>
  <c r="AD50" i="11" s="1"/>
  <c r="AE50" i="11" s="1"/>
  <c r="AA1575" i="11"/>
  <c r="AD1334" i="11" a="1"/>
  <c r="AD1334" i="11" s="1"/>
  <c r="AE1334" i="11" s="1"/>
  <c r="AF1575" i="11" a="1"/>
  <c r="AF1575" i="11" s="1"/>
  <c r="AF390" i="11" a="1"/>
  <c r="AF390" i="11" s="1"/>
  <c r="AA1624" i="11"/>
  <c r="AA774" i="11"/>
  <c r="AA390" i="11"/>
  <c r="AD866" i="11" a="1"/>
  <c r="AD866" i="11" s="1"/>
  <c r="AE866" i="11" s="1"/>
  <c r="AF48" i="11" a="1"/>
  <c r="AF48" i="11" s="1"/>
  <c r="AA1253" i="11"/>
  <c r="AF1060" i="11" a="1"/>
  <c r="AF1060" i="11" s="1"/>
  <c r="AA274" i="11"/>
  <c r="AF827" i="11" a="1"/>
  <c r="AF827" i="11" s="1"/>
  <c r="AF823" i="11" a="1"/>
  <c r="AF823" i="11" s="1"/>
  <c r="AF155" i="11" a="1"/>
  <c r="AF155" i="11" s="1"/>
  <c r="AA1264" i="11"/>
  <c r="AF332" i="11" a="1"/>
  <c r="AF332" i="11" s="1"/>
  <c r="AD1824" i="11" a="1"/>
  <c r="AD1824" i="11" s="1"/>
  <c r="AE1824" i="11" s="1"/>
  <c r="AD534" i="11" a="1"/>
  <c r="AD534" i="11" s="1"/>
  <c r="AE534" i="11" s="1"/>
  <c r="AA1824" i="11"/>
  <c r="AD1508" i="11" a="1"/>
  <c r="AD1508" i="11" s="1"/>
  <c r="AE1508" i="11" s="1"/>
  <c r="AA891" i="11"/>
  <c r="AD1253" i="11" a="1"/>
  <c r="AD1253" i="11" s="1"/>
  <c r="AE1253" i="11" s="1"/>
  <c r="AD1765" i="11" a="1"/>
  <c r="AD1765" i="11" s="1"/>
  <c r="AE1765" i="11" s="1"/>
  <c r="AF49" i="11" a="1"/>
  <c r="AF49" i="11" s="1"/>
  <c r="AD1388" i="11" a="1"/>
  <c r="AD1388" i="11" s="1"/>
  <c r="AE1388" i="11" s="1"/>
  <c r="AF891" i="11" a="1"/>
  <c r="AF891" i="11" s="1"/>
  <c r="AD48" i="11" a="1"/>
  <c r="AD48" i="11" s="1"/>
  <c r="AE48" i="11" s="1"/>
  <c r="AD1264" i="11" a="1"/>
  <c r="AD1264" i="11" s="1"/>
  <c r="AE1264" i="11" s="1"/>
  <c r="AF743" i="11" a="1"/>
  <c r="AF743" i="11" s="1"/>
  <c r="AD1748" i="11" a="1"/>
  <c r="AD1748" i="11" s="1"/>
  <c r="AE1748" i="11" s="1"/>
  <c r="AD274" i="11" a="1"/>
  <c r="AD274" i="11" s="1"/>
  <c r="AE274" i="11" s="1"/>
  <c r="AF1765" i="11" a="1"/>
  <c r="AF1765" i="11" s="1"/>
  <c r="AA1748" i="11"/>
  <c r="AD332" i="11" a="1"/>
  <c r="AD332" i="11" s="1"/>
  <c r="AE332" i="11" s="1"/>
  <c r="AF534" i="11" a="1"/>
  <c r="AF534" i="11" s="1"/>
  <c r="AF573" i="11" a="1"/>
  <c r="AF573" i="11" s="1"/>
  <c r="AA507" i="11"/>
  <c r="AD507" i="11" a="1"/>
  <c r="AD507" i="11" s="1"/>
  <c r="AE507" i="11" s="1"/>
  <c r="AD155" i="11" a="1"/>
  <c r="AD155" i="11" s="1"/>
  <c r="AE155" i="11" s="1"/>
  <c r="AF1388" i="11" a="1"/>
  <c r="AF1388" i="11" s="1"/>
  <c r="AA49" i="11"/>
  <c r="AF1410" i="11" a="1"/>
  <c r="AF1410" i="11" s="1"/>
  <c r="AF940" i="11" a="1"/>
  <c r="AF940" i="11" s="1"/>
  <c r="AA823" i="11"/>
  <c r="AA940" i="11"/>
  <c r="AD1077" i="11" a="1"/>
  <c r="AD1077" i="11" s="1"/>
  <c r="AE1077" i="11" s="1"/>
  <c r="AF1077" i="11" a="1"/>
  <c r="AF1077" i="11" s="1"/>
  <c r="AA1670" i="11"/>
  <c r="AF737" i="11" a="1"/>
  <c r="AF737" i="11" s="1"/>
  <c r="AD737" i="11" a="1"/>
  <c r="AD737" i="11" s="1"/>
  <c r="AE737" i="11" s="1"/>
  <c r="AA427" i="11"/>
  <c r="AF604" i="11" a="1"/>
  <c r="AF604" i="11" s="1"/>
  <c r="AD604" i="11" a="1"/>
  <c r="AD604" i="11" s="1"/>
  <c r="AE604" i="11" s="1"/>
  <c r="AD1843" i="11" a="1"/>
  <c r="AD1843" i="11" s="1"/>
  <c r="AE1843" i="11" s="1"/>
  <c r="AF703" i="11" a="1"/>
  <c r="AF703" i="11" s="1"/>
  <c r="AF1138" i="11" a="1"/>
  <c r="AF1138" i="11" s="1"/>
  <c r="AA589" i="11"/>
  <c r="AF185" i="11" a="1"/>
  <c r="AF185" i="11" s="1"/>
  <c r="AA1905" i="11"/>
  <c r="AF1698" i="11" a="1"/>
  <c r="AF1698" i="11" s="1"/>
  <c r="AF427" i="11" a="1"/>
  <c r="AF427" i="11" s="1"/>
  <c r="AD1181" i="11" a="1"/>
  <c r="AD1181" i="11" s="1"/>
  <c r="AE1181" i="11" s="1"/>
  <c r="AA1784" i="11"/>
  <c r="AA1996" i="11"/>
  <c r="AA269" i="11"/>
  <c r="AD269" i="11" a="1"/>
  <c r="AD269" i="11" s="1"/>
  <c r="AE269" i="11" s="1"/>
  <c r="AA1951" i="11"/>
  <c r="AA877" i="11"/>
  <c r="AF451" i="11" a="1"/>
  <c r="AF451" i="11" s="1"/>
  <c r="AA451" i="11"/>
  <c r="AD944" i="11" a="1"/>
  <c r="AD944" i="11" s="1"/>
  <c r="AE944" i="11" s="1"/>
  <c r="AA967" i="11"/>
  <c r="AD1613" i="11" a="1"/>
  <c r="AD1613" i="11" s="1"/>
  <c r="AE1613" i="11" s="1"/>
  <c r="AD1676" i="11" a="1"/>
  <c r="AD1676" i="11" s="1"/>
  <c r="AE1676" i="11" s="1"/>
  <c r="AD1212" i="11" a="1"/>
  <c r="AD1212" i="11" s="1"/>
  <c r="AE1212" i="11" s="1"/>
  <c r="AF1843" i="11" a="1"/>
  <c r="AF1843" i="11" s="1"/>
  <c r="AD703" i="11" a="1"/>
  <c r="AD703" i="11" s="1"/>
  <c r="AE703" i="11" s="1"/>
  <c r="AD387" i="11" a="1"/>
  <c r="AD387" i="11" s="1"/>
  <c r="AE387" i="11" s="1"/>
  <c r="AF1784" i="11" a="1"/>
  <c r="AF1784" i="11" s="1"/>
  <c r="AF1007" i="11" a="1"/>
  <c r="AF1007" i="11" s="1"/>
  <c r="AA695" i="11"/>
  <c r="AD500" i="11" a="1"/>
  <c r="AD500" i="11" s="1"/>
  <c r="AE500" i="11" s="1"/>
  <c r="AF1613" i="11" a="1"/>
  <c r="AF1613" i="11" s="1"/>
  <c r="AF500" i="11" a="1"/>
  <c r="AF500" i="11" s="1"/>
  <c r="AA38" i="11"/>
  <c r="AA1667" i="11"/>
  <c r="AF967" i="11" a="1"/>
  <c r="AF967" i="11" s="1"/>
  <c r="AD77" i="11" a="1"/>
  <c r="AD77" i="11" s="1"/>
  <c r="AE77" i="11" s="1"/>
  <c r="AF77" i="11" a="1"/>
  <c r="AF77" i="11" s="1"/>
  <c r="AD877" i="11" a="1"/>
  <c r="AD877" i="11" s="1"/>
  <c r="AE877" i="11" s="1"/>
  <c r="AD386" i="11" a="1"/>
  <c r="AD386" i="11" s="1"/>
  <c r="AE386" i="11" s="1"/>
  <c r="AF1396" i="11" a="1"/>
  <c r="AF1396" i="11" s="1"/>
  <c r="AA387" i="11"/>
  <c r="AF404" i="11" a="1"/>
  <c r="AF404" i="11" s="1"/>
  <c r="AF1596" i="11" a="1"/>
  <c r="AF1596" i="11" s="1"/>
  <c r="AD1670" i="11" a="1"/>
  <c r="AD1670" i="11" s="1"/>
  <c r="AE1670" i="11" s="1"/>
  <c r="AF1992" i="11" a="1"/>
  <c r="AF1992" i="11" s="1"/>
  <c r="AD1905" i="11" a="1"/>
  <c r="AD1905" i="11" s="1"/>
  <c r="AE1905" i="11" s="1"/>
  <c r="AA1842" i="11"/>
  <c r="AD38" i="11" a="1"/>
  <c r="AD38" i="11" s="1"/>
  <c r="AE38" i="11" s="1"/>
  <c r="AF746" i="11" a="1"/>
  <c r="AF746" i="11" s="1"/>
  <c r="AF1667" i="11" a="1"/>
  <c r="AF1667" i="11" s="1"/>
  <c r="AF30" i="11" a="1"/>
  <c r="AF30" i="11" s="1"/>
  <c r="AD1947" i="11" a="1"/>
  <c r="AD1947" i="11" s="1"/>
  <c r="AE1947" i="11" s="1"/>
  <c r="AA1741" i="11"/>
  <c r="AA404" i="11"/>
  <c r="AA750" i="11"/>
  <c r="AA1071" i="11"/>
  <c r="AF1951" i="11" a="1"/>
  <c r="AF1951" i="11" s="1"/>
  <c r="AF1452" i="11" a="1"/>
  <c r="AF1452" i="11" s="1"/>
  <c r="AF211" i="11" a="1"/>
  <c r="AF211" i="11" s="1"/>
  <c r="AD211" i="11" a="1"/>
  <c r="AD211" i="11" s="1"/>
  <c r="AE211" i="11" s="1"/>
  <c r="AD1698" i="11" a="1"/>
  <c r="AD1698" i="11" s="1"/>
  <c r="AE1698" i="11" s="1"/>
  <c r="AF1842" i="11" a="1"/>
  <c r="AF1842" i="11" s="1"/>
  <c r="AA746" i="11"/>
  <c r="AF966" i="11" a="1"/>
  <c r="AF966" i="11" s="1"/>
  <c r="AF1181" i="11" a="1"/>
  <c r="AF1181" i="11" s="1"/>
  <c r="AD640" i="11" a="1"/>
  <c r="AD640" i="11" s="1"/>
  <c r="AE640" i="11" s="1"/>
  <c r="AF1063" i="11" a="1"/>
  <c r="AF1063" i="11" s="1"/>
  <c r="AF1212" i="11" a="1"/>
  <c r="AF1212" i="11" s="1"/>
  <c r="AD1741" i="11" a="1"/>
  <c r="AD1741" i="11" s="1"/>
  <c r="AE1741" i="11" s="1"/>
  <c r="AD695" i="11" a="1"/>
  <c r="AD695" i="11" s="1"/>
  <c r="AE695" i="11" s="1"/>
  <c r="AF1497" i="11" a="1"/>
  <c r="AF1497" i="11" s="1"/>
  <c r="AA766" i="11"/>
  <c r="AD483" i="11" a="1"/>
  <c r="AD483" i="11" s="1"/>
  <c r="AE483" i="11" s="1"/>
  <c r="AF1851" i="11" a="1"/>
  <c r="AF1851" i="11" s="1"/>
  <c r="AD1851" i="11" a="1"/>
  <c r="AD1851" i="11" s="1"/>
  <c r="AE1851" i="11" s="1"/>
  <c r="AF1912" i="11" a="1"/>
  <c r="AF1912" i="11" s="1"/>
  <c r="AD966" i="11" a="1"/>
  <c r="AD966" i="11" s="1"/>
  <c r="AE966" i="11" s="1"/>
  <c r="AD755" i="11" a="1"/>
  <c r="AD755" i="11" s="1"/>
  <c r="AE755" i="11" s="1"/>
  <c r="AD287" i="11" a="1"/>
  <c r="AD287" i="11" s="1"/>
  <c r="AE287" i="11" s="1"/>
  <c r="AF1808" i="11" a="1"/>
  <c r="AF1808" i="11" s="1"/>
  <c r="AA944" i="11"/>
  <c r="AD1063" i="11" a="1"/>
  <c r="AD1063" i="11" s="1"/>
  <c r="AE1063" i="11" s="1"/>
  <c r="AA362" i="11"/>
  <c r="AA483" i="11"/>
  <c r="AA755" i="11"/>
  <c r="AF744" i="11" a="1"/>
  <c r="AF744" i="11" s="1"/>
  <c r="AA215" i="11"/>
  <c r="AA912" i="11"/>
  <c r="AF1995" i="11" a="1"/>
  <c r="AF1995" i="11" s="1"/>
  <c r="AF280" i="11" a="1"/>
  <c r="AF280" i="11" s="1"/>
  <c r="AD185" i="11" a="1"/>
  <c r="AD185" i="11" s="1"/>
  <c r="AE185" i="11" s="1"/>
  <c r="AD1007" i="11" a="1"/>
  <c r="AD1007" i="11" s="1"/>
  <c r="AE1007" i="11" s="1"/>
  <c r="AD1449" i="11" a="1"/>
  <c r="AD1449" i="11" s="1"/>
  <c r="AE1449" i="11" s="1"/>
  <c r="AA280" i="11"/>
  <c r="AF1676" i="11" a="1"/>
  <c r="AF1676" i="11" s="1"/>
  <c r="AD1995" i="11" a="1"/>
  <c r="AD1995" i="11" s="1"/>
  <c r="AE1995" i="11" s="1"/>
  <c r="AA1396" i="11"/>
  <c r="AD1808" i="11" a="1"/>
  <c r="AD1808" i="11" s="1"/>
  <c r="AE1808" i="11" s="1"/>
  <c r="AD1992" i="11" a="1"/>
  <c r="AD1992" i="11" s="1"/>
  <c r="AE1992" i="11" s="1"/>
  <c r="AD1452" i="11" a="1"/>
  <c r="AD1452" i="11" s="1"/>
  <c r="AE1452" i="11" s="1"/>
  <c r="AD1497" i="11" a="1"/>
  <c r="AD1497" i="11" s="1"/>
  <c r="AE1497" i="11" s="1"/>
  <c r="AD1652" i="11" a="1"/>
  <c r="AD1652" i="11" s="1"/>
  <c r="AE1652" i="11" s="1"/>
  <c r="AF1652" i="11" a="1"/>
  <c r="AF1652" i="11" s="1"/>
  <c r="AA1449" i="11"/>
  <c r="AA1912" i="11"/>
  <c r="AA1403" i="11"/>
  <c r="AD47" i="11" a="1"/>
  <c r="AD47" i="11" s="1"/>
  <c r="AE47" i="11" s="1"/>
  <c r="AA1596" i="11"/>
  <c r="AA1281" i="11"/>
  <c r="AF1780" i="11" a="1"/>
  <c r="AF1780" i="11" s="1"/>
  <c r="AD1780" i="11" a="1"/>
  <c r="AD1780" i="11" s="1"/>
  <c r="AE1780" i="11" s="1"/>
  <c r="AA1177" i="11"/>
  <c r="AF1177" i="11" a="1"/>
  <c r="AF1177" i="11" s="1"/>
  <c r="AF312" i="11" a="1"/>
  <c r="AF312" i="11" s="1"/>
  <c r="AA1987" i="11"/>
  <c r="AD595" i="11" a="1"/>
  <c r="AD595" i="11" s="1"/>
  <c r="AE595" i="11" s="1"/>
  <c r="AD1987" i="11" a="1"/>
  <c r="AD1987" i="11" s="1"/>
  <c r="AE1987" i="11" s="1"/>
  <c r="AA554" i="11"/>
  <c r="AF554" i="11" a="1"/>
  <c r="AF554" i="11" s="1"/>
  <c r="AA1239" i="11"/>
  <c r="AA1950" i="11"/>
  <c r="AA493" i="11"/>
  <c r="AF1239" i="11" a="1"/>
  <c r="AF1239" i="11" s="1"/>
  <c r="AD975" i="11" a="1"/>
  <c r="AD975" i="11" s="1"/>
  <c r="AE975" i="11" s="1"/>
  <c r="AA455" i="11"/>
  <c r="AF1279" i="11" a="1"/>
  <c r="AF1279" i="11" s="1"/>
  <c r="AD1476" i="11" a="1"/>
  <c r="AD1476" i="11" s="1"/>
  <c r="AE1476" i="11" s="1"/>
  <c r="AF73" i="11" a="1"/>
  <c r="AF73" i="11" s="1"/>
  <c r="AA159" i="11"/>
  <c r="AA1476" i="11"/>
  <c r="AF1584" i="11" a="1"/>
  <c r="AF1584" i="11" s="1"/>
  <c r="AD984" i="11" a="1"/>
  <c r="AD984" i="11" s="1"/>
  <c r="AE984" i="11" s="1"/>
  <c r="AA1229" i="11"/>
  <c r="AD1032" i="11" a="1"/>
  <c r="AD1032" i="11" s="1"/>
  <c r="AE1032" i="11" s="1"/>
  <c r="AA975" i="11"/>
  <c r="AD1584" i="11" a="1"/>
  <c r="AD1584" i="11" s="1"/>
  <c r="AE1584" i="11" s="1"/>
  <c r="AA984" i="11"/>
  <c r="AA1567" i="11"/>
  <c r="AD493" i="11" a="1"/>
  <c r="AD493" i="11" s="1"/>
  <c r="AE493" i="11" s="1"/>
  <c r="AD675" i="11" a="1"/>
  <c r="AD675" i="11" s="1"/>
  <c r="AE675" i="11" s="1"/>
  <c r="AA1827" i="11"/>
  <c r="AA1279" i="11"/>
  <c r="AF595" i="11" a="1"/>
  <c r="AF595" i="11" s="1"/>
  <c r="AD380" i="11" a="1"/>
  <c r="AD380" i="11" s="1"/>
  <c r="AE380" i="11" s="1"/>
  <c r="AD1229" i="11" a="1"/>
  <c r="AD1229" i="11" s="1"/>
  <c r="AE1229" i="11" s="1"/>
  <c r="AF1776" i="11" a="1"/>
  <c r="AF1776" i="11" s="1"/>
  <c r="AD1828" i="11" a="1"/>
  <c r="AD1828" i="11" s="1"/>
  <c r="AE1828" i="11" s="1"/>
  <c r="AD208" i="11" a="1"/>
  <c r="AD208" i="11" s="1"/>
  <c r="AE208" i="11" s="1"/>
  <c r="AA1859" i="11"/>
  <c r="AF1786" i="11" a="1"/>
  <c r="AF1786" i="11" s="1"/>
  <c r="AA291" i="11"/>
  <c r="AF1683" i="11" a="1"/>
  <c r="AF1683" i="11" s="1"/>
  <c r="AF186" i="11" a="1"/>
  <c r="AF186" i="11" s="1"/>
  <c r="AA1776" i="11"/>
  <c r="AF251" i="11" a="1"/>
  <c r="AF251" i="11" s="1"/>
  <c r="AD1309" i="11" a="1"/>
  <c r="AD1309" i="11" s="1"/>
  <c r="AE1309" i="11" s="1"/>
  <c r="AF1248" i="11" a="1"/>
  <c r="AF1248" i="11" s="1"/>
  <c r="AF208" i="11" a="1"/>
  <c r="AF208" i="11" s="1"/>
  <c r="AF1178" i="11" a="1"/>
  <c r="AF1178" i="11" s="1"/>
  <c r="AF1828" i="11" a="1"/>
  <c r="AF1828" i="11" s="1"/>
  <c r="AF1679" i="11" a="1"/>
  <c r="AF1679" i="11" s="1"/>
  <c r="AF1859" i="11" a="1"/>
  <c r="AF1859" i="11" s="1"/>
  <c r="AA457" i="11"/>
  <c r="AA1732" i="11"/>
  <c r="AD1706" i="11" a="1"/>
  <c r="AD1706" i="11" s="1"/>
  <c r="AE1706" i="11" s="1"/>
  <c r="AA754" i="11"/>
  <c r="AA1309" i="11"/>
  <c r="AA251" i="11"/>
  <c r="AF159" i="11" a="1"/>
  <c r="AF159" i="11" s="1"/>
  <c r="AF644" i="11" a="1"/>
  <c r="AF644" i="11" s="1"/>
  <c r="AD186" i="11" a="1"/>
  <c r="AD186" i="11" s="1"/>
  <c r="AE186" i="11" s="1"/>
  <c r="AD2000" i="11" a="1"/>
  <c r="AD2000" i="11" s="1"/>
  <c r="AE2000" i="11" s="1"/>
  <c r="AA312" i="11"/>
  <c r="AA908" i="11"/>
  <c r="AD1950" i="11" a="1"/>
  <c r="AD1950" i="11" s="1"/>
  <c r="AE1950" i="11" s="1"/>
  <c r="AF457" i="11" a="1"/>
  <c r="AF457" i="11" s="1"/>
  <c r="AD754" i="11" a="1"/>
  <c r="AD754" i="11" s="1"/>
  <c r="AE754" i="11" s="1"/>
  <c r="AA1706" i="11"/>
  <c r="AA479" i="11"/>
  <c r="AF1901" i="11" a="1"/>
  <c r="AF1901" i="11" s="1"/>
  <c r="AF1833" i="11" a="1"/>
  <c r="AF1833" i="11" s="1"/>
  <c r="AA156" i="11"/>
  <c r="AD1164" i="11" a="1"/>
  <c r="AD1164" i="11" s="1"/>
  <c r="AE1164" i="11" s="1"/>
  <c r="AA1901" i="11"/>
  <c r="AD1275" i="11" a="1"/>
  <c r="AD1275" i="11" s="1"/>
  <c r="AE1275" i="11" s="1"/>
  <c r="AF1827" i="11" a="1"/>
  <c r="AF1827" i="11" s="1"/>
  <c r="AD479" i="11" a="1"/>
  <c r="AD479" i="11" s="1"/>
  <c r="AE479" i="11" s="1"/>
  <c r="AF718" i="11" a="1"/>
  <c r="AF718" i="11" s="1"/>
  <c r="AF1000" i="11" a="1"/>
  <c r="AF1000" i="11" s="1"/>
  <c r="AA1683" i="11"/>
  <c r="AF1732" i="11" a="1"/>
  <c r="AF1732" i="11" s="1"/>
  <c r="AA523" i="11"/>
  <c r="AA622" i="11"/>
  <c r="AD1000" i="11" a="1"/>
  <c r="AD1000" i="11" s="1"/>
  <c r="AE1000" i="11" s="1"/>
  <c r="AF57" i="11" a="1"/>
  <c r="AF57" i="11" s="1"/>
  <c r="AF423" i="11" a="1"/>
  <c r="AF423" i="11" s="1"/>
  <c r="AD1614" i="11" a="1"/>
  <c r="AD1614" i="11" s="1"/>
  <c r="AE1614" i="11" s="1"/>
  <c r="AA1008" i="11"/>
  <c r="AA1632" i="11"/>
  <c r="AF1033" i="11" a="1"/>
  <c r="AF1033" i="11" s="1"/>
  <c r="AF1275" i="11" a="1"/>
  <c r="AF1275" i="11" s="1"/>
  <c r="AA1614" i="11"/>
  <c r="AD1361" i="11" a="1"/>
  <c r="AD1361" i="11" s="1"/>
  <c r="AE1361" i="11" s="1"/>
  <c r="AD423" i="11" a="1"/>
  <c r="AD423" i="11" s="1"/>
  <c r="AE423" i="11" s="1"/>
  <c r="AD908" i="11" a="1"/>
  <c r="AD908" i="11" s="1"/>
  <c r="AE908" i="11" s="1"/>
  <c r="AF1280" i="11" a="1"/>
  <c r="AF1280" i="11" s="1"/>
  <c r="AF622" i="11" a="1"/>
  <c r="AF622" i="11" s="1"/>
  <c r="AA1546" i="11"/>
  <c r="AF583" i="11" a="1"/>
  <c r="AF583" i="11" s="1"/>
  <c r="AD551" i="11" a="1"/>
  <c r="AD551" i="11" s="1"/>
  <c r="AE551" i="11" s="1"/>
  <c r="AF551" i="11" a="1"/>
  <c r="AF551" i="11" s="1"/>
  <c r="AF2000" i="11" a="1"/>
  <c r="AF2000" i="11" s="1"/>
  <c r="AD1178" i="11" a="1"/>
  <c r="AD1178" i="11" s="1"/>
  <c r="AE1178" i="11" s="1"/>
  <c r="AF523" i="11" a="1"/>
  <c r="AF523" i="11" s="1"/>
  <c r="AF291" i="11" a="1"/>
  <c r="AF291" i="11" s="1"/>
  <c r="AF1008" i="11" a="1"/>
  <c r="AF1008" i="11" s="1"/>
  <c r="AF959" i="11" a="1"/>
  <c r="AF959" i="11" s="1"/>
  <c r="AD959" i="11" a="1"/>
  <c r="AD959" i="11" s="1"/>
  <c r="AE959" i="11" s="1"/>
  <c r="AD1280" i="11" a="1"/>
  <c r="AD1280" i="11" s="1"/>
  <c r="AE1280" i="11" s="1"/>
  <c r="AA718" i="11"/>
  <c r="AA1786" i="11"/>
  <c r="AD139" i="11" a="1"/>
  <c r="AD139" i="11" s="1"/>
  <c r="AE139" i="11" s="1"/>
  <c r="AA57" i="11"/>
  <c r="AF455" i="11" a="1"/>
  <c r="AF455" i="11" s="1"/>
  <c r="AF1948" i="11" a="1"/>
  <c r="AF1948" i="11" s="1"/>
  <c r="AF1896" i="11" a="1"/>
  <c r="AF1896" i="11" s="1"/>
  <c r="AD478" i="11" a="1"/>
  <c r="AD478" i="11" s="1"/>
  <c r="AE478" i="11" s="1"/>
  <c r="AA807" i="11"/>
  <c r="AD1802" i="11" a="1"/>
  <c r="AD1802" i="11" s="1"/>
  <c r="AE1802" i="11" s="1"/>
  <c r="AD1736" i="11" a="1"/>
  <c r="AD1736" i="11" s="1"/>
  <c r="AE1736" i="11" s="1"/>
  <c r="AD1896" i="11" a="1"/>
  <c r="AD1896" i="11" s="1"/>
  <c r="AE1896" i="11" s="1"/>
  <c r="AF1490" i="11" a="1"/>
  <c r="AF1490" i="11" s="1"/>
  <c r="AF1191" i="11" a="1"/>
  <c r="AF1191" i="11" s="1"/>
  <c r="AD1826" i="11" a="1"/>
  <c r="AD1826" i="11" s="1"/>
  <c r="AE1826" i="11" s="1"/>
  <c r="AD1069" i="11" a="1"/>
  <c r="AD1069" i="11" s="1"/>
  <c r="AE1069" i="11" s="1"/>
  <c r="AA429" i="11"/>
  <c r="AF429" i="11" a="1"/>
  <c r="AF429" i="11" s="1"/>
  <c r="AA1344" i="11"/>
  <c r="AF1292" i="11" a="1"/>
  <c r="AF1292" i="11" s="1"/>
  <c r="AF1826" i="11" a="1"/>
  <c r="AF1826" i="11" s="1"/>
  <c r="AA888" i="11"/>
  <c r="AD807" i="11" a="1"/>
  <c r="AD807" i="11" s="1"/>
  <c r="AE807" i="11" s="1"/>
  <c r="AA299" i="11"/>
  <c r="AA1515" i="11"/>
  <c r="AF299" i="11" a="1"/>
  <c r="AF299" i="11" s="1"/>
  <c r="AF1515" i="11" a="1"/>
  <c r="AF1515" i="11" s="1"/>
  <c r="AD508" i="11" a="1"/>
  <c r="AD508" i="11" s="1"/>
  <c r="AE508" i="11" s="1"/>
  <c r="AF1351" i="11" a="1"/>
  <c r="AF1351" i="11" s="1"/>
  <c r="AD336" i="11" a="1"/>
  <c r="AD336" i="11" s="1"/>
  <c r="AE336" i="11" s="1"/>
  <c r="AD582" i="11" a="1"/>
  <c r="AD582" i="11" s="1"/>
  <c r="AE582" i="11" s="1"/>
  <c r="AA473" i="11"/>
  <c r="AA1351" i="11"/>
  <c r="AD473" i="11" a="1"/>
  <c r="AD473" i="11" s="1"/>
  <c r="AE473" i="11" s="1"/>
  <c r="AD1191" i="11" a="1"/>
  <c r="AD1191" i="11" s="1"/>
  <c r="AE1191" i="11" s="1"/>
  <c r="AA615" i="11"/>
  <c r="AA1736" i="11"/>
  <c r="AA1802" i="11"/>
  <c r="AD1754" i="11" a="1"/>
  <c r="AD1754" i="11" s="1"/>
  <c r="AE1754" i="11" s="1"/>
  <c r="AD1065" i="11" a="1"/>
  <c r="AD1065" i="11" s="1"/>
  <c r="AE1065" i="11" s="1"/>
  <c r="AF137" i="11" a="1"/>
  <c r="AF137" i="11" s="1"/>
  <c r="AF1344" i="11" a="1"/>
  <c r="AF1344" i="11" s="1"/>
  <c r="AA336" i="11"/>
  <c r="AA23" i="11"/>
  <c r="AA70" i="11"/>
  <c r="AA1169" i="11"/>
  <c r="AA1065" i="11"/>
  <c r="AF1367" i="11" a="1"/>
  <c r="AF1367" i="11" s="1"/>
  <c r="AF1150" i="11" a="1"/>
  <c r="AF1150" i="11" s="1"/>
  <c r="AA1354" i="11"/>
  <c r="AF1225" i="11" a="1"/>
  <c r="AF1225" i="11" s="1"/>
  <c r="AD23" i="11" a="1"/>
  <c r="AD23" i="11" s="1"/>
  <c r="AE23" i="11" s="1"/>
  <c r="AF1169" i="11" a="1"/>
  <c r="AF1169" i="11" s="1"/>
  <c r="AF83" i="11" a="1"/>
  <c r="AF83" i="11" s="1"/>
  <c r="AF1354" i="11" a="1"/>
  <c r="AF1354" i="11" s="1"/>
  <c r="AD645" i="11" a="1"/>
  <c r="AD645" i="11" s="1"/>
  <c r="AE645" i="11" s="1"/>
  <c r="AA1225" i="11"/>
  <c r="AF70" i="11" a="1"/>
  <c r="AF70" i="11" s="1"/>
  <c r="AD1557" i="11" a="1"/>
  <c r="AD1557" i="11" s="1"/>
  <c r="AE1557" i="11" s="1"/>
  <c r="AA645" i="11"/>
  <c r="AA150" i="11"/>
  <c r="AD770" i="11" a="1"/>
  <c r="AD770" i="11" s="1"/>
  <c r="AE770" i="11" s="1"/>
  <c r="AA971" i="11"/>
  <c r="AF964" i="11" a="1"/>
  <c r="AF964" i="11" s="1"/>
  <c r="AA1457" i="11"/>
  <c r="AF770" i="11" a="1"/>
  <c r="AF770" i="11" s="1"/>
  <c r="AF971" i="11" a="1"/>
  <c r="AF971" i="11" s="1"/>
  <c r="AD1462" i="11" a="1"/>
  <c r="AD1462" i="11" s="1"/>
  <c r="AE1462" i="11" s="1"/>
  <c r="AF615" i="11" a="1"/>
  <c r="AF615" i="11" s="1"/>
  <c r="AF1933" i="11" a="1"/>
  <c r="AF1933" i="11" s="1"/>
  <c r="AF1665" i="11" a="1"/>
  <c r="AF1665" i="11" s="1"/>
  <c r="AD140" i="11" a="1"/>
  <c r="AD140" i="11" s="1"/>
  <c r="AE140" i="11" s="1"/>
  <c r="AF1878" i="11" a="1"/>
  <c r="AF1878" i="11" s="1"/>
  <c r="AF1425" i="11" a="1"/>
  <c r="AF1425" i="11" s="1"/>
  <c r="AD556" i="11" a="1"/>
  <c r="AD556" i="11" s="1"/>
  <c r="AE556" i="11" s="1"/>
  <c r="AF1823" i="11" a="1"/>
  <c r="AF1823" i="11" s="1"/>
  <c r="AD486" i="11" a="1"/>
  <c r="AD486" i="11" s="1"/>
  <c r="AE486" i="11" s="1"/>
  <c r="AA393" i="11"/>
  <c r="AD1362" i="11" a="1"/>
  <c r="AD1362" i="11" s="1"/>
  <c r="AE1362" i="11" s="1"/>
  <c r="AA1878" i="11"/>
  <c r="AD1446" i="11" a="1"/>
  <c r="AD1446" i="11" s="1"/>
  <c r="AE1446" i="11" s="1"/>
  <c r="AA707" i="11"/>
  <c r="AF486" i="11" a="1"/>
  <c r="AF486" i="11" s="1"/>
  <c r="AD1352" i="11" a="1"/>
  <c r="AD1352" i="11" s="1"/>
  <c r="AE1352" i="11" s="1"/>
  <c r="AA1133" i="11"/>
  <c r="AD1962" i="11" a="1"/>
  <c r="AD1962" i="11" s="1"/>
  <c r="AE1962" i="11" s="1"/>
  <c r="AA343" i="11"/>
  <c r="AD540" i="11" a="1"/>
  <c r="AD540" i="11" s="1"/>
  <c r="AE540" i="11" s="1"/>
  <c r="AF1861" i="11" a="1"/>
  <c r="AF1861" i="11" s="1"/>
  <c r="AF1962" i="11" a="1"/>
  <c r="AF1962" i="11" s="1"/>
  <c r="AD2012" i="11" a="1"/>
  <c r="AD2012" i="11" s="1"/>
  <c r="AE2012" i="11" s="1"/>
  <c r="AA1700" i="11"/>
  <c r="AF261" i="11" a="1"/>
  <c r="AF261" i="11" s="1"/>
  <c r="AA1214" i="11"/>
  <c r="AD502" i="11" a="1"/>
  <c r="AD502" i="11" s="1"/>
  <c r="AE502" i="11" s="1"/>
  <c r="AD986" i="11" a="1"/>
  <c r="AD986" i="11" s="1"/>
  <c r="AE986" i="11" s="1"/>
  <c r="AD506" i="11" a="1"/>
  <c r="AD506" i="11" s="1"/>
  <c r="AE506" i="11" s="1"/>
  <c r="AD1260" i="11" a="1"/>
  <c r="AD1260" i="11" s="1"/>
  <c r="AE1260" i="11" s="1"/>
  <c r="AF111" i="11" a="1"/>
  <c r="AF111" i="11" s="1"/>
  <c r="AD111" i="11" a="1"/>
  <c r="AD111" i="11" s="1"/>
  <c r="AE111" i="11" s="1"/>
  <c r="AD1284" i="11" a="1"/>
  <c r="AD1284" i="11" s="1"/>
  <c r="AE1284" i="11" s="1"/>
  <c r="AF1284" i="11" a="1"/>
  <c r="AF1284" i="11" s="1"/>
  <c r="AA1990" i="11"/>
  <c r="AF1362" i="11" a="1"/>
  <c r="AF1362" i="11" s="1"/>
  <c r="AD1148" i="11" a="1"/>
  <c r="AD1148" i="11" s="1"/>
  <c r="AE1148" i="11" s="1"/>
  <c r="AF393" i="11" a="1"/>
  <c r="AF393" i="11" s="1"/>
  <c r="AF506" i="11" a="1"/>
  <c r="AF506" i="11" s="1"/>
  <c r="AD1242" i="11" a="1"/>
  <c r="AD1242" i="11" s="1"/>
  <c r="AE1242" i="11" s="1"/>
  <c r="AD1552" i="11" a="1"/>
  <c r="AD1552" i="11" s="1"/>
  <c r="AE1552" i="11" s="1"/>
  <c r="AF502" i="11" a="1"/>
  <c r="AF502" i="11" s="1"/>
  <c r="AF322" i="11" a="1"/>
  <c r="AF322" i="11" s="1"/>
  <c r="AF419" i="11" a="1"/>
  <c r="AF419" i="11" s="1"/>
  <c r="AF1133" i="11" a="1"/>
  <c r="AF1133" i="11" s="1"/>
  <c r="AA1772" i="11"/>
  <c r="AF1772" i="11" a="1"/>
  <c r="AF1772" i="11" s="1"/>
  <c r="AD261" i="11" a="1"/>
  <c r="AD261" i="11" s="1"/>
  <c r="AE261" i="11" s="1"/>
  <c r="AF1557" i="11" a="1"/>
  <c r="AF1557" i="11" s="1"/>
  <c r="AA986" i="11"/>
  <c r="AA322" i="11"/>
  <c r="AA855" i="11"/>
  <c r="AF1287" i="11" a="1"/>
  <c r="AF1287" i="11" s="1"/>
  <c r="AD1287" i="11" a="1"/>
  <c r="AD1287" i="11" s="1"/>
  <c r="AE1287" i="11" s="1"/>
  <c r="AA1533" i="11"/>
  <c r="AD1533" i="11" a="1"/>
  <c r="AD1533" i="11" s="1"/>
  <c r="AE1533" i="11" s="1"/>
  <c r="AA650" i="11"/>
  <c r="AF1464" i="11" a="1"/>
  <c r="AF1464" i="11" s="1"/>
  <c r="AA419" i="11"/>
  <c r="AD855" i="11" a="1"/>
  <c r="AD855" i="11" s="1"/>
  <c r="AE855" i="11" s="1"/>
  <c r="AF1457" i="11" a="1"/>
  <c r="AF1457" i="11" s="1"/>
  <c r="AD1213" i="11" a="1"/>
  <c r="AD1213" i="11" s="1"/>
  <c r="AE1213" i="11" s="1"/>
  <c r="AA2002" i="11"/>
  <c r="AD2002" i="11" a="1"/>
  <c r="AD2002" i="11" s="1"/>
  <c r="AE2002" i="11" s="1"/>
  <c r="AA1464" i="11"/>
  <c r="AF1082" i="11" a="1"/>
  <c r="AF1082" i="11" s="1"/>
  <c r="AF2002" i="11" a="1"/>
  <c r="AF2002" i="11" s="1"/>
  <c r="AF1386" i="11" a="1"/>
  <c r="AF1386" i="11" s="1"/>
  <c r="AF1552" i="11" a="1"/>
  <c r="AF1552" i="11" s="1"/>
  <c r="AF1214" i="11" a="1"/>
  <c r="AF1214" i="11" s="1"/>
  <c r="AD1990" i="11" a="1"/>
  <c r="AD1990" i="11" s="1"/>
  <c r="AE1990" i="11" s="1"/>
  <c r="AA1408" i="11"/>
  <c r="AD1257" i="11" a="1"/>
  <c r="AD1257" i="11" s="1"/>
  <c r="AE1257" i="11" s="1"/>
  <c r="AF1257" i="11" a="1"/>
  <c r="AF1257" i="11" s="1"/>
  <c r="AD756" i="11" a="1"/>
  <c r="AD756" i="11" s="1"/>
  <c r="AE756" i="11" s="1"/>
  <c r="AF1408" i="11" a="1"/>
  <c r="AF1408" i="11" s="1"/>
  <c r="AA1148" i="11"/>
  <c r="AA1242" i="11"/>
  <c r="AA1082" i="11"/>
  <c r="AF538" i="11" a="1"/>
  <c r="AF538" i="11" s="1"/>
  <c r="AA171" i="11"/>
  <c r="AF171" i="11" a="1"/>
  <c r="AF171" i="11" s="1"/>
  <c r="AF1436" i="11" a="1"/>
  <c r="AF1436" i="11" s="1"/>
  <c r="AD1436" i="11" a="1"/>
  <c r="AD1436" i="11" s="1"/>
  <c r="AE1436" i="11" s="1"/>
  <c r="AA1386" i="11"/>
  <c r="AF756" i="11" a="1"/>
  <c r="AF756" i="11" s="1"/>
  <c r="AD538" i="11" a="1"/>
  <c r="AD538" i="11" s="1"/>
  <c r="AE538" i="11" s="1"/>
  <c r="AD1343" i="11" a="1"/>
  <c r="AD1343" i="11" s="1"/>
  <c r="AE1343" i="11" s="1"/>
  <c r="AF1343" i="11" a="1"/>
  <c r="AF1343" i="11" s="1"/>
  <c r="AD662" i="11" a="1"/>
  <c r="AD662" i="11" s="1"/>
  <c r="AE662" i="11" s="1"/>
  <c r="AF662" i="11" a="1"/>
  <c r="AF662" i="11" s="1"/>
  <c r="AA1260" i="11"/>
  <c r="AA1495" i="11"/>
  <c r="AF1837" i="11" a="1"/>
  <c r="AF1837" i="11" s="1"/>
  <c r="AF693" i="11" a="1"/>
  <c r="AF693" i="11" s="1"/>
  <c r="AA693" i="11"/>
  <c r="AA264" i="11"/>
  <c r="AA1162" i="11"/>
  <c r="AD1495" i="11" a="1"/>
  <c r="AD1495" i="11" s="1"/>
  <c r="AE1495" i="11" s="1"/>
  <c r="AD1350" i="11" a="1"/>
  <c r="AD1350" i="11" s="1"/>
  <c r="AE1350" i="11" s="1"/>
  <c r="AF1475" i="11" a="1"/>
  <c r="AF1475" i="11" s="1"/>
  <c r="AD1081" i="11" a="1"/>
  <c r="AD1081" i="11" s="1"/>
  <c r="AE1081" i="11" s="1"/>
  <c r="AF1540" i="11" a="1"/>
  <c r="AF1540" i="11" s="1"/>
  <c r="AA1593" i="11"/>
  <c r="AD1871" i="11" a="1"/>
  <c r="AD1871" i="11" s="1"/>
  <c r="AE1871" i="11" s="1"/>
  <c r="AA160" i="11"/>
  <c r="AF2015" i="11" a="1"/>
  <c r="AF2015" i="11" s="1"/>
  <c r="AA1236" i="11"/>
  <c r="AA1766" i="11"/>
  <c r="AD1475" i="11" a="1"/>
  <c r="AD1475" i="11" s="1"/>
  <c r="AE1475" i="11" s="1"/>
  <c r="AA1081" i="11"/>
  <c r="AF547" i="11" a="1"/>
  <c r="AF547" i="11" s="1"/>
  <c r="AD1162" i="11" a="1"/>
  <c r="AD1162" i="11" s="1"/>
  <c r="AE1162" i="11" s="1"/>
  <c r="AF484" i="11" a="1"/>
  <c r="AF484" i="11" s="1"/>
  <c r="AD475" i="11" a="1"/>
  <c r="AD475" i="11" s="1"/>
  <c r="AE475" i="11" s="1"/>
  <c r="AF1903" i="11" a="1"/>
  <c r="AF1903" i="11" s="1"/>
  <c r="AF1788" i="11" a="1"/>
  <c r="AF1788" i="11" s="1"/>
  <c r="AD1149" i="11" a="1"/>
  <c r="AD1149" i="11" s="1"/>
  <c r="AE1149" i="11" s="1"/>
  <c r="AD798" i="11" a="1"/>
  <c r="AD798" i="11" s="1"/>
  <c r="AE798" i="11" s="1"/>
  <c r="AA226" i="11"/>
  <c r="AF1018" i="11" a="1"/>
  <c r="AF1018" i="11" s="1"/>
  <c r="AA811" i="11"/>
  <c r="AF1349" i="11" a="1"/>
  <c r="AF1349" i="11" s="1"/>
  <c r="AF2011" i="11" a="1"/>
  <c r="AF2011" i="11" s="1"/>
  <c r="AD1540" i="11" a="1"/>
  <c r="AD1540" i="11" s="1"/>
  <c r="AE1540" i="11" s="1"/>
  <c r="AF725" i="11" a="1"/>
  <c r="AF725" i="11" s="1"/>
  <c r="AA1468" i="11"/>
  <c r="AF364" i="11" a="1"/>
  <c r="AF364" i="11" s="1"/>
  <c r="AA1285" i="11"/>
  <c r="AA197" i="11"/>
  <c r="AA871" i="11"/>
  <c r="AD592" i="11" a="1"/>
  <c r="AD592" i="11" s="1"/>
  <c r="AE592" i="11" s="1"/>
  <c r="AF811" i="11" a="1"/>
  <c r="AF811" i="11" s="1"/>
  <c r="AF85" i="11" a="1"/>
  <c r="AF85" i="11" s="1"/>
  <c r="AD1653" i="11" a="1"/>
  <c r="AD1653" i="11" s="1"/>
  <c r="AE1653" i="11" s="1"/>
  <c r="AF400" i="11" a="1"/>
  <c r="AF400" i="11" s="1"/>
  <c r="AA798" i="11"/>
  <c r="AF734" i="11" a="1"/>
  <c r="AF734" i="11" s="1"/>
  <c r="AD364" i="11" a="1"/>
  <c r="AD364" i="11" s="1"/>
  <c r="AE364" i="11" s="1"/>
  <c r="AA1837" i="11"/>
  <c r="AA1653" i="11"/>
  <c r="AF1350" i="11" a="1"/>
  <c r="AF1350" i="11" s="1"/>
  <c r="AD777" i="11" a="1"/>
  <c r="AD777" i="11" s="1"/>
  <c r="AE777" i="11" s="1"/>
  <c r="AD1321" i="11" a="1"/>
  <c r="AD1321" i="11" s="1"/>
  <c r="AE1321" i="11" s="1"/>
  <c r="AD153" i="11" a="1"/>
  <c r="AD153" i="11" s="1"/>
  <c r="AE153" i="11" s="1"/>
  <c r="AD34" i="11" a="1"/>
  <c r="AD34" i="11" s="1"/>
  <c r="AE34" i="11" s="1"/>
  <c r="AA2015" i="11"/>
  <c r="AA1586" i="11"/>
  <c r="AF626" i="11" a="1"/>
  <c r="AF626" i="11" s="1"/>
  <c r="AF160" i="11" a="1"/>
  <c r="AF160" i="11" s="1"/>
  <c r="AF176" i="11" a="1"/>
  <c r="AF176" i="11" s="1"/>
  <c r="AF522" i="11" a="1"/>
  <c r="AF522" i="11" s="1"/>
  <c r="AF173" i="11" a="1"/>
  <c r="AF173" i="11" s="1"/>
  <c r="AF475" i="11" a="1"/>
  <c r="AF475" i="11" s="1"/>
  <c r="AD1175" i="11" a="1"/>
  <c r="AD1175" i="11" s="1"/>
  <c r="AE1175" i="11" s="1"/>
  <c r="AA947" i="11"/>
  <c r="AA1855" i="11"/>
  <c r="AD320" i="11" a="1"/>
  <c r="AD320" i="11" s="1"/>
  <c r="AE320" i="11" s="1"/>
  <c r="AD1855" i="11" a="1"/>
  <c r="AD1855" i="11" s="1"/>
  <c r="AE1855" i="11" s="1"/>
  <c r="AD1018" i="11" a="1"/>
  <c r="AD1018" i="11" s="1"/>
  <c r="AE1018" i="11" s="1"/>
  <c r="AF1157" i="11" a="1"/>
  <c r="AF1157" i="11" s="1"/>
  <c r="AA777" i="11"/>
  <c r="AF1793" i="11" a="1"/>
  <c r="AF1793" i="11" s="1"/>
  <c r="AF981" i="11" a="1"/>
  <c r="AF981" i="11" s="1"/>
  <c r="AD626" i="11" a="1"/>
  <c r="AD626" i="11" s="1"/>
  <c r="AE626" i="11" s="1"/>
  <c r="AA978" i="11"/>
  <c r="AF985" i="11" a="1"/>
  <c r="AF985" i="11" s="1"/>
  <c r="AD109" i="11" a="1"/>
  <c r="AD109" i="11" s="1"/>
  <c r="AE109" i="11" s="1"/>
  <c r="AF947" i="11" a="1"/>
  <c r="AF947" i="11" s="1"/>
  <c r="AD1919" i="11" a="1"/>
  <c r="AD1919" i="11" s="1"/>
  <c r="AE1919" i="11" s="1"/>
  <c r="AF1871" i="11" a="1"/>
  <c r="AF1871" i="11" s="1"/>
  <c r="AA985" i="11"/>
  <c r="AF264" i="11" a="1"/>
  <c r="AF264" i="11" s="1"/>
  <c r="AF897" i="11" a="1"/>
  <c r="AF897" i="11" s="1"/>
  <c r="AD1305" i="11" a="1"/>
  <c r="AD1305" i="11" s="1"/>
  <c r="AE1305" i="11" s="1"/>
  <c r="AA1977" i="11"/>
  <c r="AD242" i="11" a="1"/>
  <c r="AD242" i="11" s="1"/>
  <c r="AE242" i="11" s="1"/>
  <c r="AF978" i="11" a="1"/>
  <c r="AF978" i="11" s="1"/>
  <c r="AF576" i="11" a="1"/>
  <c r="AF576" i="11" s="1"/>
  <c r="AD1157" i="11" a="1"/>
  <c r="AD1157" i="11" s="1"/>
  <c r="AE1157" i="11" s="1"/>
  <c r="AD838" i="11" a="1"/>
  <c r="AD838" i="11" s="1"/>
  <c r="AE838" i="11" s="1"/>
  <c r="AF1919" i="11" a="1"/>
  <c r="AF1919" i="11" s="1"/>
  <c r="AF1454" i="11" a="1"/>
  <c r="AF1454" i="11" s="1"/>
  <c r="AD1086" i="11" a="1"/>
  <c r="AD1086" i="11" s="1"/>
  <c r="AE1086" i="11" s="1"/>
  <c r="AF936" i="11" a="1"/>
  <c r="AF936" i="11" s="1"/>
  <c r="AD1766" i="11" a="1"/>
  <c r="AD1766" i="11" s="1"/>
  <c r="AE1766" i="11" s="1"/>
  <c r="AD1223" i="11" a="1"/>
  <c r="AD1223" i="11" s="1"/>
  <c r="AE1223" i="11" s="1"/>
  <c r="AF1062" i="11" a="1"/>
  <c r="AF1062" i="11" s="1"/>
  <c r="AF1886" i="11" a="1"/>
  <c r="AF1886" i="11" s="1"/>
  <c r="AA140" i="11"/>
  <c r="AD484" i="11" a="1"/>
  <c r="AD484" i="11" s="1"/>
  <c r="AE484" i="11" s="1"/>
  <c r="AD36" i="11" a="1"/>
  <c r="AD36" i="11" s="1"/>
  <c r="AE36" i="11" s="1"/>
  <c r="AF1910" i="11" a="1"/>
  <c r="AF1910" i="11" s="1"/>
  <c r="AA1317" i="11"/>
  <c r="AD1729" i="11" a="1"/>
  <c r="AD1729" i="11" s="1"/>
  <c r="AE1729" i="11" s="1"/>
  <c r="AF148" i="11" a="1"/>
  <c r="AF148" i="11" s="1"/>
  <c r="AD1454" i="11" a="1"/>
  <c r="AD1454" i="11" s="1"/>
  <c r="AE1454" i="11" s="1"/>
  <c r="AD1145" i="11" a="1"/>
  <c r="AD1145" i="11" s="1"/>
  <c r="AE1145" i="11" s="1"/>
  <c r="AF607" i="11" a="1"/>
  <c r="AF607" i="11" s="1"/>
  <c r="AD1593" i="11" a="1"/>
  <c r="AD1593" i="11" s="1"/>
  <c r="AE1593" i="11" s="1"/>
  <c r="AA1733" i="11"/>
  <c r="AF1202" i="11" a="1"/>
  <c r="AF1202" i="11" s="1"/>
  <c r="AA592" i="11"/>
  <c r="AF1145" i="11" a="1"/>
  <c r="AF1145" i="11" s="1"/>
  <c r="AD1903" i="11" a="1"/>
  <c r="AD1903" i="11" s="1"/>
  <c r="AE1903" i="11" s="1"/>
  <c r="AF374" i="11" a="1"/>
  <c r="AF374" i="11" s="1"/>
  <c r="AD686" i="11" a="1"/>
  <c r="AD686" i="11" s="1"/>
  <c r="AE686" i="11" s="1"/>
  <c r="AD725" i="11" a="1"/>
  <c r="AD725" i="11" s="1"/>
  <c r="AE725" i="11" s="1"/>
  <c r="AA1062" i="11"/>
  <c r="AF36" i="11" a="1"/>
  <c r="AF36" i="11" s="1"/>
  <c r="AD226" i="11" a="1"/>
  <c r="AD226" i="11" s="1"/>
  <c r="AE226" i="11" s="1"/>
  <c r="AF1544" i="11" a="1"/>
  <c r="AF1544" i="11" s="1"/>
  <c r="AD1317" i="11" a="1"/>
  <c r="AD1317" i="11" s="1"/>
  <c r="AE1317" i="11" s="1"/>
  <c r="AA936" i="11"/>
  <c r="AA161" i="11"/>
  <c r="AA911" i="11"/>
  <c r="AD1269" i="11" a="1"/>
  <c r="AD1269" i="11" s="1"/>
  <c r="AE1269" i="11" s="1"/>
  <c r="AD805" i="11" a="1"/>
  <c r="AD805" i="11" s="1"/>
  <c r="AE805" i="11" s="1"/>
  <c r="AD1597" i="11" a="1"/>
  <c r="AD1597" i="11" s="1"/>
  <c r="AE1597" i="11" s="1"/>
  <c r="AD526" i="11" a="1"/>
  <c r="AD526" i="11" s="1"/>
  <c r="AE526" i="11" s="1"/>
  <c r="AD728" i="11" a="1"/>
  <c r="AD728" i="11" s="1"/>
  <c r="AE728" i="11" s="1"/>
  <c r="AA1349" i="11"/>
  <c r="AF1462" i="11" a="1"/>
  <c r="AF1462" i="11" s="1"/>
  <c r="AD501" i="11" a="1"/>
  <c r="AD501" i="11" s="1"/>
  <c r="AE501" i="11" s="1"/>
  <c r="AA114" i="11"/>
  <c r="AA1806" i="11"/>
  <c r="AF145" i="11" a="1"/>
  <c r="AF145" i="11" s="1"/>
  <c r="AA210" i="11"/>
  <c r="AF796" i="11" a="1"/>
  <c r="AF796" i="11" s="1"/>
  <c r="AD374" i="11" a="1"/>
  <c r="AD374" i="11" s="1"/>
  <c r="AE374" i="11" s="1"/>
  <c r="AA686" i="11"/>
  <c r="AA1086" i="11"/>
  <c r="AF526" i="11" a="1"/>
  <c r="AF526" i="11" s="1"/>
  <c r="AF652" i="11" a="1"/>
  <c r="AF652" i="11" s="1"/>
  <c r="AD161" i="11" a="1"/>
  <c r="AD161" i="11" s="1"/>
  <c r="AE161" i="11" s="1"/>
  <c r="AF238" i="11" a="1"/>
  <c r="AF238" i="11" s="1"/>
  <c r="AF1570" i="11" a="1"/>
  <c r="AF1570" i="11" s="1"/>
  <c r="AF1733" i="11" a="1"/>
  <c r="AF1733" i="11" s="1"/>
  <c r="AF1175" i="11" a="1"/>
  <c r="AF1175" i="11" s="1"/>
  <c r="AD1477" i="11" a="1"/>
  <c r="AD1477" i="11" s="1"/>
  <c r="AE1477" i="11" s="1"/>
  <c r="AF1236" i="11" a="1"/>
  <c r="AF1236" i="11" s="1"/>
  <c r="AA357" i="11"/>
  <c r="AD1468" i="11" a="1"/>
  <c r="AD1468" i="11" s="1"/>
  <c r="AE1468" i="11" s="1"/>
  <c r="AA1715" i="11"/>
  <c r="AA1269" i="11"/>
  <c r="AF838" i="11" a="1"/>
  <c r="AF838" i="11" s="1"/>
  <c r="AF114" i="11" a="1"/>
  <c r="AF114" i="11" s="1"/>
  <c r="AF728" i="11" a="1"/>
  <c r="AF728" i="11" s="1"/>
  <c r="AD1715" i="11" a="1"/>
  <c r="AD1715" i="11" s="1"/>
  <c r="AE1715" i="11" s="1"/>
  <c r="AD634" i="11" a="1"/>
  <c r="AD634" i="11" s="1"/>
  <c r="AE634" i="11" s="1"/>
  <c r="AF35" i="11" a="1"/>
  <c r="AF35" i="11" s="1"/>
  <c r="AF665" i="11" a="1"/>
  <c r="AF665" i="11" s="1"/>
  <c r="AD2011" i="11" a="1"/>
  <c r="AD2011" i="11" s="1"/>
  <c r="AE2011" i="11" s="1"/>
  <c r="AD1570" i="11" a="1"/>
  <c r="AD1570" i="11" s="1"/>
  <c r="AE1570" i="11" s="1"/>
  <c r="AA1202" i="11"/>
  <c r="AF1872" i="11" a="1"/>
  <c r="AF1872" i="11" s="1"/>
  <c r="AF993" i="11" a="1"/>
  <c r="AF993" i="11" s="1"/>
  <c r="AF187" i="11" a="1"/>
  <c r="AF187" i="11" s="1"/>
  <c r="AA1729" i="11"/>
  <c r="AD148" i="11" a="1"/>
  <c r="AD148" i="11" s="1"/>
  <c r="AE148" i="11" s="1"/>
  <c r="AD406" i="11" a="1"/>
  <c r="AD406" i="11" s="1"/>
  <c r="AE406" i="11" s="1"/>
  <c r="AA35" i="11"/>
  <c r="AA1223" i="11"/>
  <c r="AA805" i="11"/>
  <c r="AF634" i="11" a="1"/>
  <c r="AF634" i="11" s="1"/>
  <c r="AA1477" i="11"/>
  <c r="AA1355" i="11"/>
  <c r="AD1872" i="11" a="1"/>
  <c r="AD1872" i="11" s="1"/>
  <c r="AE1872" i="11" s="1"/>
  <c r="AD1544" i="11" a="1"/>
  <c r="AD1544" i="11" s="1"/>
  <c r="AE1544" i="11" s="1"/>
  <c r="AD607" i="11" a="1"/>
  <c r="AD607" i="11" s="1"/>
  <c r="AE607" i="11" s="1"/>
  <c r="AF2006" i="11" a="1"/>
  <c r="AF2006" i="11" s="1"/>
  <c r="AF1806" i="11" a="1"/>
  <c r="AF1806" i="11" s="1"/>
  <c r="AD956" i="11" a="1"/>
  <c r="AD956" i="11" s="1"/>
  <c r="AE956" i="11" s="1"/>
  <c r="AF1906" i="11" a="1"/>
  <c r="AF1906" i="11" s="1"/>
  <c r="AF585" i="11" a="1"/>
  <c r="AF585" i="11" s="1"/>
  <c r="AD665" i="11" a="1"/>
  <c r="AD665" i="11" s="1"/>
  <c r="AE665" i="11" s="1"/>
  <c r="AA1906" i="11"/>
  <c r="AA400" i="11"/>
  <c r="AA501" i="11"/>
  <c r="AF1355" i="11" a="1"/>
  <c r="AF1355" i="11" s="1"/>
  <c r="AD1793" i="11" a="1"/>
  <c r="AD1793" i="11" s="1"/>
  <c r="AE1793" i="11" s="1"/>
  <c r="AF210" i="11" a="1"/>
  <c r="AF210" i="11" s="1"/>
  <c r="AA796" i="11"/>
  <c r="AF242" i="11" a="1"/>
  <c r="AF242" i="11" s="1"/>
  <c r="AF357" i="11" a="1"/>
  <c r="AF357" i="11" s="1"/>
  <c r="AA993" i="11"/>
  <c r="AD2006" i="11" a="1"/>
  <c r="AD2006" i="11" s="1"/>
  <c r="AE2006" i="11" s="1"/>
  <c r="AD522" i="11" a="1"/>
  <c r="AD522" i="11" s="1"/>
  <c r="AE522" i="11" s="1"/>
  <c r="AF1321" i="11" a="1"/>
  <c r="AF1321" i="11" s="1"/>
  <c r="AD145" i="11" a="1"/>
  <c r="AD145" i="11" s="1"/>
  <c r="AE145" i="11" s="1"/>
  <c r="AF109" i="11" a="1"/>
  <c r="AF109" i="11" s="1"/>
  <c r="AD547" i="11" a="1"/>
  <c r="AD547" i="11" s="1"/>
  <c r="AE547" i="11" s="1"/>
  <c r="AD238" i="11" a="1"/>
  <c r="AD238" i="11" s="1"/>
  <c r="AE238" i="11" s="1"/>
  <c r="AF1305" i="11" a="1"/>
  <c r="AF1305" i="11" s="1"/>
  <c r="AA1713" i="11"/>
  <c r="AA652" i="11"/>
  <c r="AA1910" i="11"/>
  <c r="AD1886" i="11" a="1"/>
  <c r="AD1886" i="11" s="1"/>
  <c r="AE1886" i="11" s="1"/>
  <c r="AF1085" i="11" a="1"/>
  <c r="AF1085" i="11" s="1"/>
  <c r="AD1085" i="11" a="1"/>
  <c r="AD1085" i="11" s="1"/>
  <c r="AE1085" i="11" s="1"/>
  <c r="AF956" i="11" a="1"/>
  <c r="AF956" i="11" s="1"/>
  <c r="AF1713" i="11" a="1"/>
  <c r="AF1713" i="11" s="1"/>
  <c r="AF406" i="11" a="1"/>
  <c r="AF406" i="11" s="1"/>
  <c r="AF1096" i="11" a="1"/>
  <c r="AF1096" i="11" s="1"/>
  <c r="AF1597" i="11" a="1"/>
  <c r="AF1597" i="11" s="1"/>
  <c r="AD981" i="11" a="1"/>
  <c r="AD981" i="11" s="1"/>
  <c r="AE981" i="11" s="1"/>
  <c r="AA1953" i="11"/>
  <c r="AF1494" i="11" a="1"/>
  <c r="AF1494" i="11" s="1"/>
  <c r="AF1561" i="11" a="1"/>
  <c r="AF1561" i="11" s="1"/>
  <c r="AF621" i="11" a="1"/>
  <c r="AF621" i="11" s="1"/>
  <c r="AF1883" i="11" a="1"/>
  <c r="AF1883" i="11" s="1"/>
  <c r="AD621" i="11" a="1"/>
  <c r="AD621" i="11" s="1"/>
  <c r="AE621" i="11" s="1"/>
  <c r="AA1561" i="11"/>
  <c r="AA329" i="11"/>
  <c r="AF1775" i="11" a="1"/>
  <c r="AF1775" i="11" s="1"/>
  <c r="AD1185" i="11" a="1"/>
  <c r="AD1185" i="11" s="1"/>
  <c r="AE1185" i="11" s="1"/>
  <c r="AD1494" i="11" a="1"/>
  <c r="AD1494" i="11" s="1"/>
  <c r="AE1494" i="11" s="1"/>
  <c r="AD43" i="11" a="1"/>
  <c r="AD43" i="11" s="1"/>
  <c r="AE43" i="11" s="1"/>
  <c r="AF1701" i="11" a="1"/>
  <c r="AF1701" i="11" s="1"/>
  <c r="AD1701" i="11" a="1"/>
  <c r="AD1701" i="11" s="1"/>
  <c r="AE1701" i="11" s="1"/>
  <c r="AF40" i="11" a="1"/>
  <c r="AF40" i="11" s="1"/>
  <c r="AA43" i="11"/>
  <c r="AA1629" i="11"/>
  <c r="AF1254" i="11" a="1"/>
  <c r="AF1254" i="11" s="1"/>
  <c r="AD1425" i="11" a="1"/>
  <c r="AD1425" i="11" s="1"/>
  <c r="AE1425" i="11" s="1"/>
  <c r="AF288" i="11" a="1"/>
  <c r="AF288" i="11" s="1"/>
  <c r="AD1367" i="11" a="1"/>
  <c r="AD1367" i="11" s="1"/>
  <c r="AE1367" i="11" s="1"/>
  <c r="AF301" i="11" a="1"/>
  <c r="AF301" i="11" s="1"/>
  <c r="AD498" i="11" a="1"/>
  <c r="AD498" i="11" s="1"/>
  <c r="AE498" i="11" s="1"/>
  <c r="AA465" i="11"/>
  <c r="AA1058" i="11"/>
  <c r="AF1376" i="11" a="1"/>
  <c r="AF1376" i="11" s="1"/>
  <c r="AD1665" i="11" a="1"/>
  <c r="AD1665" i="11" s="1"/>
  <c r="AE1665" i="11" s="1"/>
  <c r="AA71" i="11"/>
  <c r="AA932" i="11"/>
  <c r="AD1796" i="11" a="1"/>
  <c r="AD1796" i="11" s="1"/>
  <c r="AE1796" i="11" s="1"/>
  <c r="AF1058" i="11" a="1"/>
  <c r="AF1058" i="11" s="1"/>
  <c r="AD1150" i="11" a="1"/>
  <c r="AD1150" i="11" s="1"/>
  <c r="AE1150" i="11" s="1"/>
  <c r="AF1979" i="11" a="1"/>
  <c r="AF1979" i="11" s="1"/>
  <c r="AA301" i="11"/>
  <c r="AD343" i="11" a="1"/>
  <c r="AD343" i="11" s="1"/>
  <c r="AE343" i="11" s="1"/>
  <c r="AA53" i="11"/>
  <c r="AA1989" i="11"/>
  <c r="AF1989" i="11" a="1"/>
  <c r="AF1989" i="11" s="1"/>
  <c r="AA443" i="11"/>
  <c r="AA174" i="11"/>
  <c r="AD1979" i="11" a="1"/>
  <c r="AD1979" i="11" s="1"/>
  <c r="AE1979" i="11" s="1"/>
  <c r="AD83" i="11" a="1"/>
  <c r="AD83" i="11" s="1"/>
  <c r="AE83" i="11" s="1"/>
  <c r="AD1861" i="11" a="1"/>
  <c r="AD1861" i="11" s="1"/>
  <c r="AE1861" i="11" s="1"/>
  <c r="AF443" i="11" a="1"/>
  <c r="AF443" i="11" s="1"/>
  <c r="AF1197" i="11" a="1"/>
  <c r="AF1197" i="11" s="1"/>
  <c r="AA833" i="11"/>
  <c r="AF293" i="11" a="1"/>
  <c r="AF293" i="11" s="1"/>
  <c r="AD303" i="11" a="1"/>
  <c r="AD303" i="11" s="1"/>
  <c r="AE303" i="11" s="1"/>
  <c r="AF1057" i="11" a="1"/>
  <c r="AF1057" i="11" s="1"/>
  <c r="AF1446" i="11" a="1"/>
  <c r="AF1446" i="11" s="1"/>
  <c r="AD150" i="11" a="1"/>
  <c r="AD150" i="11" s="1"/>
  <c r="AE150" i="11" s="1"/>
  <c r="AF1866" i="11" a="1"/>
  <c r="AF1866" i="11" s="1"/>
  <c r="AD684" i="11" a="1"/>
  <c r="AD684" i="11" s="1"/>
  <c r="AE684" i="11" s="1"/>
  <c r="AF1684" i="11" a="1"/>
  <c r="AF1684" i="11" s="1"/>
  <c r="AD932" i="11" a="1"/>
  <c r="AD932" i="11" s="1"/>
  <c r="AE932" i="11" s="1"/>
  <c r="AD328" i="11" a="1"/>
  <c r="AD328" i="11" s="1"/>
  <c r="AE328" i="11" s="1"/>
  <c r="AA1197" i="11"/>
  <c r="AA1823" i="11"/>
  <c r="AF1302" i="11" a="1"/>
  <c r="AF1302" i="11" s="1"/>
  <c r="AF888" i="11" a="1"/>
  <c r="AF888" i="11" s="1"/>
  <c r="AF1632" i="11" a="1"/>
  <c r="AF1632" i="11" s="1"/>
  <c r="AF465" i="11" a="1"/>
  <c r="AF465" i="11" s="1"/>
  <c r="AF1899" i="11" a="1"/>
  <c r="AF1899" i="11" s="1"/>
  <c r="AD707" i="11" a="1"/>
  <c r="AD707" i="11" s="1"/>
  <c r="AE707" i="11" s="1"/>
  <c r="AD964" i="11" a="1"/>
  <c r="AD964" i="11" s="1"/>
  <c r="AE964" i="11" s="1"/>
  <c r="AA556" i="11"/>
  <c r="AD803" i="11" a="1"/>
  <c r="AD803" i="11" s="1"/>
  <c r="AE803" i="11" s="1"/>
  <c r="AF249" i="11" a="1"/>
  <c r="AF249" i="11" s="1"/>
  <c r="AA1466" i="11"/>
  <c r="AA854" i="11"/>
  <c r="AF235" i="11" a="1"/>
  <c r="AF235" i="11" s="1"/>
  <c r="AA139" i="11"/>
  <c r="AA40" i="11"/>
  <c r="AF833" i="11" a="1"/>
  <c r="AF833" i="11" s="1"/>
  <c r="AD633" i="11" a="1"/>
  <c r="AD633" i="11" s="1"/>
  <c r="AE633" i="11" s="1"/>
  <c r="AA118" i="11"/>
  <c r="AA293" i="11"/>
  <c r="AD568" i="11" a="1"/>
  <c r="AD568" i="11" s="1"/>
  <c r="AE568" i="11" s="1"/>
  <c r="AA1376" i="11"/>
  <c r="AA2012" i="11"/>
  <c r="AF53" i="11" a="1"/>
  <c r="AF53" i="11" s="1"/>
  <c r="AD1302" i="11" a="1"/>
  <c r="AD1302" i="11" s="1"/>
  <c r="AE1302" i="11" s="1"/>
  <c r="AA1574" i="11"/>
  <c r="AF1040" i="11" a="1"/>
  <c r="AF1040" i="11" s="1"/>
  <c r="AF760" i="11" a="1"/>
  <c r="AF760" i="11" s="1"/>
  <c r="AF842" i="11" a="1"/>
  <c r="AF842" i="11" s="1"/>
  <c r="AF217" i="11" a="1"/>
  <c r="AF217" i="11" s="1"/>
  <c r="AD217" i="11" a="1"/>
  <c r="AD217" i="11" s="1"/>
  <c r="AE217" i="11" s="1"/>
  <c r="AF1501" i="11" a="1"/>
  <c r="AF1501" i="11" s="1"/>
  <c r="AD294" i="11" a="1"/>
  <c r="AD294" i="11" s="1"/>
  <c r="AE294" i="11" s="1"/>
  <c r="AD439" i="11" a="1"/>
  <c r="AD439" i="11" s="1"/>
  <c r="AE439" i="11" s="1"/>
  <c r="AA1946" i="11"/>
  <c r="AF1805" i="11" a="1"/>
  <c r="AF1805" i="11" s="1"/>
  <c r="AA1889" i="11"/>
  <c r="AA579" i="11"/>
  <c r="AA1501" i="11"/>
  <c r="AD1431" i="11" a="1"/>
  <c r="AD1431" i="11" s="1"/>
  <c r="AE1431" i="11" s="1"/>
  <c r="AF1879" i="11" a="1"/>
  <c r="AF1879" i="11" s="1"/>
  <c r="AD1879" i="11" a="1"/>
  <c r="AD1879" i="11" s="1"/>
  <c r="AE1879" i="11" s="1"/>
  <c r="AD1460" i="11" a="1"/>
  <c r="AD1460" i="11" s="1"/>
  <c r="AE1460" i="11" s="1"/>
  <c r="AD267" i="11" a="1"/>
  <c r="AD267" i="11" s="1"/>
  <c r="AE267" i="11" s="1"/>
  <c r="AA1908" i="11"/>
  <c r="AA1671" i="11"/>
  <c r="AF1633" i="11" a="1"/>
  <c r="AF1633" i="11" s="1"/>
  <c r="AA1841" i="11"/>
  <c r="AF677" i="11" a="1"/>
  <c r="AF677" i="11" s="1"/>
  <c r="AD1605" i="11" a="1"/>
  <c r="AD1605" i="11" s="1"/>
  <c r="AE1605" i="11" s="1"/>
  <c r="AF244" i="11" a="1"/>
  <c r="AF244" i="11" s="1"/>
  <c r="AF1752" i="11" a="1"/>
  <c r="AF1752" i="11" s="1"/>
  <c r="AF1256" i="11" a="1"/>
  <c r="AF1256" i="11" s="1"/>
  <c r="AA1241" i="11"/>
  <c r="AA1163" i="11"/>
  <c r="AD1889" i="11" a="1"/>
  <c r="AD1889" i="11" s="1"/>
  <c r="AE1889" i="11" s="1"/>
  <c r="AD1606" i="11" a="1"/>
  <c r="AD1606" i="11" s="1"/>
  <c r="AE1606" i="11" s="1"/>
  <c r="AF289" i="11" a="1"/>
  <c r="AF289" i="11" s="1"/>
  <c r="AF1431" i="11" a="1"/>
  <c r="AF1431" i="11" s="1"/>
  <c r="AD1671" i="11" a="1"/>
  <c r="AD1671" i="11" s="1"/>
  <c r="AE1671" i="11" s="1"/>
  <c r="AA1854" i="11"/>
  <c r="AF1841" i="11" a="1"/>
  <c r="AF1841" i="11" s="1"/>
  <c r="AD677" i="11" a="1"/>
  <c r="AD677" i="11" s="1"/>
  <c r="AE677" i="11" s="1"/>
  <c r="AF1416" i="11" a="1"/>
  <c r="AF1416" i="11" s="1"/>
  <c r="AD669" i="11" a="1"/>
  <c r="AD669" i="11" s="1"/>
  <c r="AE669" i="11" s="1"/>
  <c r="AA289" i="11"/>
  <c r="AD1752" i="11" a="1"/>
  <c r="AD1752" i="11" s="1"/>
  <c r="AE1752" i="11" s="1"/>
  <c r="AD1256" i="11" a="1"/>
  <c r="AD1256" i="11" s="1"/>
  <c r="AE1256" i="11" s="1"/>
  <c r="AA905" i="11"/>
  <c r="AD819" i="11" a="1"/>
  <c r="AD819" i="11" s="1"/>
  <c r="AE819" i="11" s="1"/>
  <c r="AF1319" i="11" a="1"/>
  <c r="AF1319" i="11" s="1"/>
  <c r="AA1907" i="11"/>
  <c r="AF1791" i="11" a="1"/>
  <c r="AF1791" i="11" s="1"/>
  <c r="AD865" i="11" a="1"/>
  <c r="AD865" i="11" s="1"/>
  <c r="AE865" i="11" s="1"/>
  <c r="AD1363" i="11" a="1"/>
  <c r="AD1363" i="11" s="1"/>
  <c r="AE1363" i="11" s="1"/>
  <c r="AA1606" i="11"/>
  <c r="AD800" i="11" a="1"/>
  <c r="AD800" i="11" s="1"/>
  <c r="AE800" i="11" s="1"/>
  <c r="AA1750" i="11"/>
  <c r="AF2010" i="11" a="1"/>
  <c r="AF2010" i="11" s="1"/>
  <c r="AD110" i="11" a="1"/>
  <c r="AD110" i="11" s="1"/>
  <c r="AE110" i="11" s="1"/>
  <c r="AA1605" i="11"/>
  <c r="AA1410" i="11"/>
  <c r="AD2010" i="11" a="1"/>
  <c r="AD2010" i="11" s="1"/>
  <c r="AE2010" i="11" s="1"/>
  <c r="AF1567" i="11" a="1"/>
  <c r="AF1567" i="11" s="1"/>
  <c r="AF1363" i="11" a="1"/>
  <c r="AF1363" i="11" s="1"/>
  <c r="AA1853" i="11"/>
  <c r="AD1416" i="11" a="1"/>
  <c r="AD1416" i="11" s="1"/>
  <c r="AE1416" i="11" s="1"/>
  <c r="AF669" i="11" a="1"/>
  <c r="AF669" i="11" s="1"/>
  <c r="AD716" i="11" a="1"/>
  <c r="AD716" i="11" s="1"/>
  <c r="AE716" i="11" s="1"/>
  <c r="AA800" i="11"/>
  <c r="AD1480" i="11" a="1"/>
  <c r="AD1480" i="11" s="1"/>
  <c r="AE1480" i="11" s="1"/>
  <c r="AF1473" i="11" a="1"/>
  <c r="AF1473" i="11" s="1"/>
  <c r="AD683" i="11" a="1"/>
  <c r="AD683" i="11" s="1"/>
  <c r="AE683" i="11" s="1"/>
  <c r="AA590" i="11"/>
  <c r="AA819" i="11"/>
  <c r="AD1854" i="11" a="1"/>
  <c r="AD1854" i="11" s="1"/>
  <c r="AE1854" i="11" s="1"/>
  <c r="AD905" i="11" a="1"/>
  <c r="AD905" i="11" s="1"/>
  <c r="AE905" i="11" s="1"/>
  <c r="AA865" i="11"/>
  <c r="AF611" i="11" a="1"/>
  <c r="AF611" i="11" s="1"/>
  <c r="AD1853" i="11" a="1"/>
  <c r="AD1853" i="11" s="1"/>
  <c r="AE1853" i="11" s="1"/>
  <c r="AD1805" i="11" a="1"/>
  <c r="AD1805" i="11" s="1"/>
  <c r="AE1805" i="11" s="1"/>
  <c r="AF709" i="11" a="1"/>
  <c r="AF709" i="11" s="1"/>
  <c r="AF1480" i="11" a="1"/>
  <c r="AF1480" i="11" s="1"/>
  <c r="AF1409" i="11" a="1"/>
  <c r="AF1409" i="11" s="1"/>
  <c r="AF47" i="11" a="1"/>
  <c r="AF47" i="11" s="1"/>
  <c r="AA1405" i="11"/>
  <c r="AA858" i="11"/>
  <c r="AF227" i="11" a="1"/>
  <c r="AF227" i="11" s="1"/>
  <c r="AF590" i="11" a="1"/>
  <c r="AF590" i="11" s="1"/>
  <c r="AA110" i="11"/>
  <c r="AD709" i="11" a="1"/>
  <c r="AD709" i="11" s="1"/>
  <c r="AE709" i="11" s="1"/>
  <c r="AD1750" i="11" a="1"/>
  <c r="AD1750" i="11" s="1"/>
  <c r="AE1750" i="11" s="1"/>
  <c r="AF716" i="11" a="1"/>
  <c r="AF716" i="11" s="1"/>
  <c r="AA1711" i="11"/>
  <c r="AD994" i="11" a="1"/>
  <c r="AD994" i="11" s="1"/>
  <c r="AE994" i="11" s="1"/>
  <c r="AD858" i="11" a="1"/>
  <c r="AD858" i="11" s="1"/>
  <c r="AE858" i="11" s="1"/>
  <c r="AA227" i="11"/>
  <c r="AF1520" i="11" a="1"/>
  <c r="AF1520" i="11" s="1"/>
  <c r="AD579" i="11" a="1"/>
  <c r="AD579" i="11" s="1"/>
  <c r="AE579" i="11" s="1"/>
  <c r="AF107" i="11" a="1"/>
  <c r="AF107" i="11" s="1"/>
  <c r="AA1347" i="11"/>
  <c r="AF1573" i="11" a="1"/>
  <c r="AF1573" i="11" s="1"/>
  <c r="AA611" i="11"/>
  <c r="AD914" i="11" a="1"/>
  <c r="AD914" i="11" s="1"/>
  <c r="AE914" i="11" s="1"/>
  <c r="AA994" i="11"/>
  <c r="AD541" i="11" a="1"/>
  <c r="AD541" i="11" s="1"/>
  <c r="AE541" i="11" s="1"/>
  <c r="AD1948" i="11" a="1"/>
  <c r="AD1948" i="11" s="1"/>
  <c r="AE1948" i="11" s="1"/>
  <c r="AF267" i="11" a="1"/>
  <c r="AF267" i="11" s="1"/>
  <c r="AD1520" i="11" a="1"/>
  <c r="AD1520" i="11" s="1"/>
  <c r="AE1520" i="11" s="1"/>
  <c r="AA107" i="11"/>
  <c r="AD1705" i="11" a="1"/>
  <c r="AD1705" i="11" s="1"/>
  <c r="AE1705" i="11" s="1"/>
  <c r="AD1319" i="11" a="1"/>
  <c r="AD1319" i="11" s="1"/>
  <c r="AE1319" i="11" s="1"/>
  <c r="AF439" i="11" a="1"/>
  <c r="AF439" i="11" s="1"/>
  <c r="AF318" i="11" a="1"/>
  <c r="AF318" i="11" s="1"/>
  <c r="AD1573" i="11" a="1"/>
  <c r="AD1573" i="11" s="1"/>
  <c r="AE1573" i="11" s="1"/>
  <c r="AD1633" i="11" a="1"/>
  <c r="AD1633" i="11" s="1"/>
  <c r="AE1633" i="11" s="1"/>
  <c r="AD1711" i="11" a="1"/>
  <c r="AD1711" i="11" s="1"/>
  <c r="AE1711" i="11" s="1"/>
  <c r="AF914" i="11" a="1"/>
  <c r="AF914" i="11" s="1"/>
  <c r="AF1705" i="11" a="1"/>
  <c r="AF1705"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G542" i="11"/>
  <c r="AG81" i="11"/>
  <c r="AG389" i="11"/>
  <c r="AH389" i="11" s="1"/>
  <c r="AJ389" i="11" s="1"/>
  <c r="AG1202" i="11"/>
  <c r="AH1202" i="11" s="1"/>
  <c r="AJ1202" i="11" s="1"/>
  <c r="AG962" i="11"/>
  <c r="AH962" i="11" s="1"/>
  <c r="AJ962" i="11" s="1"/>
  <c r="AG696" i="11"/>
  <c r="AG328" i="11"/>
  <c r="AG226" i="11"/>
  <c r="AH226" i="11" s="1"/>
  <c r="AJ226" i="11" s="1"/>
  <c r="AG556" i="11"/>
  <c r="AG161" i="11"/>
  <c r="AG297" i="11"/>
  <c r="AG28" i="11"/>
  <c r="AG339" i="11"/>
  <c r="AG1210" i="11"/>
  <c r="AG417" i="11"/>
  <c r="AH417" i="11" s="1"/>
  <c r="AJ417" i="11" s="1"/>
  <c r="AG920" i="11"/>
  <c r="AH920" i="11" s="1"/>
  <c r="AJ920" i="11" s="1"/>
  <c r="AG1470" i="11"/>
  <c r="AH1470" i="11" s="1"/>
  <c r="AJ1470" i="11" s="1"/>
  <c r="AG865" i="11"/>
  <c r="AG132" i="11"/>
  <c r="AG197" i="11"/>
  <c r="AH197" i="11" s="1"/>
  <c r="AJ197" i="11" s="1"/>
  <c r="AG150" i="11"/>
  <c r="AG1222" i="11"/>
  <c r="AG1326" i="11"/>
  <c r="AG728" i="11"/>
  <c r="AG573" i="11"/>
  <c r="AG171" i="11"/>
  <c r="AG233" i="11"/>
  <c r="AH233" i="11" s="1"/>
  <c r="AJ233" i="11" s="1"/>
  <c r="AG826" i="11"/>
  <c r="AH826" i="11" s="1"/>
  <c r="AJ826" i="11" s="1"/>
  <c r="AG488" i="11"/>
  <c r="AH488" i="11" s="1"/>
  <c r="AJ488" i="11" s="1"/>
  <c r="AG500" i="11"/>
  <c r="AG1146" i="11"/>
  <c r="AG1436" i="11"/>
  <c r="AH1436" i="11" s="1"/>
  <c r="AJ1436" i="11" s="1"/>
  <c r="AG1633" i="11"/>
  <c r="AG206" i="11"/>
  <c r="AG837" i="11"/>
  <c r="AG953" i="11"/>
  <c r="AG33" i="11"/>
  <c r="AG331" i="11"/>
  <c r="AG1282" i="11"/>
  <c r="AH1282" i="11" s="1"/>
  <c r="AJ1282" i="11" s="1"/>
  <c r="AG1495" i="11"/>
  <c r="AH1495" i="11" s="1"/>
  <c r="AJ1495" i="11" s="1"/>
  <c r="AG94" i="11"/>
  <c r="AH94" i="11" s="1"/>
  <c r="AJ94" i="11" s="1"/>
  <c r="AG904" i="11"/>
  <c r="AG1679" i="11"/>
  <c r="AG416" i="11"/>
  <c r="AH416" i="11" s="1"/>
  <c r="AJ416" i="11" s="1"/>
  <c r="AG305" i="11"/>
  <c r="AG1913" i="11"/>
  <c r="AG1371" i="11"/>
  <c r="AG191" i="11"/>
  <c r="AG1414" i="11"/>
  <c r="AG647" i="11"/>
  <c r="AG1084" i="11"/>
  <c r="AH1084" i="11" s="1"/>
  <c r="AJ1084" i="11" s="1"/>
  <c r="AG708" i="11"/>
  <c r="AH708" i="11" s="1"/>
  <c r="AJ708" i="11" s="1"/>
  <c r="AG1132" i="11"/>
  <c r="AH1132" i="11" s="1"/>
  <c r="AJ1132" i="11" s="1"/>
  <c r="AG133" i="11"/>
  <c r="AG202" i="11"/>
  <c r="AG517" i="11"/>
  <c r="AH517" i="11" s="1"/>
  <c r="AQ517" i="11" s="1"/>
  <c r="AG907" i="11"/>
  <c r="AG394" i="11"/>
  <c r="AG1924" i="11"/>
  <c r="AG1444" i="11"/>
  <c r="AH1444" i="11" s="1"/>
  <c r="AJ1444" i="11" s="1"/>
  <c r="AG244" i="11"/>
  <c r="AG392" i="11"/>
  <c r="AG758" i="11"/>
  <c r="AH758" i="11" s="1"/>
  <c r="AJ758" i="11" s="1"/>
  <c r="AG449" i="11"/>
  <c r="AH449" i="11" s="1"/>
  <c r="AJ449" i="11" s="1"/>
  <c r="AG512" i="11"/>
  <c r="AH512" i="11" s="1"/>
  <c r="AJ512" i="11" s="1"/>
  <c r="AG859" i="11"/>
  <c r="AG1402" i="11"/>
  <c r="AG465" i="11"/>
  <c r="AH465" i="11" s="1"/>
  <c r="AJ465" i="11" s="1"/>
  <c r="AG1698" i="11"/>
  <c r="AG1521" i="11"/>
  <c r="AG393" i="11"/>
  <c r="AG157" i="11"/>
  <c r="AG759" i="11"/>
  <c r="AG201" i="11"/>
  <c r="AG614" i="11"/>
  <c r="AH614" i="11" s="1"/>
  <c r="AJ614" i="11" s="1"/>
  <c r="AG238" i="11"/>
  <c r="AH238" i="11" s="1"/>
  <c r="AJ238" i="11" s="1"/>
  <c r="AG139" i="11"/>
  <c r="AH139" i="11" s="1"/>
  <c r="AJ139" i="11" s="1"/>
  <c r="AG497" i="11"/>
  <c r="AG1289" i="11"/>
  <c r="AG134" i="11"/>
  <c r="AH134" i="11" s="1"/>
  <c r="AJ134" i="11" s="1"/>
  <c r="AG75" i="11"/>
  <c r="AG725" i="11"/>
  <c r="AG527" i="11"/>
  <c r="AG1849" i="11"/>
  <c r="AG21" i="11"/>
  <c r="AG559" i="11"/>
  <c r="AG965" i="11"/>
  <c r="AH965" i="11" s="1"/>
  <c r="AJ965" i="11" s="1"/>
  <c r="AG808" i="11"/>
  <c r="AH808" i="11" s="1"/>
  <c r="AJ808" i="11" s="1"/>
  <c r="AG764" i="11"/>
  <c r="AH764" i="11" s="1"/>
  <c r="AJ764" i="11" s="1"/>
  <c r="AG288" i="11"/>
  <c r="AG721" i="11"/>
  <c r="AG25" i="11"/>
  <c r="AH25" i="11" s="1"/>
  <c r="AJ25" i="11" s="1"/>
  <c r="AG1765" i="11"/>
  <c r="AG283" i="11"/>
  <c r="AG713" i="11"/>
  <c r="AG1817" i="11"/>
  <c r="AH1817" i="11" s="1"/>
  <c r="AJ1817" i="11" s="1"/>
  <c r="AG267" i="11"/>
  <c r="AG785" i="11"/>
  <c r="AG237" i="11"/>
  <c r="AH237" i="11" s="1"/>
  <c r="AJ237" i="11" s="1"/>
  <c r="AG457" i="11"/>
  <c r="AH457" i="11" s="1"/>
  <c r="AJ457" i="11" s="1"/>
  <c r="AG620" i="11"/>
  <c r="AH620" i="11" s="1"/>
  <c r="AJ620" i="11" s="1"/>
  <c r="AG684" i="11"/>
  <c r="AG511" i="11"/>
  <c r="AG1103" i="11"/>
  <c r="AH1103" i="11" s="1"/>
  <c r="AJ1103" i="11" s="1"/>
  <c r="AG655" i="11"/>
  <c r="AG1025" i="11"/>
  <c r="AG549" i="11"/>
  <c r="AG483" i="11"/>
  <c r="AH483" i="11" s="1"/>
  <c r="AJ483" i="11" s="1"/>
  <c r="AG325" i="11"/>
  <c r="AG247" i="11"/>
  <c r="AG1050" i="11"/>
  <c r="AH1050" i="11" s="1"/>
  <c r="AJ1050" i="11" s="1"/>
  <c r="AG922" i="11"/>
  <c r="AH922" i="11" s="1"/>
  <c r="AJ922" i="11" s="1"/>
  <c r="AG57" i="11"/>
  <c r="AH57" i="11" s="1"/>
  <c r="AJ57" i="11" s="1"/>
  <c r="AM57" i="11" s="1"/>
  <c r="AL57" i="11" s="1"/>
  <c r="AG327" i="11"/>
  <c r="AG98" i="11"/>
  <c r="AG1527" i="11"/>
  <c r="AH1527" i="11" s="1"/>
  <c r="AJ1527" i="11" s="1"/>
  <c r="AG678" i="11"/>
  <c r="AG1104" i="11"/>
  <c r="AG612" i="11"/>
  <c r="AG886" i="11"/>
  <c r="AH886" i="11" s="1"/>
  <c r="AJ886" i="11" s="1"/>
  <c r="AG195" i="11"/>
  <c r="AG1943" i="11"/>
  <c r="AG284" i="11"/>
  <c r="AH284" i="11" s="1"/>
  <c r="AJ284" i="11" s="1"/>
  <c r="AG669" i="11"/>
  <c r="AH669" i="11" s="1"/>
  <c r="AJ669" i="11" s="1"/>
  <c r="AG340" i="11"/>
  <c r="AH340" i="11" s="1"/>
  <c r="AJ340" i="11" s="1"/>
  <c r="AG430" i="11"/>
  <c r="AG447" i="11"/>
  <c r="AG944" i="11"/>
  <c r="AH944" i="11" s="1"/>
  <c r="AJ944" i="11" s="1"/>
  <c r="AG269" i="11"/>
  <c r="AG654" i="11"/>
  <c r="AG544" i="11"/>
  <c r="AG350" i="11"/>
  <c r="AG1749" i="11"/>
  <c r="AG803" i="11"/>
  <c r="AG1452" i="11"/>
  <c r="AH1452" i="11" s="1"/>
  <c r="AJ1452" i="11" s="1"/>
  <c r="AG471" i="11"/>
  <c r="AH471" i="11" s="1"/>
  <c r="AJ471" i="11" s="1"/>
  <c r="AG26" i="11"/>
  <c r="AH26" i="11" s="1"/>
  <c r="AJ26" i="11" s="1"/>
  <c r="AG583" i="11"/>
  <c r="AG1090" i="11"/>
  <c r="AG460" i="11"/>
  <c r="AH460" i="11" s="1"/>
  <c r="AJ460" i="11" s="1"/>
  <c r="AG611" i="11"/>
  <c r="AG236" i="11"/>
  <c r="AG1421" i="11"/>
  <c r="AG464" i="11"/>
  <c r="AG658" i="11"/>
  <c r="AG765" i="11"/>
  <c r="AG390" i="11"/>
  <c r="AH390" i="11" s="1"/>
  <c r="AJ390" i="11" s="1"/>
  <c r="AG1983" i="11"/>
  <c r="AH1983" i="11" s="1"/>
  <c r="AJ1983" i="11" s="1"/>
  <c r="AG1974" i="11"/>
  <c r="AH1974" i="11" s="1"/>
  <c r="AJ1974" i="11" s="1"/>
  <c r="AG700" i="11"/>
  <c r="AG1115" i="11"/>
  <c r="AG659" i="11"/>
  <c r="AH659" i="11" s="1"/>
  <c r="AJ659" i="11" s="1"/>
  <c r="AG709" i="11"/>
  <c r="AG596" i="11"/>
  <c r="AG950" i="11"/>
  <c r="AG187" i="11"/>
  <c r="AG508" i="11"/>
  <c r="AG309" i="11"/>
  <c r="AG334" i="11"/>
  <c r="AH334" i="11" s="1"/>
  <c r="AJ334" i="11" s="1"/>
  <c r="AG1656" i="11"/>
  <c r="AH1656" i="11" s="1"/>
  <c r="AJ1656" i="11" s="1"/>
  <c r="AG882" i="11"/>
  <c r="AH882" i="11" s="1"/>
  <c r="AJ882" i="11" s="1"/>
  <c r="AG423" i="11"/>
  <c r="AG281" i="11"/>
  <c r="AG1392" i="11"/>
  <c r="AH1392" i="11" s="1"/>
  <c r="AJ1392" i="11" s="1"/>
  <c r="AG719" i="11"/>
  <c r="AG55" i="11"/>
  <c r="AG1166" i="11"/>
  <c r="AG413" i="11"/>
  <c r="AG501" i="11"/>
  <c r="AG1201" i="11"/>
  <c r="AG257" i="11"/>
  <c r="AH257" i="11" s="1"/>
  <c r="AJ257" i="11" s="1"/>
  <c r="AG92" i="11"/>
  <c r="AH92" i="11" s="1"/>
  <c r="AJ92" i="11" s="1"/>
  <c r="AG251" i="11"/>
  <c r="AH251" i="11" s="1"/>
  <c r="AJ251" i="11" s="1"/>
  <c r="AG539" i="11"/>
  <c r="AG1828" i="11"/>
  <c r="AG868" i="11"/>
  <c r="AH868" i="11" s="1"/>
  <c r="AJ868" i="11" s="1"/>
  <c r="AG1233" i="11"/>
  <c r="AG515" i="11"/>
  <c r="AG772" i="11"/>
  <c r="AG628" i="11"/>
  <c r="AG427" i="11"/>
  <c r="AG1016" i="11"/>
  <c r="AG58" i="11"/>
  <c r="AH58" i="11" s="1"/>
  <c r="AJ58" i="11" s="1"/>
  <c r="AG848" i="11"/>
  <c r="AH848" i="11" s="1"/>
  <c r="AJ848" i="11" s="1"/>
  <c r="AG341" i="11"/>
  <c r="AH341" i="11" s="1"/>
  <c r="AJ341" i="11" s="1"/>
  <c r="AG431" i="11"/>
  <c r="AG1635" i="11"/>
  <c r="AG1087" i="11"/>
  <c r="AH1087" i="11" s="1"/>
  <c r="AJ1087" i="11" s="1"/>
  <c r="AG356" i="11"/>
  <c r="AG711" i="11"/>
  <c r="AG1209" i="11"/>
  <c r="AG994" i="11"/>
  <c r="AG1080" i="11"/>
  <c r="AG1250" i="11"/>
  <c r="AG557" i="11"/>
  <c r="AH557" i="11" s="1"/>
  <c r="AJ557" i="11" s="1"/>
  <c r="AG1861" i="11"/>
  <c r="AH1861" i="11" s="1"/>
  <c r="AJ1861" i="11" s="1"/>
  <c r="AG1675" i="11"/>
  <c r="AH1675" i="11" s="1"/>
  <c r="AJ1675" i="11" s="1"/>
  <c r="AG66" i="11"/>
  <c r="AG816" i="11"/>
  <c r="AG701" i="11"/>
  <c r="AH701" i="11" s="1"/>
  <c r="AJ701" i="11" s="1"/>
  <c r="AG744" i="11"/>
  <c r="AG1844" i="11"/>
  <c r="AG375" i="11"/>
  <c r="AG1024" i="11"/>
  <c r="AH1024" i="11" s="1"/>
  <c r="AJ1024" i="11" s="1"/>
  <c r="AG357" i="11"/>
  <c r="AG602" i="11"/>
  <c r="AG674" i="11"/>
  <c r="AH674" i="11" s="1"/>
  <c r="AQ674" i="11" s="1"/>
  <c r="AG1034" i="11"/>
  <c r="AH1034" i="11" s="1"/>
  <c r="AJ1034" i="11" s="1"/>
  <c r="AG1247" i="11"/>
  <c r="AH1247" i="11" s="1"/>
  <c r="AJ1247" i="11" s="1"/>
  <c r="AG825" i="11"/>
  <c r="AG446" i="11"/>
  <c r="AG205" i="11"/>
  <c r="AH205" i="11" s="1"/>
  <c r="AJ205" i="11" s="1"/>
  <c r="AG310" i="11"/>
  <c r="AG1352" i="11"/>
  <c r="AG1059" i="11"/>
  <c r="AG1320" i="11"/>
  <c r="AG887" i="11"/>
  <c r="AG1347" i="11"/>
  <c r="AG407" i="11"/>
  <c r="AH407" i="11" s="1"/>
  <c r="AJ407" i="11" s="1"/>
  <c r="AG274" i="11"/>
  <c r="AH274" i="11" s="1"/>
  <c r="AG323" i="11"/>
  <c r="AH323" i="11" s="1"/>
  <c r="AJ323" i="11" s="1"/>
  <c r="AG294" i="11"/>
  <c r="AG1547" i="11"/>
  <c r="AG1917" i="11"/>
  <c r="AH1917" i="11" s="1"/>
  <c r="AJ1917" i="11" s="1"/>
  <c r="AG832" i="11"/>
  <c r="AG969" i="11"/>
  <c r="AG813" i="11"/>
  <c r="AG282" i="11"/>
  <c r="AG1784" i="11"/>
  <c r="AG1914" i="11"/>
  <c r="AH1914" i="11" s="1"/>
  <c r="AJ1914" i="11" s="1"/>
  <c r="AG2013" i="11"/>
  <c r="AH2013" i="11" s="1"/>
  <c r="AJ2013" i="11" s="1"/>
  <c r="AG1880" i="11"/>
  <c r="AH1880" i="11" s="1"/>
  <c r="AJ1880" i="11" s="1"/>
  <c r="AG1010" i="11"/>
  <c r="AH1010" i="11" s="1"/>
  <c r="AJ1010" i="11" s="1"/>
  <c r="AG1864" i="11"/>
  <c r="AG818" i="11"/>
  <c r="AG933" i="11"/>
  <c r="AH933" i="11" s="1"/>
  <c r="AJ933" i="11" s="1"/>
  <c r="AG897" i="11"/>
  <c r="AG144" i="11"/>
  <c r="AG524" i="11"/>
  <c r="AG1740" i="11"/>
  <c r="AG1580" i="11"/>
  <c r="AG699" i="11"/>
  <c r="AG378" i="11"/>
  <c r="AH378" i="11" s="1"/>
  <c r="AJ378" i="11" s="1"/>
  <c r="AG845" i="11"/>
  <c r="AH845" i="11" s="1"/>
  <c r="AJ845" i="11" s="1"/>
  <c r="AG428" i="11"/>
  <c r="AH428" i="11" s="1"/>
  <c r="AJ428" i="11" s="1"/>
  <c r="AG1874" i="11"/>
  <c r="AG514" i="11"/>
  <c r="AG1131" i="11"/>
  <c r="AH1131" i="11" s="1"/>
  <c r="AG155" i="11"/>
  <c r="AG1790" i="11"/>
  <c r="AG622" i="11"/>
  <c r="AG1292" i="11"/>
  <c r="AG1176" i="11"/>
  <c r="AG122" i="11"/>
  <c r="AG152" i="11"/>
  <c r="AH152" i="11" s="1"/>
  <c r="AJ152" i="11" s="1"/>
  <c r="AG1279" i="11"/>
  <c r="AH1279" i="11" s="1"/>
  <c r="AJ1279" i="11" s="1"/>
  <c r="AG1560" i="11"/>
  <c r="AH1560" i="11" s="1"/>
  <c r="AJ1560" i="11" s="1"/>
  <c r="AG942" i="11"/>
  <c r="AG657" i="11"/>
  <c r="AG1998" i="11"/>
  <c r="AH1998" i="11" s="1"/>
  <c r="AJ1998" i="11" s="1"/>
  <c r="AG1321" i="11"/>
  <c r="AG1355" i="11"/>
  <c r="AG1962" i="11"/>
  <c r="AG479" i="11"/>
  <c r="AG1598" i="11"/>
  <c r="AG62" i="11"/>
  <c r="AG159" i="11"/>
  <c r="AH159" i="11" s="1"/>
  <c r="AJ159" i="11" s="1"/>
  <c r="AG349" i="11"/>
  <c r="AH349" i="11" s="1"/>
  <c r="AJ349" i="11" s="1"/>
  <c r="AG403" i="11"/>
  <c r="AH403" i="11" s="1"/>
  <c r="AJ403" i="11" s="1"/>
  <c r="AG140" i="11"/>
  <c r="AG1557" i="11"/>
  <c r="AG1805" i="11"/>
  <c r="AH1805" i="11" s="1"/>
  <c r="AJ1805" i="11" s="1"/>
  <c r="AG296" i="11"/>
  <c r="AG263" i="11"/>
  <c r="AG260" i="11"/>
  <c r="AG955" i="11"/>
  <c r="AH955" i="11" s="1"/>
  <c r="AJ955" i="11" s="1"/>
  <c r="AG552" i="11"/>
  <c r="AG367" i="11"/>
  <c r="AH367" i="11" s="1"/>
  <c r="AJ367" i="11" s="1"/>
  <c r="AG623" i="11"/>
  <c r="AH623" i="11" s="1"/>
  <c r="AJ623" i="11" s="1"/>
  <c r="AG1187" i="11"/>
  <c r="AG169" i="11"/>
  <c r="AH169" i="11" s="1"/>
  <c r="AJ169" i="11" s="1"/>
  <c r="AG400" i="11"/>
  <c r="AG164" i="11"/>
  <c r="AG1107" i="11"/>
  <c r="AH1107" i="11" s="1"/>
  <c r="AJ1107" i="11" s="1"/>
  <c r="J1108" i="14" s="1"/>
  <c r="AG1746" i="11"/>
  <c r="AG250" i="11"/>
  <c r="AG1127" i="11"/>
  <c r="AG1060" i="11"/>
  <c r="AH1060" i="11" s="1"/>
  <c r="AJ1060" i="11" s="1"/>
  <c r="AG1490" i="11"/>
  <c r="AG734" i="11"/>
  <c r="AH734" i="11" s="1"/>
  <c r="AJ734" i="11" s="1"/>
  <c r="AG1585" i="11"/>
  <c r="AH1585" i="11" s="1"/>
  <c r="AJ1585" i="11" s="1"/>
  <c r="AG176" i="11"/>
  <c r="AH176" i="11" s="1"/>
  <c r="AJ176" i="11" s="1"/>
  <c r="AG668" i="11"/>
  <c r="AH668" i="11" s="1"/>
  <c r="AJ668" i="11" s="1"/>
  <c r="AG1128" i="11"/>
  <c r="AG578" i="11"/>
  <c r="AG1835" i="11"/>
  <c r="AH1835" i="11" s="1"/>
  <c r="AG1496" i="11"/>
  <c r="AG1753" i="11"/>
  <c r="AG840" i="1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H967" i="11" s="1"/>
  <c r="AJ967" i="11" s="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H119" i="11" s="1"/>
  <c r="AJ119" i="11" s="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H180" i="11" s="1"/>
  <c r="AJ180" i="11" s="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H1064" i="11" s="1"/>
  <c r="AJ1064" i="11" s="1"/>
  <c r="AM1064" i="11" s="1"/>
  <c r="AL1064" i="11" s="1"/>
  <c r="AG581" i="11"/>
  <c r="AH581" i="11" s="1"/>
  <c r="AJ581" i="11" s="1"/>
  <c r="AG682" i="1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H1929" i="11" s="1"/>
  <c r="AJ1929" i="11" s="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H1372" i="11" s="1"/>
  <c r="AJ1372" i="11" s="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H229" i="11" s="1"/>
  <c r="AJ229" i="11" s="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H591" i="11" s="1"/>
  <c r="AJ591" i="11" s="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H304" i="11" s="1"/>
  <c r="AJ304" i="11" s="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H707" i="11" s="1"/>
  <c r="AJ707" i="11" s="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H185" i="11" s="1"/>
  <c r="AJ185" i="11" s="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H478" i="11" s="1"/>
  <c r="AJ478" i="11" s="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H116" i="11" s="1"/>
  <c r="AJ116" i="11" s="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H1067" i="11" s="1"/>
  <c r="AJ1067" i="11" s="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H505" i="11" s="1"/>
  <c r="AJ505" i="11" s="1"/>
  <c r="AG59" i="11"/>
  <c r="AH59" i="11" s="1"/>
  <c r="AJ59" i="11" s="1"/>
  <c r="AG1069" i="11"/>
  <c r="AH1069" i="11" s="1"/>
  <c r="AJ1069" i="11" s="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H1754" i="11" s="1"/>
  <c r="AJ1754" i="11" s="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H528" i="11" s="1"/>
  <c r="AJ528" i="11" s="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H473" i="11" s="1"/>
  <c r="AJ473" i="11" s="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H2006" i="11" s="1"/>
  <c r="AJ2006" i="11" s="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H78" i="11" s="1"/>
  <c r="AJ78" i="11" s="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H1593" i="11" s="1"/>
  <c r="AJ1593" i="11" s="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H510" i="11" s="1"/>
  <c r="AJ510" i="11" s="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H399" i="11" s="1"/>
  <c r="AJ399" i="11" s="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H295" i="11" s="1"/>
  <c r="AJ295" i="11" s="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87" i="11"/>
  <c r="AJ1187" i="11" s="1"/>
  <c r="AM1187" i="11" s="1"/>
  <c r="AL1187"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1765" i="11"/>
  <c r="AJ1765" i="11" s="1"/>
  <c r="AH1369" i="11"/>
  <c r="AJ1369" i="11" s="1"/>
  <c r="AH1844" i="11"/>
  <c r="AJ1844" i="11" s="1"/>
  <c r="AH713" i="11"/>
  <c r="AJ713" i="11" s="1"/>
  <c r="AH267" i="11"/>
  <c r="AJ267" i="11" s="1"/>
  <c r="AH830" i="11"/>
  <c r="AJ830" i="11" s="1"/>
  <c r="AH602" i="11"/>
  <c r="AJ602" i="11" s="1"/>
  <c r="AH458" i="11"/>
  <c r="AJ458" i="11" s="1"/>
  <c r="AH1054" i="11"/>
  <c r="AJ1054" i="11" s="1"/>
  <c r="AH825" i="11"/>
  <c r="AJ825" i="11" s="1"/>
  <c r="AH511" i="11"/>
  <c r="AJ511" i="11" s="1"/>
  <c r="AH234" i="11"/>
  <c r="AJ234" i="11" s="1"/>
  <c r="AH309" i="11"/>
  <c r="AJ309" i="11" s="1"/>
  <c r="AH310" i="11"/>
  <c r="AJ310" i="11" s="1"/>
  <c r="AH330" i="11"/>
  <c r="AJ330" i="11" s="1"/>
  <c r="AH657" i="11"/>
  <c r="AJ657"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32" i="11"/>
  <c r="AJ232" i="11" s="1"/>
  <c r="AH261" i="11"/>
  <c r="AJ261" i="11" s="1"/>
  <c r="AH784" i="11"/>
  <c r="AJ784" i="11" s="1"/>
  <c r="AH1046" i="11"/>
  <c r="AJ1046" i="11" s="1"/>
  <c r="AH1039" i="11"/>
  <c r="AJ1039" i="11" s="1"/>
  <c r="AH998" i="11"/>
  <c r="AJ998" i="11" s="1"/>
  <c r="AH383" i="11"/>
  <c r="AJ383" i="11" s="1"/>
  <c r="AH227" i="11"/>
  <c r="AJ227" i="11" s="1"/>
  <c r="AH1728" i="11"/>
  <c r="AJ1728" i="11" s="1"/>
  <c r="AH1340" i="11"/>
  <c r="AJ1340" i="11" s="1"/>
  <c r="AH792" i="11"/>
  <c r="AJ792"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699" i="11"/>
  <c r="AJ699" i="11" s="1"/>
  <c r="AH1104" i="11"/>
  <c r="AJ1104" i="11" s="1"/>
  <c r="AH339" i="11"/>
  <c r="AJ339" i="11" s="1"/>
  <c r="AH1943" i="11"/>
  <c r="AJ1943" i="11" s="1"/>
  <c r="AH132" i="11"/>
  <c r="AJ132" i="11" s="1"/>
  <c r="AH1790" i="11"/>
  <c r="AJ1790" i="11" s="1"/>
  <c r="AH430" i="11"/>
  <c r="AJ430" i="11" s="1"/>
  <c r="AH150" i="11"/>
  <c r="AJ150" i="11" s="1"/>
  <c r="AH1292" i="11"/>
  <c r="AJ1292" i="11" s="1"/>
  <c r="AH1326" i="11"/>
  <c r="AJ1326" i="11" s="1"/>
  <c r="AH122" i="11"/>
  <c r="AJ122" i="11" s="1"/>
  <c r="AH573" i="11"/>
  <c r="AJ573" i="11" s="1"/>
  <c r="AH1289" i="11"/>
  <c r="AJ1289" i="11" s="1"/>
  <c r="AH942" i="11"/>
  <c r="AJ942" i="11" s="1"/>
  <c r="AH549" i="11"/>
  <c r="AJ549" i="11" s="1"/>
  <c r="AH801" i="11"/>
  <c r="AJ801" i="11" s="1"/>
  <c r="AH369" i="11"/>
  <c r="AJ369" i="11" s="1"/>
  <c r="AH725" i="11"/>
  <c r="AJ725" i="11" s="1"/>
  <c r="AH887" i="11"/>
  <c r="AJ887" i="11" s="1"/>
  <c r="AH1146" i="11"/>
  <c r="AJ1146" i="11" s="1"/>
  <c r="AH630" i="11"/>
  <c r="AJ630" i="11" s="1"/>
  <c r="AH1849" i="11"/>
  <c r="AJ1849"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351" i="11"/>
  <c r="AJ351" i="11" s="1"/>
  <c r="AH1496" i="11"/>
  <c r="AJ1496" i="11" s="1"/>
  <c r="AH1461" i="11"/>
  <c r="AJ1461" i="11" s="1"/>
  <c r="AH1547" i="11"/>
  <c r="AJ1547" i="11" s="1"/>
  <c r="AH876" i="11"/>
  <c r="AJ876" i="11" s="1"/>
  <c r="AH303" i="11"/>
  <c r="AJ303" i="11" s="1"/>
  <c r="AH272" i="11"/>
  <c r="AJ272"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287" i="11"/>
  <c r="AJ287" i="11" s="1"/>
  <c r="AH904" i="11"/>
  <c r="AJ904" i="11" s="1"/>
  <c r="AH1485" i="11"/>
  <c r="AJ1485" i="11" s="1"/>
  <c r="AH1115" i="11"/>
  <c r="AJ1115" i="11" s="1"/>
  <c r="AH551" i="11"/>
  <c r="AJ551" i="11" s="1"/>
  <c r="AH709" i="11"/>
  <c r="AJ709" i="11" s="1"/>
  <c r="AH1913" i="11"/>
  <c r="AJ1913" i="11" s="1"/>
  <c r="AH1200" i="11"/>
  <c r="AJ1200" i="11" s="1"/>
  <c r="AH950" i="11"/>
  <c r="AJ950" i="11" s="1"/>
  <c r="AH191" i="11"/>
  <c r="AJ191" i="11" s="1"/>
  <c r="AH352" i="11"/>
  <c r="AJ352" i="11" s="1"/>
  <c r="AH508" i="11"/>
  <c r="AJ508" i="11" s="1"/>
  <c r="AH647" i="11"/>
  <c r="AJ647" i="11" s="1"/>
  <c r="AH1439" i="11"/>
  <c r="AJ1439" i="11" s="1"/>
  <c r="AH1025" i="11"/>
  <c r="AH1136" i="11"/>
  <c r="AJ1136" i="11" s="1"/>
  <c r="AH803" i="11"/>
  <c r="AJ803" i="11" s="1"/>
  <c r="AH1092" i="11"/>
  <c r="AJ1092" i="11" s="1"/>
  <c r="AH1746" i="11"/>
  <c r="AH564" i="11"/>
  <c r="AJ564" i="11" s="1"/>
  <c r="AH325" i="11"/>
  <c r="AJ325" i="11" s="1"/>
  <c r="AH1044" i="11"/>
  <c r="AJ1044" i="11" s="1"/>
  <c r="AH1250" i="11"/>
  <c r="AJ1250" i="11" s="1"/>
  <c r="AH572" i="11"/>
  <c r="AJ572" i="11" s="1"/>
  <c r="AH413" i="11"/>
  <c r="AJ413" i="11" s="1"/>
  <c r="AH615" i="11"/>
  <c r="AJ615" i="11" s="1"/>
  <c r="AH87" i="11"/>
  <c r="AJ87" i="11" s="1"/>
  <c r="AH62" i="11"/>
  <c r="AH682" i="11"/>
  <c r="AJ682" i="11" s="1"/>
  <c r="AH1872" i="11"/>
  <c r="AJ1872" i="11" s="1"/>
  <c r="AH318" i="11"/>
  <c r="AJ318" i="11" s="1"/>
  <c r="AH495" i="11"/>
  <c r="AJ495" i="11" s="1"/>
  <c r="AH54" i="11"/>
  <c r="AJ54" i="11" s="1"/>
  <c r="AH631" i="11"/>
  <c r="AJ63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749" i="11"/>
  <c r="AJ1749" i="11" s="1"/>
  <c r="AH1109" i="11"/>
  <c r="AJ1109" i="11" s="1"/>
  <c r="AH97" i="11"/>
  <c r="AJ97" i="11" s="1"/>
  <c r="AH361" i="11"/>
  <c r="AJ361" i="11" s="1"/>
  <c r="AH1240" i="11"/>
  <c r="AJ1240" i="11" s="1"/>
  <c r="AH1321" i="11"/>
  <c r="AJ1321" i="11" s="1"/>
  <c r="AH1209" i="11"/>
  <c r="AJ1209" i="11" s="1"/>
  <c r="AH833" i="11"/>
  <c r="AJ833" i="11" s="1"/>
  <c r="AH831" i="11"/>
  <c r="AJ831" i="11" s="1"/>
  <c r="AH1090" i="11"/>
  <c r="AJ1090" i="11" s="1"/>
  <c r="AH479" i="11"/>
  <c r="AJ479" i="11" s="1"/>
  <c r="AH293" i="11"/>
  <c r="AJ293" i="11" s="1"/>
  <c r="AH260" i="11"/>
  <c r="AJ260" i="11" s="1"/>
  <c r="AH1168" i="11"/>
  <c r="AJ1168" i="11" s="1"/>
  <c r="AH837" i="11"/>
  <c r="AH762" i="11"/>
  <c r="AJ762" i="11" s="1"/>
  <c r="AH327" i="11"/>
  <c r="AJ327" i="11" s="1"/>
  <c r="AH552" i="11"/>
  <c r="AJ552" i="11" s="1"/>
  <c r="AH563" i="11"/>
  <c r="AJ563" i="11" s="1"/>
  <c r="AH536" i="11"/>
  <c r="AJ536" i="11" s="1"/>
  <c r="AH494" i="11"/>
  <c r="AJ494" i="11" s="1"/>
  <c r="AH43" i="11"/>
  <c r="AJ43" i="11" s="1"/>
  <c r="AH301" i="11"/>
  <c r="AJ301" i="11" s="1"/>
  <c r="AH632" i="11"/>
  <c r="AJ632" i="11" s="1"/>
  <c r="AH395" i="11"/>
  <c r="AJ395" i="11" s="1"/>
  <c r="AH560" i="11"/>
  <c r="AJ560" i="11" s="1"/>
  <c r="AH1079" i="11"/>
  <c r="AJ1079" i="11" s="1"/>
  <c r="AH99" i="11"/>
  <c r="AJ99" i="11" s="1"/>
  <c r="AH398" i="11"/>
  <c r="AJ398" i="11" s="1"/>
  <c r="AH109" i="11"/>
  <c r="AJ109" i="11" s="1"/>
  <c r="AH956" i="11"/>
  <c r="AJ956" i="11" s="1"/>
  <c r="AH880" i="11"/>
  <c r="AJ880" i="11" s="1"/>
  <c r="AH1610" i="11"/>
  <c r="AJ1610" i="11" s="1"/>
  <c r="AH79" i="11"/>
  <c r="AJ79" i="11" s="1"/>
  <c r="AH373" i="11"/>
  <c r="AJ373" i="11" s="1"/>
  <c r="AH1591" i="11"/>
  <c r="AJ1591" i="11" s="1"/>
  <c r="AH538" i="11"/>
  <c r="AJ538"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416" i="11"/>
  <c r="AJ1416" i="11" s="1"/>
  <c r="AH357" i="11"/>
  <c r="AJ357" i="11" s="1"/>
  <c r="AH785" i="11"/>
  <c r="AJ785" i="11" s="1"/>
  <c r="AH1692" i="11"/>
  <c r="AJ1692"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1128" i="11"/>
  <c r="AJ1128" i="11" s="1"/>
  <c r="AH611" i="11"/>
  <c r="AJ611" i="11" s="1"/>
  <c r="AH625" i="11"/>
  <c r="AJ625" i="11" s="1"/>
  <c r="AH841" i="11"/>
  <c r="AJ841" i="11" s="1"/>
  <c r="AH554" i="11"/>
  <c r="AJ554" i="11" s="1"/>
  <c r="AH598" i="11"/>
  <c r="AJ598" i="11" s="1"/>
  <c r="AH65" i="11"/>
  <c r="AJ65" i="11" s="1"/>
  <c r="AH566" i="11"/>
  <c r="AJ566" i="11" s="1"/>
  <c r="AH368" i="11"/>
  <c r="AJ368" i="11" s="1"/>
  <c r="AH909" i="11"/>
  <c r="AJ909" i="11" s="1"/>
  <c r="AH553" i="11"/>
  <c r="AJ553" i="11" s="1"/>
  <c r="AH923" i="11"/>
  <c r="AJ923" i="11" s="1"/>
  <c r="AH409" i="11"/>
  <c r="AJ409" i="11" s="1"/>
  <c r="AH336" i="11"/>
  <c r="AJ336" i="11" s="1"/>
  <c r="AH1779" i="11"/>
  <c r="AJ1779" i="11" s="1"/>
  <c r="AH386" i="11"/>
  <c r="AJ386" i="11" s="1"/>
  <c r="AH1424" i="11"/>
  <c r="AJ1424" i="11" s="1"/>
  <c r="AH827" i="11"/>
  <c r="AJ827" i="11" s="1"/>
  <c r="AH1294" i="11"/>
  <c r="AJ1294" i="11" s="1"/>
  <c r="AH1327" i="11"/>
  <c r="AJ1327" i="11" s="1"/>
  <c r="AH875" i="11"/>
  <c r="AJ875" i="11" s="1"/>
  <c r="AH720" i="11"/>
  <c r="AJ720" i="11" s="1"/>
  <c r="AH242" i="11"/>
  <c r="AJ242" i="11" s="1"/>
  <c r="AH454" i="11"/>
  <c r="AJ454"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1930" i="11"/>
  <c r="AJ1930" i="11" s="1"/>
  <c r="AH574" i="11"/>
  <c r="AJ574" i="11" s="1"/>
  <c r="AH81" i="11"/>
  <c r="AJ81" i="11" s="1"/>
  <c r="AH1239" i="11"/>
  <c r="AJ1239" i="11" s="1"/>
  <c r="AH818" i="11"/>
  <c r="AQ818" i="11" s="1"/>
  <c r="AH1793" i="11"/>
  <c r="AJ1793" i="11" s="1"/>
  <c r="AH696" i="11"/>
  <c r="AJ696" i="11" s="1"/>
  <c r="AH897" i="11"/>
  <c r="AJ897" i="11" s="1"/>
  <c r="AH680" i="11"/>
  <c r="AJ680" i="11" s="1"/>
  <c r="AH524" i="11"/>
  <c r="AJ524" i="11" s="1"/>
  <c r="AH941" i="11"/>
  <c r="AJ941" i="11" s="1"/>
  <c r="AH161" i="11"/>
  <c r="AJ161" i="11" s="1"/>
  <c r="AH1580" i="11"/>
  <c r="AJ1580" i="11" s="1"/>
  <c r="AH678" i="11"/>
  <c r="AJ678" i="11" s="1"/>
  <c r="AH28" i="11"/>
  <c r="AJ28" i="11" s="1"/>
  <c r="AH612" i="11"/>
  <c r="AJ612" i="11" s="1"/>
  <c r="AH1210" i="11"/>
  <c r="AJ1210" i="11" s="1"/>
  <c r="AH195" i="11"/>
  <c r="AJ195" i="11" s="1"/>
  <c r="AH514" i="11"/>
  <c r="AJ514" i="11" s="1"/>
  <c r="AH865" i="11"/>
  <c r="AJ865" i="11" s="1"/>
  <c r="AH155" i="11"/>
  <c r="AJ155" i="11" s="1"/>
  <c r="AH622" i="11"/>
  <c r="AJ622" i="11" s="1"/>
  <c r="AH447" i="11"/>
  <c r="AJ447" i="11" s="1"/>
  <c r="AH1222" i="11"/>
  <c r="AQ1222" i="11" s="1"/>
  <c r="AH1176" i="11"/>
  <c r="AJ1176" i="11" s="1"/>
  <c r="AH269" i="11"/>
  <c r="AJ269" i="11" s="1"/>
  <c r="AH728" i="11"/>
  <c r="AJ728"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840" i="11"/>
  <c r="AJ840" i="11" s="1"/>
  <c r="AH394" i="11"/>
  <c r="AJ394"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37" i="11"/>
  <c r="AJ37"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305" i="11"/>
  <c r="AJ305" i="11" s="1"/>
  <c r="AH596" i="11"/>
  <c r="AJ596" i="11" s="1"/>
  <c r="AH1371" i="11"/>
  <c r="AJ1371" i="11" s="1"/>
  <c r="AH187" i="11"/>
  <c r="AJ187" i="11" s="1"/>
  <c r="AH1414" i="11"/>
  <c r="AJ1414" i="11" s="1"/>
  <c r="AH419" i="11"/>
  <c r="AQ419" i="11" s="1"/>
  <c r="AH1309" i="11"/>
  <c r="AJ1309" i="11" s="1"/>
  <c r="AH1352" i="11"/>
  <c r="AJ1352" i="11" s="1"/>
  <c r="AH133" i="11"/>
  <c r="AJ133" i="11" s="1"/>
  <c r="AH943" i="11"/>
  <c r="AJ943" i="11" s="1"/>
  <c r="AH500" i="11"/>
  <c r="AJ500" i="11" s="1"/>
  <c r="AH281" i="11"/>
  <c r="AJ281" i="11" s="1"/>
  <c r="AH1066" i="11"/>
  <c r="AJ1066" i="11" s="1"/>
  <c r="AH247" i="1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964" i="11"/>
  <c r="AJ964" i="11" s="1"/>
  <c r="AH219" i="11"/>
  <c r="AJ219" i="11" s="1"/>
  <c r="AH19" i="11"/>
  <c r="AJ19" i="11" s="1"/>
  <c r="AH1875" i="11"/>
  <c r="AJ1875" i="11" s="1"/>
  <c r="AH582" i="11"/>
  <c r="AJ582" i="11" s="1"/>
  <c r="AH258" i="11"/>
  <c r="AJ258" i="11" s="1"/>
  <c r="AH1577" i="11"/>
  <c r="AJ1577" i="11" s="1"/>
  <c r="AH1834" i="11"/>
  <c r="AJ1834" i="11" s="1"/>
  <c r="AH1260" i="11"/>
  <c r="AJ1260" i="11" s="1"/>
  <c r="AH182" i="11"/>
  <c r="AJ182" i="11" s="1"/>
  <c r="AH69" i="11"/>
  <c r="AJ69" i="11" s="1"/>
  <c r="AH1514" i="11"/>
  <c r="AH537" i="11"/>
  <c r="AJ537" i="11" s="1"/>
  <c r="AH1727" i="11"/>
  <c r="AJ1727" i="11" s="1"/>
  <c r="AH243" i="11"/>
  <c r="AJ243" i="11" s="1"/>
  <c r="AH70" i="11"/>
  <c r="AH211" i="11"/>
  <c r="AJ211" i="11" s="1"/>
  <c r="AH61" i="11"/>
  <c r="AJ61"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521" i="11"/>
  <c r="AJ521" i="11" s="1"/>
  <c r="AH91" i="11"/>
  <c r="AJ91" i="11" s="1"/>
  <c r="AH273" i="11"/>
  <c r="AJ273" i="11" s="1"/>
  <c r="AH871" i="11"/>
  <c r="AJ871" i="11" s="1"/>
  <c r="AH1413" i="11"/>
  <c r="AJ1413" i="11" s="1"/>
  <c r="AH1688" i="11"/>
  <c r="AJ1688" i="11" s="1"/>
  <c r="AH418" i="11"/>
  <c r="AJ418" i="11" s="1"/>
  <c r="AH525" i="11"/>
  <c r="AJ525" i="11" s="1"/>
  <c r="AH17" i="11"/>
  <c r="AH694" i="11"/>
  <c r="AJ694" i="11" s="1"/>
  <c r="AH151" i="11"/>
  <c r="AJ151" i="11" s="1"/>
  <c r="AH1932" i="11"/>
  <c r="AJ1932" i="11" s="1"/>
  <c r="AH358" i="11"/>
  <c r="AJ358" i="11" s="1"/>
  <c r="AH990" i="11"/>
  <c r="AJ990" i="11" s="1"/>
  <c r="AH1822" i="11"/>
  <c r="AJ1822" i="11" s="1"/>
  <c r="AH319" i="11"/>
  <c r="AJ319" i="11" s="1"/>
  <c r="AH599" i="11"/>
  <c r="AJ599" i="11" s="1"/>
  <c r="AH102" i="11"/>
  <c r="AJ102" i="11" s="1"/>
  <c r="AH384" i="11"/>
  <c r="AJ384" i="11" s="1"/>
  <c r="AH1484" i="11"/>
  <c r="AJ1484"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M702" i="11" s="1"/>
  <c r="AL702" i="11" s="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Q1837" i="11"/>
  <c r="AJ1837" i="11"/>
  <c r="AM1837" i="11" s="1"/>
  <c r="AL1837" i="11" s="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162" i="11"/>
  <c r="AL1162" i="11" s="1"/>
  <c r="AM1530" i="11"/>
  <c r="AL1530" i="11" s="1"/>
  <c r="AM714" i="11"/>
  <c r="AL714" i="11" s="1"/>
  <c r="AM1739" i="11"/>
  <c r="AL1739" i="11" s="1"/>
  <c r="AM1131" i="11"/>
  <c r="AL1131"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339"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<sst xmlns="http://schemas.openxmlformats.org/spreadsheetml/2006/main" count="2816" uniqueCount="479">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</sst>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8">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43" fontId="16" fillId="0" borderId="0" xfId="0" applyNumberFormat="1" applyFont="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9" t="s">
        <v>306</v>
      </c>
      <c r="R1" s="590"/>
      <c r="S1" s="590"/>
      <c r="T1" s="590"/>
      <c r="U1" s="590"/>
      <c r="V1" s="590"/>
      <c r="W1" s="590"/>
      <c r="X1" s="591"/>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4" t="s">
        <v>283</v>
      </c>
      <c r="S2" s="594"/>
      <c r="T2" s="595"/>
      <c r="U2" s="596" t="s">
        <v>284</v>
      </c>
      <c r="V2" s="594"/>
      <c r="W2" s="595"/>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0.5</v>
      </c>
      <c r="O3" s="109">
        <f>расчет!K5</f>
        <v>0</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5</v>
      </c>
      <c r="T4" s="315"/>
      <c r="U4" s="294"/>
      <c r="V4" s="294"/>
      <c r="W4" s="348">
        <f t="shared" ref="W4:W43" si="2">SUM(U4:V4)</f>
        <v>0</v>
      </c>
      <c r="X4" s="315">
        <f t="shared" ref="X4:X42" si="3">IF(W4&gt;0,S4-W4,0)</f>
        <v>0</v>
      </c>
    </row>
    <row r="5" spans="2:24" x14ac:dyDescent="0.2">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30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0.14288199404933222</v>
      </c>
      <c r="L7" s="108">
        <f>расчет!F9</f>
        <v>5</v>
      </c>
      <c r="M7" s="302" t="str">
        <f>расчет!G9</f>
        <v>Отгрузка клиенту</v>
      </c>
      <c r="N7" s="113">
        <f>расчет!J9</f>
        <v>0.5</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5.7679216686182091</v>
      </c>
      <c r="L8" s="110" t="str">
        <f>расчет!F10</f>
        <v>текст:</v>
      </c>
      <c r="M8" s="111" t="str">
        <f>расчет!G10</f>
        <v>частичная оплата: 50%-аванс в течении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5</v>
      </c>
      <c r="G12" s="178" t="s">
        <v>192</v>
      </c>
      <c r="H12" s="229">
        <f>VLOOKUP(G12,B:D,3,FALSE)</f>
        <v>6831.1</v>
      </c>
      <c r="I12" s="230">
        <f t="shared" ref="I12:I35" si="4">H12/H$12</f>
        <v>1</v>
      </c>
      <c r="J12" s="231">
        <f>расчет!AL13</f>
        <v>8197.31</v>
      </c>
      <c r="K12" s="232">
        <f>J12-H12</f>
        <v>1366.2099999999991</v>
      </c>
      <c r="L12" s="133" t="b">
        <f>J12/H12=1.2</f>
        <v>0</v>
      </c>
      <c r="M12" s="83" t="str">
        <f>'КП open book'!R16</f>
        <v>НДС 20% (EUR)</v>
      </c>
      <c r="N12" s="115" t="str">
        <f>'КП open book'!Q12</f>
        <v xml:space="preserve"> 000 EUR (в т.ч. НДС  000 EUR)</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1184.3260696771029</v>
      </c>
      <c r="I13" s="87">
        <f t="shared" si="4"/>
        <v>0.17337267346065829</v>
      </c>
      <c r="J13" s="88">
        <f>расчет!AZ13</f>
        <v>1383.3761575621031</v>
      </c>
      <c r="K13" s="88">
        <f>J13-H13</f>
        <v>199.05008788500027</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5646.7739303228973</v>
      </c>
      <c r="I14" s="218">
        <f t="shared" si="4"/>
        <v>0.82662732653934168</v>
      </c>
      <c r="J14" s="219"/>
      <c r="M14" s="83" t="str">
        <f>'КП open book'!O11</f>
        <v>Срок поставки:</v>
      </c>
      <c r="N14" s="592" t="str">
        <f>'КП open book'!Q11</f>
        <v>30 календарных дней с даты зачисления аванса</v>
      </c>
      <c r="O14" s="592"/>
      <c r="Q14" s="314">
        <f t="shared" si="0"/>
        <v>18</v>
      </c>
      <c r="R14" s="179" t="s">
        <v>208</v>
      </c>
      <c r="S14" s="335">
        <f t="shared" si="1"/>
        <v>1184.3260696771029</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1500</v>
      </c>
      <c r="I15" s="87">
        <f t="shared" si="4"/>
        <v>0.21958396158744564</v>
      </c>
      <c r="N15" s="592"/>
      <c r="O15" s="592"/>
      <c r="Q15" s="314">
        <f t="shared" si="0"/>
        <v>51</v>
      </c>
      <c r="R15" s="295" t="s">
        <v>209</v>
      </c>
      <c r="S15" s="337">
        <f t="shared" si="1"/>
        <v>1383.3761575621031</v>
      </c>
      <c r="T15" s="338">
        <f t="shared" ref="T15:T41" si="5">S15/S$14</f>
        <v>1.1680703422658505</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800</v>
      </c>
      <c r="I16" s="87">
        <f t="shared" si="4"/>
        <v>0.117111446179971</v>
      </c>
      <c r="M16" s="83" t="str">
        <f>'КП open book'!O9</f>
        <v>Условия оплаты:</v>
      </c>
      <c r="N16" s="593" t="str">
        <f>'КП open book'!Q9</f>
        <v>частичная оплата: 50%-аванс в течении  календарных дней с даты подписания спецификации</v>
      </c>
      <c r="O16" s="593"/>
      <c r="P16" s="84"/>
      <c r="Q16" s="314">
        <f t="shared" si="0"/>
        <v>52</v>
      </c>
      <c r="R16" s="297" t="s">
        <v>240</v>
      </c>
      <c r="S16" s="339">
        <f t="shared" si="1"/>
        <v>8.8201650916571452</v>
      </c>
      <c r="T16" s="340">
        <f t="shared" si="5"/>
        <v>7.4474127670447155E-3</v>
      </c>
      <c r="U16" s="298"/>
      <c r="V16" s="298">
        <f>S16</f>
        <v>8.8201650916571452</v>
      </c>
      <c r="W16" s="348">
        <f t="shared" si="2"/>
        <v>8.8201650916571452</v>
      </c>
      <c r="X16" s="315">
        <f t="shared" si="3"/>
        <v>0</v>
      </c>
    </row>
    <row r="17" spans="2:24" x14ac:dyDescent="0.2">
      <c r="B17" s="83" t="str">
        <v>Валюта закупки</v>
      </c>
      <c r="C17" s="84">
        <v>9</v>
      </c>
      <c r="D17" s="85">
        <v>0</v>
      </c>
      <c r="G17" s="214" t="str">
        <f>расчет!V4</f>
        <v>РФ (граница)  - "КУДА"</v>
      </c>
      <c r="H17" s="215">
        <f>расчет!W4</f>
        <v>500</v>
      </c>
      <c r="I17" s="87">
        <f t="shared" si="4"/>
        <v>7.3194653862481876E-2</v>
      </c>
      <c r="N17" s="593" t="str">
        <f>H9</f>
        <v>частичная оплата: 50%-аванс в течении  календарных дней с даты подписания спецификации</v>
      </c>
      <c r="O17" s="593"/>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1.4638930772496376E-2</v>
      </c>
      <c r="Q18" s="314">
        <f t="shared" si="0"/>
        <v>19</v>
      </c>
      <c r="R18" s="179" t="s">
        <v>127</v>
      </c>
      <c r="S18" s="335">
        <f t="shared" si="1"/>
        <v>2800.6000000000004</v>
      </c>
      <c r="T18" s="336">
        <f t="shared" si="5"/>
        <v>2.3647203854623937</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2.9277861544992751E-2</v>
      </c>
      <c r="Q19" s="314">
        <f t="shared" si="0"/>
        <v>20</v>
      </c>
      <c r="R19" s="179" t="s">
        <v>128</v>
      </c>
      <c r="S19" s="335">
        <f t="shared" si="1"/>
        <v>1500.0000000000005</v>
      </c>
      <c r="T19" s="336">
        <f t="shared" si="5"/>
        <v>1.2665430901212567</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4.3916792317489128E-2</v>
      </c>
      <c r="Q20" s="314">
        <f t="shared" si="0"/>
        <v>21</v>
      </c>
      <c r="R20" s="295" t="s">
        <v>129</v>
      </c>
      <c r="S20" s="337">
        <f t="shared" si="1"/>
        <v>4300.6000000000013</v>
      </c>
      <c r="T20" s="338">
        <f t="shared" si="5"/>
        <v>3.6312634755836508</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5.8555723089985502E-2</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7.3194653862481876E-2</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0.6</v>
      </c>
      <c r="I23" s="87">
        <f t="shared" si="4"/>
        <v>8.7833584634978257E-5</v>
      </c>
      <c r="Q23" s="314">
        <f t="shared" si="0"/>
        <v>24</v>
      </c>
      <c r="R23" s="295" t="s">
        <v>58</v>
      </c>
      <c r="S23" s="337">
        <f t="shared" si="1"/>
        <v>199.73999999999998</v>
      </c>
      <c r="T23" s="338">
        <f t="shared" si="5"/>
        <v>0.16865287788054645</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4300.6000000000013</v>
      </c>
      <c r="I24" s="87">
        <f t="shared" si="4"/>
        <v>0.62956185680197929</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199.73999999999998</v>
      </c>
      <c r="I25" s="87">
        <f t="shared" si="4"/>
        <v>2.9239800324984258E-2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1184.3260696771029</v>
      </c>
      <c r="G26" s="83" t="s">
        <v>59</v>
      </c>
      <c r="H26" s="85">
        <f>VLOOKUP(G26,B:D,3,FALSE)</f>
        <v>0</v>
      </c>
      <c r="I26" s="87">
        <f t="shared" si="4"/>
        <v>0</v>
      </c>
      <c r="Q26" s="314">
        <f t="shared" si="0"/>
        <v>27</v>
      </c>
      <c r="R26" s="179" t="s">
        <v>233</v>
      </c>
      <c r="S26" s="335">
        <f t="shared" si="1"/>
        <v>5693.48</v>
      </c>
      <c r="T26" s="336">
        <f t="shared" si="5"/>
        <v>4.8073585018290457</v>
      </c>
      <c r="U26" s="294"/>
      <c r="V26" s="294"/>
      <c r="W26" s="348">
        <f t="shared" si="2"/>
        <v>0</v>
      </c>
      <c r="X26" s="315">
        <f t="shared" si="3"/>
        <v>0</v>
      </c>
    </row>
    <row r="27" spans="2:24" x14ac:dyDescent="0.2">
      <c r="B27" s="83" t="str">
        <v>Логистика ЕС+ТР</v>
      </c>
      <c r="C27" s="84">
        <v>19</v>
      </c>
      <c r="D27" s="85">
        <v>2800.6000000000004</v>
      </c>
      <c r="G27" s="223" t="s">
        <v>236</v>
      </c>
      <c r="H27" s="224">
        <f>+SUM(H13,H24:H26)</f>
        <v>5684.6660696771041</v>
      </c>
      <c r="I27" s="225">
        <f t="shared" si="4"/>
        <v>0.83217433058762191</v>
      </c>
      <c r="Q27" s="314">
        <f t="shared" si="0"/>
        <v>28</v>
      </c>
      <c r="R27" s="179" t="s">
        <v>62</v>
      </c>
      <c r="S27" s="341">
        <f t="shared" si="1"/>
        <v>0.14999964872099314</v>
      </c>
      <c r="T27" s="336">
        <f t="shared" si="5"/>
        <v>1.2665401240545971E-4</v>
      </c>
      <c r="U27" s="294"/>
      <c r="V27" s="294"/>
      <c r="W27" s="348">
        <f t="shared" si="2"/>
        <v>0</v>
      </c>
      <c r="X27" s="315">
        <f t="shared" si="3"/>
        <v>0</v>
      </c>
    </row>
    <row r="28" spans="2:24" ht="13.5" thickBot="1" x14ac:dyDescent="0.25">
      <c r="B28" s="83" t="str">
        <v>Логистика РФ</v>
      </c>
      <c r="C28" s="84">
        <v>20</v>
      </c>
      <c r="D28" s="85">
        <v>1500.0000000000005</v>
      </c>
      <c r="G28" s="216" t="s">
        <v>220</v>
      </c>
      <c r="H28" s="217">
        <f>H14-SUM(H24,H25:H26)</f>
        <v>1146.4339303228962</v>
      </c>
      <c r="I28" s="218">
        <f t="shared" si="4"/>
        <v>0.16782566941237811</v>
      </c>
      <c r="J28" s="226">
        <f>H12-H27</f>
        <v>1146.4339303228962</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4300.6000000000013</v>
      </c>
      <c r="G29" s="83" t="s">
        <v>183</v>
      </c>
      <c r="H29" s="85">
        <f>VLOOKUP(G29,B:D,3,FALSE)</f>
        <v>84.632325056213162</v>
      </c>
      <c r="I29" s="87">
        <f t="shared" si="4"/>
        <v>1.2389267476133149E-2</v>
      </c>
      <c r="J29" s="580">
        <f>[1]расчет!AI11</f>
        <v>0.02</v>
      </c>
      <c r="K29" s="97"/>
      <c r="Q29" s="314">
        <f t="shared" si="0"/>
        <v>30</v>
      </c>
      <c r="R29" s="179" t="s">
        <v>235</v>
      </c>
      <c r="S29" s="335">
        <f t="shared" si="1"/>
        <v>6547.5</v>
      </c>
      <c r="T29" s="336">
        <f t="shared" si="5"/>
        <v>5.528460588379283</v>
      </c>
      <c r="U29" s="294"/>
      <c r="V29" s="294"/>
      <c r="W29" s="348">
        <f t="shared" si="2"/>
        <v>0</v>
      </c>
      <c r="X29" s="315">
        <f t="shared" si="3"/>
        <v>0</v>
      </c>
    </row>
    <row r="30" spans="2:24" x14ac:dyDescent="0.2">
      <c r="B30" s="83" t="str">
        <v>Код ТН ВЭД</v>
      </c>
      <c r="C30" s="84">
        <v>22</v>
      </c>
      <c r="D30" s="85">
        <v>0</v>
      </c>
      <c r="G30" s="83" t="s">
        <v>265</v>
      </c>
      <c r="H30" s="85">
        <f>VLOOKUP(G30,B:D,3,FALSE)</f>
        <v>198.96396975168639</v>
      </c>
      <c r="I30" s="87">
        <f t="shared" si="4"/>
        <v>2.9126197794160001E-2</v>
      </c>
      <c r="J30" s="580">
        <f>[1]расчет!AH11</f>
        <v>1.4999999999999999E-2</v>
      </c>
      <c r="K30" s="97"/>
      <c r="Q30" s="314">
        <f t="shared" si="0"/>
        <v>31</v>
      </c>
      <c r="R30" s="299" t="s">
        <v>232</v>
      </c>
      <c r="S30" s="342">
        <f t="shared" si="1"/>
        <v>854.0200000000001</v>
      </c>
      <c r="T30" s="343">
        <f t="shared" si="5"/>
        <v>0.72110208655023689</v>
      </c>
      <c r="U30" s="300"/>
      <c r="V30" s="300">
        <f>S30</f>
        <v>854.0200000000001</v>
      </c>
      <c r="W30" s="349">
        <f t="shared" si="2"/>
        <v>854.0200000000001</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199.73999999999998</v>
      </c>
      <c r="G32" s="83" t="s">
        <v>240</v>
      </c>
      <c r="H32" s="85">
        <f>VLOOKUP(G32,B:D,3,FALSE)</f>
        <v>8.8201650916571452</v>
      </c>
      <c r="I32" s="87">
        <f t="shared" si="4"/>
        <v>1.2911778617875811E-3</v>
      </c>
      <c r="Q32" s="314">
        <f t="shared" si="0"/>
        <v>33</v>
      </c>
      <c r="R32" s="297" t="s">
        <v>265</v>
      </c>
      <c r="S32" s="339">
        <f t="shared" si="1"/>
        <v>198.96396975168639</v>
      </c>
      <c r="T32" s="340">
        <f t="shared" si="5"/>
        <v>0.16799762738139534</v>
      </c>
      <c r="U32" s="298"/>
      <c r="V32" s="298">
        <f>S32</f>
        <v>198.96396975168639</v>
      </c>
      <c r="W32" s="348">
        <f t="shared" si="2"/>
        <v>198.96396975168639</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84.632325056213162</v>
      </c>
      <c r="T33" s="340">
        <f t="shared" si="5"/>
        <v>7.1460324333895223E-2</v>
      </c>
      <c r="U33" s="298"/>
      <c r="V33" s="298">
        <f>S33</f>
        <v>84.632325056213162</v>
      </c>
      <c r="W33" s="348">
        <f t="shared" si="2"/>
        <v>84.632325056213162</v>
      </c>
      <c r="X33" s="315">
        <f t="shared" si="3"/>
        <v>0</v>
      </c>
    </row>
    <row r="34" spans="2:24" x14ac:dyDescent="0.2">
      <c r="B34" s="83" t="str">
        <v>Себестоимость, шт. (без НДС)</v>
      </c>
      <c r="C34" s="84">
        <v>26</v>
      </c>
      <c r="D34" s="85">
        <v>0</v>
      </c>
      <c r="G34" s="220" t="s">
        <v>287</v>
      </c>
      <c r="H34" s="221">
        <f>SUM(H29:H33)</f>
        <v>292.41645989955668</v>
      </c>
      <c r="I34" s="222">
        <f t="shared" si="4"/>
        <v>4.2806643132080727E-2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5693.48</v>
      </c>
      <c r="G35" s="268" t="s">
        <v>221</v>
      </c>
      <c r="H35" s="269">
        <f>H28-H34</f>
        <v>854.01747042333955</v>
      </c>
      <c r="I35" s="270">
        <f t="shared" si="4"/>
        <v>0.1250190262802974</v>
      </c>
      <c r="J35" s="271">
        <f>VLOOKUP(L35,B:D,3,FALSE)</f>
        <v>854.0200000000001</v>
      </c>
      <c r="K35" s="351">
        <f>ROUND(J35,1)-ROUND(H35,1)</f>
        <v>0</v>
      </c>
      <c r="L35" s="83" t="str">
        <f>расчет!AF14</f>
        <v>Профит чистый (без НДС и фин. расходов и отката)</v>
      </c>
      <c r="Q35" s="314">
        <f t="shared" si="0"/>
        <v>36</v>
      </c>
      <c r="R35" s="179" t="s">
        <v>192</v>
      </c>
      <c r="S35" s="335">
        <f t="shared" si="1"/>
        <v>6831.1</v>
      </c>
      <c r="T35" s="336">
        <f t="shared" si="5"/>
        <v>5.7679216686182091</v>
      </c>
      <c r="U35" s="301">
        <f>'КП open book'!Q2017</f>
        <v>0</v>
      </c>
      <c r="V35" s="294"/>
      <c r="W35" s="348">
        <f t="shared" si="2"/>
        <v>0</v>
      </c>
      <c r="X35" s="315">
        <f t="shared" si="3"/>
        <v>0</v>
      </c>
    </row>
    <row r="36" spans="2:24" x14ac:dyDescent="0.2">
      <c r="B36" s="83" t="str">
        <v>Наценка Общая в %</v>
      </c>
      <c r="C36" s="84">
        <v>28</v>
      </c>
      <c r="D36" s="85">
        <v>0.14999964872099314</v>
      </c>
      <c r="Q36" s="314">
        <f t="shared" si="0"/>
        <v>37</v>
      </c>
      <c r="R36" s="179" t="s">
        <v>180</v>
      </c>
      <c r="S36" s="344">
        <f t="shared" si="1"/>
        <v>8197.31</v>
      </c>
      <c r="T36" s="336">
        <f t="shared" si="5"/>
        <v>6.9214975587212493</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6547.5</v>
      </c>
      <c r="G38" s="83" t="s">
        <v>68</v>
      </c>
      <c r="H38" s="85">
        <f>VLOOKUP(G38,B:D,3,FALSE)</f>
        <v>1225.1200000000001</v>
      </c>
      <c r="I38" s="90">
        <f>H38/J38-1</f>
        <v>3.4444847046235738E-2</v>
      </c>
      <c r="J38" s="88">
        <f>H13</f>
        <v>1184.3260696771029</v>
      </c>
      <c r="K38" s="88"/>
      <c r="Q38" s="314">
        <f t="shared" si="0"/>
        <v>39</v>
      </c>
      <c r="R38" s="179" t="s">
        <v>190</v>
      </c>
      <c r="S38" s="335">
        <f t="shared" si="1"/>
        <v>1366.2099999999998</v>
      </c>
      <c r="T38" s="336">
        <f t="shared" si="5"/>
        <v>1.1535758901030408</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854.0200000000001</v>
      </c>
      <c r="H39" s="85">
        <f>VLOOKUP(G39,B:D,3,FALSE)</f>
        <v>0</v>
      </c>
      <c r="I39" s="83" t="s">
        <v>226</v>
      </c>
      <c r="Q39" s="314">
        <f t="shared" si="0"/>
        <v>40</v>
      </c>
      <c r="R39" s="179" t="s">
        <v>89</v>
      </c>
      <c r="S39" s="335">
        <f t="shared" si="1"/>
        <v>845.0920000000001</v>
      </c>
      <c r="T39" s="336">
        <f t="shared" si="5"/>
        <v>0.71356362207783519</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1366.2099999999998</v>
      </c>
      <c r="I40" s="93">
        <f>H40-J40</f>
        <v>-1.0000000000445652E-2</v>
      </c>
      <c r="J40" s="93">
        <f>H12*0.2</f>
        <v>1366.2200000000003</v>
      </c>
      <c r="K40" s="93"/>
      <c r="Q40" s="314">
        <f t="shared" si="0"/>
        <v>41</v>
      </c>
      <c r="R40" s="179" t="s">
        <v>191</v>
      </c>
      <c r="S40" s="335">
        <f t="shared" si="1"/>
        <v>521.11799999999971</v>
      </c>
      <c r="T40" s="336">
        <f t="shared" si="5"/>
        <v>0.4400122680252056</v>
      </c>
      <c r="U40" s="294"/>
      <c r="V40" s="294"/>
      <c r="W40" s="348">
        <f t="shared" si="2"/>
        <v>0</v>
      </c>
      <c r="X40" s="315">
        <f t="shared" si="3"/>
        <v>0</v>
      </c>
    </row>
    <row r="41" spans="2:24" x14ac:dyDescent="0.2">
      <c r="B41" s="83" t="str">
        <v>Резерв на отриц. курсовую разницу (3% в договоре)</v>
      </c>
      <c r="C41" s="84">
        <v>33</v>
      </c>
      <c r="D41" s="85">
        <v>198.96396975168639</v>
      </c>
      <c r="G41" s="91" t="s">
        <v>89</v>
      </c>
      <c r="H41" s="92">
        <f>VLOOKUP(G41,B:D,3,FALSE)</f>
        <v>845.0920000000001</v>
      </c>
      <c r="I41" s="93">
        <f t="shared" ref="I41:I42" si="6">H41-J41</f>
        <v>560.12000000000012</v>
      </c>
      <c r="J41" s="93">
        <f>0.2*(H38+H25+H26)</f>
        <v>284.97200000000004</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84.632325056213162</v>
      </c>
      <c r="G42" s="91" t="s">
        <v>191</v>
      </c>
      <c r="H42" s="92">
        <f>VLOOKUP(G42,B:D,3,FALSE)</f>
        <v>521.11799999999971</v>
      </c>
      <c r="I42" s="93">
        <f t="shared" si="6"/>
        <v>-560.13000000000056</v>
      </c>
      <c r="J42" s="93">
        <f>J40-J41</f>
        <v>1081.2480000000003</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1146.4364598995569</v>
      </c>
      <c r="W43" s="180">
        <f t="shared" si="2"/>
        <v>1146.4364598995569</v>
      </c>
      <c r="X43" s="179"/>
    </row>
    <row r="44" spans="2:24" x14ac:dyDescent="0.2">
      <c r="B44" s="83" t="str">
        <v>Сумма продажи без НДС</v>
      </c>
      <c r="C44" s="84">
        <v>36</v>
      </c>
      <c r="D44" s="85">
        <v>6831.1</v>
      </c>
      <c r="Q44" s="181"/>
      <c r="R44" s="181"/>
      <c r="S44" s="181"/>
      <c r="T44" s="181"/>
      <c r="U44" s="179"/>
      <c r="V44" s="179"/>
      <c r="W44" s="179"/>
      <c r="X44" s="179"/>
    </row>
    <row r="45" spans="2:24" x14ac:dyDescent="0.2">
      <c r="B45" s="83" t="str">
        <v>Итого Сумма Продажи с НДС</v>
      </c>
      <c r="C45" s="84">
        <v>37</v>
      </c>
      <c r="D45" s="85">
        <v>8197.31</v>
      </c>
      <c r="Q45" s="181"/>
      <c r="R45" s="181" t="str">
        <f>расчет!B9</f>
        <v>срок поставки (дни)</v>
      </c>
      <c r="S45" s="234">
        <f>расчет!D9</f>
        <v>30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1366.2099999999998</v>
      </c>
      <c r="Q47" s="181"/>
      <c r="R47" s="181" t="s">
        <v>290</v>
      </c>
      <c r="S47" s="236">
        <f>расчет!J5</f>
        <v>0.5</v>
      </c>
      <c r="T47" s="179"/>
      <c r="U47" s="179"/>
      <c r="V47" s="179"/>
      <c r="W47" s="180"/>
      <c r="X47" s="179"/>
    </row>
    <row r="48" spans="2:24" x14ac:dyDescent="0.2">
      <c r="B48" s="83" t="str">
        <v>НДС (при импорте в РФ)</v>
      </c>
      <c r="C48" s="84">
        <v>40</v>
      </c>
      <c r="D48" s="85">
        <v>845.0920000000001</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521.11799999999971</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-1146.4364598995569</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1146.4364598995569</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854.0200000000001</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8.8201650916571452</v>
      </c>
      <c r="T55" s="324" t="e">
        <f t="shared" si="7"/>
        <v>#DIV/0!</v>
      </c>
      <c r="U55" s="179"/>
      <c r="V55" s="179"/>
      <c r="W55" s="179"/>
      <c r="X55" s="179"/>
    </row>
    <row r="56" spans="2:24" x14ac:dyDescent="0.2">
      <c r="B56" s="83" t="str">
        <v>Внутренняя наценка</v>
      </c>
      <c r="C56" s="84">
        <v>48</v>
      </c>
      <c r="D56" s="85">
        <v>3.4444847046235738E-2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198.96396975168639</v>
      </c>
      <c r="T57" s="324" t="e">
        <f t="shared" si="7"/>
        <v>#DIV/0!</v>
      </c>
      <c r="U57" s="180"/>
      <c r="V57" s="180"/>
      <c r="W57" s="179"/>
      <c r="X57" s="179"/>
    </row>
    <row r="58" spans="2:24" x14ac:dyDescent="0.2">
      <c r="B58" s="83" t="str">
        <v>Сумма валютной спецификации</v>
      </c>
      <c r="C58" s="84">
        <v>50</v>
      </c>
      <c r="D58" s="85">
        <v>1225.1200000000001</v>
      </c>
      <c r="Q58" s="181"/>
      <c r="R58" s="327" t="str">
        <f>R33</f>
        <v>Комиссия фин/агента (% затрат вне РФ)</v>
      </c>
      <c r="S58" s="328">
        <f>S33</f>
        <v>84.632325056213162</v>
      </c>
      <c r="T58" s="329" t="e">
        <f t="shared" si="7"/>
        <v>#DIV/0!</v>
      </c>
      <c r="U58" s="180"/>
      <c r="V58" s="180"/>
      <c r="W58" s="179"/>
      <c r="X58" s="179"/>
    </row>
    <row r="59" spans="2:24" x14ac:dyDescent="0.2">
      <c r="B59" s="83" t="str">
        <v>Сумма закупки в валюте КП с учетом НДС</v>
      </c>
      <c r="C59" s="84">
        <v>51</v>
      </c>
      <c r="D59" s="85">
        <v>1383.3761575621031</v>
      </c>
      <c r="Q59" s="181"/>
      <c r="R59" s="179"/>
      <c r="S59" s="180"/>
      <c r="T59" s="179"/>
      <c r="U59" s="180"/>
      <c r="V59" s="180"/>
      <c r="W59" s="179"/>
      <c r="X59" s="179"/>
    </row>
    <row r="60" spans="2:24" x14ac:dyDescent="0.2">
      <c r="B60" s="83" t="str">
        <v>Итого Стоимость финансирования</v>
      </c>
      <c r="C60" s="84">
        <v>52</v>
      </c>
      <c r="D60" s="85">
        <v>8.8201650916571452</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T13" sqref="T13"/>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8.7109375" style="152" customWidth="1"/>
    <col min="66" max="16384" width="8.7109375" style="152"/>
  </cols>
  <sheetData>
    <row r="1" spans="1:65" ht="15.6" customHeight="1" x14ac:dyDescent="0.2">
      <c r="B1" s="361" t="s">
        <v>217</v>
      </c>
      <c r="V1" s="198" t="s">
        <v>187</v>
      </c>
      <c r="W1" s="199">
        <f>+SUM(W2:W10)</f>
        <v>4300.6000000000004</v>
      </c>
      <c r="BF1" s="647" t="s">
        <v>275</v>
      </c>
      <c r="BG1" s="648"/>
      <c r="BH1" s="648"/>
      <c r="BI1" s="648"/>
      <c r="BJ1" s="649"/>
      <c r="BK1" s="639" t="s">
        <v>280</v>
      </c>
      <c r="BL1" s="640"/>
    </row>
    <row r="2" spans="1:65" ht="12" customHeight="1" x14ac:dyDescent="0.2">
      <c r="B2" s="362" t="s">
        <v>93</v>
      </c>
      <c r="E2" s="156"/>
      <c r="K2" s="152"/>
      <c r="L2" s="152"/>
      <c r="Q2" s="156"/>
      <c r="V2" s="200" t="s">
        <v>184</v>
      </c>
      <c r="W2" s="201">
        <v>1500</v>
      </c>
      <c r="X2" s="663" t="s">
        <v>272</v>
      </c>
      <c r="AF2" s="652" t="s">
        <v>152</v>
      </c>
      <c r="AG2" s="653"/>
      <c r="AH2" s="654"/>
      <c r="BF2" s="597" t="s">
        <v>271</v>
      </c>
      <c r="BG2" s="598"/>
      <c r="BH2" s="253">
        <f>(BJ2*(1+avg_cap)+BJ3)*(1+IF(seller_region="RU",rate_vatRu,0))</f>
        <v>8049.4871546627783</v>
      </c>
      <c r="BI2" s="363" t="s">
        <v>269</v>
      </c>
      <c r="BJ2" s="364">
        <f>+SUM(S13,V13:Z13)</f>
        <v>5684.6660696771041</v>
      </c>
      <c r="BK2" s="641"/>
      <c r="BL2" s="642"/>
    </row>
    <row r="3" spans="1:65" s="156" customFormat="1" ht="36" x14ac:dyDescent="0.2">
      <c r="A3" s="365"/>
      <c r="B3" s="272" t="s">
        <v>91</v>
      </c>
      <c r="C3" s="273" t="s">
        <v>92</v>
      </c>
      <c r="F3" s="655" t="s">
        <v>142</v>
      </c>
      <c r="G3" s="656"/>
      <c r="H3" s="656"/>
      <c r="I3" s="656"/>
      <c r="J3" s="656"/>
      <c r="K3" s="366"/>
      <c r="L3" s="366"/>
      <c r="M3" s="366"/>
      <c r="N3" s="366"/>
      <c r="O3" s="366"/>
      <c r="P3" s="152"/>
      <c r="V3" s="200" t="s">
        <v>210</v>
      </c>
      <c r="W3" s="201">
        <v>800</v>
      </c>
      <c r="X3" s="663"/>
      <c r="Z3" s="65"/>
      <c r="AB3" s="68"/>
      <c r="AC3" s="354"/>
      <c r="AD3" s="69"/>
      <c r="AF3" s="367"/>
      <c r="AG3" s="163" t="s">
        <v>153</v>
      </c>
      <c r="AH3" s="368" t="s">
        <v>154</v>
      </c>
      <c r="AR3" s="152"/>
      <c r="BF3" s="597" t="str">
        <f>"Ожидаемый аванс от Заказчика "&amp;TEXT(J5,"0%")</f>
        <v>Ожидаемый аванс от Заказчика 50%</v>
      </c>
      <c r="BG3" s="598"/>
      <c r="BH3" s="253" cm="1">
        <f t="array" ref="BH3">BH2*_xlfn.IFS($A$10="pmt_1",1,$A$10="pmt_2",0,$A$10="pmt_3",$J$5,$A$10="заполнить",0)</f>
        <v>4024.7435773313891</v>
      </c>
      <c r="BI3" s="369" t="s">
        <v>270</v>
      </c>
      <c r="BJ3" s="253">
        <f>BJ2*rate_forex_risk+IF(AG3="Фикс",AG4,BJ2*AG6)</f>
        <v>170.53998209031312</v>
      </c>
      <c r="BK3" s="370" t="s">
        <v>467</v>
      </c>
      <c r="BL3" s="371">
        <f>BH4-BH3</f>
        <v>1287.7441033819568</v>
      </c>
    </row>
    <row r="4" spans="1:65" ht="23.45" customHeight="1" x14ac:dyDescent="0.2">
      <c r="B4" s="155" t="s">
        <v>143</v>
      </c>
      <c r="F4" s="372" t="s">
        <v>100</v>
      </c>
      <c r="G4" s="664" t="s">
        <v>94</v>
      </c>
      <c r="H4" s="664"/>
      <c r="I4" s="664"/>
      <c r="J4" s="372" t="s">
        <v>95</v>
      </c>
      <c r="K4" s="372" t="s">
        <v>263</v>
      </c>
      <c r="L4" s="607" t="s">
        <v>122</v>
      </c>
      <c r="M4" s="608"/>
      <c r="N4" s="608"/>
      <c r="O4" s="609"/>
      <c r="Q4" s="156"/>
      <c r="V4" s="202" t="s">
        <v>213</v>
      </c>
      <c r="W4" s="201">
        <v>500</v>
      </c>
      <c r="X4" s="663"/>
      <c r="AF4" s="367" t="s">
        <v>153</v>
      </c>
      <c r="AG4" s="164"/>
      <c r="AH4" s="373" t="s">
        <v>155</v>
      </c>
      <c r="BF4" s="610" t="s">
        <v>466</v>
      </c>
      <c r="BG4" s="611"/>
      <c r="BH4" s="254">
        <f>SUM(AZ13,T13)*(1+rate_fin_comm)+SUM(Y13,Z13,AO13)</f>
        <v>5312.487680713346</v>
      </c>
      <c r="BI4" s="255">
        <f>IFERROR(BH3/BH4,"")</f>
        <v>0.75760054784559194</v>
      </c>
      <c r="BJ4" s="374" t="s">
        <v>211</v>
      </c>
      <c r="BK4" s="375" t="s">
        <v>268</v>
      </c>
      <c r="BL4" s="256">
        <f>BL3+BL3*rate_loan_interest_daily*offer_post_pmt_due</f>
        <v>1287.7441033819568</v>
      </c>
      <c r="BM4" s="588">
        <f>BL3*helpsheet!F11*offer_post_pmt_due</f>
        <v>0</v>
      </c>
    </row>
    <row r="5" spans="1:65" x14ac:dyDescent="0.2">
      <c r="A5" s="376" t="str">
        <f>_xlfn.XLOOKUP(seller_company,Table9[Column1],Table9[Страна],0,0)</f>
        <v>RU</v>
      </c>
      <c r="B5" s="643" t="s">
        <v>262</v>
      </c>
      <c r="C5" s="644"/>
      <c r="D5" s="250" t="s">
        <v>207</v>
      </c>
      <c r="F5" s="377">
        <v>1</v>
      </c>
      <c r="G5" s="645" t="s">
        <v>149</v>
      </c>
      <c r="H5" s="645"/>
      <c r="I5" s="645"/>
      <c r="J5" s="160">
        <v>0.5</v>
      </c>
      <c r="K5" s="352"/>
      <c r="L5" s="599" t="str">
        <f>"календарных дней с даты "&amp;IF(A10="pmt_2","подписания спецификации.","зачисления аванса")</f>
        <v>календарных дней с даты зачисления аванса</v>
      </c>
      <c r="M5" s="600"/>
      <c r="N5" s="600"/>
      <c r="O5" s="601"/>
      <c r="Q5" s="378"/>
      <c r="V5" s="200" t="s">
        <v>214</v>
      </c>
      <c r="W5" s="201">
        <v>100</v>
      </c>
      <c r="X5" s="663"/>
      <c r="AF5" s="367" t="s">
        <v>156</v>
      </c>
      <c r="AG5" s="379"/>
      <c r="AH5" s="373"/>
      <c r="BF5" s="602" t="str">
        <f>B11</f>
        <v>Размер аванса Поставщику</v>
      </c>
      <c r="BG5" s="603"/>
      <c r="BH5" s="257">
        <f>D11</f>
        <v>1</v>
      </c>
      <c r="BI5" s="380"/>
      <c r="BJ5" s="381"/>
      <c r="BK5" s="382" t="s">
        <v>279</v>
      </c>
      <c r="BL5" s="383">
        <f>BL4-BL3</f>
        <v>0</v>
      </c>
    </row>
    <row r="6" spans="1:65" x14ac:dyDescent="0.2">
      <c r="A6" s="384"/>
      <c r="B6" s="643" t="s">
        <v>18</v>
      </c>
      <c r="C6" s="644"/>
      <c r="D6" s="159" t="s">
        <v>1</v>
      </c>
      <c r="E6" s="385" t="s">
        <v>1</v>
      </c>
      <c r="F6" s="377">
        <v>2</v>
      </c>
      <c r="G6" s="646" t="s">
        <v>96</v>
      </c>
      <c r="H6" s="646"/>
      <c r="I6" s="646"/>
      <c r="J6" s="161"/>
      <c r="K6" s="352"/>
      <c r="L6" s="604" t="s">
        <v>218</v>
      </c>
      <c r="M6" s="605"/>
      <c r="N6" s="605"/>
      <c r="O6" s="606"/>
      <c r="Q6" s="378"/>
      <c r="V6" s="203" t="s">
        <v>215</v>
      </c>
      <c r="W6" s="201">
        <v>200</v>
      </c>
      <c r="X6" s="663"/>
      <c r="AF6" s="386" t="s">
        <v>157</v>
      </c>
      <c r="AG6" s="165"/>
      <c r="AH6" s="373" t="s">
        <v>158</v>
      </c>
      <c r="BF6" s="650" t="s">
        <v>276</v>
      </c>
      <c r="BG6" s="651"/>
      <c r="BH6" s="258">
        <f>AZ13*BH5*(1+rate_fin_comm)</f>
        <v>1411.0436807133451</v>
      </c>
      <c r="BI6" s="387" t="s">
        <v>268</v>
      </c>
      <c r="BJ6" s="388" t="s">
        <v>267</v>
      </c>
      <c r="BK6" s="389"/>
      <c r="BL6" s="390"/>
    </row>
    <row r="7" spans="1:65" x14ac:dyDescent="0.2">
      <c r="A7" s="384"/>
      <c r="B7" s="643" t="s">
        <v>17</v>
      </c>
      <c r="C7" s="644"/>
      <c r="D7" s="159" t="s">
        <v>30</v>
      </c>
      <c r="E7" s="376" t="s">
        <v>2</v>
      </c>
      <c r="F7" s="377">
        <v>3</v>
      </c>
      <c r="G7" s="645" t="s">
        <v>97</v>
      </c>
      <c r="H7" s="645"/>
      <c r="I7" s="645"/>
      <c r="J7" s="161"/>
      <c r="K7" s="352"/>
      <c r="L7" s="599"/>
      <c r="M7" s="600"/>
      <c r="N7" s="600"/>
      <c r="O7" s="601"/>
      <c r="V7" s="203" t="s">
        <v>251</v>
      </c>
      <c r="W7" s="201">
        <v>300</v>
      </c>
      <c r="X7" s="663"/>
      <c r="AF7" s="391" t="s">
        <v>159</v>
      </c>
      <c r="AG7" s="77">
        <f>AG6*AB13</f>
        <v>0</v>
      </c>
      <c r="AH7" s="392"/>
      <c r="BF7" s="612" t="s">
        <v>212</v>
      </c>
      <c r="BG7" s="613"/>
      <c r="BH7" s="259">
        <f>IF(BH3&gt;0,IF(BH3&gt;=BH6,0,BH6-BH3),BH6)</f>
        <v>0</v>
      </c>
      <c r="BI7" s="260">
        <f>BH7+BH7*rate_loan_interest_daily*offer_turnaround_time</f>
        <v>0</v>
      </c>
      <c r="BJ7" s="393">
        <f>BI7-BH7</f>
        <v>0</v>
      </c>
      <c r="BK7" s="389"/>
      <c r="BL7" s="390"/>
    </row>
    <row r="8" spans="1:65" ht="12" customHeight="1" x14ac:dyDescent="0.2">
      <c r="A8" s="384"/>
      <c r="B8" s="643" t="s">
        <v>144</v>
      </c>
      <c r="C8" s="644"/>
      <c r="D8" s="159" t="s">
        <v>75</v>
      </c>
      <c r="E8" s="376"/>
      <c r="F8" s="377">
        <v>4</v>
      </c>
      <c r="G8" s="645" t="s">
        <v>99</v>
      </c>
      <c r="H8" s="645"/>
      <c r="I8" s="645"/>
      <c r="J8" s="161"/>
      <c r="K8" s="352"/>
      <c r="L8" s="599"/>
      <c r="M8" s="600"/>
      <c r="N8" s="600"/>
      <c r="O8" s="601"/>
      <c r="V8" s="200" t="s">
        <v>185</v>
      </c>
      <c r="W8" s="201">
        <v>400</v>
      </c>
      <c r="X8" s="663"/>
      <c r="BF8" s="614" t="s">
        <v>465</v>
      </c>
      <c r="BG8" s="615"/>
      <c r="BH8" s="261">
        <f>BH4-BH6</f>
        <v>3901.4440000000009</v>
      </c>
      <c r="BI8" s="262"/>
      <c r="BJ8" s="394"/>
      <c r="BK8" s="390"/>
      <c r="BL8" s="390"/>
    </row>
    <row r="9" spans="1:65" x14ac:dyDescent="0.2">
      <c r="A9" s="384"/>
      <c r="B9" s="643" t="s">
        <v>264</v>
      </c>
      <c r="C9" s="644"/>
      <c r="D9" s="233">
        <v>30</v>
      </c>
      <c r="E9" s="376"/>
      <c r="F9" s="377">
        <v>5</v>
      </c>
      <c r="G9" s="645" t="s">
        <v>98</v>
      </c>
      <c r="H9" s="645"/>
      <c r="I9" s="645"/>
      <c r="J9" s="360">
        <f>1-SUM(J5:J8)</f>
        <v>0.5</v>
      </c>
      <c r="K9" s="352"/>
      <c r="L9" s="599" t="s">
        <v>150</v>
      </c>
      <c r="M9" s="600"/>
      <c r="N9" s="600"/>
      <c r="O9" s="601"/>
      <c r="V9" s="203" t="s">
        <v>186</v>
      </c>
      <c r="W9" s="201">
        <v>500</v>
      </c>
      <c r="X9" s="395" t="s">
        <v>273</v>
      </c>
      <c r="AH9" s="65"/>
      <c r="AK9" s="152"/>
      <c r="BF9" s="616" t="s">
        <v>239</v>
      </c>
      <c r="BG9" s="617"/>
      <c r="BH9" s="263" cm="1">
        <f t="array" ref="BH9">_xlfn.IFS(S13=0,0,$A$10="pmt_1",0,$A$10="pmt_2",0,$A$10="pmt_3",SUM(J6:J8))*BH2</f>
        <v>0</v>
      </c>
      <c r="BI9" s="262"/>
      <c r="BJ9" s="394"/>
      <c r="BK9" s="390"/>
      <c r="BL9" s="264"/>
    </row>
    <row r="10" spans="1:65" ht="12" customHeight="1" x14ac:dyDescent="0.2">
      <c r="A10" s="385" t="str">
        <f>_xlfn.IFNA(VLOOKUP(D10,terms[],2,FALSE),"заполнить")</f>
        <v>pmt_3</v>
      </c>
      <c r="B10" s="643" t="s">
        <v>134</v>
      </c>
      <c r="C10" s="644"/>
      <c r="D10" s="159" t="s">
        <v>133</v>
      </c>
      <c r="E10" s="185" t="str" cm="1">
        <f t="array" aca="1" ref="E10" ca="1">INDIRECT(A10)</f>
        <v>adv2ven_100</v>
      </c>
      <c r="F10" s="41" t="s">
        <v>193</v>
      </c>
      <c r="G10" s="630"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50%-аванс в течении  календарных дней с даты подписания спецификации</v>
      </c>
      <c r="H10" s="630"/>
      <c r="I10" s="630"/>
      <c r="J10" s="630"/>
      <c r="K10" s="630"/>
      <c r="L10" s="630"/>
      <c r="M10" s="630"/>
      <c r="N10" s="630"/>
      <c r="O10" s="630"/>
      <c r="P10" s="157"/>
      <c r="Q10" s="157"/>
      <c r="V10" s="581" t="s">
        <v>229</v>
      </c>
      <c r="W10" s="396">
        <f>ROUNDUP(internal_sales*rate_insurance,1)</f>
        <v>0.6</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2" t="s">
        <v>216</v>
      </c>
      <c r="BG10" s="613"/>
      <c r="BH10" s="265">
        <f>IF((BH9+IF(BH3&gt;BH6,BH3-BH6,0))&gt;BH8,0,BH8-(BH9+IF(BH3&gt;BH6,BH3-BH6,0)))</f>
        <v>1287.7441033819568</v>
      </c>
      <c r="BI10" s="260">
        <f>BH10+BH10*rate_loan_interest_daily*customs_logistics_pmt_due</f>
        <v>1296.564268473614</v>
      </c>
      <c r="BJ10" s="393">
        <f>BI10-BH10</f>
        <v>8.8201650916571452</v>
      </c>
      <c r="BK10" s="390"/>
      <c r="BL10" s="400"/>
    </row>
    <row r="11" spans="1:65" x14ac:dyDescent="0.2">
      <c r="A11" s="185" t="str">
        <f>"adv2ven_"&amp;advance_to_vendor*100</f>
        <v>adv2ven_100</v>
      </c>
      <c r="B11" s="643" t="s">
        <v>135</v>
      </c>
      <c r="C11" s="665"/>
      <c r="D11" s="274">
        <v>1</v>
      </c>
      <c r="E11" s="376"/>
      <c r="F11" s="157"/>
      <c r="G11" s="631"/>
      <c r="H11" s="631"/>
      <c r="I11" s="631"/>
      <c r="J11" s="632"/>
      <c r="K11" s="632"/>
      <c r="L11" s="632"/>
      <c r="M11" s="632"/>
      <c r="N11" s="632"/>
      <c r="O11" s="632"/>
      <c r="P11" s="157"/>
      <c r="Q11" s="157"/>
      <c r="V11" s="401">
        <f>+W2+W3+W5+W8+W10</f>
        <v>2800.6</v>
      </c>
      <c r="W11" s="199">
        <f>+W1-V11</f>
        <v>1500.0000000000005</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8.8201650916571452</v>
      </c>
      <c r="BK11" s="390"/>
      <c r="BL11" s="400"/>
    </row>
    <row r="12" spans="1:65" s="155" customFormat="1" ht="14.45" customHeight="1" x14ac:dyDescent="0.2">
      <c r="A12" s="406"/>
      <c r="D12" s="407"/>
      <c r="E12" s="408"/>
      <c r="F12" s="408"/>
      <c r="G12" s="408"/>
      <c r="H12" s="408"/>
      <c r="I12" s="409"/>
      <c r="J12" s="618" t="s">
        <v>151</v>
      </c>
      <c r="K12" s="619"/>
      <c r="L12" s="619"/>
      <c r="M12" s="619"/>
      <c r="N12" s="619"/>
      <c r="O12" s="619"/>
      <c r="P12" s="619"/>
      <c r="Q12" s="619"/>
      <c r="R12" s="619"/>
      <c r="S12" s="620"/>
      <c r="T12" s="621" t="s">
        <v>55</v>
      </c>
      <c r="U12" s="622"/>
      <c r="V12" s="623"/>
      <c r="W12" s="660" t="s">
        <v>148</v>
      </c>
      <c r="X12" s="661"/>
      <c r="Y12" s="661"/>
      <c r="Z12" s="662"/>
      <c r="AA12" s="157"/>
      <c r="AB12" s="157"/>
      <c r="AC12" s="410">
        <f>IFERROR(AVERAGEIF(AC16:AC2015,"&gt;"&amp;0),0)</f>
        <v>0.15</v>
      </c>
      <c r="AD12" s="624" t="s">
        <v>181</v>
      </c>
      <c r="AE12" s="625"/>
      <c r="AF12" s="626"/>
      <c r="AG12" s="627" t="s">
        <v>182</v>
      </c>
      <c r="AH12" s="628"/>
      <c r="AI12" s="629"/>
      <c r="AJ12" s="657" t="s">
        <v>146</v>
      </c>
      <c r="AK12" s="658"/>
      <c r="AL12" s="658"/>
      <c r="AM12" s="659"/>
      <c r="AN12" s="422">
        <f>rate_vatRu</f>
        <v>0.2</v>
      </c>
      <c r="AO12" s="422">
        <f>IF(offer_sale_type&lt;&gt;"экспорт",rate_vatRu,0)</f>
        <v>0.2</v>
      </c>
      <c r="AP12" s="152"/>
      <c r="AQ12" s="152"/>
      <c r="AR12" s="362"/>
      <c r="AS12" s="157"/>
      <c r="AV12" s="157"/>
      <c r="AW12" s="636" t="s">
        <v>145</v>
      </c>
      <c r="AX12" s="637"/>
      <c r="AY12" s="638"/>
      <c r="AZ12" s="633" t="s">
        <v>274</v>
      </c>
      <c r="BA12" s="634"/>
      <c r="BB12" s="635"/>
      <c r="BC12" s="411"/>
      <c r="BD12" s="411"/>
      <c r="BE12" s="157"/>
    </row>
    <row r="13" spans="1:65" s="70" customFormat="1" x14ac:dyDescent="0.2">
      <c r="D13" s="71" t="s">
        <v>147</v>
      </c>
      <c r="E13" s="72">
        <f>SUM(E16:E2015)</f>
        <v>5</v>
      </c>
      <c r="G13" s="152"/>
      <c r="H13" s="152"/>
      <c r="I13" s="127">
        <f>SUM(I16:I2015)</f>
        <v>0</v>
      </c>
      <c r="J13" s="190"/>
      <c r="K13" s="186"/>
      <c r="L13" s="194"/>
      <c r="M13" s="186"/>
      <c r="N13" s="186"/>
      <c r="O13" s="186"/>
      <c r="P13" s="186"/>
      <c r="Q13" s="186"/>
      <c r="R13" s="186"/>
      <c r="S13" s="187">
        <f>SUM(S16:S2015)</f>
        <v>1184.3260696771029</v>
      </c>
      <c r="T13" s="72">
        <f t="shared" ref="T13:AQ13" si="0">SUM(T16:T2015)</f>
        <v>2800.6000000000004</v>
      </c>
      <c r="U13" s="72">
        <f t="shared" si="0"/>
        <v>1500.0000000000005</v>
      </c>
      <c r="V13" s="120">
        <f t="shared" si="0"/>
        <v>4300.6000000000013</v>
      </c>
      <c r="W13" s="190"/>
      <c r="X13" s="186"/>
      <c r="Y13" s="73">
        <f t="shared" si="0"/>
        <v>199.73999999999998</v>
      </c>
      <c r="Z13" s="187">
        <f t="shared" si="0"/>
        <v>0</v>
      </c>
      <c r="AA13" s="190"/>
      <c r="AB13" s="72">
        <f t="shared" si="0"/>
        <v>5693.48</v>
      </c>
      <c r="AC13" s="355">
        <f>IFERROR(AE13/IF(offer_sale_type="поставка",AB13,S13)-1,0)</f>
        <v>0.14999964872099314</v>
      </c>
      <c r="AD13" s="412"/>
      <c r="AE13" s="72">
        <f t="shared" si="0"/>
        <v>6547.5</v>
      </c>
      <c r="AF13" s="120">
        <f t="shared" si="0"/>
        <v>854.0200000000001</v>
      </c>
      <c r="AG13" s="131">
        <f>SUM(AG16:AG2015)</f>
        <v>0</v>
      </c>
      <c r="AH13" s="72">
        <f>SUM(AH16:AH2015)</f>
        <v>198.96396975168639</v>
      </c>
      <c r="AI13" s="120">
        <f>SUM(AI16:AI2015)</f>
        <v>84.632325056213162</v>
      </c>
      <c r="AJ13" s="152"/>
      <c r="AK13" s="73">
        <f>SUM(AK16:AK2015)</f>
        <v>6831.1</v>
      </c>
      <c r="AL13" s="266">
        <f t="shared" si="0"/>
        <v>8197.31</v>
      </c>
      <c r="AM13" s="267"/>
      <c r="AN13" s="131">
        <f t="shared" si="0"/>
        <v>1366.2099999999998</v>
      </c>
      <c r="AO13" s="72">
        <f>SUM(AO16:AO2015)</f>
        <v>845.0920000000001</v>
      </c>
      <c r="AP13" s="120">
        <f>SUM(AP16:AP2015)</f>
        <v>521.11799999999971</v>
      </c>
      <c r="AQ13" s="120">
        <f t="shared" si="0"/>
        <v>0</v>
      </c>
      <c r="AR13" s="154"/>
      <c r="AS13" s="157"/>
      <c r="AU13" s="72">
        <f t="shared" ref="AU13" si="1">SUM(AU16:AU2015)</f>
        <v>0</v>
      </c>
      <c r="AV13" s="157"/>
      <c r="AW13" s="81">
        <f>IFERROR(AY13/S13-1,0)</f>
        <v>3.4444847046235738E-2</v>
      </c>
      <c r="AX13" s="152"/>
      <c r="AY13" s="72">
        <f t="shared" ref="AY13" si="2">SUM(AY16:AY2015)</f>
        <v>1225.1200000000001</v>
      </c>
      <c r="AZ13" s="131">
        <f>SUM(AZ16:AZ2015)</f>
        <v>1383.3761575621031</v>
      </c>
      <c r="BA13" s="72">
        <f>SUM(BA16:BA2015)</f>
        <v>8.8201650916571452</v>
      </c>
      <c r="BB13" s="120">
        <f>SUM(BB16:BB2015)</f>
        <v>0</v>
      </c>
      <c r="BC13" s="411"/>
      <c r="BD13" s="411"/>
      <c r="BE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5"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5" s="65" customFormat="1" x14ac:dyDescent="0.2">
      <c r="A16" s="43">
        <v>1</v>
      </c>
      <c r="B16" s="166" t="s">
        <v>469</v>
      </c>
      <c r="C16" s="166" t="s">
        <v>470</v>
      </c>
      <c r="D16" s="578" t="s">
        <v>471</v>
      </c>
      <c r="E16" s="162">
        <v>1</v>
      </c>
      <c r="F16" s="166" t="s">
        <v>463</v>
      </c>
      <c r="G16" s="162"/>
      <c r="H16" s="162"/>
      <c r="I16" s="189">
        <f>E16*G16</f>
        <v>0</v>
      </c>
      <c r="J16" s="195" t="s">
        <v>77</v>
      </c>
      <c r="K16" s="162">
        <v>1000</v>
      </c>
      <c r="L16" s="168" t="s">
        <v>20</v>
      </c>
      <c r="M16" s="75">
        <f>_xlfn.XLOOKUP(L16,list_vat[Страна],list_vat[Ставка НДС %],0,0)</f>
        <v>0.2</v>
      </c>
      <c r="N16" s="162">
        <f t="shared" ref="N16:N80" si="57">IFERROR(IF(L16="Китай",K16,K16/(1+M16)),0)</f>
        <v>833.33333333333337</v>
      </c>
      <c r="O16" s="169"/>
      <c r="P16" s="74">
        <f>N16*(1-O16)</f>
        <v>833.33333333333337</v>
      </c>
      <c r="Q16" s="162">
        <v>4.8899999999999997</v>
      </c>
      <c r="R16" s="162">
        <f>IF(ISBLANK(Q16),"введи курс",P16/Q16)</f>
        <v>170.41581458759376</v>
      </c>
      <c r="S16" s="196">
        <f>IF(AND(ISNUMBER(E16),ISNUMBER(Q16)),E16*R16,0)</f>
        <v>170.41581458759376</v>
      </c>
      <c r="T16" s="192">
        <f t="shared" ref="T16" si="58">$BC16*V$11</f>
        <v>402.98575076046245</v>
      </c>
      <c r="U16" s="76">
        <f t="shared" ref="U16" si="59">$BC16*W$11</f>
        <v>215.83897241330209</v>
      </c>
      <c r="V16" s="123">
        <f>+SUM(T16:U16)</f>
        <v>618.8247231737646</v>
      </c>
      <c r="W16" s="166">
        <v>8708913509</v>
      </c>
      <c r="X16" s="170">
        <v>0.05</v>
      </c>
      <c r="Y16" s="74">
        <f t="shared" ref="Y16:Y47" si="60">ROUND(IF(offer_incoterms="DDP",X16*(AY16+T16),0),2)</f>
        <v>28.84</v>
      </c>
      <c r="Z16" s="188"/>
      <c r="AA16" s="130">
        <f>IFERROR(AB16/E16,0)</f>
        <v>819.35</v>
      </c>
      <c r="AB16" s="74">
        <f>ROUND(SUM(S16,V16,Y16:Z16,BA16:BB16),2)</f>
        <v>819.35</v>
      </c>
      <c r="AC16" s="356">
        <v>0.15</v>
      </c>
      <c r="AD16" s="130" cm="1">
        <f t="array" ref="AD16">IFERROR(ROUND((_xlfn.IFS(offer_sale_type="поставка",AB16,offer_sale_type="транзит",S16)*(1+AC16))/E16,2),0)</f>
        <v>942.25</v>
      </c>
      <c r="AE16" s="74">
        <f t="shared" ref="AE16" si="61">AD16*E16</f>
        <v>942.25</v>
      </c>
      <c r="AF16" s="123" cm="1">
        <f t="array" ref="AF16">IFERROR(ROUND(_xlfn.IFS(offer_sale_type="поставка",AB16,offer_sale_type="транзит",S16)*AC16,2),0)</f>
        <v>122.9</v>
      </c>
      <c r="AG16" s="130">
        <f t="shared" ref="AG16:AG207" si="62">$BD16*VLOOKUP($AG$3,$AF$4:$AG$7,2,FALSE)</f>
        <v>0</v>
      </c>
      <c r="AH16" s="74">
        <f t="shared" ref="AH16:AH79" si="63">SUM(AE16,AG16,AI16)*rate_forex_risk</f>
        <v>28.634444824689403</v>
      </c>
      <c r="AI16" s="123">
        <f t="shared" ref="AI16:AI79" si="64">IF(OR(seller_region="TR",offer_sale_type="экспорт"),0,rate_fin_comm)*SUM(AZ16,AZ16*AW16,T16)</f>
        <v>12.231494156313543</v>
      </c>
      <c r="AJ16" s="118">
        <f>IFERROR(ROUND(SUM(AB16,AF16:AI16)/E16,2),0)</f>
        <v>983.12</v>
      </c>
      <c r="AK16" s="74">
        <f>AJ16*E16</f>
        <v>983.12</v>
      </c>
      <c r="AL16" s="174">
        <f>ROUND(IFERROR(AM16*E16,0),2)</f>
        <v>1179.74</v>
      </c>
      <c r="AM16" s="175">
        <f t="shared" ref="AM16:AM79" si="65">ROUND(AJ16*(1+IF(offer_incoterms="DDP",rate_vatRu,0)),2)</f>
        <v>1179.74</v>
      </c>
      <c r="AN16" s="130">
        <f>AL16-AK16</f>
        <v>196.62</v>
      </c>
      <c r="AO16" s="74">
        <f t="shared" ref="AO16:AO79" si="66">SUM(AY16,Y16:Z16,T16)*IF(AND(offer_incoterms="DDP",offer_sale_type&lt;&gt;"экспорт"),rate_vatRu,0)</f>
        <v>121.12915015209249</v>
      </c>
      <c r="AP16" s="123">
        <f t="shared" ref="AP16" si="67">AN16-AO16</f>
        <v>75.490849847907512</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173.82</v>
      </c>
      <c r="AY16" s="74">
        <f t="shared" ref="AY16" si="70">E16*AX16</f>
        <v>173.82</v>
      </c>
      <c r="AZ16" s="130">
        <f t="shared" ref="AZ16" si="71">S16*(1+M16)</f>
        <v>204.49897750511249</v>
      </c>
      <c r="BA16" s="74">
        <f t="shared" ref="BA16:BA79" si="72">cost_fin_total*$BD16</f>
        <v>1.2691569132659708</v>
      </c>
      <c r="BB16" s="193">
        <f t="shared" ref="BB16" si="73">credit_sales_interest*BD16</f>
        <v>0</v>
      </c>
      <c r="BC16" s="102">
        <f>IFERROR(IF($I$13&gt;0,$I16/$I$13,$S16/$S$13),0)</f>
        <v>0.14389264827553469</v>
      </c>
      <c r="BD16" s="102">
        <f>IFERROR($S16/$S$13,0)</f>
        <v>0.14389264827553469</v>
      </c>
      <c r="BE16" s="413" t="s">
        <v>69</v>
      </c>
    </row>
    <row r="17" spans="1:57" s="65" customFormat="1" x14ac:dyDescent="0.2">
      <c r="A17" s="43">
        <v>2</v>
      </c>
      <c r="B17" s="166" t="s">
        <v>469</v>
      </c>
      <c r="C17" s="166" t="s">
        <v>472</v>
      </c>
      <c r="D17" s="578" t="s">
        <v>473</v>
      </c>
      <c r="E17" s="162">
        <v>1</v>
      </c>
      <c r="F17" s="166"/>
      <c r="G17" s="162"/>
      <c r="H17" s="162"/>
      <c r="I17" s="189">
        <f t="shared" ref="I17:I80" si="74">E17*G17</f>
        <v>0</v>
      </c>
      <c r="J17" s="195" t="s">
        <v>74</v>
      </c>
      <c r="K17" s="162">
        <v>1000</v>
      </c>
      <c r="L17" s="168" t="s">
        <v>132</v>
      </c>
      <c r="M17" s="75">
        <f>_xlfn.XLOOKUP(L17,list_vat[Страна],list_vat[Ставка НДС %],0,0)</f>
        <v>0</v>
      </c>
      <c r="N17" s="162">
        <f t="shared" si="57"/>
        <v>1000</v>
      </c>
      <c r="O17" s="169"/>
      <c r="P17" s="74">
        <f>N17*(1-O17)</f>
        <v>1000</v>
      </c>
      <c r="Q17" s="162">
        <v>7.14</v>
      </c>
      <c r="R17" s="162">
        <f t="shared" ref="R17:R80" si="75">IF(ISBLANK(Q17),"введи курс",P17/Q17)</f>
        <v>140.0560224089636</v>
      </c>
      <c r="S17" s="196">
        <f t="shared" ref="S17:S80" si="76">IF(AND(ISNUMBER(E17),ISNUMBER(Q17)),E17*R17,0)</f>
        <v>140.0560224089636</v>
      </c>
      <c r="T17" s="192">
        <f t="shared" ref="T17:T80" si="77">$BC17*V$11</f>
        <v>331.19333129725402</v>
      </c>
      <c r="U17" s="76">
        <f t="shared" ref="U17:U80" si="78">$BC17*W$11</f>
        <v>177.38698741194071</v>
      </c>
      <c r="V17" s="123">
        <f t="shared" ref="V17:V80" si="79">+SUM(T17:U17)</f>
        <v>508.58031870919473</v>
      </c>
      <c r="W17" s="166">
        <v>8409990009</v>
      </c>
      <c r="X17" s="170">
        <v>0.05</v>
      </c>
      <c r="Y17" s="74">
        <f t="shared" si="60"/>
        <v>23.84</v>
      </c>
      <c r="Z17" s="188"/>
      <c r="AA17" s="130">
        <f t="shared" ref="AA17:AA80" si="80">IFERROR(AB17/E17,0)</f>
        <v>673.52</v>
      </c>
      <c r="AB17" s="74">
        <f t="shared" ref="AB17:AB80" si="81">ROUND(SUM(S17,V17,Y17:Z17,BA17:BB17),2)</f>
        <v>673.52</v>
      </c>
      <c r="AC17" s="356">
        <v>0.15</v>
      </c>
      <c r="AD17" s="130" cm="1">
        <f t="array" ref="AD17">IFERROR(ROUND((_xlfn.IFS(offer_sale_type="поставка",AB17,offer_sale_type="транзит",S17)*(1+AC17))/E17,2),0)</f>
        <v>774.55</v>
      </c>
      <c r="AE17" s="74">
        <f t="shared" ref="AE17:AE80" si="82">AD17*E17</f>
        <v>774.55</v>
      </c>
      <c r="AF17" s="123" cm="1">
        <f t="array" ref="AF17">IFERROR(ROUND(_xlfn.IFS(offer_sale_type="поставка",AB17,offer_sale_type="транзит",S17)*AC17,2),0)</f>
        <v>101.03</v>
      </c>
      <c r="AG17" s="130">
        <f t="shared" si="62"/>
        <v>0</v>
      </c>
      <c r="AH17" s="74">
        <f t="shared" si="63"/>
        <v>23.522610956761547</v>
      </c>
      <c r="AI17" s="123">
        <f t="shared" si="64"/>
        <v>9.5370318920515231</v>
      </c>
      <c r="AJ17" s="118">
        <f t="shared" ref="AJ17:AJ80" si="83">IFERROR(ROUND(SUM(AB17,AF17:AI17)/E17,2),0)</f>
        <v>807.61</v>
      </c>
      <c r="AK17" s="74">
        <f t="shared" ref="AK17:AK80" si="84">AJ17*E17</f>
        <v>807.61</v>
      </c>
      <c r="AL17" s="174">
        <f t="shared" ref="AL17:AL80" si="85">ROUND(IFERROR(AM17*E17,0),2)</f>
        <v>969.13</v>
      </c>
      <c r="AM17" s="175">
        <f t="shared" si="65"/>
        <v>969.13</v>
      </c>
      <c r="AN17" s="130">
        <f t="shared" ref="AN17:AN80" si="86">AL17-AK17</f>
        <v>161.51999999999998</v>
      </c>
      <c r="AO17" s="74">
        <f t="shared" si="66"/>
        <v>100.13866625945082</v>
      </c>
      <c r="AP17" s="123">
        <f t="shared" ref="AP17:AP80" si="87">AN17-AO17</f>
        <v>61.381333740549167</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0.04</v>
      </c>
      <c r="AX17" s="74">
        <f t="shared" ref="AX17:AX80" si="91">IFERROR(ROUND(S17*(1+AW17)/E17,2),0)</f>
        <v>145.66</v>
      </c>
      <c r="AY17" s="74">
        <f t="shared" ref="AY17:AY80" si="92">E17*AX17</f>
        <v>145.66</v>
      </c>
      <c r="AZ17" s="130">
        <f t="shared" ref="AZ17:AZ80" si="93">S17*(1+M17)</f>
        <v>140.0560224089636</v>
      </c>
      <c r="BA17" s="74">
        <f t="shared" si="72"/>
        <v>1.0430550093900164</v>
      </c>
      <c r="BB17" s="193">
        <f t="shared" ref="BB17:BB80" si="94">credit_sales_interest*BD17</f>
        <v>0</v>
      </c>
      <c r="BC17" s="102">
        <f t="shared" ref="BC17:BC80" si="95">IFERROR(IF($I$13&gt;0,$I17/$I$13,$S17/$S$13),0)</f>
        <v>0.11825799160796044</v>
      </c>
      <c r="BD17" s="102">
        <f t="shared" ref="BD17:BD80" si="96">IFERROR($S17/$S$13,0)</f>
        <v>0.11825799160796044</v>
      </c>
      <c r="BE17" s="413" t="s">
        <v>69</v>
      </c>
    </row>
    <row r="18" spans="1:57" s="65" customFormat="1" x14ac:dyDescent="0.2">
      <c r="A18" s="43">
        <v>3</v>
      </c>
      <c r="B18" s="166" t="s">
        <v>469</v>
      </c>
      <c r="C18" s="167" t="s">
        <v>474</v>
      </c>
      <c r="D18" s="578" t="s">
        <v>473</v>
      </c>
      <c r="E18" s="162">
        <v>1</v>
      </c>
      <c r="F18" s="166"/>
      <c r="G18" s="162"/>
      <c r="H18" s="162"/>
      <c r="I18" s="189">
        <f t="shared" si="74"/>
        <v>0</v>
      </c>
      <c r="J18" s="195" t="s">
        <v>75</v>
      </c>
      <c r="K18" s="162">
        <v>1000</v>
      </c>
      <c r="L18" s="168" t="s">
        <v>23</v>
      </c>
      <c r="M18" s="75">
        <f>_xlfn.XLOOKUP(L18,list_vat[Страна],list_vat[Ставка НДС %],0,0)</f>
        <v>0.2</v>
      </c>
      <c r="N18" s="162">
        <f t="shared" si="57"/>
        <v>833.33333333333337</v>
      </c>
      <c r="O18" s="169"/>
      <c r="P18" s="74">
        <f t="shared" ref="P18:P81" si="97">N18*(1-O18)</f>
        <v>833.33333333333337</v>
      </c>
      <c r="Q18" s="162">
        <v>1.1499999999999999</v>
      </c>
      <c r="R18" s="162">
        <f t="shared" si="75"/>
        <v>724.63768115942037</v>
      </c>
      <c r="S18" s="196">
        <f t="shared" si="76"/>
        <v>724.63768115942037</v>
      </c>
      <c r="T18" s="192">
        <f t="shared" si="77"/>
        <v>1713.5654967118794</v>
      </c>
      <c r="U18" s="76">
        <f t="shared" si="78"/>
        <v>917.78484791395408</v>
      </c>
      <c r="V18" s="123">
        <f t="shared" si="79"/>
        <v>2631.3503446258337</v>
      </c>
      <c r="W18" s="166">
        <v>8409990009</v>
      </c>
      <c r="X18" s="170">
        <v>0.05</v>
      </c>
      <c r="Y18" s="74">
        <f t="shared" si="60"/>
        <v>123.36</v>
      </c>
      <c r="Z18" s="188"/>
      <c r="AA18" s="130">
        <f t="shared" si="80"/>
        <v>3484.74</v>
      </c>
      <c r="AB18" s="74">
        <f t="shared" si="81"/>
        <v>3484.74</v>
      </c>
      <c r="AC18" s="356">
        <v>0.15</v>
      </c>
      <c r="AD18" s="130" cm="1">
        <f t="array" ref="AD18">IFERROR(ROUND((_xlfn.IFS(offer_sale_type="поставка",AB18,offer_sale_type="транзит",S18)*(1+AC18))/E18,2),0)</f>
        <v>4007.45</v>
      </c>
      <c r="AE18" s="74">
        <f t="shared" si="82"/>
        <v>4007.45</v>
      </c>
      <c r="AF18" s="123" cm="1">
        <f t="array" ref="AF18">IFERROR(ROUND(_xlfn.IFS(offer_sale_type="поставка",AB18,offer_sale_type="транзит",S18)*AC18,2),0)</f>
        <v>522.71</v>
      </c>
      <c r="AG18" s="130">
        <f t="shared" si="62"/>
        <v>0</v>
      </c>
      <c r="AH18" s="74">
        <f t="shared" si="63"/>
        <v>121.79424799367929</v>
      </c>
      <c r="AI18" s="123">
        <f t="shared" si="64"/>
        <v>52.358266455976718</v>
      </c>
      <c r="AJ18" s="118">
        <f t="shared" si="83"/>
        <v>4181.6000000000004</v>
      </c>
      <c r="AK18" s="74">
        <f t="shared" si="84"/>
        <v>4181.6000000000004</v>
      </c>
      <c r="AL18" s="174">
        <f t="shared" si="85"/>
        <v>5017.92</v>
      </c>
      <c r="AM18" s="175">
        <f t="shared" si="65"/>
        <v>5017.92</v>
      </c>
      <c r="AN18" s="130">
        <f t="shared" si="86"/>
        <v>836.31999999999971</v>
      </c>
      <c r="AO18" s="74">
        <f t="shared" si="66"/>
        <v>518.10909934237588</v>
      </c>
      <c r="AP18" s="123">
        <f t="shared" si="87"/>
        <v>318.21090065762382</v>
      </c>
      <c r="AQ18" s="118">
        <f t="shared" si="88"/>
        <v>0</v>
      </c>
      <c r="AR18" s="82" t="str">
        <f t="shared" si="89"/>
        <v>https://www.alta.ru/tnved/code/8409990009/</v>
      </c>
      <c r="AS18" s="579"/>
      <c r="AT18" s="162"/>
      <c r="AU18" s="74">
        <f t="shared" si="90"/>
        <v>0</v>
      </c>
      <c r="AV18" s="157"/>
      <c r="AW18" s="75">
        <f>_xlfn.IFNA(VLOOKUP(L18,list_vat[],3,FALSE),0)</f>
        <v>0.04</v>
      </c>
      <c r="AX18" s="74">
        <f t="shared" si="91"/>
        <v>753.62</v>
      </c>
      <c r="AY18" s="74">
        <f t="shared" si="92"/>
        <v>753.62</v>
      </c>
      <c r="AZ18" s="130">
        <f t="shared" si="93"/>
        <v>869.56521739130437</v>
      </c>
      <c r="BA18" s="74">
        <f t="shared" si="72"/>
        <v>5.396675918148345</v>
      </c>
      <c r="BB18" s="193">
        <f t="shared" si="94"/>
        <v>0</v>
      </c>
      <c r="BC18" s="102">
        <f t="shared" si="95"/>
        <v>0.61185656527596921</v>
      </c>
      <c r="BD18" s="102">
        <f t="shared" si="96"/>
        <v>0.61185656527596921</v>
      </c>
      <c r="BE18" s="413" t="s">
        <v>69</v>
      </c>
    </row>
    <row r="19" spans="1:57" s="65" customFormat="1" x14ac:dyDescent="0.2">
      <c r="A19" s="43">
        <v>4</v>
      </c>
      <c r="B19" s="166" t="s">
        <v>469</v>
      </c>
      <c r="C19" s="166" t="s">
        <v>475</v>
      </c>
      <c r="D19" s="578" t="s">
        <v>476</v>
      </c>
      <c r="E19" s="162">
        <v>1</v>
      </c>
      <c r="F19" s="166"/>
      <c r="G19" s="162"/>
      <c r="H19" s="162"/>
      <c r="I19" s="189">
        <f t="shared" si="74"/>
        <v>0</v>
      </c>
      <c r="J19" s="195" t="s">
        <v>78</v>
      </c>
      <c r="K19" s="162">
        <v>1000</v>
      </c>
      <c r="L19" s="168" t="s">
        <v>22</v>
      </c>
      <c r="M19" s="75">
        <f>_xlfn.XLOOKUP(L19,list_vat[Страна],list_vat[Ставка НДС %],0,0)</f>
        <v>0.13</v>
      </c>
      <c r="N19" s="162">
        <f t="shared" si="57"/>
        <v>1000</v>
      </c>
      <c r="O19" s="169"/>
      <c r="P19" s="74">
        <f t="shared" si="97"/>
        <v>1000</v>
      </c>
      <c r="Q19" s="162">
        <v>7.14</v>
      </c>
      <c r="R19" s="162">
        <f t="shared" si="75"/>
        <v>140.0560224089636</v>
      </c>
      <c r="S19" s="196">
        <f t="shared" si="76"/>
        <v>140.0560224089636</v>
      </c>
      <c r="T19" s="192">
        <f t="shared" si="77"/>
        <v>331.19333129725402</v>
      </c>
      <c r="U19" s="76">
        <f t="shared" si="78"/>
        <v>177.38698741194071</v>
      </c>
      <c r="V19" s="123">
        <f t="shared" si="79"/>
        <v>508.58031870919473</v>
      </c>
      <c r="W19" s="166">
        <v>8708913509</v>
      </c>
      <c r="X19" s="170">
        <v>0.05</v>
      </c>
      <c r="Y19" s="74">
        <f t="shared" si="60"/>
        <v>23.7</v>
      </c>
      <c r="Z19" s="188"/>
      <c r="AA19" s="130">
        <f t="shared" si="80"/>
        <v>673.38</v>
      </c>
      <c r="AB19" s="74">
        <f t="shared" si="81"/>
        <v>673.38</v>
      </c>
      <c r="AC19" s="356">
        <v>0.15</v>
      </c>
      <c r="AD19" s="130" cm="1">
        <f t="array" ref="AD19">IFERROR(ROUND((_xlfn.IFS(offer_sale_type="поставка",AB19,offer_sale_type="транзит",S19)*(1+AC19))/E19,2),0)</f>
        <v>774.39</v>
      </c>
      <c r="AE19" s="74">
        <f t="shared" si="82"/>
        <v>774.39</v>
      </c>
      <c r="AF19" s="123" cm="1">
        <f t="array" ref="AF19">IFERROR(ROUND(_xlfn.IFS(offer_sale_type="поставка",AB19,offer_sale_type="транзит",S19)*AC19,2),0)</f>
        <v>101.01</v>
      </c>
      <c r="AG19" s="130">
        <f t="shared" si="62"/>
        <v>0</v>
      </c>
      <c r="AH19" s="74">
        <f t="shared" si="63"/>
        <v>23.527273141635494</v>
      </c>
      <c r="AI19" s="123">
        <f t="shared" si="64"/>
        <v>9.852438054516508</v>
      </c>
      <c r="AJ19" s="118">
        <f t="shared" si="83"/>
        <v>807.77</v>
      </c>
      <c r="AK19" s="74">
        <f t="shared" si="84"/>
        <v>807.77</v>
      </c>
      <c r="AL19" s="174">
        <f t="shared" si="85"/>
        <v>969.32</v>
      </c>
      <c r="AM19" s="175">
        <f t="shared" si="65"/>
        <v>969.32</v>
      </c>
      <c r="AN19" s="130">
        <f t="shared" si="86"/>
        <v>161.55000000000007</v>
      </c>
      <c r="AO19" s="74">
        <f t="shared" si="66"/>
        <v>99.550666259450807</v>
      </c>
      <c r="AP19" s="123">
        <f t="shared" si="87"/>
        <v>61.999333740549261</v>
      </c>
      <c r="AQ19" s="118">
        <f t="shared" si="88"/>
        <v>0</v>
      </c>
      <c r="AR19" s="82" t="str">
        <f t="shared" si="89"/>
        <v>https://www.alta.ru/tnved/code/8708913509/</v>
      </c>
      <c r="AS19" s="579"/>
      <c r="AT19" s="162"/>
      <c r="AU19" s="74">
        <f t="shared" si="90"/>
        <v>0</v>
      </c>
      <c r="AV19" s="157"/>
      <c r="AW19" s="75">
        <f>_xlfn.IFNA(VLOOKUP(L19,list_vat[],3,FALSE),0)</f>
        <v>0.02</v>
      </c>
      <c r="AX19" s="74">
        <f t="shared" si="91"/>
        <v>142.86000000000001</v>
      </c>
      <c r="AY19" s="74">
        <f t="shared" si="92"/>
        <v>142.86000000000001</v>
      </c>
      <c r="AZ19" s="130">
        <f t="shared" si="93"/>
        <v>158.26330532212884</v>
      </c>
      <c r="BA19" s="74">
        <f t="shared" si="72"/>
        <v>1.0430550093900164</v>
      </c>
      <c r="BB19" s="193">
        <f t="shared" si="94"/>
        <v>0</v>
      </c>
      <c r="BC19" s="102">
        <f t="shared" si="95"/>
        <v>0.11825799160796044</v>
      </c>
      <c r="BD19" s="102">
        <f t="shared" si="96"/>
        <v>0.11825799160796044</v>
      </c>
      <c r="BE19" s="413" t="s">
        <v>69</v>
      </c>
    </row>
    <row r="20" spans="1:57" s="65" customFormat="1" x14ac:dyDescent="0.2">
      <c r="A20" s="43">
        <v>5</v>
      </c>
      <c r="B20" s="166" t="s">
        <v>469</v>
      </c>
      <c r="C20" s="166" t="s">
        <v>477</v>
      </c>
      <c r="D20" s="166" t="s">
        <v>478</v>
      </c>
      <c r="E20" s="162">
        <v>1</v>
      </c>
      <c r="F20" s="166"/>
      <c r="G20" s="162"/>
      <c r="H20" s="162"/>
      <c r="I20" s="189">
        <f t="shared" si="74"/>
        <v>0</v>
      </c>
      <c r="J20" s="195" t="s">
        <v>76</v>
      </c>
      <c r="K20" s="162">
        <v>1000</v>
      </c>
      <c r="L20" s="168" t="s">
        <v>21</v>
      </c>
      <c r="M20" s="75">
        <f>_xlfn.XLOOKUP(L20,list_vat[Страна],list_vat[Ставка НДС %],0,0)</f>
        <v>0.2</v>
      </c>
      <c r="N20" s="162">
        <f t="shared" si="57"/>
        <v>833.33333333333337</v>
      </c>
      <c r="O20" s="169"/>
      <c r="P20" s="74">
        <f t="shared" si="97"/>
        <v>833.33333333333337</v>
      </c>
      <c r="Q20" s="162">
        <v>90.97</v>
      </c>
      <c r="R20" s="162">
        <f t="shared" si="75"/>
        <v>9.1605291121615195</v>
      </c>
      <c r="S20" s="196">
        <f t="shared" si="76"/>
        <v>9.1605291121615195</v>
      </c>
      <c r="T20" s="192">
        <f t="shared" si="77"/>
        <v>21.662089933150064</v>
      </c>
      <c r="U20" s="76">
        <f t="shared" si="78"/>
        <v>11.602204848862783</v>
      </c>
      <c r="V20" s="123">
        <f t="shared" si="79"/>
        <v>33.264294782012847</v>
      </c>
      <c r="W20" s="166">
        <v>8414900000</v>
      </c>
      <c r="X20" s="170">
        <v>0</v>
      </c>
      <c r="Y20" s="74">
        <f t="shared" si="60"/>
        <v>0</v>
      </c>
      <c r="Z20" s="188"/>
      <c r="AA20" s="130">
        <f t="shared" si="80"/>
        <v>42.49</v>
      </c>
      <c r="AB20" s="74">
        <f t="shared" si="81"/>
        <v>42.49</v>
      </c>
      <c r="AC20" s="356">
        <v>0.15</v>
      </c>
      <c r="AD20" s="130" cm="1">
        <f t="array" ref="AD20">IFERROR(ROUND((_xlfn.IFS(offer_sale_type="поставка",AB20,offer_sale_type="транзит",S20)*(1+AC20))/E20,2),0)</f>
        <v>48.86</v>
      </c>
      <c r="AE20" s="74">
        <f t="shared" si="82"/>
        <v>48.86</v>
      </c>
      <c r="AF20" s="123" cm="1">
        <f t="array" ref="AF20">IFERROR(ROUND(_xlfn.IFS(offer_sale_type="поставка",AB20,offer_sale_type="транзит",S20)*AC20,2),0)</f>
        <v>6.37</v>
      </c>
      <c r="AG20" s="130">
        <f t="shared" si="62"/>
        <v>0</v>
      </c>
      <c r="AH20" s="74">
        <f t="shared" si="63"/>
        <v>1.4853928349206462</v>
      </c>
      <c r="AI20" s="123">
        <f t="shared" si="64"/>
        <v>0.65309449735487779</v>
      </c>
      <c r="AJ20" s="118">
        <f t="shared" si="83"/>
        <v>51</v>
      </c>
      <c r="AK20" s="74">
        <f t="shared" si="84"/>
        <v>51</v>
      </c>
      <c r="AL20" s="174">
        <f t="shared" si="85"/>
        <v>61.2</v>
      </c>
      <c r="AM20" s="175">
        <f t="shared" si="65"/>
        <v>61.2</v>
      </c>
      <c r="AN20" s="130">
        <f t="shared" si="86"/>
        <v>10.200000000000003</v>
      </c>
      <c r="AO20" s="74">
        <f t="shared" si="66"/>
        <v>6.1644179866300135</v>
      </c>
      <c r="AP20" s="123">
        <f t="shared" si="87"/>
        <v>4.0355820133699893</v>
      </c>
      <c r="AQ20" s="118">
        <f t="shared" si="88"/>
        <v>0</v>
      </c>
      <c r="AR20" s="82" t="str">
        <f t="shared" si="89"/>
        <v>https://www.alta.ru/tnved/code/8414900000/</v>
      </c>
      <c r="AS20" s="157"/>
      <c r="AT20" s="162"/>
      <c r="AU20" s="74">
        <f t="shared" si="90"/>
        <v>0</v>
      </c>
      <c r="AV20" s="157"/>
      <c r="AW20" s="75">
        <f>_xlfn.IFNA(VLOOKUP(L20,list_vat[],3,FALSE),0)</f>
        <v>0</v>
      </c>
      <c r="AX20" s="74">
        <f t="shared" si="91"/>
        <v>9.16</v>
      </c>
      <c r="AY20" s="74">
        <f t="shared" si="92"/>
        <v>9.16</v>
      </c>
      <c r="AZ20" s="130">
        <f t="shared" si="93"/>
        <v>10.992634934593823</v>
      </c>
      <c r="BA20" s="74">
        <f t="shared" si="72"/>
        <v>6.8222241462796498E-2</v>
      </c>
      <c r="BB20" s="193">
        <f t="shared" si="94"/>
        <v>0</v>
      </c>
      <c r="BC20" s="102">
        <f t="shared" si="95"/>
        <v>7.7348032325751858E-3</v>
      </c>
      <c r="BD20" s="102">
        <f t="shared" si="96"/>
        <v>7.7348032325751858E-3</v>
      </c>
      <c r="BE20" s="413" t="s">
        <v>69</v>
      </c>
    </row>
    <row r="21" spans="1:57" s="65" customFormat="1" ht="12" customHeight="1" x14ac:dyDescent="0.2">
      <c r="A21" s="43">
        <v>6</v>
      </c>
      <c r="B21" s="166"/>
      <c r="C21" s="166"/>
      <c r="D21" s="166"/>
      <c r="E21" s="162"/>
      <c r="F21" s="166"/>
      <c r="G21" s="162"/>
      <c r="H21" s="162"/>
      <c r="I21" s="189">
        <f t="shared" si="74"/>
        <v>0</v>
      </c>
      <c r="J21" s="195"/>
      <c r="K21" s="162"/>
      <c r="L21" s="168"/>
      <c r="M21" s="75">
        <f>_xlfn.XLOOKUP(L21,list_vat[Страна],list_vat[Ставка НДС %],0,0)</f>
        <v>0</v>
      </c>
      <c r="N21" s="162">
        <f t="shared" si="57"/>
        <v>0</v>
      </c>
      <c r="O21" s="169"/>
      <c r="P21" s="74">
        <f t="shared" si="97"/>
        <v>0</v>
      </c>
      <c r="Q21" s="162"/>
      <c r="R21" s="162" t="str">
        <f t="shared" si="75"/>
        <v>введи курс</v>
      </c>
      <c r="S21" s="196">
        <f t="shared" si="76"/>
        <v>0</v>
      </c>
      <c r="T21" s="192">
        <f t="shared" si="77"/>
        <v>0</v>
      </c>
      <c r="U21" s="76">
        <f t="shared" si="78"/>
        <v>0</v>
      </c>
      <c r="V21" s="123">
        <f t="shared" si="79"/>
        <v>0</v>
      </c>
      <c r="W21" s="166"/>
      <c r="X21" s="170"/>
      <c r="Y21" s="74">
        <f t="shared" si="60"/>
        <v>0</v>
      </c>
      <c r="Z21" s="188"/>
      <c r="AA21" s="130">
        <f t="shared" si="80"/>
        <v>0</v>
      </c>
      <c r="AB21" s="74">
        <f t="shared" si="81"/>
        <v>0</v>
      </c>
      <c r="AC21" s="356"/>
      <c r="AD21" s="130" cm="1">
        <f t="array" ref="AD21">IFERROR(ROUND((_xlfn.IFS(offer_sale_type="поставка",AB21,offer_sale_type="транзит",S21)*(1+AC21))/E21,2),0)</f>
        <v>0</v>
      </c>
      <c r="AE21" s="74">
        <f t="shared" si="82"/>
        <v>0</v>
      </c>
      <c r="AF21" s="123" cm="1">
        <f t="array" ref="AF21">IFERROR(ROUND(_xlfn.IFS(offer_sale_type="поставка",AB21,offer_sale_type="транзит",S21)*AC21,2),0)</f>
        <v>0</v>
      </c>
      <c r="AG21" s="130">
        <f t="shared" si="62"/>
        <v>0</v>
      </c>
      <c r="AH21" s="74">
        <f t="shared" si="63"/>
        <v>0</v>
      </c>
      <c r="AI21" s="123">
        <f t="shared" si="64"/>
        <v>0</v>
      </c>
      <c r="AJ21" s="118">
        <f t="shared" si="83"/>
        <v>0</v>
      </c>
      <c r="AK21" s="74">
        <f t="shared" si="84"/>
        <v>0</v>
      </c>
      <c r="AL21" s="174">
        <f t="shared" si="85"/>
        <v>0</v>
      </c>
      <c r="AM21" s="175">
        <f t="shared" si="65"/>
        <v>0</v>
      </c>
      <c r="AN21" s="130">
        <f t="shared" si="86"/>
        <v>0</v>
      </c>
      <c r="AO21" s="74">
        <f t="shared" si="66"/>
        <v>0</v>
      </c>
      <c r="AP21" s="123">
        <f t="shared" si="87"/>
        <v>0</v>
      </c>
      <c r="AQ21" s="118">
        <f t="shared" si="88"/>
        <v>0</v>
      </c>
      <c r="AR21" s="82" t="str">
        <f t="shared" si="89"/>
        <v>https://www.alta.ru/tnved/code//</v>
      </c>
      <c r="AS21" s="157"/>
      <c r="AT21" s="162"/>
      <c r="AU21" s="74">
        <f t="shared" si="90"/>
        <v>0</v>
      </c>
      <c r="AV21" s="157"/>
      <c r="AW21" s="75">
        <f>_xlfn.IFNA(VLOOKUP(L21,list_vat[],3,FALSE),0)</f>
        <v>0</v>
      </c>
      <c r="AX21" s="74">
        <f t="shared" si="91"/>
        <v>0</v>
      </c>
      <c r="AY21" s="74">
        <f t="shared" si="92"/>
        <v>0</v>
      </c>
      <c r="AZ21" s="130">
        <f t="shared" si="93"/>
        <v>0</v>
      </c>
      <c r="BA21" s="74">
        <f t="shared" si="72"/>
        <v>0</v>
      </c>
      <c r="BB21" s="193">
        <f t="shared" si="94"/>
        <v>0</v>
      </c>
      <c r="BC21" s="102">
        <f t="shared" si="95"/>
        <v>0</v>
      </c>
      <c r="BD21" s="102">
        <f t="shared" si="96"/>
        <v>0</v>
      </c>
      <c r="BE21" s="413" t="s">
        <v>69</v>
      </c>
    </row>
    <row r="22" spans="1:57" s="65" customFormat="1" ht="12" customHeight="1" x14ac:dyDescent="0.2">
      <c r="A22" s="43">
        <v>7</v>
      </c>
      <c r="B22" s="166"/>
      <c r="C22" s="166"/>
      <c r="D22" s="166"/>
      <c r="E22" s="162"/>
      <c r="F22" s="166"/>
      <c r="G22" s="162"/>
      <c r="H22" s="162"/>
      <c r="I22" s="189">
        <f t="shared" si="74"/>
        <v>0</v>
      </c>
      <c r="J22" s="195"/>
      <c r="K22" s="162"/>
      <c r="L22" s="168"/>
      <c r="M22" s="75">
        <f>_xlfn.XLOOKUP(L22,list_vat[Страна],list_vat[Ставка НДС %],0,0)</f>
        <v>0</v>
      </c>
      <c r="N22" s="162">
        <f t="shared" si="57"/>
        <v>0</v>
      </c>
      <c r="O22" s="169"/>
      <c r="P22" s="74">
        <f t="shared" si="97"/>
        <v>0</v>
      </c>
      <c r="Q22" s="162"/>
      <c r="R22" s="162" t="str">
        <f t="shared" si="75"/>
        <v>введи курс</v>
      </c>
      <c r="S22" s="196">
        <f t="shared" si="76"/>
        <v>0</v>
      </c>
      <c r="T22" s="192">
        <f t="shared" si="77"/>
        <v>0</v>
      </c>
      <c r="U22" s="76">
        <f t="shared" si="78"/>
        <v>0</v>
      </c>
      <c r="V22" s="123">
        <f t="shared" si="79"/>
        <v>0</v>
      </c>
      <c r="W22" s="166"/>
      <c r="X22" s="170"/>
      <c r="Y22" s="74">
        <f t="shared" si="60"/>
        <v>0</v>
      </c>
      <c r="Z22" s="188"/>
      <c r="AA22" s="130">
        <f t="shared" si="80"/>
        <v>0</v>
      </c>
      <c r="AB22" s="74">
        <f t="shared" si="81"/>
        <v>0</v>
      </c>
      <c r="AC22" s="356"/>
      <c r="AD22" s="130" cm="1">
        <f t="array" ref="AD22">IFERROR(ROUND((_xlfn.IFS(offer_sale_type="поставка",AB22,offer_sale_type="транзит",S22)*(1+AC22))/E22,2),0)</f>
        <v>0</v>
      </c>
      <c r="AE22" s="74">
        <f t="shared" si="82"/>
        <v>0</v>
      </c>
      <c r="AF22" s="123" cm="1">
        <f t="array" ref="AF22">IFERROR(ROUND(_xlfn.IFS(offer_sale_type="поставка",AB22,offer_sale_type="транзит",S22)*AC22,2),0)</f>
        <v>0</v>
      </c>
      <c r="AG22" s="130">
        <f t="shared" si="62"/>
        <v>0</v>
      </c>
      <c r="AH22" s="74">
        <f t="shared" si="63"/>
        <v>0</v>
      </c>
      <c r="AI22" s="123">
        <f t="shared" si="64"/>
        <v>0</v>
      </c>
      <c r="AJ22" s="118">
        <f t="shared" si="83"/>
        <v>0</v>
      </c>
      <c r="AK22" s="74">
        <f t="shared" si="84"/>
        <v>0</v>
      </c>
      <c r="AL22" s="174">
        <f t="shared" si="85"/>
        <v>0</v>
      </c>
      <c r="AM22" s="175">
        <f t="shared" si="65"/>
        <v>0</v>
      </c>
      <c r="AN22" s="130">
        <f t="shared" si="86"/>
        <v>0</v>
      </c>
      <c r="AO22" s="74">
        <f t="shared" si="66"/>
        <v>0</v>
      </c>
      <c r="AP22" s="123">
        <f t="shared" si="87"/>
        <v>0</v>
      </c>
      <c r="AQ22" s="118">
        <f t="shared" si="88"/>
        <v>0</v>
      </c>
      <c r="AR22" s="82" t="str">
        <f t="shared" si="89"/>
        <v>https://www.alta.ru/tnved/code//</v>
      </c>
      <c r="AS22" s="157"/>
      <c r="AT22" s="162"/>
      <c r="AU22" s="74">
        <f t="shared" si="90"/>
        <v>0</v>
      </c>
      <c r="AV22" s="157"/>
      <c r="AW22" s="75">
        <f>_xlfn.IFNA(VLOOKUP(L22,list_vat[],3,FALSE),0)</f>
        <v>0</v>
      </c>
      <c r="AX22" s="74">
        <f t="shared" si="91"/>
        <v>0</v>
      </c>
      <c r="AY22" s="74">
        <f t="shared" si="92"/>
        <v>0</v>
      </c>
      <c r="AZ22" s="130">
        <f t="shared" si="93"/>
        <v>0</v>
      </c>
      <c r="BA22" s="74">
        <f t="shared" si="72"/>
        <v>0</v>
      </c>
      <c r="BB22" s="193">
        <f t="shared" si="94"/>
        <v>0</v>
      </c>
      <c r="BC22" s="102">
        <f t="shared" si="95"/>
        <v>0</v>
      </c>
      <c r="BD22" s="102">
        <f t="shared" si="96"/>
        <v>0</v>
      </c>
      <c r="BE22" s="413" t="s">
        <v>69</v>
      </c>
    </row>
    <row r="23" spans="1:57" s="65" customFormat="1" ht="12" customHeight="1" x14ac:dyDescent="0.2">
      <c r="A23" s="43">
        <v>8</v>
      </c>
      <c r="B23" s="166"/>
      <c r="C23" s="166"/>
      <c r="D23" s="166"/>
      <c r="E23" s="162"/>
      <c r="F23" s="166"/>
      <c r="G23" s="162"/>
      <c r="H23" s="162"/>
      <c r="I23" s="189">
        <f t="shared" si="74"/>
        <v>0</v>
      </c>
      <c r="J23" s="195"/>
      <c r="K23" s="162"/>
      <c r="L23" s="168"/>
      <c r="M23" s="75">
        <f>_xlfn.XLOOKUP(L23,list_vat[Страна],list_vat[Ставка НДС %],0,0)</f>
        <v>0</v>
      </c>
      <c r="N23" s="162">
        <f t="shared" si="57"/>
        <v>0</v>
      </c>
      <c r="O23" s="169"/>
      <c r="P23" s="74">
        <f t="shared" si="97"/>
        <v>0</v>
      </c>
      <c r="Q23" s="162"/>
      <c r="R23" s="162" t="str">
        <f t="shared" si="75"/>
        <v>введи курс</v>
      </c>
      <c r="S23" s="196">
        <f t="shared" si="76"/>
        <v>0</v>
      </c>
      <c r="T23" s="192">
        <f t="shared" si="77"/>
        <v>0</v>
      </c>
      <c r="U23" s="76">
        <f t="shared" si="78"/>
        <v>0</v>
      </c>
      <c r="V23" s="123">
        <f t="shared" si="79"/>
        <v>0</v>
      </c>
      <c r="W23" s="166"/>
      <c r="X23" s="170"/>
      <c r="Y23" s="74">
        <f t="shared" si="60"/>
        <v>0</v>
      </c>
      <c r="Z23" s="188"/>
      <c r="AA23" s="130">
        <f t="shared" si="80"/>
        <v>0</v>
      </c>
      <c r="AB23" s="74">
        <f t="shared" si="81"/>
        <v>0</v>
      </c>
      <c r="AC23" s="356"/>
      <c r="AD23" s="130" cm="1">
        <f t="array" ref="AD23">IFERROR(ROUND((_xlfn.IFS(offer_sale_type="поставка",AB23,offer_sale_type="транзит",S23)*(1+AC23))/E23,2),0)</f>
        <v>0</v>
      </c>
      <c r="AE23" s="74">
        <f t="shared" si="82"/>
        <v>0</v>
      </c>
      <c r="AF23" s="123" cm="1">
        <f t="array" ref="AF23">IFERROR(ROUND(_xlfn.IFS(offer_sale_type="поставка",AB23,offer_sale_type="транзит",S23)*AC23,2),0)</f>
        <v>0</v>
      </c>
      <c r="AG23" s="130">
        <f t="shared" si="62"/>
        <v>0</v>
      </c>
      <c r="AH23" s="74">
        <f t="shared" si="63"/>
        <v>0</v>
      </c>
      <c r="AI23" s="123">
        <f t="shared" si="64"/>
        <v>0</v>
      </c>
      <c r="AJ23" s="118">
        <f t="shared" si="83"/>
        <v>0</v>
      </c>
      <c r="AK23" s="74">
        <f t="shared" si="84"/>
        <v>0</v>
      </c>
      <c r="AL23" s="174">
        <f t="shared" si="85"/>
        <v>0</v>
      </c>
      <c r="AM23" s="175">
        <f t="shared" si="65"/>
        <v>0</v>
      </c>
      <c r="AN23" s="130">
        <f t="shared" si="86"/>
        <v>0</v>
      </c>
      <c r="AO23" s="74">
        <f t="shared" si="66"/>
        <v>0</v>
      </c>
      <c r="AP23" s="123">
        <f t="shared" si="87"/>
        <v>0</v>
      </c>
      <c r="AQ23" s="118">
        <f t="shared" si="88"/>
        <v>0</v>
      </c>
      <c r="AR23" s="82" t="str">
        <f t="shared" si="89"/>
        <v>https://www.alta.ru/tnved/code//</v>
      </c>
      <c r="AS23" s="157"/>
      <c r="AT23" s="162"/>
      <c r="AU23" s="74">
        <f t="shared" si="90"/>
        <v>0</v>
      </c>
      <c r="AV23" s="157"/>
      <c r="AW23" s="75">
        <f>_xlfn.IFNA(VLOOKUP(L23,list_vat[],3,FALSE),0)</f>
        <v>0</v>
      </c>
      <c r="AX23" s="74">
        <f t="shared" si="91"/>
        <v>0</v>
      </c>
      <c r="AY23" s="74">
        <f t="shared" si="92"/>
        <v>0</v>
      </c>
      <c r="AZ23" s="130">
        <f t="shared" si="93"/>
        <v>0</v>
      </c>
      <c r="BA23" s="74">
        <f t="shared" si="72"/>
        <v>0</v>
      </c>
      <c r="BB23" s="193">
        <f t="shared" si="94"/>
        <v>0</v>
      </c>
      <c r="BC23" s="102">
        <f t="shared" si="95"/>
        <v>0</v>
      </c>
      <c r="BD23" s="102">
        <f t="shared" si="96"/>
        <v>0</v>
      </c>
      <c r="BE23" s="413" t="s">
        <v>69</v>
      </c>
    </row>
    <row r="24" spans="1:57" s="65" customFormat="1" ht="12" customHeight="1" x14ac:dyDescent="0.2">
      <c r="A24" s="43">
        <v>9</v>
      </c>
      <c r="B24" s="166"/>
      <c r="C24" s="166"/>
      <c r="D24" s="166"/>
      <c r="E24" s="162"/>
      <c r="F24" s="166"/>
      <c r="G24" s="162"/>
      <c r="H24" s="162"/>
      <c r="I24" s="189">
        <f t="shared" si="74"/>
        <v>0</v>
      </c>
      <c r="J24" s="195"/>
      <c r="K24" s="162"/>
      <c r="L24" s="168"/>
      <c r="M24" s="75">
        <f>_xlfn.XLOOKUP(L24,list_vat[Страна],list_vat[Ставка НДС %],0,0)</f>
        <v>0</v>
      </c>
      <c r="N24" s="162">
        <f t="shared" si="57"/>
        <v>0</v>
      </c>
      <c r="O24" s="169"/>
      <c r="P24" s="74">
        <f t="shared" si="97"/>
        <v>0</v>
      </c>
      <c r="Q24" s="162"/>
      <c r="R24" s="162" t="str">
        <f t="shared" si="75"/>
        <v>введи курс</v>
      </c>
      <c r="S24" s="196">
        <f t="shared" si="76"/>
        <v>0</v>
      </c>
      <c r="T24" s="192">
        <f t="shared" si="77"/>
        <v>0</v>
      </c>
      <c r="U24" s="76">
        <f t="shared" si="78"/>
        <v>0</v>
      </c>
      <c r="V24" s="123">
        <f t="shared" si="79"/>
        <v>0</v>
      </c>
      <c r="W24" s="191"/>
      <c r="X24" s="170"/>
      <c r="Y24" s="74">
        <f t="shared" si="60"/>
        <v>0</v>
      </c>
      <c r="Z24" s="188"/>
      <c r="AA24" s="130">
        <f t="shared" si="80"/>
        <v>0</v>
      </c>
      <c r="AB24" s="74">
        <f t="shared" si="81"/>
        <v>0</v>
      </c>
      <c r="AC24" s="356"/>
      <c r="AD24" s="130" cm="1">
        <f t="array" ref="AD24">IFERROR(ROUND((_xlfn.IFS(offer_sale_type="поставка",AB24,offer_sale_type="транзит",S24)*(1+AC24))/E24,2),0)</f>
        <v>0</v>
      </c>
      <c r="AE24" s="74">
        <f t="shared" si="82"/>
        <v>0</v>
      </c>
      <c r="AF24" s="123" cm="1">
        <f t="array" ref="AF24">IFERROR(ROUND(_xlfn.IFS(offer_sale_type="поставка",AB24,offer_sale_type="транзит",S24)*AC24,2),0)</f>
        <v>0</v>
      </c>
      <c r="AG24" s="130">
        <f t="shared" si="62"/>
        <v>0</v>
      </c>
      <c r="AH24" s="74">
        <f t="shared" si="63"/>
        <v>0</v>
      </c>
      <c r="AI24" s="123">
        <f t="shared" si="64"/>
        <v>0</v>
      </c>
      <c r="AJ24" s="118">
        <f t="shared" si="83"/>
        <v>0</v>
      </c>
      <c r="AK24" s="74">
        <f t="shared" si="84"/>
        <v>0</v>
      </c>
      <c r="AL24" s="174">
        <f t="shared" si="85"/>
        <v>0</v>
      </c>
      <c r="AM24" s="175">
        <f t="shared" si="65"/>
        <v>0</v>
      </c>
      <c r="AN24" s="130">
        <f t="shared" si="86"/>
        <v>0</v>
      </c>
      <c r="AO24" s="74">
        <f t="shared" si="66"/>
        <v>0</v>
      </c>
      <c r="AP24" s="123">
        <f t="shared" si="87"/>
        <v>0</v>
      </c>
      <c r="AQ24" s="118">
        <f t="shared" si="88"/>
        <v>0</v>
      </c>
      <c r="AR24" s="82" t="str">
        <f t="shared" si="89"/>
        <v>https://www.alta.ru/tnved/code//</v>
      </c>
      <c r="AS24" s="157"/>
      <c r="AT24" s="162"/>
      <c r="AU24" s="74">
        <f t="shared" si="90"/>
        <v>0</v>
      </c>
      <c r="AV24" s="157"/>
      <c r="AW24" s="75">
        <f>_xlfn.IFNA(VLOOKUP(L24,list_vat[],3,FALSE),0)</f>
        <v>0</v>
      </c>
      <c r="AX24" s="74">
        <f t="shared" si="91"/>
        <v>0</v>
      </c>
      <c r="AY24" s="74">
        <f t="shared" si="92"/>
        <v>0</v>
      </c>
      <c r="AZ24" s="130">
        <f t="shared" si="93"/>
        <v>0</v>
      </c>
      <c r="BA24" s="74">
        <f t="shared" si="72"/>
        <v>0</v>
      </c>
      <c r="BB24" s="193">
        <f t="shared" si="94"/>
        <v>0</v>
      </c>
      <c r="BC24" s="102">
        <f t="shared" si="95"/>
        <v>0</v>
      </c>
      <c r="BD24" s="102">
        <f t="shared" si="96"/>
        <v>0</v>
      </c>
      <c r="BE24" s="413" t="s">
        <v>69</v>
      </c>
    </row>
    <row r="25" spans="1:57" s="65" customFormat="1" ht="12" customHeight="1" x14ac:dyDescent="0.2">
      <c r="A25" s="43">
        <v>10</v>
      </c>
      <c r="B25" s="166"/>
      <c r="C25" s="166"/>
      <c r="D25" s="166"/>
      <c r="E25" s="162"/>
      <c r="F25" s="166"/>
      <c r="G25" s="162"/>
      <c r="H25" s="162"/>
      <c r="I25" s="189">
        <f t="shared" si="74"/>
        <v>0</v>
      </c>
      <c r="J25" s="195"/>
      <c r="K25" s="162"/>
      <c r="L25" s="168"/>
      <c r="M25" s="75">
        <f>_xlfn.XLOOKUP(L25,list_vat[Страна],list_vat[Ставка НДС %],0,0)</f>
        <v>0</v>
      </c>
      <c r="N25" s="162">
        <f t="shared" si="57"/>
        <v>0</v>
      </c>
      <c r="O25" s="169"/>
      <c r="P25" s="74">
        <f t="shared" si="97"/>
        <v>0</v>
      </c>
      <c r="Q25" s="162"/>
      <c r="R25" s="162" t="str">
        <f t="shared" si="75"/>
        <v>введи курс</v>
      </c>
      <c r="S25" s="196">
        <f t="shared" si="76"/>
        <v>0</v>
      </c>
      <c r="T25" s="192">
        <f t="shared" si="77"/>
        <v>0</v>
      </c>
      <c r="U25" s="76">
        <f t="shared" si="78"/>
        <v>0</v>
      </c>
      <c r="V25" s="123">
        <f t="shared" si="79"/>
        <v>0</v>
      </c>
      <c r="W25" s="191"/>
      <c r="X25" s="170"/>
      <c r="Y25" s="74">
        <f t="shared" si="60"/>
        <v>0</v>
      </c>
      <c r="Z25" s="188"/>
      <c r="AA25" s="130">
        <f t="shared" si="80"/>
        <v>0</v>
      </c>
      <c r="AB25" s="74">
        <f t="shared" si="81"/>
        <v>0</v>
      </c>
      <c r="AC25" s="356"/>
      <c r="AD25" s="130" cm="1">
        <f t="array" ref="AD25">IFERROR(ROUND((_xlfn.IFS(offer_sale_type="поставка",AB25,offer_sale_type="транзит",S25)*(1+AC25))/E25,2),0)</f>
        <v>0</v>
      </c>
      <c r="AE25" s="74">
        <f t="shared" si="82"/>
        <v>0</v>
      </c>
      <c r="AF25" s="123" cm="1">
        <f t="array" ref="AF25">IFERROR(ROUND(_xlfn.IFS(offer_sale_type="поставка",AB25,offer_sale_type="транзит",S25)*AC25,2),0)</f>
        <v>0</v>
      </c>
      <c r="AG25" s="130">
        <f t="shared" si="62"/>
        <v>0</v>
      </c>
      <c r="AH25" s="74">
        <f t="shared" si="63"/>
        <v>0</v>
      </c>
      <c r="AI25" s="123">
        <f t="shared" si="64"/>
        <v>0</v>
      </c>
      <c r="AJ25" s="118">
        <f t="shared" si="83"/>
        <v>0</v>
      </c>
      <c r="AK25" s="74">
        <f t="shared" si="84"/>
        <v>0</v>
      </c>
      <c r="AL25" s="174">
        <f t="shared" si="85"/>
        <v>0</v>
      </c>
      <c r="AM25" s="175">
        <f t="shared" si="65"/>
        <v>0</v>
      </c>
      <c r="AN25" s="130">
        <f t="shared" si="86"/>
        <v>0</v>
      </c>
      <c r="AO25" s="74">
        <f t="shared" si="66"/>
        <v>0</v>
      </c>
      <c r="AP25" s="123">
        <f t="shared" si="87"/>
        <v>0</v>
      </c>
      <c r="AQ25" s="118">
        <f t="shared" si="88"/>
        <v>0</v>
      </c>
      <c r="AR25" s="82" t="str">
        <f t="shared" si="89"/>
        <v>https://www.alta.ru/tnved/code//</v>
      </c>
      <c r="AS25" s="157"/>
      <c r="AT25" s="162"/>
      <c r="AU25" s="74">
        <f t="shared" si="90"/>
        <v>0</v>
      </c>
      <c r="AV25" s="157"/>
      <c r="AW25" s="75">
        <f>_xlfn.IFNA(VLOOKUP(L25,list_vat[],3,FALSE),0)</f>
        <v>0</v>
      </c>
      <c r="AX25" s="74">
        <f t="shared" si="91"/>
        <v>0</v>
      </c>
      <c r="AY25" s="74">
        <f t="shared" si="92"/>
        <v>0</v>
      </c>
      <c r="AZ25" s="130">
        <f t="shared" si="93"/>
        <v>0</v>
      </c>
      <c r="BA25" s="74">
        <f t="shared" si="72"/>
        <v>0</v>
      </c>
      <c r="BB25" s="193">
        <f t="shared" si="94"/>
        <v>0</v>
      </c>
      <c r="BC25" s="102">
        <f t="shared" si="95"/>
        <v>0</v>
      </c>
      <c r="BD25" s="102">
        <f t="shared" si="96"/>
        <v>0</v>
      </c>
      <c r="BE25" s="413" t="s">
        <v>69</v>
      </c>
    </row>
    <row r="26" spans="1:57" s="65" customFormat="1" ht="12" customHeight="1" x14ac:dyDescent="0.2">
      <c r="A26" s="43">
        <v>11</v>
      </c>
      <c r="B26" s="166"/>
      <c r="C26" s="166"/>
      <c r="D26" s="166"/>
      <c r="E26" s="162"/>
      <c r="F26" s="166"/>
      <c r="G26" s="162"/>
      <c r="H26" s="162"/>
      <c r="I26" s="189">
        <f t="shared" si="74"/>
        <v>0</v>
      </c>
      <c r="J26" s="195"/>
      <c r="K26" s="162"/>
      <c r="L26" s="168"/>
      <c r="M26" s="75">
        <f>_xlfn.XLOOKUP(L26,list_vat[Страна],list_vat[Ставка НДС %],0,0)</f>
        <v>0</v>
      </c>
      <c r="N26" s="162">
        <f t="shared" si="57"/>
        <v>0</v>
      </c>
      <c r="O26" s="169"/>
      <c r="P26" s="74">
        <f t="shared" si="97"/>
        <v>0</v>
      </c>
      <c r="Q26" s="162"/>
      <c r="R26" s="162" t="str">
        <f t="shared" si="75"/>
        <v>введи курс</v>
      </c>
      <c r="S26" s="196">
        <f t="shared" si="76"/>
        <v>0</v>
      </c>
      <c r="T26" s="192">
        <f t="shared" si="77"/>
        <v>0</v>
      </c>
      <c r="U26" s="76">
        <f t="shared" si="78"/>
        <v>0</v>
      </c>
      <c r="V26" s="123">
        <f t="shared" si="79"/>
        <v>0</v>
      </c>
      <c r="W26" s="191"/>
      <c r="X26" s="170"/>
      <c r="Y26" s="74">
        <f t="shared" si="60"/>
        <v>0</v>
      </c>
      <c r="Z26" s="188"/>
      <c r="AA26" s="130">
        <f t="shared" si="80"/>
        <v>0</v>
      </c>
      <c r="AB26" s="74">
        <f t="shared" si="81"/>
        <v>0</v>
      </c>
      <c r="AC26" s="356"/>
      <c r="AD26" s="130" cm="1">
        <f t="array" ref="AD26">IFERROR(ROUND((_xlfn.IFS(offer_sale_type="поставка",AB26,offer_sale_type="транзит",S26)*(1+AC26))/E26,2),0)</f>
        <v>0</v>
      </c>
      <c r="AE26" s="74">
        <f t="shared" si="82"/>
        <v>0</v>
      </c>
      <c r="AF26" s="123" cm="1">
        <f t="array" ref="AF26">IFERROR(ROUND(_xlfn.IFS(offer_sale_type="поставка",AB26,offer_sale_type="транзит",S26)*AC26,2),0)</f>
        <v>0</v>
      </c>
      <c r="AG26" s="130">
        <f t="shared" si="62"/>
        <v>0</v>
      </c>
      <c r="AH26" s="74">
        <f t="shared" si="63"/>
        <v>0</v>
      </c>
      <c r="AI26" s="123">
        <f t="shared" si="64"/>
        <v>0</v>
      </c>
      <c r="AJ26" s="118">
        <f t="shared" si="83"/>
        <v>0</v>
      </c>
      <c r="AK26" s="74">
        <f t="shared" si="84"/>
        <v>0</v>
      </c>
      <c r="AL26" s="174">
        <f t="shared" si="85"/>
        <v>0</v>
      </c>
      <c r="AM26" s="175">
        <f t="shared" si="65"/>
        <v>0</v>
      </c>
      <c r="AN26" s="130">
        <f t="shared" si="86"/>
        <v>0</v>
      </c>
      <c r="AO26" s="74">
        <f t="shared" si="66"/>
        <v>0</v>
      </c>
      <c r="AP26" s="123">
        <f t="shared" si="87"/>
        <v>0</v>
      </c>
      <c r="AQ26" s="118">
        <f t="shared" si="88"/>
        <v>0</v>
      </c>
      <c r="AR26" s="82" t="str">
        <f t="shared" si="89"/>
        <v>https://www.alta.ru/tnved/code//</v>
      </c>
      <c r="AS26" s="157"/>
      <c r="AT26" s="162"/>
      <c r="AU26" s="74">
        <f t="shared" si="90"/>
        <v>0</v>
      </c>
      <c r="AV26" s="157"/>
      <c r="AW26" s="75">
        <f>_xlfn.IFNA(VLOOKUP(L26,list_vat[],3,FALSE),0)</f>
        <v>0</v>
      </c>
      <c r="AX26" s="74">
        <f t="shared" si="91"/>
        <v>0</v>
      </c>
      <c r="AY26" s="74">
        <f t="shared" si="92"/>
        <v>0</v>
      </c>
      <c r="AZ26" s="130">
        <f t="shared" si="93"/>
        <v>0</v>
      </c>
      <c r="BA26" s="74">
        <f t="shared" si="72"/>
        <v>0</v>
      </c>
      <c r="BB26" s="193">
        <f t="shared" si="94"/>
        <v>0</v>
      </c>
      <c r="BC26" s="102">
        <f t="shared" si="95"/>
        <v>0</v>
      </c>
      <c r="BD26" s="102">
        <f t="shared" si="96"/>
        <v>0</v>
      </c>
      <c r="BE26" s="413" t="s">
        <v>69</v>
      </c>
    </row>
    <row r="27" spans="1:57" s="65" customFormat="1" ht="12" customHeight="1" x14ac:dyDescent="0.2">
      <c r="A27" s="43">
        <v>12</v>
      </c>
      <c r="B27" s="166"/>
      <c r="C27" s="166"/>
      <c r="D27" s="166"/>
      <c r="E27" s="162"/>
      <c r="F27" s="166"/>
      <c r="G27" s="162"/>
      <c r="H27" s="162"/>
      <c r="I27" s="189">
        <f t="shared" si="74"/>
        <v>0</v>
      </c>
      <c r="J27" s="195"/>
      <c r="K27" s="162"/>
      <c r="L27" s="168"/>
      <c r="M27" s="75">
        <f>_xlfn.XLOOKUP(L27,list_vat[Страна],list_vat[Ставка НДС %],0,0)</f>
        <v>0</v>
      </c>
      <c r="N27" s="162">
        <f t="shared" si="57"/>
        <v>0</v>
      </c>
      <c r="O27" s="169"/>
      <c r="P27" s="74">
        <f t="shared" si="97"/>
        <v>0</v>
      </c>
      <c r="Q27" s="162"/>
      <c r="R27" s="162" t="str">
        <f t="shared" si="75"/>
        <v>введи курс</v>
      </c>
      <c r="S27" s="196">
        <f t="shared" si="76"/>
        <v>0</v>
      </c>
      <c r="T27" s="192">
        <f t="shared" si="77"/>
        <v>0</v>
      </c>
      <c r="U27" s="76">
        <f t="shared" si="78"/>
        <v>0</v>
      </c>
      <c r="V27" s="123">
        <f t="shared" si="79"/>
        <v>0</v>
      </c>
      <c r="W27" s="191"/>
      <c r="X27" s="170"/>
      <c r="Y27" s="74">
        <f t="shared" si="60"/>
        <v>0</v>
      </c>
      <c r="Z27" s="188"/>
      <c r="AA27" s="130">
        <f t="shared" si="80"/>
        <v>0</v>
      </c>
      <c r="AB27" s="74">
        <f t="shared" si="81"/>
        <v>0</v>
      </c>
      <c r="AC27" s="356"/>
      <c r="AD27" s="130" cm="1">
        <f t="array" ref="AD27">IFERROR(ROUND((_xlfn.IFS(offer_sale_type="поставка",AB27,offer_sale_type="транзит",S27)*(1+AC27))/E27,2),0)</f>
        <v>0</v>
      </c>
      <c r="AE27" s="74">
        <f t="shared" si="82"/>
        <v>0</v>
      </c>
      <c r="AF27" s="123" cm="1">
        <f t="array" ref="AF27">IFERROR(ROUND(_xlfn.IFS(offer_sale_type="поставка",AB27,offer_sale_type="транзит",S27)*AC27,2),0)</f>
        <v>0</v>
      </c>
      <c r="AG27" s="130">
        <f t="shared" si="62"/>
        <v>0</v>
      </c>
      <c r="AH27" s="74">
        <f t="shared" si="63"/>
        <v>0</v>
      </c>
      <c r="AI27" s="123">
        <f t="shared" si="64"/>
        <v>0</v>
      </c>
      <c r="AJ27" s="118">
        <f t="shared" si="83"/>
        <v>0</v>
      </c>
      <c r="AK27" s="74">
        <f t="shared" si="84"/>
        <v>0</v>
      </c>
      <c r="AL27" s="174">
        <f t="shared" si="85"/>
        <v>0</v>
      </c>
      <c r="AM27" s="175">
        <f t="shared" si="65"/>
        <v>0</v>
      </c>
      <c r="AN27" s="130">
        <f t="shared" si="86"/>
        <v>0</v>
      </c>
      <c r="AO27" s="74">
        <f t="shared" si="66"/>
        <v>0</v>
      </c>
      <c r="AP27" s="123">
        <f t="shared" si="87"/>
        <v>0</v>
      </c>
      <c r="AQ27" s="118">
        <f t="shared" si="88"/>
        <v>0</v>
      </c>
      <c r="AR27" s="82" t="str">
        <f t="shared" si="89"/>
        <v>https://www.alta.ru/tnved/code//</v>
      </c>
      <c r="AS27" s="157"/>
      <c r="AT27" s="162"/>
      <c r="AU27" s="74">
        <f t="shared" si="90"/>
        <v>0</v>
      </c>
      <c r="AV27" s="157"/>
      <c r="AW27" s="75">
        <f>_xlfn.IFNA(VLOOKUP(L27,list_vat[],3,FALSE),0)</f>
        <v>0</v>
      </c>
      <c r="AX27" s="74">
        <f t="shared" si="91"/>
        <v>0</v>
      </c>
      <c r="AY27" s="74">
        <f t="shared" si="92"/>
        <v>0</v>
      </c>
      <c r="AZ27" s="130">
        <f t="shared" si="93"/>
        <v>0</v>
      </c>
      <c r="BA27" s="74">
        <f t="shared" si="72"/>
        <v>0</v>
      </c>
      <c r="BB27" s="193">
        <f t="shared" si="94"/>
        <v>0</v>
      </c>
      <c r="BC27" s="102">
        <f t="shared" si="95"/>
        <v>0</v>
      </c>
      <c r="BD27" s="102">
        <f t="shared" si="96"/>
        <v>0</v>
      </c>
      <c r="BE27" s="413" t="s">
        <v>69</v>
      </c>
    </row>
    <row r="28" spans="1:57" s="65" customFormat="1" ht="12" customHeight="1" x14ac:dyDescent="0.2">
      <c r="A28" s="43">
        <v>13</v>
      </c>
      <c r="B28" s="166"/>
      <c r="C28" s="166"/>
      <c r="D28" s="166"/>
      <c r="E28" s="162"/>
      <c r="F28" s="166"/>
      <c r="G28" s="162"/>
      <c r="H28" s="162"/>
      <c r="I28" s="189">
        <f t="shared" si="74"/>
        <v>0</v>
      </c>
      <c r="J28" s="195"/>
      <c r="K28" s="162"/>
      <c r="L28" s="168"/>
      <c r="M28" s="75">
        <f>_xlfn.XLOOKUP(L28,list_vat[Страна],list_vat[Ставка НДС %],0,0)</f>
        <v>0</v>
      </c>
      <c r="N28" s="162">
        <f t="shared" si="57"/>
        <v>0</v>
      </c>
      <c r="O28" s="169"/>
      <c r="P28" s="74">
        <f t="shared" si="97"/>
        <v>0</v>
      </c>
      <c r="Q28" s="162"/>
      <c r="R28" s="162" t="str">
        <f t="shared" si="75"/>
        <v>введи курс</v>
      </c>
      <c r="S28" s="196">
        <f t="shared" si="76"/>
        <v>0</v>
      </c>
      <c r="T28" s="192">
        <f t="shared" si="77"/>
        <v>0</v>
      </c>
      <c r="U28" s="76">
        <f t="shared" si="78"/>
        <v>0</v>
      </c>
      <c r="V28" s="123">
        <f t="shared" si="79"/>
        <v>0</v>
      </c>
      <c r="W28" s="191"/>
      <c r="X28" s="170"/>
      <c r="Y28" s="74">
        <f t="shared" si="60"/>
        <v>0</v>
      </c>
      <c r="Z28" s="188"/>
      <c r="AA28" s="130">
        <f t="shared" si="80"/>
        <v>0</v>
      </c>
      <c r="AB28" s="74">
        <f t="shared" si="81"/>
        <v>0</v>
      </c>
      <c r="AC28" s="356"/>
      <c r="AD28" s="130" cm="1">
        <f t="array" ref="AD28">IFERROR(ROUND((_xlfn.IFS(offer_sale_type="поставка",AB28,offer_sale_type="транзит",S28)*(1+AC28))/E28,2),0)</f>
        <v>0</v>
      </c>
      <c r="AE28" s="74">
        <f t="shared" si="82"/>
        <v>0</v>
      </c>
      <c r="AF28" s="123" cm="1">
        <f t="array" ref="AF28">IFERROR(ROUND(_xlfn.IFS(offer_sale_type="поставка",AB28,offer_sale_type="транзит",S28)*AC28,2),0)</f>
        <v>0</v>
      </c>
      <c r="AG28" s="130">
        <f t="shared" si="62"/>
        <v>0</v>
      </c>
      <c r="AH28" s="74">
        <f t="shared" si="63"/>
        <v>0</v>
      </c>
      <c r="AI28" s="123">
        <f t="shared" si="64"/>
        <v>0</v>
      </c>
      <c r="AJ28" s="118">
        <f t="shared" si="83"/>
        <v>0</v>
      </c>
      <c r="AK28" s="74">
        <f t="shared" si="84"/>
        <v>0</v>
      </c>
      <c r="AL28" s="174">
        <f t="shared" si="85"/>
        <v>0</v>
      </c>
      <c r="AM28" s="175">
        <f t="shared" si="65"/>
        <v>0</v>
      </c>
      <c r="AN28" s="130">
        <f t="shared" si="86"/>
        <v>0</v>
      </c>
      <c r="AO28" s="74">
        <f t="shared" si="66"/>
        <v>0</v>
      </c>
      <c r="AP28" s="123">
        <f t="shared" si="87"/>
        <v>0</v>
      </c>
      <c r="AQ28" s="118">
        <f t="shared" si="88"/>
        <v>0</v>
      </c>
      <c r="AR28" s="82" t="str">
        <f t="shared" si="89"/>
        <v>https://www.alta.ru/tnved/code//</v>
      </c>
      <c r="AS28" s="157"/>
      <c r="AT28" s="162"/>
      <c r="AU28" s="74">
        <f t="shared" si="90"/>
        <v>0</v>
      </c>
      <c r="AV28" s="157"/>
      <c r="AW28" s="75">
        <f>_xlfn.IFNA(VLOOKUP(L28,list_vat[],3,FALSE),0)</f>
        <v>0</v>
      </c>
      <c r="AX28" s="74">
        <f t="shared" si="91"/>
        <v>0</v>
      </c>
      <c r="AY28" s="74">
        <f t="shared" si="92"/>
        <v>0</v>
      </c>
      <c r="AZ28" s="130">
        <f t="shared" si="93"/>
        <v>0</v>
      </c>
      <c r="BA28" s="74">
        <f t="shared" si="72"/>
        <v>0</v>
      </c>
      <c r="BB28" s="193">
        <f t="shared" si="94"/>
        <v>0</v>
      </c>
      <c r="BC28" s="102">
        <f t="shared" si="95"/>
        <v>0</v>
      </c>
      <c r="BD28" s="102">
        <f t="shared" si="96"/>
        <v>0</v>
      </c>
      <c r="BE28" s="413" t="s">
        <v>69</v>
      </c>
    </row>
    <row r="29" spans="1:57" s="65" customFormat="1" ht="12" customHeight="1" x14ac:dyDescent="0.2">
      <c r="A29" s="43">
        <v>14</v>
      </c>
      <c r="B29" s="166"/>
      <c r="C29" s="166"/>
      <c r="D29" s="166"/>
      <c r="E29" s="162"/>
      <c r="F29" s="166"/>
      <c r="G29" s="162"/>
      <c r="H29" s="162"/>
      <c r="I29" s="189">
        <f t="shared" si="74"/>
        <v>0</v>
      </c>
      <c r="J29" s="195"/>
      <c r="K29" s="162"/>
      <c r="L29" s="168"/>
      <c r="M29" s="75">
        <f>_xlfn.XLOOKUP(L29,list_vat[Страна],list_vat[Ставка НДС %],0,0)</f>
        <v>0</v>
      </c>
      <c r="N29" s="162">
        <f t="shared" si="57"/>
        <v>0</v>
      </c>
      <c r="O29" s="169"/>
      <c r="P29" s="74">
        <f t="shared" si="97"/>
        <v>0</v>
      </c>
      <c r="Q29" s="162"/>
      <c r="R29" s="162" t="str">
        <f t="shared" si="75"/>
        <v>введи курс</v>
      </c>
      <c r="S29" s="196">
        <f t="shared" si="76"/>
        <v>0</v>
      </c>
      <c r="T29" s="192">
        <f t="shared" si="77"/>
        <v>0</v>
      </c>
      <c r="U29" s="76">
        <f t="shared" si="78"/>
        <v>0</v>
      </c>
      <c r="V29" s="123">
        <f t="shared" si="79"/>
        <v>0</v>
      </c>
      <c r="W29" s="191"/>
      <c r="X29" s="170"/>
      <c r="Y29" s="74">
        <f t="shared" si="60"/>
        <v>0</v>
      </c>
      <c r="Z29" s="188"/>
      <c r="AA29" s="130">
        <f t="shared" si="80"/>
        <v>0</v>
      </c>
      <c r="AB29" s="74">
        <f t="shared" si="81"/>
        <v>0</v>
      </c>
      <c r="AC29" s="356"/>
      <c r="AD29" s="130" cm="1">
        <f t="array" ref="AD29">IFERROR(ROUND((_xlfn.IFS(offer_sale_type="поставка",AB29,offer_sale_type="транзит",S29)*(1+AC29))/E29,2),0)</f>
        <v>0</v>
      </c>
      <c r="AE29" s="74">
        <f t="shared" si="82"/>
        <v>0</v>
      </c>
      <c r="AF29" s="123" cm="1">
        <f t="array" ref="AF29">IFERROR(ROUND(_xlfn.IFS(offer_sale_type="поставка",AB29,offer_sale_type="транзит",S29)*AC29,2),0)</f>
        <v>0</v>
      </c>
      <c r="AG29" s="130">
        <f t="shared" si="62"/>
        <v>0</v>
      </c>
      <c r="AH29" s="74">
        <f t="shared" si="63"/>
        <v>0</v>
      </c>
      <c r="AI29" s="123">
        <f t="shared" si="64"/>
        <v>0</v>
      </c>
      <c r="AJ29" s="118">
        <f t="shared" si="83"/>
        <v>0</v>
      </c>
      <c r="AK29" s="74">
        <f t="shared" si="84"/>
        <v>0</v>
      </c>
      <c r="AL29" s="174">
        <f t="shared" si="85"/>
        <v>0</v>
      </c>
      <c r="AM29" s="175">
        <f t="shared" si="65"/>
        <v>0</v>
      </c>
      <c r="AN29" s="130">
        <f t="shared" si="86"/>
        <v>0</v>
      </c>
      <c r="AO29" s="74">
        <f t="shared" si="66"/>
        <v>0</v>
      </c>
      <c r="AP29" s="123">
        <f t="shared" si="87"/>
        <v>0</v>
      </c>
      <c r="AQ29" s="118">
        <f t="shared" si="88"/>
        <v>0</v>
      </c>
      <c r="AR29" s="82" t="str">
        <f t="shared" si="89"/>
        <v>https://www.alta.ru/tnved/code//</v>
      </c>
      <c r="AS29" s="157"/>
      <c r="AT29" s="162"/>
      <c r="AU29" s="74">
        <f t="shared" si="90"/>
        <v>0</v>
      </c>
      <c r="AV29" s="157"/>
      <c r="AW29" s="75">
        <f>_xlfn.IFNA(VLOOKUP(L29,list_vat[],3,FALSE),0)</f>
        <v>0</v>
      </c>
      <c r="AX29" s="74">
        <f t="shared" si="91"/>
        <v>0</v>
      </c>
      <c r="AY29" s="74">
        <f t="shared" si="92"/>
        <v>0</v>
      </c>
      <c r="AZ29" s="130">
        <f t="shared" si="93"/>
        <v>0</v>
      </c>
      <c r="BA29" s="74">
        <f t="shared" si="72"/>
        <v>0</v>
      </c>
      <c r="BB29" s="193">
        <f t="shared" si="94"/>
        <v>0</v>
      </c>
      <c r="BC29" s="102">
        <f t="shared" si="95"/>
        <v>0</v>
      </c>
      <c r="BD29" s="102">
        <f t="shared" si="96"/>
        <v>0</v>
      </c>
      <c r="BE29" s="413" t="s">
        <v>69</v>
      </c>
    </row>
    <row r="30" spans="1:57" s="65" customFormat="1" ht="12" customHeight="1" x14ac:dyDescent="0.2">
      <c r="A30" s="43">
        <v>15</v>
      </c>
      <c r="B30" s="166"/>
      <c r="C30" s="166"/>
      <c r="D30" s="166"/>
      <c r="E30" s="162"/>
      <c r="F30" s="166"/>
      <c r="G30" s="162"/>
      <c r="H30" s="162"/>
      <c r="I30" s="189">
        <f t="shared" si="74"/>
        <v>0</v>
      </c>
      <c r="J30" s="195"/>
      <c r="K30" s="162"/>
      <c r="L30" s="168"/>
      <c r="M30" s="75">
        <f>_xlfn.XLOOKUP(L30,list_vat[Страна],list_vat[Ставка НДС %],0,0)</f>
        <v>0</v>
      </c>
      <c r="N30" s="162">
        <f t="shared" si="57"/>
        <v>0</v>
      </c>
      <c r="O30" s="169"/>
      <c r="P30" s="74">
        <f t="shared" si="97"/>
        <v>0</v>
      </c>
      <c r="Q30" s="162"/>
      <c r="R30" s="162" t="str">
        <f t="shared" si="75"/>
        <v>введи курс</v>
      </c>
      <c r="S30" s="196">
        <f t="shared" si="76"/>
        <v>0</v>
      </c>
      <c r="T30" s="192">
        <f t="shared" si="77"/>
        <v>0</v>
      </c>
      <c r="U30" s="76">
        <f t="shared" si="78"/>
        <v>0</v>
      </c>
      <c r="V30" s="123">
        <f t="shared" si="79"/>
        <v>0</v>
      </c>
      <c r="W30" s="191"/>
      <c r="X30" s="170"/>
      <c r="Y30" s="74">
        <f t="shared" si="60"/>
        <v>0</v>
      </c>
      <c r="Z30" s="188"/>
      <c r="AA30" s="130">
        <f t="shared" si="80"/>
        <v>0</v>
      </c>
      <c r="AB30" s="74">
        <f t="shared" si="81"/>
        <v>0</v>
      </c>
      <c r="AC30" s="356"/>
      <c r="AD30" s="130" cm="1">
        <f t="array" ref="AD30">IFERROR(ROUND((_xlfn.IFS(offer_sale_type="поставка",AB30,offer_sale_type="транзит",S30)*(1+AC30))/E30,2),0)</f>
        <v>0</v>
      </c>
      <c r="AE30" s="74">
        <f t="shared" si="82"/>
        <v>0</v>
      </c>
      <c r="AF30" s="123" cm="1">
        <f t="array" ref="AF30">IFERROR(ROUND(_xlfn.IFS(offer_sale_type="поставка",AB30,offer_sale_type="транзит",S30)*AC30,2),0)</f>
        <v>0</v>
      </c>
      <c r="AG30" s="130">
        <f t="shared" si="62"/>
        <v>0</v>
      </c>
      <c r="AH30" s="74">
        <f t="shared" si="63"/>
        <v>0</v>
      </c>
      <c r="AI30" s="123">
        <f t="shared" si="64"/>
        <v>0</v>
      </c>
      <c r="AJ30" s="118">
        <f t="shared" si="83"/>
        <v>0</v>
      </c>
      <c r="AK30" s="74">
        <f t="shared" si="84"/>
        <v>0</v>
      </c>
      <c r="AL30" s="174">
        <f t="shared" si="85"/>
        <v>0</v>
      </c>
      <c r="AM30" s="175">
        <f t="shared" si="65"/>
        <v>0</v>
      </c>
      <c r="AN30" s="130">
        <f t="shared" si="86"/>
        <v>0</v>
      </c>
      <c r="AO30" s="74">
        <f t="shared" si="66"/>
        <v>0</v>
      </c>
      <c r="AP30" s="123">
        <f t="shared" si="87"/>
        <v>0</v>
      </c>
      <c r="AQ30" s="118">
        <f t="shared" si="88"/>
        <v>0</v>
      </c>
      <c r="AR30" s="82" t="str">
        <f t="shared" si="89"/>
        <v>https://www.alta.ru/tnved/code//</v>
      </c>
      <c r="AS30" s="157"/>
      <c r="AT30" s="162"/>
      <c r="AU30" s="74">
        <f t="shared" si="90"/>
        <v>0</v>
      </c>
      <c r="AV30" s="157"/>
      <c r="AW30" s="75">
        <f>_xlfn.IFNA(VLOOKUP(L30,list_vat[],3,FALSE),0)</f>
        <v>0</v>
      </c>
      <c r="AX30" s="74">
        <f t="shared" si="91"/>
        <v>0</v>
      </c>
      <c r="AY30" s="74">
        <f t="shared" si="92"/>
        <v>0</v>
      </c>
      <c r="AZ30" s="130">
        <f t="shared" si="93"/>
        <v>0</v>
      </c>
      <c r="BA30" s="74">
        <f t="shared" si="72"/>
        <v>0</v>
      </c>
      <c r="BB30" s="193">
        <f t="shared" si="94"/>
        <v>0</v>
      </c>
      <c r="BC30" s="102">
        <f t="shared" si="95"/>
        <v>0</v>
      </c>
      <c r="BD30" s="102">
        <f t="shared" si="96"/>
        <v>0</v>
      </c>
      <c r="BE30" s="413" t="s">
        <v>69</v>
      </c>
    </row>
    <row r="31" spans="1:57" s="65" customFormat="1" ht="12" customHeight="1" x14ac:dyDescent="0.2">
      <c r="A31" s="43">
        <v>16</v>
      </c>
      <c r="B31" s="166"/>
      <c r="C31" s="166"/>
      <c r="D31" s="166"/>
      <c r="E31" s="162"/>
      <c r="F31" s="166"/>
      <c r="G31" s="162"/>
      <c r="H31" s="162"/>
      <c r="I31" s="189">
        <f t="shared" si="74"/>
        <v>0</v>
      </c>
      <c r="J31" s="195"/>
      <c r="K31" s="162"/>
      <c r="L31" s="168"/>
      <c r="M31" s="75">
        <f>_xlfn.XLOOKUP(L31,list_vat[Страна],list_vat[Ставка НДС %],0,0)</f>
        <v>0</v>
      </c>
      <c r="N31" s="162">
        <f t="shared" si="57"/>
        <v>0</v>
      </c>
      <c r="O31" s="169"/>
      <c r="P31" s="74">
        <f t="shared" si="97"/>
        <v>0</v>
      </c>
      <c r="Q31" s="162"/>
      <c r="R31" s="162" t="str">
        <f t="shared" si="75"/>
        <v>введи курс</v>
      </c>
      <c r="S31" s="196">
        <f t="shared" si="76"/>
        <v>0</v>
      </c>
      <c r="T31" s="192">
        <f t="shared" si="77"/>
        <v>0</v>
      </c>
      <c r="U31" s="76">
        <f t="shared" si="78"/>
        <v>0</v>
      </c>
      <c r="V31" s="123">
        <f t="shared" si="79"/>
        <v>0</v>
      </c>
      <c r="W31" s="191"/>
      <c r="X31" s="170"/>
      <c r="Y31" s="74">
        <f t="shared" si="60"/>
        <v>0</v>
      </c>
      <c r="Z31" s="188"/>
      <c r="AA31" s="130">
        <f t="shared" si="80"/>
        <v>0</v>
      </c>
      <c r="AB31" s="74">
        <f t="shared" si="81"/>
        <v>0</v>
      </c>
      <c r="AC31" s="356"/>
      <c r="AD31" s="130" cm="1">
        <f t="array" ref="AD31">IFERROR(ROUND((_xlfn.IFS(offer_sale_type="поставка",AB31,offer_sale_type="транзит",S31)*(1+AC31))/E31,2),0)</f>
        <v>0</v>
      </c>
      <c r="AE31" s="74">
        <f t="shared" si="82"/>
        <v>0</v>
      </c>
      <c r="AF31" s="123" cm="1">
        <f t="array" ref="AF31">IFERROR(ROUND(_xlfn.IFS(offer_sale_type="поставка",AB31,offer_sale_type="транзит",S31)*AC31,2),0)</f>
        <v>0</v>
      </c>
      <c r="AG31" s="130">
        <f t="shared" si="62"/>
        <v>0</v>
      </c>
      <c r="AH31" s="74">
        <f t="shared" si="63"/>
        <v>0</v>
      </c>
      <c r="AI31" s="123">
        <f t="shared" si="64"/>
        <v>0</v>
      </c>
      <c r="AJ31" s="118">
        <f t="shared" si="83"/>
        <v>0</v>
      </c>
      <c r="AK31" s="74">
        <f t="shared" si="84"/>
        <v>0</v>
      </c>
      <c r="AL31" s="174">
        <f t="shared" si="85"/>
        <v>0</v>
      </c>
      <c r="AM31" s="175">
        <f t="shared" si="65"/>
        <v>0</v>
      </c>
      <c r="AN31" s="130">
        <f t="shared" si="86"/>
        <v>0</v>
      </c>
      <c r="AO31" s="74">
        <f t="shared" si="66"/>
        <v>0</v>
      </c>
      <c r="AP31" s="123">
        <f t="shared" si="87"/>
        <v>0</v>
      </c>
      <c r="AQ31" s="118">
        <f t="shared" si="88"/>
        <v>0</v>
      </c>
      <c r="AR31" s="82" t="str">
        <f t="shared" si="89"/>
        <v>https://www.alta.ru/tnved/code//</v>
      </c>
      <c r="AS31" s="157"/>
      <c r="AT31" s="162"/>
      <c r="AU31" s="74">
        <f t="shared" si="90"/>
        <v>0</v>
      </c>
      <c r="AV31" s="157"/>
      <c r="AW31" s="75">
        <f>_xlfn.IFNA(VLOOKUP(L31,list_vat[],3,FALSE),0)</f>
        <v>0</v>
      </c>
      <c r="AX31" s="74">
        <f t="shared" si="91"/>
        <v>0</v>
      </c>
      <c r="AY31" s="74">
        <f t="shared" si="92"/>
        <v>0</v>
      </c>
      <c r="AZ31" s="130">
        <f t="shared" si="93"/>
        <v>0</v>
      </c>
      <c r="BA31" s="74">
        <f t="shared" si="72"/>
        <v>0</v>
      </c>
      <c r="BB31" s="193">
        <f t="shared" si="94"/>
        <v>0</v>
      </c>
      <c r="BC31" s="102">
        <f t="shared" si="95"/>
        <v>0</v>
      </c>
      <c r="BD31" s="102">
        <f t="shared" si="96"/>
        <v>0</v>
      </c>
      <c r="BE31" s="413" t="s">
        <v>69</v>
      </c>
    </row>
    <row r="32" spans="1:57" s="65" customFormat="1" ht="12" customHeight="1" x14ac:dyDescent="0.2">
      <c r="A32" s="43">
        <v>17</v>
      </c>
      <c r="B32" s="166"/>
      <c r="C32" s="166"/>
      <c r="D32" s="166"/>
      <c r="E32" s="162"/>
      <c r="F32" s="166"/>
      <c r="G32" s="162"/>
      <c r="H32" s="162"/>
      <c r="I32" s="189">
        <f t="shared" si="74"/>
        <v>0</v>
      </c>
      <c r="J32" s="195"/>
      <c r="K32" s="162"/>
      <c r="L32" s="168"/>
      <c r="M32" s="75">
        <f>_xlfn.XLOOKUP(L32,list_vat[Страна],list_vat[Ставка НДС %],0,0)</f>
        <v>0</v>
      </c>
      <c r="N32" s="162">
        <f t="shared" si="57"/>
        <v>0</v>
      </c>
      <c r="O32" s="169"/>
      <c r="P32" s="74">
        <f t="shared" si="97"/>
        <v>0</v>
      </c>
      <c r="Q32" s="162"/>
      <c r="R32" s="162" t="str">
        <f t="shared" si="75"/>
        <v>введи курс</v>
      </c>
      <c r="S32" s="196">
        <f t="shared" si="76"/>
        <v>0</v>
      </c>
      <c r="T32" s="192">
        <f t="shared" si="77"/>
        <v>0</v>
      </c>
      <c r="U32" s="76">
        <f t="shared" si="78"/>
        <v>0</v>
      </c>
      <c r="V32" s="123">
        <f t="shared" si="79"/>
        <v>0</v>
      </c>
      <c r="W32" s="191"/>
      <c r="X32" s="170"/>
      <c r="Y32" s="74">
        <f t="shared" si="60"/>
        <v>0</v>
      </c>
      <c r="Z32" s="188"/>
      <c r="AA32" s="130">
        <f t="shared" si="80"/>
        <v>0</v>
      </c>
      <c r="AB32" s="74">
        <f t="shared" si="81"/>
        <v>0</v>
      </c>
      <c r="AC32" s="356"/>
      <c r="AD32" s="130" cm="1">
        <f t="array" ref="AD32">IFERROR(ROUND((_xlfn.IFS(offer_sale_type="поставка",AB32,offer_sale_type="транзит",S32)*(1+AC32))/E32,2),0)</f>
        <v>0</v>
      </c>
      <c r="AE32" s="74">
        <f t="shared" si="82"/>
        <v>0</v>
      </c>
      <c r="AF32" s="123" cm="1">
        <f t="array" ref="AF32">IFERROR(ROUND(_xlfn.IFS(offer_sale_type="поставка",AB32,offer_sale_type="транзит",S32)*AC32,2),0)</f>
        <v>0</v>
      </c>
      <c r="AG32" s="130">
        <f t="shared" si="62"/>
        <v>0</v>
      </c>
      <c r="AH32" s="74">
        <f t="shared" si="63"/>
        <v>0</v>
      </c>
      <c r="AI32" s="123">
        <f t="shared" si="64"/>
        <v>0</v>
      </c>
      <c r="AJ32" s="118">
        <f t="shared" si="83"/>
        <v>0</v>
      </c>
      <c r="AK32" s="74">
        <f t="shared" si="84"/>
        <v>0</v>
      </c>
      <c r="AL32" s="174">
        <f t="shared" si="85"/>
        <v>0</v>
      </c>
      <c r="AM32" s="175">
        <f t="shared" si="65"/>
        <v>0</v>
      </c>
      <c r="AN32" s="130">
        <f t="shared" si="86"/>
        <v>0</v>
      </c>
      <c r="AO32" s="74">
        <f t="shared" si="66"/>
        <v>0</v>
      </c>
      <c r="AP32" s="123">
        <f t="shared" si="87"/>
        <v>0</v>
      </c>
      <c r="AQ32" s="118">
        <f t="shared" si="88"/>
        <v>0</v>
      </c>
      <c r="AR32" s="82" t="str">
        <f t="shared" si="89"/>
        <v>https://www.alta.ru/tnved/code//</v>
      </c>
      <c r="AS32" s="157"/>
      <c r="AT32" s="162"/>
      <c r="AU32" s="74">
        <f t="shared" si="90"/>
        <v>0</v>
      </c>
      <c r="AV32" s="157"/>
      <c r="AW32" s="75">
        <f>_xlfn.IFNA(VLOOKUP(L32,list_vat[],3,FALSE),0)</f>
        <v>0</v>
      </c>
      <c r="AX32" s="74">
        <f t="shared" si="91"/>
        <v>0</v>
      </c>
      <c r="AY32" s="74">
        <f t="shared" si="92"/>
        <v>0</v>
      </c>
      <c r="AZ32" s="130">
        <f t="shared" si="93"/>
        <v>0</v>
      </c>
      <c r="BA32" s="74">
        <f t="shared" si="72"/>
        <v>0</v>
      </c>
      <c r="BB32" s="193">
        <f t="shared" si="94"/>
        <v>0</v>
      </c>
      <c r="BC32" s="102">
        <f t="shared" si="95"/>
        <v>0</v>
      </c>
      <c r="BD32" s="102">
        <f t="shared" si="96"/>
        <v>0</v>
      </c>
      <c r="BE32" s="413" t="s">
        <v>69</v>
      </c>
    </row>
    <row r="33" spans="1:57" s="65" customFormat="1" ht="12" customHeight="1" x14ac:dyDescent="0.2">
      <c r="A33" s="43">
        <v>18</v>
      </c>
      <c r="B33" s="166"/>
      <c r="C33" s="166"/>
      <c r="D33" s="166"/>
      <c r="E33" s="162"/>
      <c r="F33" s="166"/>
      <c r="G33" s="162"/>
      <c r="H33" s="162"/>
      <c r="I33" s="189">
        <f t="shared" si="74"/>
        <v>0</v>
      </c>
      <c r="J33" s="195"/>
      <c r="K33" s="162"/>
      <c r="L33" s="168"/>
      <c r="M33" s="75">
        <f>_xlfn.XLOOKUP(L33,list_vat[Страна],list_vat[Ставка НДС %],0,0)</f>
        <v>0</v>
      </c>
      <c r="N33" s="162">
        <f t="shared" si="57"/>
        <v>0</v>
      </c>
      <c r="O33" s="169"/>
      <c r="P33" s="74">
        <f t="shared" si="97"/>
        <v>0</v>
      </c>
      <c r="Q33" s="162"/>
      <c r="R33" s="162" t="str">
        <f t="shared" si="75"/>
        <v>введи курс</v>
      </c>
      <c r="S33" s="196">
        <f t="shared" si="76"/>
        <v>0</v>
      </c>
      <c r="T33" s="192">
        <f t="shared" si="77"/>
        <v>0</v>
      </c>
      <c r="U33" s="76">
        <f t="shared" si="78"/>
        <v>0</v>
      </c>
      <c r="V33" s="123">
        <f t="shared" si="79"/>
        <v>0</v>
      </c>
      <c r="W33" s="191"/>
      <c r="X33" s="170"/>
      <c r="Y33" s="74">
        <f t="shared" si="60"/>
        <v>0</v>
      </c>
      <c r="Z33" s="188"/>
      <c r="AA33" s="130">
        <f t="shared" si="80"/>
        <v>0</v>
      </c>
      <c r="AB33" s="74">
        <f t="shared" si="81"/>
        <v>0</v>
      </c>
      <c r="AC33" s="356"/>
      <c r="AD33" s="130" cm="1">
        <f t="array" ref="AD33">IFERROR(ROUND((_xlfn.IFS(offer_sale_type="поставка",AB33,offer_sale_type="транзит",S33)*(1+AC33))/E33,2),0)</f>
        <v>0</v>
      </c>
      <c r="AE33" s="74">
        <f t="shared" si="82"/>
        <v>0</v>
      </c>
      <c r="AF33" s="123" cm="1">
        <f t="array" ref="AF33">IFERROR(ROUND(_xlfn.IFS(offer_sale_type="поставка",AB33,offer_sale_type="транзит",S33)*AC33,2),0)</f>
        <v>0</v>
      </c>
      <c r="AG33" s="130">
        <f t="shared" si="62"/>
        <v>0</v>
      </c>
      <c r="AH33" s="74">
        <f t="shared" si="63"/>
        <v>0</v>
      </c>
      <c r="AI33" s="123">
        <f t="shared" si="64"/>
        <v>0</v>
      </c>
      <c r="AJ33" s="118">
        <f t="shared" si="83"/>
        <v>0</v>
      </c>
      <c r="AK33" s="74">
        <f t="shared" si="84"/>
        <v>0</v>
      </c>
      <c r="AL33" s="174">
        <f t="shared" si="85"/>
        <v>0</v>
      </c>
      <c r="AM33" s="175">
        <f t="shared" si="65"/>
        <v>0</v>
      </c>
      <c r="AN33" s="130">
        <f t="shared" si="86"/>
        <v>0</v>
      </c>
      <c r="AO33" s="74">
        <f t="shared" si="66"/>
        <v>0</v>
      </c>
      <c r="AP33" s="123">
        <f t="shared" si="87"/>
        <v>0</v>
      </c>
      <c r="AQ33" s="118">
        <f t="shared" si="88"/>
        <v>0</v>
      </c>
      <c r="AR33" s="82" t="str">
        <f t="shared" si="89"/>
        <v>https://www.alta.ru/tnved/code//</v>
      </c>
      <c r="AS33" s="157"/>
      <c r="AT33" s="162"/>
      <c r="AU33" s="74">
        <f t="shared" si="90"/>
        <v>0</v>
      </c>
      <c r="AV33" s="157"/>
      <c r="AW33" s="75">
        <f>_xlfn.IFNA(VLOOKUP(L33,list_vat[],3,FALSE),0)</f>
        <v>0</v>
      </c>
      <c r="AX33" s="74">
        <f t="shared" si="91"/>
        <v>0</v>
      </c>
      <c r="AY33" s="74">
        <f t="shared" si="92"/>
        <v>0</v>
      </c>
      <c r="AZ33" s="130">
        <f t="shared" si="93"/>
        <v>0</v>
      </c>
      <c r="BA33" s="74">
        <f t="shared" si="72"/>
        <v>0</v>
      </c>
      <c r="BB33" s="193">
        <f t="shared" si="94"/>
        <v>0</v>
      </c>
      <c r="BC33" s="102">
        <f t="shared" si="95"/>
        <v>0</v>
      </c>
      <c r="BD33" s="102">
        <f t="shared" si="96"/>
        <v>0</v>
      </c>
      <c r="BE33" s="413" t="s">
        <v>69</v>
      </c>
    </row>
    <row r="34" spans="1:57" s="65" customFormat="1" ht="12" customHeight="1" x14ac:dyDescent="0.2">
      <c r="A34" s="43">
        <v>19</v>
      </c>
      <c r="B34" s="166"/>
      <c r="C34" s="166"/>
      <c r="D34" s="166"/>
      <c r="E34" s="162"/>
      <c r="F34" s="166"/>
      <c r="G34" s="162"/>
      <c r="H34" s="162"/>
      <c r="I34" s="189">
        <f t="shared" si="74"/>
        <v>0</v>
      </c>
      <c r="J34" s="195"/>
      <c r="K34" s="162"/>
      <c r="L34" s="168"/>
      <c r="M34" s="75">
        <f>_xlfn.XLOOKUP(L34,list_vat[Страна],list_vat[Ставка НДС %],0,0)</f>
        <v>0</v>
      </c>
      <c r="N34" s="162">
        <f t="shared" si="57"/>
        <v>0</v>
      </c>
      <c r="O34" s="169"/>
      <c r="P34" s="74">
        <f t="shared" si="97"/>
        <v>0</v>
      </c>
      <c r="Q34" s="162"/>
      <c r="R34" s="162" t="str">
        <f t="shared" si="75"/>
        <v>введи курс</v>
      </c>
      <c r="S34" s="196">
        <f t="shared" si="76"/>
        <v>0</v>
      </c>
      <c r="T34" s="192">
        <f t="shared" si="77"/>
        <v>0</v>
      </c>
      <c r="U34" s="76">
        <f t="shared" si="78"/>
        <v>0</v>
      </c>
      <c r="V34" s="123">
        <f t="shared" si="79"/>
        <v>0</v>
      </c>
      <c r="W34" s="191"/>
      <c r="X34" s="170"/>
      <c r="Y34" s="74">
        <f t="shared" si="60"/>
        <v>0</v>
      </c>
      <c r="Z34" s="188"/>
      <c r="AA34" s="130">
        <f t="shared" si="80"/>
        <v>0</v>
      </c>
      <c r="AB34" s="74">
        <f t="shared" si="81"/>
        <v>0</v>
      </c>
      <c r="AC34" s="356"/>
      <c r="AD34" s="130" cm="1">
        <f t="array" ref="AD34">IFERROR(ROUND((_xlfn.IFS(offer_sale_type="поставка",AB34,offer_sale_type="транзит",S34)*(1+AC34))/E34,2),0)</f>
        <v>0</v>
      </c>
      <c r="AE34" s="74">
        <f t="shared" si="82"/>
        <v>0</v>
      </c>
      <c r="AF34" s="123" cm="1">
        <f t="array" ref="AF34">IFERROR(ROUND(_xlfn.IFS(offer_sale_type="поставка",AB34,offer_sale_type="транзит",S34)*AC34,2),0)</f>
        <v>0</v>
      </c>
      <c r="AG34" s="130">
        <f t="shared" si="62"/>
        <v>0</v>
      </c>
      <c r="AH34" s="74">
        <f t="shared" si="63"/>
        <v>0</v>
      </c>
      <c r="AI34" s="123">
        <f t="shared" si="64"/>
        <v>0</v>
      </c>
      <c r="AJ34" s="118">
        <f t="shared" si="83"/>
        <v>0</v>
      </c>
      <c r="AK34" s="74">
        <f t="shared" si="84"/>
        <v>0</v>
      </c>
      <c r="AL34" s="174">
        <f t="shared" si="85"/>
        <v>0</v>
      </c>
      <c r="AM34" s="175">
        <f t="shared" si="65"/>
        <v>0</v>
      </c>
      <c r="AN34" s="130">
        <f t="shared" si="86"/>
        <v>0</v>
      </c>
      <c r="AO34" s="74">
        <f t="shared" si="66"/>
        <v>0</v>
      </c>
      <c r="AP34" s="123">
        <f t="shared" si="87"/>
        <v>0</v>
      </c>
      <c r="AQ34" s="118">
        <f t="shared" si="88"/>
        <v>0</v>
      </c>
      <c r="AR34" s="82" t="str">
        <f t="shared" si="89"/>
        <v>https://www.alta.ru/tnved/code//</v>
      </c>
      <c r="AS34" s="157"/>
      <c r="AT34" s="162"/>
      <c r="AU34" s="74">
        <f t="shared" si="90"/>
        <v>0</v>
      </c>
      <c r="AV34" s="157"/>
      <c r="AW34" s="75">
        <f>_xlfn.IFNA(VLOOKUP(L34,list_vat[],3,FALSE),0)</f>
        <v>0</v>
      </c>
      <c r="AX34" s="74">
        <f t="shared" si="91"/>
        <v>0</v>
      </c>
      <c r="AY34" s="74">
        <f t="shared" si="92"/>
        <v>0</v>
      </c>
      <c r="AZ34" s="130">
        <f t="shared" si="93"/>
        <v>0</v>
      </c>
      <c r="BA34" s="74">
        <f t="shared" si="72"/>
        <v>0</v>
      </c>
      <c r="BB34" s="193">
        <f t="shared" si="94"/>
        <v>0</v>
      </c>
      <c r="BC34" s="102">
        <f t="shared" si="95"/>
        <v>0</v>
      </c>
      <c r="BD34" s="102">
        <f t="shared" si="96"/>
        <v>0</v>
      </c>
      <c r="BE34" s="413" t="s">
        <v>69</v>
      </c>
    </row>
    <row r="35" spans="1:57" s="65" customFormat="1" ht="12" customHeight="1" x14ac:dyDescent="0.2">
      <c r="A35" s="43">
        <v>20</v>
      </c>
      <c r="B35" s="166"/>
      <c r="C35" s="166"/>
      <c r="D35" s="166"/>
      <c r="E35" s="162"/>
      <c r="F35" s="166"/>
      <c r="G35" s="162"/>
      <c r="H35" s="162"/>
      <c r="I35" s="189">
        <f t="shared" si="74"/>
        <v>0</v>
      </c>
      <c r="J35" s="195"/>
      <c r="K35" s="162"/>
      <c r="L35" s="168"/>
      <c r="M35" s="75">
        <f>_xlfn.XLOOKUP(L35,list_vat[Страна],list_vat[Ставка НДС %],0,0)</f>
        <v>0</v>
      </c>
      <c r="N35" s="162">
        <f t="shared" si="57"/>
        <v>0</v>
      </c>
      <c r="O35" s="169"/>
      <c r="P35" s="74">
        <f t="shared" si="97"/>
        <v>0</v>
      </c>
      <c r="Q35" s="162"/>
      <c r="R35" s="162" t="str">
        <f t="shared" si="75"/>
        <v>введи курс</v>
      </c>
      <c r="S35" s="196">
        <f t="shared" si="76"/>
        <v>0</v>
      </c>
      <c r="T35" s="192">
        <f t="shared" si="77"/>
        <v>0</v>
      </c>
      <c r="U35" s="76">
        <f t="shared" si="78"/>
        <v>0</v>
      </c>
      <c r="V35" s="123">
        <f t="shared" si="79"/>
        <v>0</v>
      </c>
      <c r="W35" s="191"/>
      <c r="X35" s="170"/>
      <c r="Y35" s="74">
        <f t="shared" si="60"/>
        <v>0</v>
      </c>
      <c r="Z35" s="188"/>
      <c r="AA35" s="130">
        <f t="shared" si="80"/>
        <v>0</v>
      </c>
      <c r="AB35" s="74">
        <f t="shared" si="81"/>
        <v>0</v>
      </c>
      <c r="AC35" s="356"/>
      <c r="AD35" s="130" cm="1">
        <f t="array" ref="AD35">IFERROR(ROUND((_xlfn.IFS(offer_sale_type="поставка",AB35,offer_sale_type="транзит",S35)*(1+AC35))/E35,2),0)</f>
        <v>0</v>
      </c>
      <c r="AE35" s="74">
        <f t="shared" si="82"/>
        <v>0</v>
      </c>
      <c r="AF35" s="123" cm="1">
        <f t="array" ref="AF35">IFERROR(ROUND(_xlfn.IFS(offer_sale_type="поставка",AB35,offer_sale_type="транзит",S35)*AC35,2),0)</f>
        <v>0</v>
      </c>
      <c r="AG35" s="130">
        <f t="shared" si="62"/>
        <v>0</v>
      </c>
      <c r="AH35" s="74">
        <f t="shared" si="63"/>
        <v>0</v>
      </c>
      <c r="AI35" s="123">
        <f t="shared" si="64"/>
        <v>0</v>
      </c>
      <c r="AJ35" s="118">
        <f t="shared" si="83"/>
        <v>0</v>
      </c>
      <c r="AK35" s="74">
        <f t="shared" si="84"/>
        <v>0</v>
      </c>
      <c r="AL35" s="174">
        <f t="shared" si="85"/>
        <v>0</v>
      </c>
      <c r="AM35" s="175">
        <f t="shared" si="65"/>
        <v>0</v>
      </c>
      <c r="AN35" s="130">
        <f t="shared" si="86"/>
        <v>0</v>
      </c>
      <c r="AO35" s="74">
        <f t="shared" si="66"/>
        <v>0</v>
      </c>
      <c r="AP35" s="123">
        <f t="shared" si="87"/>
        <v>0</v>
      </c>
      <c r="AQ35" s="118">
        <f t="shared" si="88"/>
        <v>0</v>
      </c>
      <c r="AR35" s="82" t="str">
        <f t="shared" si="89"/>
        <v>https://www.alta.ru/tnved/code//</v>
      </c>
      <c r="AS35" s="157"/>
      <c r="AT35" s="162"/>
      <c r="AU35" s="74">
        <f t="shared" si="90"/>
        <v>0</v>
      </c>
      <c r="AV35" s="157"/>
      <c r="AW35" s="75">
        <f>_xlfn.IFNA(VLOOKUP(L35,list_vat[],3,FALSE),0)</f>
        <v>0</v>
      </c>
      <c r="AX35" s="74">
        <f t="shared" si="91"/>
        <v>0</v>
      </c>
      <c r="AY35" s="74">
        <f t="shared" si="92"/>
        <v>0</v>
      </c>
      <c r="AZ35" s="130">
        <f t="shared" si="93"/>
        <v>0</v>
      </c>
      <c r="BA35" s="74">
        <f t="shared" si="72"/>
        <v>0</v>
      </c>
      <c r="BB35" s="193">
        <f t="shared" si="94"/>
        <v>0</v>
      </c>
      <c r="BC35" s="102">
        <f t="shared" si="95"/>
        <v>0</v>
      </c>
      <c r="BD35" s="102">
        <f t="shared" si="96"/>
        <v>0</v>
      </c>
      <c r="BE35" s="413" t="s">
        <v>69</v>
      </c>
    </row>
    <row r="36" spans="1:57" s="65" customFormat="1" ht="12" customHeight="1" x14ac:dyDescent="0.2">
      <c r="A36" s="43">
        <v>21</v>
      </c>
      <c r="B36" s="166"/>
      <c r="C36" s="166"/>
      <c r="D36" s="166"/>
      <c r="E36" s="162"/>
      <c r="F36" s="166"/>
      <c r="G36" s="162"/>
      <c r="H36" s="162"/>
      <c r="I36" s="189">
        <f t="shared" si="74"/>
        <v>0</v>
      </c>
      <c r="J36" s="195"/>
      <c r="K36" s="162"/>
      <c r="L36" s="168"/>
      <c r="M36" s="75">
        <f>_xlfn.XLOOKUP(L36,list_vat[Страна],list_vat[Ставка НДС %],0,0)</f>
        <v>0</v>
      </c>
      <c r="N36" s="162">
        <f t="shared" si="57"/>
        <v>0</v>
      </c>
      <c r="O36" s="169"/>
      <c r="P36" s="74">
        <f t="shared" si="97"/>
        <v>0</v>
      </c>
      <c r="Q36" s="162"/>
      <c r="R36" s="162" t="str">
        <f t="shared" si="75"/>
        <v>введи курс</v>
      </c>
      <c r="S36" s="196">
        <f t="shared" si="76"/>
        <v>0</v>
      </c>
      <c r="T36" s="192">
        <f t="shared" si="77"/>
        <v>0</v>
      </c>
      <c r="U36" s="76">
        <f t="shared" si="78"/>
        <v>0</v>
      </c>
      <c r="V36" s="123">
        <f t="shared" si="79"/>
        <v>0</v>
      </c>
      <c r="W36" s="191"/>
      <c r="X36" s="170"/>
      <c r="Y36" s="74">
        <f t="shared" si="60"/>
        <v>0</v>
      </c>
      <c r="Z36" s="188"/>
      <c r="AA36" s="130">
        <f t="shared" si="80"/>
        <v>0</v>
      </c>
      <c r="AB36" s="74">
        <f t="shared" si="81"/>
        <v>0</v>
      </c>
      <c r="AC36" s="356"/>
      <c r="AD36" s="130" cm="1">
        <f t="array" ref="AD36">IFERROR(ROUND((_xlfn.IFS(offer_sale_type="поставка",AB36,offer_sale_type="транзит",S36)*(1+AC36))/E36,2),0)</f>
        <v>0</v>
      </c>
      <c r="AE36" s="74">
        <f t="shared" si="82"/>
        <v>0</v>
      </c>
      <c r="AF36" s="123" cm="1">
        <f t="array" ref="AF36">IFERROR(ROUND(_xlfn.IFS(offer_sale_type="поставка",AB36,offer_sale_type="транзит",S36)*AC36,2),0)</f>
        <v>0</v>
      </c>
      <c r="AG36" s="130">
        <f t="shared" si="62"/>
        <v>0</v>
      </c>
      <c r="AH36" s="74">
        <f t="shared" si="63"/>
        <v>0</v>
      </c>
      <c r="AI36" s="123">
        <f t="shared" si="64"/>
        <v>0</v>
      </c>
      <c r="AJ36" s="118">
        <f t="shared" si="83"/>
        <v>0</v>
      </c>
      <c r="AK36" s="74">
        <f t="shared" si="84"/>
        <v>0</v>
      </c>
      <c r="AL36" s="174">
        <f t="shared" si="85"/>
        <v>0</v>
      </c>
      <c r="AM36" s="175">
        <f t="shared" si="65"/>
        <v>0</v>
      </c>
      <c r="AN36" s="130">
        <f t="shared" si="86"/>
        <v>0</v>
      </c>
      <c r="AO36" s="74">
        <f t="shared" si="66"/>
        <v>0</v>
      </c>
      <c r="AP36" s="123">
        <f t="shared" si="87"/>
        <v>0</v>
      </c>
      <c r="AQ36" s="118">
        <f t="shared" si="88"/>
        <v>0</v>
      </c>
      <c r="AR36" s="82" t="str">
        <f t="shared" si="89"/>
        <v>https://www.alta.ru/tnved/code//</v>
      </c>
      <c r="AS36" s="157"/>
      <c r="AT36" s="162"/>
      <c r="AU36" s="74">
        <f t="shared" si="90"/>
        <v>0</v>
      </c>
      <c r="AV36" s="157"/>
      <c r="AW36" s="75">
        <f>_xlfn.IFNA(VLOOKUP(L36,list_vat[],3,FALSE),0)</f>
        <v>0</v>
      </c>
      <c r="AX36" s="74">
        <f t="shared" si="91"/>
        <v>0</v>
      </c>
      <c r="AY36" s="74">
        <f t="shared" si="92"/>
        <v>0</v>
      </c>
      <c r="AZ36" s="130">
        <f t="shared" si="93"/>
        <v>0</v>
      </c>
      <c r="BA36" s="74">
        <f t="shared" si="72"/>
        <v>0</v>
      </c>
      <c r="BB36" s="193">
        <f t="shared" si="94"/>
        <v>0</v>
      </c>
      <c r="BC36" s="102">
        <f t="shared" si="95"/>
        <v>0</v>
      </c>
      <c r="BD36" s="102">
        <f t="shared" si="96"/>
        <v>0</v>
      </c>
      <c r="BE36" s="413" t="s">
        <v>69</v>
      </c>
    </row>
    <row r="37" spans="1:57" s="65" customFormat="1" ht="12" customHeight="1" x14ac:dyDescent="0.2">
      <c r="A37" s="43">
        <v>22</v>
      </c>
      <c r="B37" s="166"/>
      <c r="C37" s="166"/>
      <c r="D37" s="166"/>
      <c r="E37" s="162"/>
      <c r="F37" s="166"/>
      <c r="G37" s="162"/>
      <c r="H37" s="162"/>
      <c r="I37" s="189">
        <f t="shared" si="74"/>
        <v>0</v>
      </c>
      <c r="J37" s="195"/>
      <c r="K37" s="162"/>
      <c r="L37" s="168"/>
      <c r="M37" s="75">
        <f>_xlfn.XLOOKUP(L37,list_vat[Страна],list_vat[Ставка НДС %],0,0)</f>
        <v>0</v>
      </c>
      <c r="N37" s="162">
        <f t="shared" si="57"/>
        <v>0</v>
      </c>
      <c r="O37" s="169"/>
      <c r="P37" s="74">
        <f t="shared" si="97"/>
        <v>0</v>
      </c>
      <c r="Q37" s="162"/>
      <c r="R37" s="162" t="str">
        <f t="shared" si="75"/>
        <v>введи курс</v>
      </c>
      <c r="S37" s="196">
        <f t="shared" si="76"/>
        <v>0</v>
      </c>
      <c r="T37" s="192">
        <f t="shared" si="77"/>
        <v>0</v>
      </c>
      <c r="U37" s="76">
        <f t="shared" si="78"/>
        <v>0</v>
      </c>
      <c r="V37" s="123">
        <f t="shared" si="79"/>
        <v>0</v>
      </c>
      <c r="W37" s="191"/>
      <c r="X37" s="170"/>
      <c r="Y37" s="74">
        <f t="shared" si="60"/>
        <v>0</v>
      </c>
      <c r="Z37" s="188"/>
      <c r="AA37" s="130">
        <f t="shared" si="80"/>
        <v>0</v>
      </c>
      <c r="AB37" s="74">
        <f t="shared" si="81"/>
        <v>0</v>
      </c>
      <c r="AC37" s="356"/>
      <c r="AD37" s="130" cm="1">
        <f t="array" ref="AD37">IFERROR(ROUND((_xlfn.IFS(offer_sale_type="поставка",AB37,offer_sale_type="транзит",S37)*(1+AC37))/E37,2),0)</f>
        <v>0</v>
      </c>
      <c r="AE37" s="74">
        <f t="shared" si="82"/>
        <v>0</v>
      </c>
      <c r="AF37" s="123" cm="1">
        <f t="array" ref="AF37">IFERROR(ROUND(_xlfn.IFS(offer_sale_type="поставка",AB37,offer_sale_type="транзит",S37)*AC37,2),0)</f>
        <v>0</v>
      </c>
      <c r="AG37" s="130">
        <f t="shared" si="62"/>
        <v>0</v>
      </c>
      <c r="AH37" s="74">
        <f t="shared" si="63"/>
        <v>0</v>
      </c>
      <c r="AI37" s="123">
        <f t="shared" si="64"/>
        <v>0</v>
      </c>
      <c r="AJ37" s="118">
        <f t="shared" si="83"/>
        <v>0</v>
      </c>
      <c r="AK37" s="74">
        <f t="shared" si="84"/>
        <v>0</v>
      </c>
      <c r="AL37" s="174">
        <f t="shared" si="85"/>
        <v>0</v>
      </c>
      <c r="AM37" s="175">
        <f t="shared" si="65"/>
        <v>0</v>
      </c>
      <c r="AN37" s="130">
        <f t="shared" si="86"/>
        <v>0</v>
      </c>
      <c r="AO37" s="74">
        <f t="shared" si="66"/>
        <v>0</v>
      </c>
      <c r="AP37" s="123">
        <f t="shared" si="87"/>
        <v>0</v>
      </c>
      <c r="AQ37" s="118">
        <f t="shared" si="88"/>
        <v>0</v>
      </c>
      <c r="AR37" s="82" t="str">
        <f t="shared" si="89"/>
        <v>https://www.alta.ru/tnved/code//</v>
      </c>
      <c r="AS37" s="157"/>
      <c r="AT37" s="162"/>
      <c r="AU37" s="74">
        <f t="shared" si="90"/>
        <v>0</v>
      </c>
      <c r="AV37" s="157"/>
      <c r="AW37" s="75">
        <f>_xlfn.IFNA(VLOOKUP(L37,list_vat[],3,FALSE),0)</f>
        <v>0</v>
      </c>
      <c r="AX37" s="74">
        <f t="shared" si="91"/>
        <v>0</v>
      </c>
      <c r="AY37" s="74">
        <f t="shared" si="92"/>
        <v>0</v>
      </c>
      <c r="AZ37" s="130">
        <f t="shared" si="93"/>
        <v>0</v>
      </c>
      <c r="BA37" s="74">
        <f t="shared" si="72"/>
        <v>0</v>
      </c>
      <c r="BB37" s="193">
        <f t="shared" si="94"/>
        <v>0</v>
      </c>
      <c r="BC37" s="102">
        <f t="shared" si="95"/>
        <v>0</v>
      </c>
      <c r="BD37" s="102">
        <f t="shared" si="96"/>
        <v>0</v>
      </c>
      <c r="BE37" s="413" t="s">
        <v>69</v>
      </c>
    </row>
    <row r="38" spans="1:57" s="65" customFormat="1" ht="12" customHeight="1" x14ac:dyDescent="0.2">
      <c r="A38" s="43">
        <v>23</v>
      </c>
      <c r="B38" s="166"/>
      <c r="C38" s="166"/>
      <c r="D38" s="166"/>
      <c r="E38" s="162"/>
      <c r="F38" s="166"/>
      <c r="G38" s="162"/>
      <c r="H38" s="162"/>
      <c r="I38" s="189">
        <f t="shared" si="74"/>
        <v>0</v>
      </c>
      <c r="J38" s="195"/>
      <c r="K38" s="162"/>
      <c r="L38" s="168"/>
      <c r="M38" s="75">
        <f>_xlfn.XLOOKUP(L38,list_vat[Страна],list_vat[Ставка НДС %],0,0)</f>
        <v>0</v>
      </c>
      <c r="N38" s="162">
        <f t="shared" si="57"/>
        <v>0</v>
      </c>
      <c r="O38" s="169"/>
      <c r="P38" s="74">
        <f t="shared" si="97"/>
        <v>0</v>
      </c>
      <c r="Q38" s="162"/>
      <c r="R38" s="162" t="str">
        <f t="shared" si="75"/>
        <v>введи курс</v>
      </c>
      <c r="S38" s="196">
        <f t="shared" si="76"/>
        <v>0</v>
      </c>
      <c r="T38" s="192">
        <f t="shared" si="77"/>
        <v>0</v>
      </c>
      <c r="U38" s="76">
        <f t="shared" si="78"/>
        <v>0</v>
      </c>
      <c r="V38" s="123">
        <f t="shared" si="79"/>
        <v>0</v>
      </c>
      <c r="W38" s="191"/>
      <c r="X38" s="170"/>
      <c r="Y38" s="74">
        <f t="shared" si="60"/>
        <v>0</v>
      </c>
      <c r="Z38" s="188"/>
      <c r="AA38" s="130">
        <f t="shared" si="80"/>
        <v>0</v>
      </c>
      <c r="AB38" s="74">
        <f t="shared" si="81"/>
        <v>0</v>
      </c>
      <c r="AC38" s="356"/>
      <c r="AD38" s="130" cm="1">
        <f t="array" ref="AD38">IFERROR(ROUND((_xlfn.IFS(offer_sale_type="поставка",AB38,offer_sale_type="транзит",S38)*(1+AC38))/E38,2),0)</f>
        <v>0</v>
      </c>
      <c r="AE38" s="74">
        <f t="shared" si="82"/>
        <v>0</v>
      </c>
      <c r="AF38" s="123" cm="1">
        <f t="array" ref="AF38">IFERROR(ROUND(_xlfn.IFS(offer_sale_type="поставка",AB38,offer_sale_type="транзит",S38)*AC38,2),0)</f>
        <v>0</v>
      </c>
      <c r="AG38" s="130">
        <f t="shared" si="62"/>
        <v>0</v>
      </c>
      <c r="AH38" s="74">
        <f t="shared" si="63"/>
        <v>0</v>
      </c>
      <c r="AI38" s="123">
        <f t="shared" si="64"/>
        <v>0</v>
      </c>
      <c r="AJ38" s="118">
        <f t="shared" si="83"/>
        <v>0</v>
      </c>
      <c r="AK38" s="74">
        <f t="shared" si="84"/>
        <v>0</v>
      </c>
      <c r="AL38" s="174">
        <f t="shared" si="85"/>
        <v>0</v>
      </c>
      <c r="AM38" s="175">
        <f t="shared" si="65"/>
        <v>0</v>
      </c>
      <c r="AN38" s="130">
        <f t="shared" si="86"/>
        <v>0</v>
      </c>
      <c r="AO38" s="74">
        <f t="shared" si="66"/>
        <v>0</v>
      </c>
      <c r="AP38" s="123">
        <f t="shared" si="87"/>
        <v>0</v>
      </c>
      <c r="AQ38" s="118">
        <f t="shared" si="88"/>
        <v>0</v>
      </c>
      <c r="AR38" s="82" t="str">
        <f t="shared" si="89"/>
        <v>https://www.alta.ru/tnved/code//</v>
      </c>
      <c r="AS38" s="157"/>
      <c r="AT38" s="162"/>
      <c r="AU38" s="74">
        <f t="shared" si="90"/>
        <v>0</v>
      </c>
      <c r="AV38" s="157"/>
      <c r="AW38" s="75">
        <f>_xlfn.IFNA(VLOOKUP(L38,list_vat[],3,FALSE),0)</f>
        <v>0</v>
      </c>
      <c r="AX38" s="74">
        <f t="shared" si="91"/>
        <v>0</v>
      </c>
      <c r="AY38" s="74">
        <f t="shared" si="92"/>
        <v>0</v>
      </c>
      <c r="AZ38" s="130">
        <f t="shared" si="93"/>
        <v>0</v>
      </c>
      <c r="BA38" s="74">
        <f t="shared" si="72"/>
        <v>0</v>
      </c>
      <c r="BB38" s="193">
        <f t="shared" si="94"/>
        <v>0</v>
      </c>
      <c r="BC38" s="102">
        <f t="shared" si="95"/>
        <v>0</v>
      </c>
      <c r="BD38" s="102">
        <f t="shared" si="96"/>
        <v>0</v>
      </c>
      <c r="BE38" s="413" t="s">
        <v>69</v>
      </c>
    </row>
    <row r="39" spans="1:57" s="65" customFormat="1" ht="12" customHeight="1" x14ac:dyDescent="0.2">
      <c r="A39" s="43">
        <v>24</v>
      </c>
      <c r="B39" s="166"/>
      <c r="C39" s="166"/>
      <c r="D39" s="166"/>
      <c r="E39" s="162"/>
      <c r="F39" s="166"/>
      <c r="G39" s="162"/>
      <c r="H39" s="162"/>
      <c r="I39" s="189">
        <f t="shared" si="74"/>
        <v>0</v>
      </c>
      <c r="J39" s="195"/>
      <c r="K39" s="162"/>
      <c r="L39" s="168"/>
      <c r="M39" s="75">
        <f>_xlfn.XLOOKUP(L39,list_vat[Страна],list_vat[Ставка НДС %],0,0)</f>
        <v>0</v>
      </c>
      <c r="N39" s="162">
        <f t="shared" si="57"/>
        <v>0</v>
      </c>
      <c r="O39" s="169"/>
      <c r="P39" s="74">
        <f t="shared" si="97"/>
        <v>0</v>
      </c>
      <c r="Q39" s="162"/>
      <c r="R39" s="162" t="str">
        <f t="shared" si="75"/>
        <v>введи курс</v>
      </c>
      <c r="S39" s="196">
        <f t="shared" si="76"/>
        <v>0</v>
      </c>
      <c r="T39" s="192">
        <f t="shared" si="77"/>
        <v>0</v>
      </c>
      <c r="U39" s="76">
        <f t="shared" si="78"/>
        <v>0</v>
      </c>
      <c r="V39" s="123">
        <f t="shared" si="79"/>
        <v>0</v>
      </c>
      <c r="W39" s="191"/>
      <c r="X39" s="170"/>
      <c r="Y39" s="74">
        <f t="shared" si="60"/>
        <v>0</v>
      </c>
      <c r="Z39" s="188"/>
      <c r="AA39" s="130">
        <f t="shared" si="80"/>
        <v>0</v>
      </c>
      <c r="AB39" s="74">
        <f t="shared" si="81"/>
        <v>0</v>
      </c>
      <c r="AC39" s="356"/>
      <c r="AD39" s="130" cm="1">
        <f t="array" ref="AD39">IFERROR(ROUND((_xlfn.IFS(offer_sale_type="поставка",AB39,offer_sale_type="транзит",S39)*(1+AC39))/E39,2),0)</f>
        <v>0</v>
      </c>
      <c r="AE39" s="74">
        <f t="shared" si="82"/>
        <v>0</v>
      </c>
      <c r="AF39" s="123" cm="1">
        <f t="array" ref="AF39">IFERROR(ROUND(_xlfn.IFS(offer_sale_type="поставка",AB39,offer_sale_type="транзит",S39)*AC39,2),0)</f>
        <v>0</v>
      </c>
      <c r="AG39" s="130">
        <f t="shared" si="62"/>
        <v>0</v>
      </c>
      <c r="AH39" s="74">
        <f t="shared" si="63"/>
        <v>0</v>
      </c>
      <c r="AI39" s="123">
        <f t="shared" si="64"/>
        <v>0</v>
      </c>
      <c r="AJ39" s="118">
        <f t="shared" si="83"/>
        <v>0</v>
      </c>
      <c r="AK39" s="74">
        <f t="shared" si="84"/>
        <v>0</v>
      </c>
      <c r="AL39" s="174">
        <f t="shared" si="85"/>
        <v>0</v>
      </c>
      <c r="AM39" s="175">
        <f t="shared" si="65"/>
        <v>0</v>
      </c>
      <c r="AN39" s="130">
        <f t="shared" si="86"/>
        <v>0</v>
      </c>
      <c r="AO39" s="74">
        <f t="shared" si="66"/>
        <v>0</v>
      </c>
      <c r="AP39" s="123">
        <f t="shared" si="87"/>
        <v>0</v>
      </c>
      <c r="AQ39" s="118">
        <f t="shared" si="88"/>
        <v>0</v>
      </c>
      <c r="AR39" s="82" t="str">
        <f t="shared" si="89"/>
        <v>https://www.alta.ru/tnved/code//</v>
      </c>
      <c r="AS39" s="157"/>
      <c r="AT39" s="162"/>
      <c r="AU39" s="74">
        <f t="shared" si="90"/>
        <v>0</v>
      </c>
      <c r="AV39" s="157"/>
      <c r="AW39" s="75">
        <f>_xlfn.IFNA(VLOOKUP(L39,list_vat[],3,FALSE),0)</f>
        <v>0</v>
      </c>
      <c r="AX39" s="74">
        <f t="shared" si="91"/>
        <v>0</v>
      </c>
      <c r="AY39" s="74">
        <f t="shared" si="92"/>
        <v>0</v>
      </c>
      <c r="AZ39" s="130">
        <f t="shared" si="93"/>
        <v>0</v>
      </c>
      <c r="BA39" s="74">
        <f t="shared" si="72"/>
        <v>0</v>
      </c>
      <c r="BB39" s="193">
        <f t="shared" si="94"/>
        <v>0</v>
      </c>
      <c r="BC39" s="102">
        <f t="shared" si="95"/>
        <v>0</v>
      </c>
      <c r="BD39" s="102">
        <f t="shared" si="96"/>
        <v>0</v>
      </c>
      <c r="BE39" s="413" t="s">
        <v>69</v>
      </c>
    </row>
    <row r="40" spans="1:57" s="65" customFormat="1" ht="12" customHeight="1" x14ac:dyDescent="0.2">
      <c r="A40" s="43">
        <v>25</v>
      </c>
      <c r="B40" s="166"/>
      <c r="C40" s="166"/>
      <c r="D40" s="166"/>
      <c r="E40" s="162"/>
      <c r="F40" s="166"/>
      <c r="G40" s="162"/>
      <c r="H40" s="162"/>
      <c r="I40" s="189">
        <f t="shared" si="74"/>
        <v>0</v>
      </c>
      <c r="J40" s="195"/>
      <c r="K40" s="162"/>
      <c r="L40" s="168"/>
      <c r="M40" s="75">
        <f>_xlfn.XLOOKUP(L40,list_vat[Страна],list_vat[Ставка НДС %],0,0)</f>
        <v>0</v>
      </c>
      <c r="N40" s="162">
        <f t="shared" si="57"/>
        <v>0</v>
      </c>
      <c r="O40" s="169"/>
      <c r="P40" s="74">
        <f t="shared" si="97"/>
        <v>0</v>
      </c>
      <c r="Q40" s="162"/>
      <c r="R40" s="162" t="str">
        <f t="shared" si="75"/>
        <v>введи курс</v>
      </c>
      <c r="S40" s="196">
        <f t="shared" si="76"/>
        <v>0</v>
      </c>
      <c r="T40" s="192">
        <f t="shared" si="77"/>
        <v>0</v>
      </c>
      <c r="U40" s="76">
        <f t="shared" si="78"/>
        <v>0</v>
      </c>
      <c r="V40" s="123">
        <f t="shared" si="79"/>
        <v>0</v>
      </c>
      <c r="W40" s="191"/>
      <c r="X40" s="170"/>
      <c r="Y40" s="74">
        <f t="shared" si="60"/>
        <v>0</v>
      </c>
      <c r="Z40" s="188"/>
      <c r="AA40" s="130">
        <f t="shared" si="80"/>
        <v>0</v>
      </c>
      <c r="AB40" s="74">
        <f t="shared" si="81"/>
        <v>0</v>
      </c>
      <c r="AC40" s="356"/>
      <c r="AD40" s="130" cm="1">
        <f t="array" ref="AD40">IFERROR(ROUND((_xlfn.IFS(offer_sale_type="поставка",AB40,offer_sale_type="транзит",S40)*(1+AC40))/E40,2),0)</f>
        <v>0</v>
      </c>
      <c r="AE40" s="74">
        <f t="shared" si="82"/>
        <v>0</v>
      </c>
      <c r="AF40" s="123" cm="1">
        <f t="array" ref="AF40">IFERROR(ROUND(_xlfn.IFS(offer_sale_type="поставка",AB40,offer_sale_type="транзит",S40)*AC40,2),0)</f>
        <v>0</v>
      </c>
      <c r="AG40" s="130">
        <f t="shared" si="62"/>
        <v>0</v>
      </c>
      <c r="AH40" s="74">
        <f t="shared" si="63"/>
        <v>0</v>
      </c>
      <c r="AI40" s="123">
        <f t="shared" si="64"/>
        <v>0</v>
      </c>
      <c r="AJ40" s="118">
        <f t="shared" si="83"/>
        <v>0</v>
      </c>
      <c r="AK40" s="74">
        <f t="shared" si="84"/>
        <v>0</v>
      </c>
      <c r="AL40" s="174">
        <f t="shared" si="85"/>
        <v>0</v>
      </c>
      <c r="AM40" s="175">
        <f t="shared" si="65"/>
        <v>0</v>
      </c>
      <c r="AN40" s="130">
        <f t="shared" si="86"/>
        <v>0</v>
      </c>
      <c r="AO40" s="74">
        <f t="shared" si="66"/>
        <v>0</v>
      </c>
      <c r="AP40" s="123">
        <f t="shared" si="87"/>
        <v>0</v>
      </c>
      <c r="AQ40" s="118">
        <f t="shared" si="88"/>
        <v>0</v>
      </c>
      <c r="AR40" s="82" t="str">
        <f t="shared" si="89"/>
        <v>https://www.alta.ru/tnved/code//</v>
      </c>
      <c r="AS40" s="157"/>
      <c r="AT40" s="162"/>
      <c r="AU40" s="74">
        <f t="shared" si="90"/>
        <v>0</v>
      </c>
      <c r="AV40" s="157"/>
      <c r="AW40" s="75">
        <f>_xlfn.IFNA(VLOOKUP(L40,list_vat[],3,FALSE),0)</f>
        <v>0</v>
      </c>
      <c r="AX40" s="74">
        <f t="shared" si="91"/>
        <v>0</v>
      </c>
      <c r="AY40" s="74">
        <f t="shared" si="92"/>
        <v>0</v>
      </c>
      <c r="AZ40" s="130">
        <f t="shared" si="93"/>
        <v>0</v>
      </c>
      <c r="BA40" s="74">
        <f t="shared" si="72"/>
        <v>0</v>
      </c>
      <c r="BB40" s="193">
        <f t="shared" si="94"/>
        <v>0</v>
      </c>
      <c r="BC40" s="102">
        <f t="shared" si="95"/>
        <v>0</v>
      </c>
      <c r="BD40" s="102">
        <f t="shared" si="96"/>
        <v>0</v>
      </c>
      <c r="BE40" s="413" t="s">
        <v>69</v>
      </c>
    </row>
    <row r="41" spans="1:57" s="65" customFormat="1" ht="12" customHeight="1" x14ac:dyDescent="0.2">
      <c r="A41" s="43">
        <v>26</v>
      </c>
      <c r="B41" s="166"/>
      <c r="C41" s="166"/>
      <c r="D41" s="166"/>
      <c r="E41" s="162"/>
      <c r="F41" s="166"/>
      <c r="G41" s="162"/>
      <c r="H41" s="162"/>
      <c r="I41" s="189">
        <f t="shared" si="74"/>
        <v>0</v>
      </c>
      <c r="J41" s="195"/>
      <c r="K41" s="162"/>
      <c r="L41" s="168"/>
      <c r="M41" s="75">
        <f>_xlfn.XLOOKUP(L41,list_vat[Страна],list_vat[Ставка НДС %],0,0)</f>
        <v>0</v>
      </c>
      <c r="N41" s="162">
        <f t="shared" si="57"/>
        <v>0</v>
      </c>
      <c r="O41" s="169"/>
      <c r="P41" s="74">
        <f t="shared" si="97"/>
        <v>0</v>
      </c>
      <c r="Q41" s="162"/>
      <c r="R41" s="162" t="str">
        <f t="shared" si="75"/>
        <v>введи курс</v>
      </c>
      <c r="S41" s="196">
        <f t="shared" si="76"/>
        <v>0</v>
      </c>
      <c r="T41" s="192">
        <f t="shared" si="77"/>
        <v>0</v>
      </c>
      <c r="U41" s="76">
        <f t="shared" si="78"/>
        <v>0</v>
      </c>
      <c r="V41" s="123">
        <f t="shared" si="79"/>
        <v>0</v>
      </c>
      <c r="W41" s="191"/>
      <c r="X41" s="170"/>
      <c r="Y41" s="74">
        <f t="shared" si="60"/>
        <v>0</v>
      </c>
      <c r="Z41" s="188"/>
      <c r="AA41" s="130">
        <f t="shared" si="80"/>
        <v>0</v>
      </c>
      <c r="AB41" s="74">
        <f t="shared" si="81"/>
        <v>0</v>
      </c>
      <c r="AC41" s="356"/>
      <c r="AD41" s="130" cm="1">
        <f t="array" ref="AD41">IFERROR(ROUND((_xlfn.IFS(offer_sale_type="поставка",AB41,offer_sale_type="транзит",S41)*(1+AC41))/E41,2),0)</f>
        <v>0</v>
      </c>
      <c r="AE41" s="74">
        <f t="shared" si="82"/>
        <v>0</v>
      </c>
      <c r="AF41" s="123" cm="1">
        <f t="array" ref="AF41">IFERROR(ROUND(_xlfn.IFS(offer_sale_type="поставка",AB41,offer_sale_type="транзит",S41)*AC41,2),0)</f>
        <v>0</v>
      </c>
      <c r="AG41" s="130">
        <f t="shared" si="62"/>
        <v>0</v>
      </c>
      <c r="AH41" s="74">
        <f t="shared" si="63"/>
        <v>0</v>
      </c>
      <c r="AI41" s="123">
        <f t="shared" si="64"/>
        <v>0</v>
      </c>
      <c r="AJ41" s="118">
        <f t="shared" si="83"/>
        <v>0</v>
      </c>
      <c r="AK41" s="74">
        <f t="shared" si="84"/>
        <v>0</v>
      </c>
      <c r="AL41" s="174">
        <f t="shared" si="85"/>
        <v>0</v>
      </c>
      <c r="AM41" s="175">
        <f t="shared" si="65"/>
        <v>0</v>
      </c>
      <c r="AN41" s="130">
        <f t="shared" si="86"/>
        <v>0</v>
      </c>
      <c r="AO41" s="74">
        <f t="shared" si="66"/>
        <v>0</v>
      </c>
      <c r="AP41" s="123">
        <f t="shared" si="87"/>
        <v>0</v>
      </c>
      <c r="AQ41" s="118">
        <f t="shared" si="88"/>
        <v>0</v>
      </c>
      <c r="AR41" s="82" t="str">
        <f t="shared" si="89"/>
        <v>https://www.alta.ru/tnved/code//</v>
      </c>
      <c r="AS41" s="157"/>
      <c r="AT41" s="162"/>
      <c r="AU41" s="74">
        <f t="shared" si="90"/>
        <v>0</v>
      </c>
      <c r="AV41" s="157"/>
      <c r="AW41" s="75">
        <f>_xlfn.IFNA(VLOOKUP(L41,list_vat[],3,FALSE),0)</f>
        <v>0</v>
      </c>
      <c r="AX41" s="74">
        <f t="shared" si="91"/>
        <v>0</v>
      </c>
      <c r="AY41" s="74">
        <f t="shared" si="92"/>
        <v>0</v>
      </c>
      <c r="AZ41" s="130">
        <f t="shared" si="93"/>
        <v>0</v>
      </c>
      <c r="BA41" s="74">
        <f t="shared" si="72"/>
        <v>0</v>
      </c>
      <c r="BB41" s="193">
        <f t="shared" si="94"/>
        <v>0</v>
      </c>
      <c r="BC41" s="102">
        <f t="shared" si="95"/>
        <v>0</v>
      </c>
      <c r="BD41" s="102">
        <f t="shared" si="96"/>
        <v>0</v>
      </c>
      <c r="BE41" s="413" t="s">
        <v>69</v>
      </c>
    </row>
    <row r="42" spans="1:57" s="65" customFormat="1" ht="12" customHeight="1" x14ac:dyDescent="0.2">
      <c r="A42" s="43">
        <v>27</v>
      </c>
      <c r="B42" s="166"/>
      <c r="C42" s="166"/>
      <c r="D42" s="166"/>
      <c r="E42" s="162"/>
      <c r="F42" s="166"/>
      <c r="G42" s="162"/>
      <c r="H42" s="162"/>
      <c r="I42" s="189">
        <f t="shared" si="74"/>
        <v>0</v>
      </c>
      <c r="J42" s="195"/>
      <c r="K42" s="162"/>
      <c r="L42" s="168"/>
      <c r="M42" s="75">
        <f>_xlfn.XLOOKUP(L42,list_vat[Страна],list_vat[Ставка НДС %],0,0)</f>
        <v>0</v>
      </c>
      <c r="N42" s="162">
        <f t="shared" si="57"/>
        <v>0</v>
      </c>
      <c r="O42" s="169"/>
      <c r="P42" s="74">
        <f t="shared" si="97"/>
        <v>0</v>
      </c>
      <c r="Q42" s="162"/>
      <c r="R42" s="162" t="str">
        <f t="shared" si="75"/>
        <v>введи курс</v>
      </c>
      <c r="S42" s="196">
        <f t="shared" si="76"/>
        <v>0</v>
      </c>
      <c r="T42" s="192">
        <f t="shared" si="77"/>
        <v>0</v>
      </c>
      <c r="U42" s="76">
        <f t="shared" si="78"/>
        <v>0</v>
      </c>
      <c r="V42" s="123">
        <f t="shared" si="79"/>
        <v>0</v>
      </c>
      <c r="W42" s="191"/>
      <c r="X42" s="170"/>
      <c r="Y42" s="74">
        <f t="shared" si="60"/>
        <v>0</v>
      </c>
      <c r="Z42" s="188"/>
      <c r="AA42" s="130">
        <f t="shared" si="80"/>
        <v>0</v>
      </c>
      <c r="AB42" s="74">
        <f t="shared" si="81"/>
        <v>0</v>
      </c>
      <c r="AC42" s="356"/>
      <c r="AD42" s="130" cm="1">
        <f t="array" ref="AD42">IFERROR(ROUND((_xlfn.IFS(offer_sale_type="поставка",AB42,offer_sale_type="транзит",S42)*(1+AC42))/E42,2),0)</f>
        <v>0</v>
      </c>
      <c r="AE42" s="74">
        <f t="shared" si="82"/>
        <v>0</v>
      </c>
      <c r="AF42" s="123" cm="1">
        <f t="array" ref="AF42">IFERROR(ROUND(_xlfn.IFS(offer_sale_type="поставка",AB42,offer_sale_type="транзит",S42)*AC42,2),0)</f>
        <v>0</v>
      </c>
      <c r="AG42" s="130">
        <f t="shared" si="62"/>
        <v>0</v>
      </c>
      <c r="AH42" s="74">
        <f t="shared" si="63"/>
        <v>0</v>
      </c>
      <c r="AI42" s="123">
        <f t="shared" si="64"/>
        <v>0</v>
      </c>
      <c r="AJ42" s="118">
        <f t="shared" si="83"/>
        <v>0</v>
      </c>
      <c r="AK42" s="74">
        <f t="shared" si="84"/>
        <v>0</v>
      </c>
      <c r="AL42" s="174">
        <f t="shared" si="85"/>
        <v>0</v>
      </c>
      <c r="AM42" s="175">
        <f t="shared" si="65"/>
        <v>0</v>
      </c>
      <c r="AN42" s="130">
        <f t="shared" si="86"/>
        <v>0</v>
      </c>
      <c r="AO42" s="74">
        <f t="shared" si="66"/>
        <v>0</v>
      </c>
      <c r="AP42" s="123">
        <f t="shared" si="87"/>
        <v>0</v>
      </c>
      <c r="AQ42" s="118">
        <f t="shared" si="88"/>
        <v>0</v>
      </c>
      <c r="AR42" s="82" t="str">
        <f t="shared" si="89"/>
        <v>https://www.alta.ru/tnved/code//</v>
      </c>
      <c r="AS42" s="157"/>
      <c r="AT42" s="162"/>
      <c r="AU42" s="74">
        <f t="shared" si="90"/>
        <v>0</v>
      </c>
      <c r="AV42" s="157"/>
      <c r="AW42" s="75">
        <f>_xlfn.IFNA(VLOOKUP(L42,list_vat[],3,FALSE),0)</f>
        <v>0</v>
      </c>
      <c r="AX42" s="74">
        <f t="shared" si="91"/>
        <v>0</v>
      </c>
      <c r="AY42" s="74">
        <f t="shared" si="92"/>
        <v>0</v>
      </c>
      <c r="AZ42" s="130">
        <f t="shared" si="93"/>
        <v>0</v>
      </c>
      <c r="BA42" s="74">
        <f t="shared" si="72"/>
        <v>0</v>
      </c>
      <c r="BB42" s="193">
        <f t="shared" si="94"/>
        <v>0</v>
      </c>
      <c r="BC42" s="102">
        <f t="shared" si="95"/>
        <v>0</v>
      </c>
      <c r="BD42" s="102">
        <f t="shared" si="96"/>
        <v>0</v>
      </c>
      <c r="BE42" s="413" t="s">
        <v>69</v>
      </c>
    </row>
    <row r="43" spans="1:57" s="65" customFormat="1" ht="12" customHeight="1" x14ac:dyDescent="0.2">
      <c r="A43" s="43">
        <v>28</v>
      </c>
      <c r="B43" s="166"/>
      <c r="C43" s="166"/>
      <c r="D43" s="166"/>
      <c r="E43" s="162"/>
      <c r="F43" s="166"/>
      <c r="G43" s="162"/>
      <c r="H43" s="162"/>
      <c r="I43" s="189">
        <f t="shared" si="74"/>
        <v>0</v>
      </c>
      <c r="J43" s="195"/>
      <c r="K43" s="162"/>
      <c r="L43" s="168"/>
      <c r="M43" s="75">
        <f>_xlfn.XLOOKUP(L43,list_vat[Страна],list_vat[Ставка НДС %],0,0)</f>
        <v>0</v>
      </c>
      <c r="N43" s="162">
        <f t="shared" si="57"/>
        <v>0</v>
      </c>
      <c r="O43" s="169"/>
      <c r="P43" s="74">
        <f t="shared" si="97"/>
        <v>0</v>
      </c>
      <c r="Q43" s="162"/>
      <c r="R43" s="162" t="str">
        <f t="shared" si="75"/>
        <v>введи курс</v>
      </c>
      <c r="S43" s="196">
        <f t="shared" si="76"/>
        <v>0</v>
      </c>
      <c r="T43" s="192">
        <f t="shared" si="77"/>
        <v>0</v>
      </c>
      <c r="U43" s="76">
        <f t="shared" si="78"/>
        <v>0</v>
      </c>
      <c r="V43" s="123">
        <f t="shared" si="79"/>
        <v>0</v>
      </c>
      <c r="W43" s="191"/>
      <c r="X43" s="170"/>
      <c r="Y43" s="74">
        <f t="shared" si="60"/>
        <v>0</v>
      </c>
      <c r="Z43" s="188"/>
      <c r="AA43" s="130">
        <f t="shared" si="80"/>
        <v>0</v>
      </c>
      <c r="AB43" s="74">
        <f t="shared" si="81"/>
        <v>0</v>
      </c>
      <c r="AC43" s="356"/>
      <c r="AD43" s="130" cm="1">
        <f t="array" ref="AD43">IFERROR(ROUND((_xlfn.IFS(offer_sale_type="поставка",AB43,offer_sale_type="транзит",S43)*(1+AC43))/E43,2),0)</f>
        <v>0</v>
      </c>
      <c r="AE43" s="74">
        <f t="shared" si="82"/>
        <v>0</v>
      </c>
      <c r="AF43" s="123" cm="1">
        <f t="array" ref="AF43">IFERROR(ROUND(_xlfn.IFS(offer_sale_type="поставка",AB43,offer_sale_type="транзит",S43)*AC43,2),0)</f>
        <v>0</v>
      </c>
      <c r="AG43" s="130">
        <f t="shared" si="62"/>
        <v>0</v>
      </c>
      <c r="AH43" s="74">
        <f t="shared" si="63"/>
        <v>0</v>
      </c>
      <c r="AI43" s="123">
        <f t="shared" si="64"/>
        <v>0</v>
      </c>
      <c r="AJ43" s="118">
        <f t="shared" si="83"/>
        <v>0</v>
      </c>
      <c r="AK43" s="74">
        <f t="shared" si="84"/>
        <v>0</v>
      </c>
      <c r="AL43" s="174">
        <f t="shared" si="85"/>
        <v>0</v>
      </c>
      <c r="AM43" s="175">
        <f t="shared" si="65"/>
        <v>0</v>
      </c>
      <c r="AN43" s="130">
        <f t="shared" si="86"/>
        <v>0</v>
      </c>
      <c r="AO43" s="74">
        <f t="shared" si="66"/>
        <v>0</v>
      </c>
      <c r="AP43" s="123">
        <f t="shared" si="87"/>
        <v>0</v>
      </c>
      <c r="AQ43" s="118">
        <f t="shared" si="88"/>
        <v>0</v>
      </c>
      <c r="AR43" s="82" t="str">
        <f t="shared" si="89"/>
        <v>https://www.alta.ru/tnved/code//</v>
      </c>
      <c r="AS43" s="157"/>
      <c r="AT43" s="162"/>
      <c r="AU43" s="74">
        <f t="shared" si="90"/>
        <v>0</v>
      </c>
      <c r="AV43" s="157"/>
      <c r="AW43" s="75">
        <f>_xlfn.IFNA(VLOOKUP(L43,list_vat[],3,FALSE),0)</f>
        <v>0</v>
      </c>
      <c r="AX43" s="74">
        <f t="shared" si="91"/>
        <v>0</v>
      </c>
      <c r="AY43" s="74">
        <f t="shared" si="92"/>
        <v>0</v>
      </c>
      <c r="AZ43" s="130">
        <f t="shared" si="93"/>
        <v>0</v>
      </c>
      <c r="BA43" s="74">
        <f t="shared" si="72"/>
        <v>0</v>
      </c>
      <c r="BB43" s="193">
        <f t="shared" si="94"/>
        <v>0</v>
      </c>
      <c r="BC43" s="102">
        <f t="shared" si="95"/>
        <v>0</v>
      </c>
      <c r="BD43" s="102">
        <f t="shared" si="96"/>
        <v>0</v>
      </c>
      <c r="BE43" s="413" t="s">
        <v>69</v>
      </c>
    </row>
    <row r="44" spans="1:57" s="65" customFormat="1" ht="12" customHeight="1" x14ac:dyDescent="0.2">
      <c r="A44" s="43">
        <v>29</v>
      </c>
      <c r="B44" s="166"/>
      <c r="C44" s="166"/>
      <c r="D44" s="166"/>
      <c r="E44" s="162"/>
      <c r="F44" s="166"/>
      <c r="G44" s="162"/>
      <c r="H44" s="162"/>
      <c r="I44" s="189">
        <f t="shared" si="74"/>
        <v>0</v>
      </c>
      <c r="J44" s="195"/>
      <c r="K44" s="162"/>
      <c r="L44" s="168"/>
      <c r="M44" s="75">
        <f>_xlfn.XLOOKUP(L44,list_vat[Страна],list_vat[Ставка НДС %],0,0)</f>
        <v>0</v>
      </c>
      <c r="N44" s="162">
        <f t="shared" si="57"/>
        <v>0</v>
      </c>
      <c r="O44" s="169"/>
      <c r="P44" s="74">
        <f t="shared" si="97"/>
        <v>0</v>
      </c>
      <c r="Q44" s="162"/>
      <c r="R44" s="162" t="str">
        <f t="shared" si="75"/>
        <v>введи курс</v>
      </c>
      <c r="S44" s="196">
        <f t="shared" si="76"/>
        <v>0</v>
      </c>
      <c r="T44" s="192">
        <f t="shared" si="77"/>
        <v>0</v>
      </c>
      <c r="U44" s="76">
        <f t="shared" si="78"/>
        <v>0</v>
      </c>
      <c r="V44" s="123">
        <f t="shared" si="79"/>
        <v>0</v>
      </c>
      <c r="W44" s="191"/>
      <c r="X44" s="170"/>
      <c r="Y44" s="74">
        <f t="shared" si="60"/>
        <v>0</v>
      </c>
      <c r="Z44" s="188"/>
      <c r="AA44" s="130">
        <f t="shared" si="80"/>
        <v>0</v>
      </c>
      <c r="AB44" s="74">
        <f t="shared" si="81"/>
        <v>0</v>
      </c>
      <c r="AC44" s="356"/>
      <c r="AD44" s="130" cm="1">
        <f t="array" ref="AD44">IFERROR(ROUND((_xlfn.IFS(offer_sale_type="поставка",AB44,offer_sale_type="транзит",S44)*(1+AC44))/E44,2),0)</f>
        <v>0</v>
      </c>
      <c r="AE44" s="74">
        <f t="shared" si="82"/>
        <v>0</v>
      </c>
      <c r="AF44" s="123" cm="1">
        <f t="array" ref="AF44">IFERROR(ROUND(_xlfn.IFS(offer_sale_type="поставка",AB44,offer_sale_type="транзит",S44)*AC44,2),0)</f>
        <v>0</v>
      </c>
      <c r="AG44" s="130">
        <f t="shared" si="62"/>
        <v>0</v>
      </c>
      <c r="AH44" s="74">
        <f t="shared" si="63"/>
        <v>0</v>
      </c>
      <c r="AI44" s="123">
        <f t="shared" si="64"/>
        <v>0</v>
      </c>
      <c r="AJ44" s="118">
        <f t="shared" si="83"/>
        <v>0</v>
      </c>
      <c r="AK44" s="74">
        <f t="shared" si="84"/>
        <v>0</v>
      </c>
      <c r="AL44" s="174">
        <f t="shared" si="85"/>
        <v>0</v>
      </c>
      <c r="AM44" s="175">
        <f t="shared" si="65"/>
        <v>0</v>
      </c>
      <c r="AN44" s="130">
        <f t="shared" si="86"/>
        <v>0</v>
      </c>
      <c r="AO44" s="74">
        <f t="shared" si="66"/>
        <v>0</v>
      </c>
      <c r="AP44" s="123">
        <f t="shared" si="87"/>
        <v>0</v>
      </c>
      <c r="AQ44" s="118">
        <f t="shared" si="88"/>
        <v>0</v>
      </c>
      <c r="AR44" s="82" t="str">
        <f t="shared" si="89"/>
        <v>https://www.alta.ru/tnved/code//</v>
      </c>
      <c r="AS44" s="157"/>
      <c r="AT44" s="162"/>
      <c r="AU44" s="74">
        <f t="shared" si="90"/>
        <v>0</v>
      </c>
      <c r="AV44" s="157"/>
      <c r="AW44" s="75">
        <f>_xlfn.IFNA(VLOOKUP(L44,list_vat[],3,FALSE),0)</f>
        <v>0</v>
      </c>
      <c r="AX44" s="74">
        <f t="shared" si="91"/>
        <v>0</v>
      </c>
      <c r="AY44" s="74">
        <f t="shared" si="92"/>
        <v>0</v>
      </c>
      <c r="AZ44" s="130">
        <f t="shared" si="93"/>
        <v>0</v>
      </c>
      <c r="BA44" s="74">
        <f t="shared" si="72"/>
        <v>0</v>
      </c>
      <c r="BB44" s="193">
        <f t="shared" si="94"/>
        <v>0</v>
      </c>
      <c r="BC44" s="102">
        <f t="shared" si="95"/>
        <v>0</v>
      </c>
      <c r="BD44" s="102">
        <f t="shared" si="96"/>
        <v>0</v>
      </c>
      <c r="BE44" s="413" t="s">
        <v>69</v>
      </c>
    </row>
    <row r="45" spans="1:57" s="65" customFormat="1" ht="12" customHeight="1" x14ac:dyDescent="0.2">
      <c r="A45" s="43">
        <v>30</v>
      </c>
      <c r="B45" s="166"/>
      <c r="C45" s="166"/>
      <c r="D45" s="166"/>
      <c r="E45" s="162"/>
      <c r="F45" s="166"/>
      <c r="G45" s="162"/>
      <c r="H45" s="162"/>
      <c r="I45" s="189">
        <f t="shared" si="74"/>
        <v>0</v>
      </c>
      <c r="J45" s="195"/>
      <c r="K45" s="162"/>
      <c r="L45" s="168"/>
      <c r="M45" s="75">
        <f>_xlfn.XLOOKUP(L45,list_vat[Страна],list_vat[Ставка НДС %],0,0)</f>
        <v>0</v>
      </c>
      <c r="N45" s="162">
        <f t="shared" si="57"/>
        <v>0</v>
      </c>
      <c r="O45" s="169"/>
      <c r="P45" s="74">
        <f t="shared" si="97"/>
        <v>0</v>
      </c>
      <c r="Q45" s="162"/>
      <c r="R45" s="162" t="str">
        <f t="shared" si="75"/>
        <v>введи курс</v>
      </c>
      <c r="S45" s="196">
        <f t="shared" si="76"/>
        <v>0</v>
      </c>
      <c r="T45" s="192">
        <f t="shared" si="77"/>
        <v>0</v>
      </c>
      <c r="U45" s="76">
        <f t="shared" si="78"/>
        <v>0</v>
      </c>
      <c r="V45" s="123">
        <f t="shared" si="79"/>
        <v>0</v>
      </c>
      <c r="W45" s="191"/>
      <c r="X45" s="170"/>
      <c r="Y45" s="74">
        <f t="shared" si="60"/>
        <v>0</v>
      </c>
      <c r="Z45" s="188"/>
      <c r="AA45" s="130">
        <f t="shared" si="80"/>
        <v>0</v>
      </c>
      <c r="AB45" s="74">
        <f t="shared" si="81"/>
        <v>0</v>
      </c>
      <c r="AC45" s="356"/>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2"/>
        <v>0</v>
      </c>
      <c r="AH45" s="74">
        <f t="shared" si="63"/>
        <v>0</v>
      </c>
      <c r="AI45" s="123">
        <f t="shared" si="64"/>
        <v>0</v>
      </c>
      <c r="AJ45" s="118">
        <f t="shared" si="83"/>
        <v>0</v>
      </c>
      <c r="AK45" s="74">
        <f t="shared" si="84"/>
        <v>0</v>
      </c>
      <c r="AL45" s="174">
        <f t="shared" si="85"/>
        <v>0</v>
      </c>
      <c r="AM45" s="175">
        <f t="shared" si="65"/>
        <v>0</v>
      </c>
      <c r="AN45" s="130">
        <f t="shared" si="86"/>
        <v>0</v>
      </c>
      <c r="AO45" s="74">
        <f t="shared" si="66"/>
        <v>0</v>
      </c>
      <c r="AP45" s="123">
        <f t="shared" si="87"/>
        <v>0</v>
      </c>
      <c r="AQ45" s="118">
        <f t="shared" si="88"/>
        <v>0</v>
      </c>
      <c r="AR45" s="82" t="str">
        <f t="shared" si="89"/>
        <v>https://www.alta.ru/tnved/code//</v>
      </c>
      <c r="AS45" s="157"/>
      <c r="AT45" s="162"/>
      <c r="AU45" s="74">
        <f t="shared" si="90"/>
        <v>0</v>
      </c>
      <c r="AV45" s="157"/>
      <c r="AW45" s="75">
        <f>_xlfn.IFNA(VLOOKUP(L45,list_vat[],3,FALSE),0)</f>
        <v>0</v>
      </c>
      <c r="AX45" s="74">
        <f t="shared" si="91"/>
        <v>0</v>
      </c>
      <c r="AY45" s="74">
        <f t="shared" si="92"/>
        <v>0</v>
      </c>
      <c r="AZ45" s="130">
        <f t="shared" si="93"/>
        <v>0</v>
      </c>
      <c r="BA45" s="74">
        <f t="shared" si="72"/>
        <v>0</v>
      </c>
      <c r="BB45" s="193">
        <f t="shared" si="94"/>
        <v>0</v>
      </c>
      <c r="BC45" s="102">
        <f t="shared" si="95"/>
        <v>0</v>
      </c>
      <c r="BD45" s="102">
        <f t="shared" si="96"/>
        <v>0</v>
      </c>
      <c r="BE45" s="413" t="s">
        <v>69</v>
      </c>
    </row>
    <row r="46" spans="1:57" s="65" customFormat="1" ht="12" customHeight="1" x14ac:dyDescent="0.2">
      <c r="A46" s="43">
        <v>31</v>
      </c>
      <c r="B46" s="166"/>
      <c r="C46" s="166"/>
      <c r="D46" s="166"/>
      <c r="E46" s="162"/>
      <c r="F46" s="166"/>
      <c r="G46" s="162"/>
      <c r="H46" s="162"/>
      <c r="I46" s="189">
        <f t="shared" si="74"/>
        <v>0</v>
      </c>
      <c r="J46" s="195"/>
      <c r="K46" s="162"/>
      <c r="L46" s="168"/>
      <c r="M46" s="75">
        <f>_xlfn.XLOOKUP(L46,list_vat[Страна],list_vat[Ставка НДС %],0,0)</f>
        <v>0</v>
      </c>
      <c r="N46" s="162">
        <f t="shared" si="57"/>
        <v>0</v>
      </c>
      <c r="O46" s="169"/>
      <c r="P46" s="74">
        <f t="shared" si="97"/>
        <v>0</v>
      </c>
      <c r="Q46" s="162"/>
      <c r="R46" s="162" t="str">
        <f t="shared" si="75"/>
        <v>введи курс</v>
      </c>
      <c r="S46" s="196">
        <f t="shared" si="76"/>
        <v>0</v>
      </c>
      <c r="T46" s="192">
        <f t="shared" si="77"/>
        <v>0</v>
      </c>
      <c r="U46" s="76">
        <f t="shared" si="78"/>
        <v>0</v>
      </c>
      <c r="V46" s="123">
        <f t="shared" si="79"/>
        <v>0</v>
      </c>
      <c r="W46" s="191"/>
      <c r="X46" s="170"/>
      <c r="Y46" s="74">
        <f t="shared" si="60"/>
        <v>0</v>
      </c>
      <c r="Z46" s="188"/>
      <c r="AA46" s="130">
        <f t="shared" si="80"/>
        <v>0</v>
      </c>
      <c r="AB46" s="74">
        <f t="shared" si="81"/>
        <v>0</v>
      </c>
      <c r="AC46" s="356"/>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2"/>
        <v>0</v>
      </c>
      <c r="AH46" s="74">
        <f t="shared" si="63"/>
        <v>0</v>
      </c>
      <c r="AI46" s="123">
        <f t="shared" si="64"/>
        <v>0</v>
      </c>
      <c r="AJ46" s="118">
        <f t="shared" si="83"/>
        <v>0</v>
      </c>
      <c r="AK46" s="74">
        <f t="shared" si="84"/>
        <v>0</v>
      </c>
      <c r="AL46" s="174">
        <f t="shared" si="85"/>
        <v>0</v>
      </c>
      <c r="AM46" s="175">
        <f t="shared" si="65"/>
        <v>0</v>
      </c>
      <c r="AN46" s="130">
        <f t="shared" si="86"/>
        <v>0</v>
      </c>
      <c r="AO46" s="74">
        <f t="shared" si="66"/>
        <v>0</v>
      </c>
      <c r="AP46" s="123">
        <f t="shared" si="87"/>
        <v>0</v>
      </c>
      <c r="AQ46" s="118">
        <f t="shared" si="88"/>
        <v>0</v>
      </c>
      <c r="AR46" s="82" t="str">
        <f t="shared" si="89"/>
        <v>https://www.alta.ru/tnved/code//</v>
      </c>
      <c r="AS46" s="157"/>
      <c r="AT46" s="162"/>
      <c r="AU46" s="74">
        <f t="shared" si="90"/>
        <v>0</v>
      </c>
      <c r="AV46" s="157"/>
      <c r="AW46" s="75">
        <f>_xlfn.IFNA(VLOOKUP(L46,list_vat[],3,FALSE),0)</f>
        <v>0</v>
      </c>
      <c r="AX46" s="74">
        <f t="shared" si="91"/>
        <v>0</v>
      </c>
      <c r="AY46" s="74">
        <f t="shared" si="92"/>
        <v>0</v>
      </c>
      <c r="AZ46" s="130">
        <f t="shared" si="93"/>
        <v>0</v>
      </c>
      <c r="BA46" s="74">
        <f t="shared" si="72"/>
        <v>0</v>
      </c>
      <c r="BB46" s="193">
        <f t="shared" si="94"/>
        <v>0</v>
      </c>
      <c r="BC46" s="102">
        <f t="shared" si="95"/>
        <v>0</v>
      </c>
      <c r="BD46" s="102">
        <f t="shared" si="96"/>
        <v>0</v>
      </c>
      <c r="BE46" s="413" t="s">
        <v>69</v>
      </c>
    </row>
    <row r="47" spans="1:57" s="65" customFormat="1" ht="12" customHeight="1" x14ac:dyDescent="0.2">
      <c r="A47" s="43">
        <v>32</v>
      </c>
      <c r="B47" s="166"/>
      <c r="C47" s="166"/>
      <c r="D47" s="166"/>
      <c r="E47" s="162"/>
      <c r="F47" s="166"/>
      <c r="G47" s="162"/>
      <c r="H47" s="162"/>
      <c r="I47" s="189">
        <f t="shared" si="74"/>
        <v>0</v>
      </c>
      <c r="J47" s="195"/>
      <c r="K47" s="162"/>
      <c r="L47" s="168"/>
      <c r="M47" s="75">
        <f>_xlfn.XLOOKUP(L47,list_vat[Страна],list_vat[Ставка НДС %],0,0)</f>
        <v>0</v>
      </c>
      <c r="N47" s="162">
        <f t="shared" si="57"/>
        <v>0</v>
      </c>
      <c r="O47" s="169"/>
      <c r="P47" s="74">
        <f t="shared" si="97"/>
        <v>0</v>
      </c>
      <c r="Q47" s="162"/>
      <c r="R47" s="162" t="str">
        <f t="shared" si="75"/>
        <v>введи курс</v>
      </c>
      <c r="S47" s="196">
        <f t="shared" si="76"/>
        <v>0</v>
      </c>
      <c r="T47" s="192">
        <f t="shared" si="77"/>
        <v>0</v>
      </c>
      <c r="U47" s="76">
        <f t="shared" si="78"/>
        <v>0</v>
      </c>
      <c r="V47" s="123">
        <f t="shared" si="79"/>
        <v>0</v>
      </c>
      <c r="W47" s="191"/>
      <c r="X47" s="170"/>
      <c r="Y47" s="74">
        <f t="shared" si="60"/>
        <v>0</v>
      </c>
      <c r="Z47" s="188"/>
      <c r="AA47" s="130">
        <f t="shared" si="80"/>
        <v>0</v>
      </c>
      <c r="AB47" s="74">
        <f t="shared" si="81"/>
        <v>0</v>
      </c>
      <c r="AC47" s="356"/>
      <c r="AD47" s="130" cm="1">
        <f t="array" ref="AD47">IFERROR(ROUND((_xlfn.IFS(offer_sale_type="поставка",AB47,offer_sale_type="транзит",S47)*(1+AC47))/E47,2),0)</f>
        <v>0</v>
      </c>
      <c r="AE47" s="74">
        <f t="shared" si="82"/>
        <v>0</v>
      </c>
      <c r="AF47" s="123" cm="1">
        <f t="array" ref="AF47">IFERROR(ROUND(_xlfn.IFS(offer_sale_type="поставка",AB47,offer_sale_type="транзит",S47)*AC47,2),0)</f>
        <v>0</v>
      </c>
      <c r="AG47" s="130">
        <f t="shared" si="62"/>
        <v>0</v>
      </c>
      <c r="AH47" s="74">
        <f t="shared" si="63"/>
        <v>0</v>
      </c>
      <c r="AI47" s="123">
        <f t="shared" si="64"/>
        <v>0</v>
      </c>
      <c r="AJ47" s="118">
        <f t="shared" si="83"/>
        <v>0</v>
      </c>
      <c r="AK47" s="74">
        <f t="shared" si="84"/>
        <v>0</v>
      </c>
      <c r="AL47" s="174">
        <f t="shared" si="85"/>
        <v>0</v>
      </c>
      <c r="AM47" s="175">
        <f t="shared" si="65"/>
        <v>0</v>
      </c>
      <c r="AN47" s="130">
        <f t="shared" si="86"/>
        <v>0</v>
      </c>
      <c r="AO47" s="74">
        <f t="shared" si="66"/>
        <v>0</v>
      </c>
      <c r="AP47" s="123">
        <f t="shared" si="87"/>
        <v>0</v>
      </c>
      <c r="AQ47" s="118">
        <f t="shared" si="88"/>
        <v>0</v>
      </c>
      <c r="AR47" s="82" t="str">
        <f t="shared" si="89"/>
        <v>https://www.alta.ru/tnved/code//</v>
      </c>
      <c r="AS47" s="157"/>
      <c r="AT47" s="162"/>
      <c r="AU47" s="74">
        <f t="shared" si="90"/>
        <v>0</v>
      </c>
      <c r="AV47" s="157"/>
      <c r="AW47" s="75">
        <f>_xlfn.IFNA(VLOOKUP(L47,list_vat[],3,FALSE),0)</f>
        <v>0</v>
      </c>
      <c r="AX47" s="74">
        <f t="shared" si="91"/>
        <v>0</v>
      </c>
      <c r="AY47" s="74">
        <f t="shared" si="92"/>
        <v>0</v>
      </c>
      <c r="AZ47" s="130">
        <f t="shared" si="93"/>
        <v>0</v>
      </c>
      <c r="BA47" s="74">
        <f t="shared" si="72"/>
        <v>0</v>
      </c>
      <c r="BB47" s="193">
        <f t="shared" si="94"/>
        <v>0</v>
      </c>
      <c r="BC47" s="102">
        <f t="shared" si="95"/>
        <v>0</v>
      </c>
      <c r="BD47" s="102">
        <f t="shared" si="96"/>
        <v>0</v>
      </c>
      <c r="BE47" s="413" t="s">
        <v>69</v>
      </c>
    </row>
    <row r="48" spans="1:57" s="65" customFormat="1" ht="12" customHeight="1" x14ac:dyDescent="0.2">
      <c r="A48" s="43">
        <v>33</v>
      </c>
      <c r="B48" s="166"/>
      <c r="C48" s="166"/>
      <c r="D48" s="166"/>
      <c r="E48" s="162"/>
      <c r="F48" s="166"/>
      <c r="G48" s="162"/>
      <c r="H48" s="162"/>
      <c r="I48" s="189">
        <f t="shared" si="74"/>
        <v>0</v>
      </c>
      <c r="J48" s="195"/>
      <c r="K48" s="162"/>
      <c r="L48" s="168"/>
      <c r="M48" s="75">
        <f>_xlfn.XLOOKUP(L48,list_vat[Страна],list_vat[Ставка НДС %],0,0)</f>
        <v>0</v>
      </c>
      <c r="N48" s="162">
        <f t="shared" si="57"/>
        <v>0</v>
      </c>
      <c r="O48" s="169"/>
      <c r="P48" s="74">
        <f t="shared" si="97"/>
        <v>0</v>
      </c>
      <c r="Q48" s="162"/>
      <c r="R48" s="162" t="str">
        <f t="shared" si="75"/>
        <v>введи курс</v>
      </c>
      <c r="S48" s="196">
        <f t="shared" si="76"/>
        <v>0</v>
      </c>
      <c r="T48" s="192">
        <f t="shared" si="77"/>
        <v>0</v>
      </c>
      <c r="U48" s="76">
        <f t="shared" si="78"/>
        <v>0</v>
      </c>
      <c r="V48" s="123">
        <f t="shared" si="79"/>
        <v>0</v>
      </c>
      <c r="W48" s="191"/>
      <c r="X48" s="170"/>
      <c r="Y48" s="74">
        <f t="shared" ref="Y48:Y79" si="98">ROUND(IF(offer_incoterms="DDP",X48*(AY48+T48),0),2)</f>
        <v>0</v>
      </c>
      <c r="Z48" s="188"/>
      <c r="AA48" s="130">
        <f t="shared" si="80"/>
        <v>0</v>
      </c>
      <c r="AB48" s="74">
        <f t="shared" si="81"/>
        <v>0</v>
      </c>
      <c r="AC48" s="356"/>
      <c r="AD48" s="130" cm="1">
        <f t="array" ref="AD48">IFERROR(ROUND((_xlfn.IFS(offer_sale_type="поставка",AB48,offer_sale_type="транзит",S48)*(1+AC48))/E48,2),0)</f>
        <v>0</v>
      </c>
      <c r="AE48" s="74">
        <f t="shared" si="82"/>
        <v>0</v>
      </c>
      <c r="AF48" s="123" cm="1">
        <f t="array" ref="AF48">IFERROR(ROUND(_xlfn.IFS(offer_sale_type="поставка",AB48,offer_sale_type="транзит",S48)*AC48,2),0)</f>
        <v>0</v>
      </c>
      <c r="AG48" s="130">
        <f t="shared" si="62"/>
        <v>0</v>
      </c>
      <c r="AH48" s="74">
        <f t="shared" si="63"/>
        <v>0</v>
      </c>
      <c r="AI48" s="123">
        <f t="shared" si="64"/>
        <v>0</v>
      </c>
      <c r="AJ48" s="118">
        <f t="shared" si="83"/>
        <v>0</v>
      </c>
      <c r="AK48" s="74">
        <f t="shared" si="84"/>
        <v>0</v>
      </c>
      <c r="AL48" s="174">
        <f t="shared" si="85"/>
        <v>0</v>
      </c>
      <c r="AM48" s="175">
        <f t="shared" si="65"/>
        <v>0</v>
      </c>
      <c r="AN48" s="130">
        <f t="shared" si="86"/>
        <v>0</v>
      </c>
      <c r="AO48" s="74">
        <f t="shared" si="66"/>
        <v>0</v>
      </c>
      <c r="AP48" s="123">
        <f t="shared" si="87"/>
        <v>0</v>
      </c>
      <c r="AQ48" s="118">
        <f t="shared" si="88"/>
        <v>0</v>
      </c>
      <c r="AR48" s="82" t="str">
        <f t="shared" si="89"/>
        <v>https://www.alta.ru/tnved/code//</v>
      </c>
      <c r="AS48" s="157"/>
      <c r="AT48" s="162"/>
      <c r="AU48" s="74">
        <f t="shared" si="90"/>
        <v>0</v>
      </c>
      <c r="AV48" s="157"/>
      <c r="AW48" s="75">
        <f>_xlfn.IFNA(VLOOKUP(L48,list_vat[],3,FALSE),0)</f>
        <v>0</v>
      </c>
      <c r="AX48" s="74">
        <f t="shared" si="91"/>
        <v>0</v>
      </c>
      <c r="AY48" s="74">
        <f t="shared" si="92"/>
        <v>0</v>
      </c>
      <c r="AZ48" s="130">
        <f t="shared" si="93"/>
        <v>0</v>
      </c>
      <c r="BA48" s="74">
        <f t="shared" si="72"/>
        <v>0</v>
      </c>
      <c r="BB48" s="193">
        <f t="shared" si="94"/>
        <v>0</v>
      </c>
      <c r="BC48" s="102">
        <f t="shared" si="95"/>
        <v>0</v>
      </c>
      <c r="BD48" s="102">
        <f t="shared" si="96"/>
        <v>0</v>
      </c>
      <c r="BE48" s="413" t="s">
        <v>69</v>
      </c>
    </row>
    <row r="49" spans="1:57" s="65" customFormat="1" ht="12" customHeight="1" x14ac:dyDescent="0.2">
      <c r="A49" s="43">
        <v>34</v>
      </c>
      <c r="B49" s="166"/>
      <c r="C49" s="166"/>
      <c r="D49" s="166"/>
      <c r="E49" s="162"/>
      <c r="F49" s="166"/>
      <c r="G49" s="162"/>
      <c r="H49" s="162"/>
      <c r="I49" s="189">
        <f t="shared" si="74"/>
        <v>0</v>
      </c>
      <c r="J49" s="195"/>
      <c r="K49" s="162"/>
      <c r="L49" s="168"/>
      <c r="M49" s="75">
        <f>_xlfn.XLOOKUP(L49,list_vat[Страна],list_vat[Ставка НДС %],0,0)</f>
        <v>0</v>
      </c>
      <c r="N49" s="162">
        <f t="shared" si="57"/>
        <v>0</v>
      </c>
      <c r="O49" s="169"/>
      <c r="P49" s="74">
        <f t="shared" si="97"/>
        <v>0</v>
      </c>
      <c r="Q49" s="162"/>
      <c r="R49" s="162" t="str">
        <f t="shared" si="75"/>
        <v>введи курс</v>
      </c>
      <c r="S49" s="196">
        <f t="shared" si="76"/>
        <v>0</v>
      </c>
      <c r="T49" s="192">
        <f t="shared" si="77"/>
        <v>0</v>
      </c>
      <c r="U49" s="76">
        <f t="shared" si="78"/>
        <v>0</v>
      </c>
      <c r="V49" s="123">
        <f t="shared" si="79"/>
        <v>0</v>
      </c>
      <c r="W49" s="191"/>
      <c r="X49" s="170"/>
      <c r="Y49" s="74">
        <f t="shared" si="98"/>
        <v>0</v>
      </c>
      <c r="Z49" s="188"/>
      <c r="AA49" s="130">
        <f t="shared" si="80"/>
        <v>0</v>
      </c>
      <c r="AB49" s="74">
        <f t="shared" si="81"/>
        <v>0</v>
      </c>
      <c r="AC49" s="356"/>
      <c r="AD49" s="130" cm="1">
        <f t="array" ref="AD49">IFERROR(ROUND((_xlfn.IFS(offer_sale_type="поставка",AB49,offer_sale_type="транзит",S49)*(1+AC49))/E49,2),0)</f>
        <v>0</v>
      </c>
      <c r="AE49" s="74">
        <f t="shared" si="82"/>
        <v>0</v>
      </c>
      <c r="AF49" s="123" cm="1">
        <f t="array" ref="AF49">IFERROR(ROUND(_xlfn.IFS(offer_sale_type="поставка",AB49,offer_sale_type="транзит",S49)*AC49,2),0)</f>
        <v>0</v>
      </c>
      <c r="AG49" s="130">
        <f t="shared" si="62"/>
        <v>0</v>
      </c>
      <c r="AH49" s="74">
        <f t="shared" si="63"/>
        <v>0</v>
      </c>
      <c r="AI49" s="123">
        <f t="shared" si="64"/>
        <v>0</v>
      </c>
      <c r="AJ49" s="118">
        <f t="shared" si="83"/>
        <v>0</v>
      </c>
      <c r="AK49" s="74">
        <f t="shared" si="84"/>
        <v>0</v>
      </c>
      <c r="AL49" s="174">
        <f t="shared" si="85"/>
        <v>0</v>
      </c>
      <c r="AM49" s="175">
        <f t="shared" si="65"/>
        <v>0</v>
      </c>
      <c r="AN49" s="130">
        <f t="shared" si="86"/>
        <v>0</v>
      </c>
      <c r="AO49" s="74">
        <f t="shared" si="66"/>
        <v>0</v>
      </c>
      <c r="AP49" s="123">
        <f t="shared" si="87"/>
        <v>0</v>
      </c>
      <c r="AQ49" s="118">
        <f t="shared" si="88"/>
        <v>0</v>
      </c>
      <c r="AR49" s="82" t="str">
        <f t="shared" si="89"/>
        <v>https://www.alta.ru/tnved/code//</v>
      </c>
      <c r="AS49" s="157"/>
      <c r="AT49" s="162"/>
      <c r="AU49" s="74">
        <f t="shared" si="90"/>
        <v>0</v>
      </c>
      <c r="AV49" s="157"/>
      <c r="AW49" s="75">
        <f>_xlfn.IFNA(VLOOKUP(L49,list_vat[],3,FALSE),0)</f>
        <v>0</v>
      </c>
      <c r="AX49" s="74">
        <f t="shared" si="91"/>
        <v>0</v>
      </c>
      <c r="AY49" s="74">
        <f t="shared" si="92"/>
        <v>0</v>
      </c>
      <c r="AZ49" s="130">
        <f t="shared" si="93"/>
        <v>0</v>
      </c>
      <c r="BA49" s="74">
        <f t="shared" si="72"/>
        <v>0</v>
      </c>
      <c r="BB49" s="193">
        <f t="shared" si="94"/>
        <v>0</v>
      </c>
      <c r="BC49" s="102">
        <f t="shared" si="95"/>
        <v>0</v>
      </c>
      <c r="BD49" s="102">
        <f t="shared" si="96"/>
        <v>0</v>
      </c>
      <c r="BE49" s="413" t="s">
        <v>69</v>
      </c>
    </row>
    <row r="50" spans="1:57" s="65" customFormat="1" ht="12" customHeight="1" x14ac:dyDescent="0.2">
      <c r="A50" s="43">
        <v>35</v>
      </c>
      <c r="B50" s="166"/>
      <c r="C50" s="166"/>
      <c r="D50" s="166"/>
      <c r="E50" s="162"/>
      <c r="F50" s="166"/>
      <c r="G50" s="162"/>
      <c r="H50" s="162"/>
      <c r="I50" s="189">
        <f t="shared" si="74"/>
        <v>0</v>
      </c>
      <c r="J50" s="195"/>
      <c r="K50" s="162"/>
      <c r="L50" s="168"/>
      <c r="M50" s="75">
        <f>_xlfn.XLOOKUP(L50,list_vat[Страна],list_vat[Ставка НДС %],0,0)</f>
        <v>0</v>
      </c>
      <c r="N50" s="162">
        <f t="shared" si="57"/>
        <v>0</v>
      </c>
      <c r="O50" s="169"/>
      <c r="P50" s="74">
        <f t="shared" si="97"/>
        <v>0</v>
      </c>
      <c r="Q50" s="162"/>
      <c r="R50" s="162" t="str">
        <f t="shared" si="75"/>
        <v>введи курс</v>
      </c>
      <c r="S50" s="196">
        <f t="shared" si="76"/>
        <v>0</v>
      </c>
      <c r="T50" s="192">
        <f t="shared" si="77"/>
        <v>0</v>
      </c>
      <c r="U50" s="76">
        <f t="shared" si="78"/>
        <v>0</v>
      </c>
      <c r="V50" s="123">
        <f t="shared" si="79"/>
        <v>0</v>
      </c>
      <c r="W50" s="191"/>
      <c r="X50" s="170"/>
      <c r="Y50" s="74">
        <f t="shared" si="98"/>
        <v>0</v>
      </c>
      <c r="Z50" s="188"/>
      <c r="AA50" s="130">
        <f t="shared" si="80"/>
        <v>0</v>
      </c>
      <c r="AB50" s="74">
        <f t="shared" si="81"/>
        <v>0</v>
      </c>
      <c r="AC50" s="356"/>
      <c r="AD50" s="130" cm="1">
        <f t="array" ref="AD50">IFERROR(ROUND((_xlfn.IFS(offer_sale_type="поставка",AB50,offer_sale_type="транзит",S50)*(1+AC50))/E50,2),0)</f>
        <v>0</v>
      </c>
      <c r="AE50" s="74">
        <f t="shared" si="82"/>
        <v>0</v>
      </c>
      <c r="AF50" s="123" cm="1">
        <f t="array" ref="AF50">IFERROR(ROUND(_xlfn.IFS(offer_sale_type="поставка",AB50,offer_sale_type="транзит",S50)*AC50,2),0)</f>
        <v>0</v>
      </c>
      <c r="AG50" s="130">
        <f t="shared" si="62"/>
        <v>0</v>
      </c>
      <c r="AH50" s="74">
        <f t="shared" si="63"/>
        <v>0</v>
      </c>
      <c r="AI50" s="123">
        <f t="shared" si="64"/>
        <v>0</v>
      </c>
      <c r="AJ50" s="118">
        <f t="shared" si="83"/>
        <v>0</v>
      </c>
      <c r="AK50" s="74">
        <f t="shared" si="84"/>
        <v>0</v>
      </c>
      <c r="AL50" s="174">
        <f t="shared" si="85"/>
        <v>0</v>
      </c>
      <c r="AM50" s="175">
        <f t="shared" si="65"/>
        <v>0</v>
      </c>
      <c r="AN50" s="130">
        <f t="shared" si="86"/>
        <v>0</v>
      </c>
      <c r="AO50" s="74">
        <f t="shared" si="66"/>
        <v>0</v>
      </c>
      <c r="AP50" s="123">
        <f t="shared" si="87"/>
        <v>0</v>
      </c>
      <c r="AQ50" s="118">
        <f t="shared" si="88"/>
        <v>0</v>
      </c>
      <c r="AR50" s="82" t="str">
        <f t="shared" si="89"/>
        <v>https://www.alta.ru/tnved/code//</v>
      </c>
      <c r="AS50" s="157"/>
      <c r="AT50" s="162"/>
      <c r="AU50" s="74">
        <f t="shared" si="90"/>
        <v>0</v>
      </c>
      <c r="AV50" s="157"/>
      <c r="AW50" s="75">
        <f>_xlfn.IFNA(VLOOKUP(L50,list_vat[],3,FALSE),0)</f>
        <v>0</v>
      </c>
      <c r="AX50" s="74">
        <f t="shared" si="91"/>
        <v>0</v>
      </c>
      <c r="AY50" s="74">
        <f t="shared" si="92"/>
        <v>0</v>
      </c>
      <c r="AZ50" s="130">
        <f t="shared" si="93"/>
        <v>0</v>
      </c>
      <c r="BA50" s="74">
        <f t="shared" si="72"/>
        <v>0</v>
      </c>
      <c r="BB50" s="193">
        <f t="shared" si="94"/>
        <v>0</v>
      </c>
      <c r="BC50" s="102">
        <f t="shared" si="95"/>
        <v>0</v>
      </c>
      <c r="BD50" s="102">
        <f t="shared" si="96"/>
        <v>0</v>
      </c>
      <c r="BE50" s="413" t="s">
        <v>69</v>
      </c>
    </row>
    <row r="51" spans="1:57" s="65" customFormat="1" ht="12" customHeight="1" x14ac:dyDescent="0.2">
      <c r="A51" s="43">
        <v>36</v>
      </c>
      <c r="B51" s="166"/>
      <c r="C51" s="166"/>
      <c r="D51" s="166"/>
      <c r="E51" s="162"/>
      <c r="F51" s="166"/>
      <c r="G51" s="162"/>
      <c r="H51" s="162"/>
      <c r="I51" s="189">
        <f t="shared" si="74"/>
        <v>0</v>
      </c>
      <c r="J51" s="195"/>
      <c r="K51" s="162"/>
      <c r="L51" s="168"/>
      <c r="M51" s="75">
        <f>_xlfn.XLOOKUP(L51,list_vat[Страна],list_vat[Ставка НДС %],0,0)</f>
        <v>0</v>
      </c>
      <c r="N51" s="162">
        <f t="shared" si="57"/>
        <v>0</v>
      </c>
      <c r="O51" s="169"/>
      <c r="P51" s="74">
        <f t="shared" si="97"/>
        <v>0</v>
      </c>
      <c r="Q51" s="162"/>
      <c r="R51" s="162" t="str">
        <f t="shared" si="75"/>
        <v>введи курс</v>
      </c>
      <c r="S51" s="196">
        <f t="shared" si="76"/>
        <v>0</v>
      </c>
      <c r="T51" s="192">
        <f t="shared" si="77"/>
        <v>0</v>
      </c>
      <c r="U51" s="76">
        <f t="shared" si="78"/>
        <v>0</v>
      </c>
      <c r="V51" s="123">
        <f t="shared" si="79"/>
        <v>0</v>
      </c>
      <c r="W51" s="191"/>
      <c r="X51" s="170"/>
      <c r="Y51" s="74">
        <f t="shared" si="98"/>
        <v>0</v>
      </c>
      <c r="Z51" s="188"/>
      <c r="AA51" s="130">
        <f t="shared" si="80"/>
        <v>0</v>
      </c>
      <c r="AB51" s="74">
        <f t="shared" si="81"/>
        <v>0</v>
      </c>
      <c r="AC51" s="356"/>
      <c r="AD51" s="130" cm="1">
        <f t="array" ref="AD51">IFERROR(ROUND((_xlfn.IFS(offer_sale_type="поставка",AB51,offer_sale_type="транзит",S51)*(1+AC51))/E51,2),0)</f>
        <v>0</v>
      </c>
      <c r="AE51" s="74">
        <f t="shared" si="82"/>
        <v>0</v>
      </c>
      <c r="AF51" s="123" cm="1">
        <f t="array" ref="AF51">IFERROR(ROUND(_xlfn.IFS(offer_sale_type="поставка",AB51,offer_sale_type="транзит",S51)*AC51,2),0)</f>
        <v>0</v>
      </c>
      <c r="AG51" s="130">
        <f t="shared" si="62"/>
        <v>0</v>
      </c>
      <c r="AH51" s="74">
        <f t="shared" si="63"/>
        <v>0</v>
      </c>
      <c r="AI51" s="123">
        <f t="shared" si="64"/>
        <v>0</v>
      </c>
      <c r="AJ51" s="118">
        <f t="shared" si="83"/>
        <v>0</v>
      </c>
      <c r="AK51" s="74">
        <f t="shared" si="84"/>
        <v>0</v>
      </c>
      <c r="AL51" s="174">
        <f t="shared" si="85"/>
        <v>0</v>
      </c>
      <c r="AM51" s="175">
        <f t="shared" si="65"/>
        <v>0</v>
      </c>
      <c r="AN51" s="130">
        <f t="shared" si="86"/>
        <v>0</v>
      </c>
      <c r="AO51" s="74">
        <f t="shared" si="66"/>
        <v>0</v>
      </c>
      <c r="AP51" s="123">
        <f t="shared" si="87"/>
        <v>0</v>
      </c>
      <c r="AQ51" s="118">
        <f t="shared" si="88"/>
        <v>0</v>
      </c>
      <c r="AR51" s="82" t="str">
        <f t="shared" si="89"/>
        <v>https://www.alta.ru/tnved/code//</v>
      </c>
      <c r="AS51" s="157"/>
      <c r="AT51" s="162"/>
      <c r="AU51" s="74">
        <f t="shared" si="90"/>
        <v>0</v>
      </c>
      <c r="AV51" s="157"/>
      <c r="AW51" s="75">
        <f>_xlfn.IFNA(VLOOKUP(L51,list_vat[],3,FALSE),0)</f>
        <v>0</v>
      </c>
      <c r="AX51" s="74">
        <f t="shared" si="91"/>
        <v>0</v>
      </c>
      <c r="AY51" s="74">
        <f t="shared" si="92"/>
        <v>0</v>
      </c>
      <c r="AZ51" s="130">
        <f t="shared" si="93"/>
        <v>0</v>
      </c>
      <c r="BA51" s="74">
        <f t="shared" si="72"/>
        <v>0</v>
      </c>
      <c r="BB51" s="193">
        <f t="shared" si="94"/>
        <v>0</v>
      </c>
      <c r="BC51" s="102">
        <f t="shared" si="95"/>
        <v>0</v>
      </c>
      <c r="BD51" s="102">
        <f t="shared" si="96"/>
        <v>0</v>
      </c>
      <c r="BE51" s="413" t="s">
        <v>69</v>
      </c>
    </row>
    <row r="52" spans="1:57" s="65" customFormat="1" ht="12" customHeight="1" x14ac:dyDescent="0.2">
      <c r="A52" s="43">
        <v>37</v>
      </c>
      <c r="B52" s="166"/>
      <c r="C52" s="166"/>
      <c r="D52" s="166"/>
      <c r="E52" s="162"/>
      <c r="F52" s="166"/>
      <c r="G52" s="162"/>
      <c r="H52" s="162"/>
      <c r="I52" s="189">
        <f t="shared" si="74"/>
        <v>0</v>
      </c>
      <c r="J52" s="195"/>
      <c r="K52" s="162"/>
      <c r="L52" s="168"/>
      <c r="M52" s="75">
        <f>_xlfn.XLOOKUP(L52,list_vat[Страна],list_vat[Ставка НДС %],0,0)</f>
        <v>0</v>
      </c>
      <c r="N52" s="162">
        <f t="shared" si="57"/>
        <v>0</v>
      </c>
      <c r="O52" s="169"/>
      <c r="P52" s="74">
        <f t="shared" si="97"/>
        <v>0</v>
      </c>
      <c r="Q52" s="162"/>
      <c r="R52" s="162" t="str">
        <f t="shared" si="75"/>
        <v>введи курс</v>
      </c>
      <c r="S52" s="196">
        <f t="shared" si="76"/>
        <v>0</v>
      </c>
      <c r="T52" s="192">
        <f t="shared" si="77"/>
        <v>0</v>
      </c>
      <c r="U52" s="76">
        <f t="shared" si="78"/>
        <v>0</v>
      </c>
      <c r="V52" s="123">
        <f t="shared" si="79"/>
        <v>0</v>
      </c>
      <c r="W52" s="191"/>
      <c r="X52" s="170"/>
      <c r="Y52" s="74">
        <f t="shared" si="98"/>
        <v>0</v>
      </c>
      <c r="Z52" s="188"/>
      <c r="AA52" s="130">
        <f t="shared" si="80"/>
        <v>0</v>
      </c>
      <c r="AB52" s="74">
        <f t="shared" si="81"/>
        <v>0</v>
      </c>
      <c r="AC52" s="356"/>
      <c r="AD52" s="130" cm="1">
        <f t="array" ref="AD52">IFERROR(ROUND((_xlfn.IFS(offer_sale_type="поставка",AB52,offer_sale_type="транзит",S52)*(1+AC52))/E52,2),0)</f>
        <v>0</v>
      </c>
      <c r="AE52" s="74">
        <f t="shared" si="82"/>
        <v>0</v>
      </c>
      <c r="AF52" s="123" cm="1">
        <f t="array" ref="AF52">IFERROR(ROUND(_xlfn.IFS(offer_sale_type="поставка",AB52,offer_sale_type="транзит",S52)*AC52,2),0)</f>
        <v>0</v>
      </c>
      <c r="AG52" s="130">
        <f t="shared" si="62"/>
        <v>0</v>
      </c>
      <c r="AH52" s="74">
        <f t="shared" si="63"/>
        <v>0</v>
      </c>
      <c r="AI52" s="123">
        <f t="shared" si="64"/>
        <v>0</v>
      </c>
      <c r="AJ52" s="118">
        <f t="shared" si="83"/>
        <v>0</v>
      </c>
      <c r="AK52" s="74">
        <f t="shared" si="84"/>
        <v>0</v>
      </c>
      <c r="AL52" s="174">
        <f t="shared" si="85"/>
        <v>0</v>
      </c>
      <c r="AM52" s="175">
        <f t="shared" si="65"/>
        <v>0</v>
      </c>
      <c r="AN52" s="130">
        <f t="shared" si="86"/>
        <v>0</v>
      </c>
      <c r="AO52" s="74">
        <f t="shared" si="66"/>
        <v>0</v>
      </c>
      <c r="AP52" s="123">
        <f t="shared" si="87"/>
        <v>0</v>
      </c>
      <c r="AQ52" s="118">
        <f t="shared" si="88"/>
        <v>0</v>
      </c>
      <c r="AR52" s="82" t="str">
        <f t="shared" si="89"/>
        <v>https://www.alta.ru/tnved/code//</v>
      </c>
      <c r="AS52" s="157"/>
      <c r="AT52" s="162"/>
      <c r="AU52" s="74">
        <f t="shared" si="90"/>
        <v>0</v>
      </c>
      <c r="AV52" s="157"/>
      <c r="AW52" s="75">
        <f>_xlfn.IFNA(VLOOKUP(L52,list_vat[],3,FALSE),0)</f>
        <v>0</v>
      </c>
      <c r="AX52" s="74">
        <f t="shared" si="91"/>
        <v>0</v>
      </c>
      <c r="AY52" s="74">
        <f t="shared" si="92"/>
        <v>0</v>
      </c>
      <c r="AZ52" s="130">
        <f t="shared" si="93"/>
        <v>0</v>
      </c>
      <c r="BA52" s="74">
        <f t="shared" si="72"/>
        <v>0</v>
      </c>
      <c r="BB52" s="193">
        <f t="shared" si="94"/>
        <v>0</v>
      </c>
      <c r="BC52" s="102">
        <f t="shared" si="95"/>
        <v>0</v>
      </c>
      <c r="BD52" s="102">
        <f t="shared" si="96"/>
        <v>0</v>
      </c>
      <c r="BE52" s="413" t="s">
        <v>69</v>
      </c>
    </row>
    <row r="53" spans="1:57" s="65" customFormat="1" ht="12" customHeight="1" x14ac:dyDescent="0.2">
      <c r="A53" s="43">
        <v>38</v>
      </c>
      <c r="B53" s="166"/>
      <c r="C53" s="166"/>
      <c r="D53" s="166"/>
      <c r="E53" s="162"/>
      <c r="F53" s="166"/>
      <c r="G53" s="162"/>
      <c r="H53" s="162"/>
      <c r="I53" s="189">
        <f t="shared" si="74"/>
        <v>0</v>
      </c>
      <c r="J53" s="195"/>
      <c r="K53" s="162"/>
      <c r="L53" s="168"/>
      <c r="M53" s="75">
        <f>_xlfn.XLOOKUP(L53,list_vat[Страна],list_vat[Ставка НДС %],0,0)</f>
        <v>0</v>
      </c>
      <c r="N53" s="162">
        <f t="shared" si="57"/>
        <v>0</v>
      </c>
      <c r="O53" s="169"/>
      <c r="P53" s="74">
        <f t="shared" si="97"/>
        <v>0</v>
      </c>
      <c r="Q53" s="162"/>
      <c r="R53" s="162" t="str">
        <f t="shared" si="75"/>
        <v>введи курс</v>
      </c>
      <c r="S53" s="196">
        <f t="shared" si="76"/>
        <v>0</v>
      </c>
      <c r="T53" s="192">
        <f t="shared" si="77"/>
        <v>0</v>
      </c>
      <c r="U53" s="76">
        <f t="shared" si="78"/>
        <v>0</v>
      </c>
      <c r="V53" s="123">
        <f t="shared" si="79"/>
        <v>0</v>
      </c>
      <c r="W53" s="191"/>
      <c r="X53" s="170"/>
      <c r="Y53" s="74">
        <f t="shared" si="98"/>
        <v>0</v>
      </c>
      <c r="Z53" s="188"/>
      <c r="AA53" s="130">
        <f t="shared" si="80"/>
        <v>0</v>
      </c>
      <c r="AB53" s="74">
        <f t="shared" si="81"/>
        <v>0</v>
      </c>
      <c r="AC53" s="356"/>
      <c r="AD53" s="130" cm="1">
        <f t="array" ref="AD53">IFERROR(ROUND((_xlfn.IFS(offer_sale_type="поставка",AB53,offer_sale_type="транзит",S53)*(1+AC53))/E53,2),0)</f>
        <v>0</v>
      </c>
      <c r="AE53" s="74">
        <f t="shared" si="82"/>
        <v>0</v>
      </c>
      <c r="AF53" s="123" cm="1">
        <f t="array" ref="AF53">IFERROR(ROUND(_xlfn.IFS(offer_sale_type="поставка",AB53,offer_sale_type="транзит",S53)*AC53,2),0)</f>
        <v>0</v>
      </c>
      <c r="AG53" s="130">
        <f t="shared" si="62"/>
        <v>0</v>
      </c>
      <c r="AH53" s="74">
        <f t="shared" si="63"/>
        <v>0</v>
      </c>
      <c r="AI53" s="123">
        <f t="shared" si="64"/>
        <v>0</v>
      </c>
      <c r="AJ53" s="118">
        <f t="shared" si="83"/>
        <v>0</v>
      </c>
      <c r="AK53" s="74">
        <f t="shared" si="84"/>
        <v>0</v>
      </c>
      <c r="AL53" s="174">
        <f t="shared" si="85"/>
        <v>0</v>
      </c>
      <c r="AM53" s="175">
        <f t="shared" si="65"/>
        <v>0</v>
      </c>
      <c r="AN53" s="130">
        <f t="shared" si="86"/>
        <v>0</v>
      </c>
      <c r="AO53" s="74">
        <f t="shared" si="66"/>
        <v>0</v>
      </c>
      <c r="AP53" s="123">
        <f t="shared" si="87"/>
        <v>0</v>
      </c>
      <c r="AQ53" s="118">
        <f t="shared" si="88"/>
        <v>0</v>
      </c>
      <c r="AR53" s="82" t="str">
        <f t="shared" si="89"/>
        <v>https://www.alta.ru/tnved/code//</v>
      </c>
      <c r="AS53" s="157"/>
      <c r="AT53" s="162"/>
      <c r="AU53" s="74">
        <f t="shared" si="90"/>
        <v>0</v>
      </c>
      <c r="AV53" s="157"/>
      <c r="AW53" s="75">
        <f>_xlfn.IFNA(VLOOKUP(L53,list_vat[],3,FALSE),0)</f>
        <v>0</v>
      </c>
      <c r="AX53" s="74">
        <f t="shared" si="91"/>
        <v>0</v>
      </c>
      <c r="AY53" s="74">
        <f t="shared" si="92"/>
        <v>0</v>
      </c>
      <c r="AZ53" s="130">
        <f t="shared" si="93"/>
        <v>0</v>
      </c>
      <c r="BA53" s="74">
        <f t="shared" si="72"/>
        <v>0</v>
      </c>
      <c r="BB53" s="193">
        <f t="shared" si="94"/>
        <v>0</v>
      </c>
      <c r="BC53" s="102">
        <f t="shared" si="95"/>
        <v>0</v>
      </c>
      <c r="BD53" s="102">
        <f t="shared" si="96"/>
        <v>0</v>
      </c>
      <c r="BE53" s="413" t="s">
        <v>69</v>
      </c>
    </row>
    <row r="54" spans="1:57" s="65" customFormat="1" ht="12" customHeight="1" x14ac:dyDescent="0.2">
      <c r="A54" s="43">
        <v>39</v>
      </c>
      <c r="B54" s="166"/>
      <c r="C54" s="166"/>
      <c r="D54" s="166"/>
      <c r="E54" s="162"/>
      <c r="F54" s="166"/>
      <c r="G54" s="162"/>
      <c r="H54" s="162"/>
      <c r="I54" s="189">
        <f t="shared" si="74"/>
        <v>0</v>
      </c>
      <c r="J54" s="195"/>
      <c r="K54" s="162"/>
      <c r="L54" s="168"/>
      <c r="M54" s="75">
        <f>_xlfn.XLOOKUP(L54,list_vat[Страна],list_vat[Ставка НДС %],0,0)</f>
        <v>0</v>
      </c>
      <c r="N54" s="162">
        <f t="shared" si="57"/>
        <v>0</v>
      </c>
      <c r="O54" s="169"/>
      <c r="P54" s="74">
        <f t="shared" si="97"/>
        <v>0</v>
      </c>
      <c r="Q54" s="162"/>
      <c r="R54" s="162" t="str">
        <f t="shared" si="75"/>
        <v>введи курс</v>
      </c>
      <c r="S54" s="196">
        <f t="shared" si="76"/>
        <v>0</v>
      </c>
      <c r="T54" s="192">
        <f t="shared" si="77"/>
        <v>0</v>
      </c>
      <c r="U54" s="76">
        <f t="shared" si="78"/>
        <v>0</v>
      </c>
      <c r="V54" s="123">
        <f t="shared" si="79"/>
        <v>0</v>
      </c>
      <c r="W54" s="191"/>
      <c r="X54" s="170"/>
      <c r="Y54" s="74">
        <f t="shared" si="98"/>
        <v>0</v>
      </c>
      <c r="Z54" s="188"/>
      <c r="AA54" s="130">
        <f t="shared" si="80"/>
        <v>0</v>
      </c>
      <c r="AB54" s="74">
        <f t="shared" si="81"/>
        <v>0</v>
      </c>
      <c r="AC54" s="356"/>
      <c r="AD54" s="130" cm="1">
        <f t="array" ref="AD54">IFERROR(ROUND((_xlfn.IFS(offer_sale_type="поставка",AB54,offer_sale_type="транзит",S54)*(1+AC54))/E54,2),0)</f>
        <v>0</v>
      </c>
      <c r="AE54" s="74">
        <f t="shared" si="82"/>
        <v>0</v>
      </c>
      <c r="AF54" s="123" cm="1">
        <f t="array" ref="AF54">IFERROR(ROUND(_xlfn.IFS(offer_sale_type="поставка",AB54,offer_sale_type="транзит",S54)*AC54,2),0)</f>
        <v>0</v>
      </c>
      <c r="AG54" s="130">
        <f t="shared" si="62"/>
        <v>0</v>
      </c>
      <c r="AH54" s="74">
        <f t="shared" si="63"/>
        <v>0</v>
      </c>
      <c r="AI54" s="123">
        <f t="shared" si="64"/>
        <v>0</v>
      </c>
      <c r="AJ54" s="118">
        <f t="shared" si="83"/>
        <v>0</v>
      </c>
      <c r="AK54" s="74">
        <f t="shared" si="84"/>
        <v>0</v>
      </c>
      <c r="AL54" s="174">
        <f t="shared" si="85"/>
        <v>0</v>
      </c>
      <c r="AM54" s="175">
        <f t="shared" si="65"/>
        <v>0</v>
      </c>
      <c r="AN54" s="130">
        <f t="shared" si="86"/>
        <v>0</v>
      </c>
      <c r="AO54" s="74">
        <f t="shared" si="66"/>
        <v>0</v>
      </c>
      <c r="AP54" s="123">
        <f t="shared" si="87"/>
        <v>0</v>
      </c>
      <c r="AQ54" s="118">
        <f t="shared" si="88"/>
        <v>0</v>
      </c>
      <c r="AR54" s="82" t="str">
        <f t="shared" si="89"/>
        <v>https://www.alta.ru/tnved/code//</v>
      </c>
      <c r="AS54" s="157"/>
      <c r="AT54" s="162"/>
      <c r="AU54" s="74">
        <f t="shared" si="90"/>
        <v>0</v>
      </c>
      <c r="AV54" s="157"/>
      <c r="AW54" s="75">
        <f>_xlfn.IFNA(VLOOKUP(L54,list_vat[],3,FALSE),0)</f>
        <v>0</v>
      </c>
      <c r="AX54" s="74">
        <f t="shared" si="91"/>
        <v>0</v>
      </c>
      <c r="AY54" s="74">
        <f t="shared" si="92"/>
        <v>0</v>
      </c>
      <c r="AZ54" s="130">
        <f t="shared" si="93"/>
        <v>0</v>
      </c>
      <c r="BA54" s="74">
        <f t="shared" si="72"/>
        <v>0</v>
      </c>
      <c r="BB54" s="193">
        <f t="shared" si="94"/>
        <v>0</v>
      </c>
      <c r="BC54" s="102">
        <f t="shared" si="95"/>
        <v>0</v>
      </c>
      <c r="BD54" s="102">
        <f t="shared" si="96"/>
        <v>0</v>
      </c>
      <c r="BE54" s="413" t="s">
        <v>69</v>
      </c>
    </row>
    <row r="55" spans="1:57" s="65" customFormat="1" ht="12" customHeight="1" x14ac:dyDescent="0.2">
      <c r="A55" s="43">
        <v>40</v>
      </c>
      <c r="B55" s="166"/>
      <c r="C55" s="166"/>
      <c r="D55" s="166"/>
      <c r="E55" s="162"/>
      <c r="F55" s="166"/>
      <c r="G55" s="162"/>
      <c r="H55" s="162"/>
      <c r="I55" s="189">
        <f t="shared" si="74"/>
        <v>0</v>
      </c>
      <c r="J55" s="195"/>
      <c r="K55" s="162"/>
      <c r="L55" s="168"/>
      <c r="M55" s="75">
        <f>_xlfn.XLOOKUP(L55,list_vat[Страна],list_vat[Ставка НДС %],0,0)</f>
        <v>0</v>
      </c>
      <c r="N55" s="162">
        <f t="shared" si="57"/>
        <v>0</v>
      </c>
      <c r="O55" s="169"/>
      <c r="P55" s="74">
        <f t="shared" si="97"/>
        <v>0</v>
      </c>
      <c r="Q55" s="162"/>
      <c r="R55" s="162" t="str">
        <f t="shared" si="75"/>
        <v>введи курс</v>
      </c>
      <c r="S55" s="196">
        <f t="shared" si="76"/>
        <v>0</v>
      </c>
      <c r="T55" s="192">
        <f t="shared" si="77"/>
        <v>0</v>
      </c>
      <c r="U55" s="76">
        <f t="shared" si="78"/>
        <v>0</v>
      </c>
      <c r="V55" s="123">
        <f t="shared" si="79"/>
        <v>0</v>
      </c>
      <c r="W55" s="191"/>
      <c r="X55" s="170"/>
      <c r="Y55" s="74">
        <f t="shared" si="98"/>
        <v>0</v>
      </c>
      <c r="Z55" s="188"/>
      <c r="AA55" s="130">
        <f t="shared" si="80"/>
        <v>0</v>
      </c>
      <c r="AB55" s="74">
        <f t="shared" si="81"/>
        <v>0</v>
      </c>
      <c r="AC55" s="356"/>
      <c r="AD55" s="130" cm="1">
        <f t="array" ref="AD55">IFERROR(ROUND((_xlfn.IFS(offer_sale_type="поставка",AB55,offer_sale_type="транзит",S55)*(1+AC55))/E55,2),0)</f>
        <v>0</v>
      </c>
      <c r="AE55" s="74">
        <f t="shared" si="82"/>
        <v>0</v>
      </c>
      <c r="AF55" s="123" cm="1">
        <f t="array" ref="AF55">IFERROR(ROUND(_xlfn.IFS(offer_sale_type="поставка",AB55,offer_sale_type="транзит",S55)*AC55,2),0)</f>
        <v>0</v>
      </c>
      <c r="AG55" s="130">
        <f t="shared" si="62"/>
        <v>0</v>
      </c>
      <c r="AH55" s="74">
        <f t="shared" si="63"/>
        <v>0</v>
      </c>
      <c r="AI55" s="123">
        <f t="shared" si="64"/>
        <v>0</v>
      </c>
      <c r="AJ55" s="118">
        <f t="shared" si="83"/>
        <v>0</v>
      </c>
      <c r="AK55" s="74">
        <f t="shared" si="84"/>
        <v>0</v>
      </c>
      <c r="AL55" s="174">
        <f t="shared" si="85"/>
        <v>0</v>
      </c>
      <c r="AM55" s="175">
        <f t="shared" si="65"/>
        <v>0</v>
      </c>
      <c r="AN55" s="130">
        <f t="shared" si="86"/>
        <v>0</v>
      </c>
      <c r="AO55" s="74">
        <f t="shared" si="66"/>
        <v>0</v>
      </c>
      <c r="AP55" s="123">
        <f t="shared" si="87"/>
        <v>0</v>
      </c>
      <c r="AQ55" s="118">
        <f t="shared" si="88"/>
        <v>0</v>
      </c>
      <c r="AR55" s="82" t="str">
        <f t="shared" si="89"/>
        <v>https://www.alta.ru/tnved/code//</v>
      </c>
      <c r="AS55" s="157"/>
      <c r="AT55" s="162"/>
      <c r="AU55" s="74">
        <f t="shared" si="90"/>
        <v>0</v>
      </c>
      <c r="AV55" s="157"/>
      <c r="AW55" s="75">
        <f>_xlfn.IFNA(VLOOKUP(L55,list_vat[],3,FALSE),0)</f>
        <v>0</v>
      </c>
      <c r="AX55" s="74">
        <f t="shared" si="91"/>
        <v>0</v>
      </c>
      <c r="AY55" s="74">
        <f t="shared" si="92"/>
        <v>0</v>
      </c>
      <c r="AZ55" s="130">
        <f t="shared" si="93"/>
        <v>0</v>
      </c>
      <c r="BA55" s="74">
        <f t="shared" si="72"/>
        <v>0</v>
      </c>
      <c r="BB55" s="193">
        <f t="shared" si="94"/>
        <v>0</v>
      </c>
      <c r="BC55" s="102">
        <f t="shared" si="95"/>
        <v>0</v>
      </c>
      <c r="BD55" s="102">
        <f t="shared" si="96"/>
        <v>0</v>
      </c>
      <c r="BE55" s="413" t="s">
        <v>69</v>
      </c>
    </row>
    <row r="56" spans="1:57" s="65" customFormat="1" ht="12" customHeight="1" x14ac:dyDescent="0.2">
      <c r="A56" s="43">
        <v>41</v>
      </c>
      <c r="B56" s="166"/>
      <c r="C56" s="166"/>
      <c r="D56" s="166"/>
      <c r="E56" s="162"/>
      <c r="F56" s="166"/>
      <c r="G56" s="162"/>
      <c r="H56" s="162"/>
      <c r="I56" s="189">
        <f t="shared" si="74"/>
        <v>0</v>
      </c>
      <c r="J56" s="195"/>
      <c r="K56" s="162"/>
      <c r="L56" s="168"/>
      <c r="M56" s="75">
        <f>_xlfn.XLOOKUP(L56,list_vat[Страна],list_vat[Ставка НДС %],0,0)</f>
        <v>0</v>
      </c>
      <c r="N56" s="162">
        <f t="shared" si="57"/>
        <v>0</v>
      </c>
      <c r="O56" s="169"/>
      <c r="P56" s="74">
        <f t="shared" si="97"/>
        <v>0</v>
      </c>
      <c r="Q56" s="162"/>
      <c r="R56" s="162" t="str">
        <f t="shared" si="75"/>
        <v>введи курс</v>
      </c>
      <c r="S56" s="196">
        <f t="shared" si="76"/>
        <v>0</v>
      </c>
      <c r="T56" s="192">
        <f t="shared" si="77"/>
        <v>0</v>
      </c>
      <c r="U56" s="76">
        <f t="shared" si="78"/>
        <v>0</v>
      </c>
      <c r="V56" s="123">
        <f t="shared" si="79"/>
        <v>0</v>
      </c>
      <c r="W56" s="191"/>
      <c r="X56" s="170"/>
      <c r="Y56" s="74">
        <f t="shared" si="98"/>
        <v>0</v>
      </c>
      <c r="Z56" s="188"/>
      <c r="AA56" s="130">
        <f t="shared" si="80"/>
        <v>0</v>
      </c>
      <c r="AB56" s="74">
        <f t="shared" si="81"/>
        <v>0</v>
      </c>
      <c r="AC56" s="356"/>
      <c r="AD56" s="130" cm="1">
        <f t="array" ref="AD56">IFERROR(ROUND((_xlfn.IFS(offer_sale_type="поставка",AB56,offer_sale_type="транзит",S56)*(1+AC56))/E56,2),0)</f>
        <v>0</v>
      </c>
      <c r="AE56" s="74">
        <f t="shared" si="82"/>
        <v>0</v>
      </c>
      <c r="AF56" s="123" cm="1">
        <f t="array" ref="AF56">IFERROR(ROUND(_xlfn.IFS(offer_sale_type="поставка",AB56,offer_sale_type="транзит",S56)*AC56,2),0)</f>
        <v>0</v>
      </c>
      <c r="AG56" s="130">
        <f t="shared" si="62"/>
        <v>0</v>
      </c>
      <c r="AH56" s="74">
        <f t="shared" si="63"/>
        <v>0</v>
      </c>
      <c r="AI56" s="123">
        <f t="shared" si="64"/>
        <v>0</v>
      </c>
      <c r="AJ56" s="118">
        <f t="shared" si="83"/>
        <v>0</v>
      </c>
      <c r="AK56" s="74">
        <f t="shared" si="84"/>
        <v>0</v>
      </c>
      <c r="AL56" s="174">
        <f t="shared" si="85"/>
        <v>0</v>
      </c>
      <c r="AM56" s="175">
        <f t="shared" si="65"/>
        <v>0</v>
      </c>
      <c r="AN56" s="130">
        <f t="shared" si="86"/>
        <v>0</v>
      </c>
      <c r="AO56" s="74">
        <f t="shared" si="66"/>
        <v>0</v>
      </c>
      <c r="AP56" s="123">
        <f t="shared" si="87"/>
        <v>0</v>
      </c>
      <c r="AQ56" s="118">
        <f t="shared" si="88"/>
        <v>0</v>
      </c>
      <c r="AR56" s="82" t="str">
        <f t="shared" si="89"/>
        <v>https://www.alta.ru/tnved/code//</v>
      </c>
      <c r="AS56" s="157"/>
      <c r="AT56" s="162"/>
      <c r="AU56" s="74">
        <f t="shared" si="90"/>
        <v>0</v>
      </c>
      <c r="AV56" s="157"/>
      <c r="AW56" s="75">
        <f>_xlfn.IFNA(VLOOKUP(L56,list_vat[],3,FALSE),0)</f>
        <v>0</v>
      </c>
      <c r="AX56" s="74">
        <f t="shared" si="91"/>
        <v>0</v>
      </c>
      <c r="AY56" s="74">
        <f t="shared" si="92"/>
        <v>0</v>
      </c>
      <c r="AZ56" s="130">
        <f t="shared" si="93"/>
        <v>0</v>
      </c>
      <c r="BA56" s="74">
        <f t="shared" si="72"/>
        <v>0</v>
      </c>
      <c r="BB56" s="193">
        <f t="shared" si="94"/>
        <v>0</v>
      </c>
      <c r="BC56" s="102">
        <f t="shared" si="95"/>
        <v>0</v>
      </c>
      <c r="BD56" s="102">
        <f t="shared" si="96"/>
        <v>0</v>
      </c>
      <c r="BE56" s="413" t="s">
        <v>69</v>
      </c>
    </row>
    <row r="57" spans="1:57" s="65" customFormat="1" ht="12" customHeight="1" x14ac:dyDescent="0.2">
      <c r="A57" s="43">
        <v>42</v>
      </c>
      <c r="B57" s="166"/>
      <c r="C57" s="166"/>
      <c r="D57" s="166"/>
      <c r="E57" s="162"/>
      <c r="F57" s="166"/>
      <c r="G57" s="162"/>
      <c r="H57" s="162"/>
      <c r="I57" s="189">
        <f t="shared" si="74"/>
        <v>0</v>
      </c>
      <c r="J57" s="195"/>
      <c r="K57" s="162"/>
      <c r="L57" s="168"/>
      <c r="M57" s="75">
        <f>_xlfn.XLOOKUP(L57,list_vat[Страна],list_vat[Ставка НДС %],0,0)</f>
        <v>0</v>
      </c>
      <c r="N57" s="162">
        <f t="shared" si="57"/>
        <v>0</v>
      </c>
      <c r="O57" s="169"/>
      <c r="P57" s="74">
        <f t="shared" si="97"/>
        <v>0</v>
      </c>
      <c r="Q57" s="162"/>
      <c r="R57" s="162" t="str">
        <f t="shared" si="75"/>
        <v>введи курс</v>
      </c>
      <c r="S57" s="196">
        <f t="shared" si="76"/>
        <v>0</v>
      </c>
      <c r="T57" s="192">
        <f t="shared" si="77"/>
        <v>0</v>
      </c>
      <c r="U57" s="76">
        <f t="shared" si="78"/>
        <v>0</v>
      </c>
      <c r="V57" s="123">
        <f t="shared" si="79"/>
        <v>0</v>
      </c>
      <c r="W57" s="191"/>
      <c r="X57" s="170"/>
      <c r="Y57" s="74">
        <f t="shared" si="98"/>
        <v>0</v>
      </c>
      <c r="Z57" s="188"/>
      <c r="AA57" s="130">
        <f t="shared" si="80"/>
        <v>0</v>
      </c>
      <c r="AB57" s="74">
        <f t="shared" si="81"/>
        <v>0</v>
      </c>
      <c r="AC57" s="356"/>
      <c r="AD57" s="130" cm="1">
        <f t="array" ref="AD57">IFERROR(ROUND((_xlfn.IFS(offer_sale_type="поставка",AB57,offer_sale_type="транзит",S57)*(1+AC57))/E57,2),0)</f>
        <v>0</v>
      </c>
      <c r="AE57" s="74">
        <f t="shared" si="82"/>
        <v>0</v>
      </c>
      <c r="AF57" s="123" cm="1">
        <f t="array" ref="AF57">IFERROR(ROUND(_xlfn.IFS(offer_sale_type="поставка",AB57,offer_sale_type="транзит",S57)*AC57,2),0)</f>
        <v>0</v>
      </c>
      <c r="AG57" s="130">
        <f t="shared" si="62"/>
        <v>0</v>
      </c>
      <c r="AH57" s="74">
        <f t="shared" si="63"/>
        <v>0</v>
      </c>
      <c r="AI57" s="123">
        <f t="shared" si="64"/>
        <v>0</v>
      </c>
      <c r="AJ57" s="118">
        <f t="shared" si="83"/>
        <v>0</v>
      </c>
      <c r="AK57" s="74">
        <f t="shared" si="84"/>
        <v>0</v>
      </c>
      <c r="AL57" s="174">
        <f t="shared" si="85"/>
        <v>0</v>
      </c>
      <c r="AM57" s="175">
        <f t="shared" si="65"/>
        <v>0</v>
      </c>
      <c r="AN57" s="130">
        <f t="shared" si="86"/>
        <v>0</v>
      </c>
      <c r="AO57" s="74">
        <f t="shared" si="66"/>
        <v>0</v>
      </c>
      <c r="AP57" s="123">
        <f t="shared" si="87"/>
        <v>0</v>
      </c>
      <c r="AQ57" s="118">
        <f t="shared" si="88"/>
        <v>0</v>
      </c>
      <c r="AR57" s="82" t="str">
        <f t="shared" si="89"/>
        <v>https://www.alta.ru/tnved/code//</v>
      </c>
      <c r="AS57" s="157"/>
      <c r="AT57" s="162"/>
      <c r="AU57" s="74">
        <f t="shared" si="90"/>
        <v>0</v>
      </c>
      <c r="AV57" s="157"/>
      <c r="AW57" s="75">
        <f>_xlfn.IFNA(VLOOKUP(L57,list_vat[],3,FALSE),0)</f>
        <v>0</v>
      </c>
      <c r="AX57" s="74">
        <f t="shared" si="91"/>
        <v>0</v>
      </c>
      <c r="AY57" s="74">
        <f t="shared" si="92"/>
        <v>0</v>
      </c>
      <c r="AZ57" s="130">
        <f t="shared" si="93"/>
        <v>0</v>
      </c>
      <c r="BA57" s="74">
        <f t="shared" si="72"/>
        <v>0</v>
      </c>
      <c r="BB57" s="193">
        <f t="shared" si="94"/>
        <v>0</v>
      </c>
      <c r="BC57" s="102">
        <f t="shared" si="95"/>
        <v>0</v>
      </c>
      <c r="BD57" s="102">
        <f t="shared" si="96"/>
        <v>0</v>
      </c>
      <c r="BE57" s="413" t="s">
        <v>69</v>
      </c>
    </row>
    <row r="58" spans="1:57" s="65" customFormat="1" ht="12" customHeight="1" x14ac:dyDescent="0.2">
      <c r="A58" s="43">
        <v>43</v>
      </c>
      <c r="B58" s="166"/>
      <c r="C58" s="166"/>
      <c r="D58" s="166"/>
      <c r="E58" s="162"/>
      <c r="F58" s="166"/>
      <c r="G58" s="162"/>
      <c r="H58" s="162"/>
      <c r="I58" s="189">
        <f t="shared" si="74"/>
        <v>0</v>
      </c>
      <c r="J58" s="195"/>
      <c r="K58" s="162"/>
      <c r="L58" s="168"/>
      <c r="M58" s="75">
        <f>_xlfn.XLOOKUP(L58,list_vat[Страна],list_vat[Ставка НДС %],0,0)</f>
        <v>0</v>
      </c>
      <c r="N58" s="162">
        <f t="shared" si="57"/>
        <v>0</v>
      </c>
      <c r="O58" s="169"/>
      <c r="P58" s="74">
        <f t="shared" si="97"/>
        <v>0</v>
      </c>
      <c r="Q58" s="162"/>
      <c r="R58" s="162" t="str">
        <f t="shared" si="75"/>
        <v>введи курс</v>
      </c>
      <c r="S58" s="196">
        <f t="shared" si="76"/>
        <v>0</v>
      </c>
      <c r="T58" s="192">
        <f t="shared" si="77"/>
        <v>0</v>
      </c>
      <c r="U58" s="76">
        <f t="shared" si="78"/>
        <v>0</v>
      </c>
      <c r="V58" s="123">
        <f t="shared" si="79"/>
        <v>0</v>
      </c>
      <c r="W58" s="191"/>
      <c r="X58" s="170"/>
      <c r="Y58" s="74">
        <f t="shared" si="98"/>
        <v>0</v>
      </c>
      <c r="Z58" s="188"/>
      <c r="AA58" s="130">
        <f t="shared" si="80"/>
        <v>0</v>
      </c>
      <c r="AB58" s="74">
        <f t="shared" si="81"/>
        <v>0</v>
      </c>
      <c r="AC58" s="356"/>
      <c r="AD58" s="130" cm="1">
        <f t="array" ref="AD58">IFERROR(ROUND((_xlfn.IFS(offer_sale_type="поставка",AB58,offer_sale_type="транзит",S58)*(1+AC58))/E58,2),0)</f>
        <v>0</v>
      </c>
      <c r="AE58" s="74">
        <f t="shared" si="82"/>
        <v>0</v>
      </c>
      <c r="AF58" s="123" cm="1">
        <f t="array" ref="AF58">IFERROR(ROUND(_xlfn.IFS(offer_sale_type="поставка",AB58,offer_sale_type="транзит",S58)*AC58,2),0)</f>
        <v>0</v>
      </c>
      <c r="AG58" s="130">
        <f t="shared" si="62"/>
        <v>0</v>
      </c>
      <c r="AH58" s="74">
        <f t="shared" si="63"/>
        <v>0</v>
      </c>
      <c r="AI58" s="123">
        <f t="shared" si="64"/>
        <v>0</v>
      </c>
      <c r="AJ58" s="118">
        <f t="shared" si="83"/>
        <v>0</v>
      </c>
      <c r="AK58" s="74">
        <f t="shared" si="84"/>
        <v>0</v>
      </c>
      <c r="AL58" s="174">
        <f t="shared" si="85"/>
        <v>0</v>
      </c>
      <c r="AM58" s="175">
        <f t="shared" si="65"/>
        <v>0</v>
      </c>
      <c r="AN58" s="130">
        <f t="shared" si="86"/>
        <v>0</v>
      </c>
      <c r="AO58" s="74">
        <f t="shared" si="66"/>
        <v>0</v>
      </c>
      <c r="AP58" s="123">
        <f t="shared" si="87"/>
        <v>0</v>
      </c>
      <c r="AQ58" s="118">
        <f t="shared" si="88"/>
        <v>0</v>
      </c>
      <c r="AR58" s="82" t="str">
        <f t="shared" si="89"/>
        <v>https://www.alta.ru/tnved/code//</v>
      </c>
      <c r="AS58" s="157"/>
      <c r="AT58" s="162"/>
      <c r="AU58" s="74">
        <f t="shared" si="90"/>
        <v>0</v>
      </c>
      <c r="AV58" s="157"/>
      <c r="AW58" s="75">
        <f>_xlfn.IFNA(VLOOKUP(L58,list_vat[],3,FALSE),0)</f>
        <v>0</v>
      </c>
      <c r="AX58" s="74">
        <f t="shared" si="91"/>
        <v>0</v>
      </c>
      <c r="AY58" s="74">
        <f t="shared" si="92"/>
        <v>0</v>
      </c>
      <c r="AZ58" s="130">
        <f t="shared" si="93"/>
        <v>0</v>
      </c>
      <c r="BA58" s="74">
        <f t="shared" si="72"/>
        <v>0</v>
      </c>
      <c r="BB58" s="193">
        <f t="shared" si="94"/>
        <v>0</v>
      </c>
      <c r="BC58" s="102">
        <f t="shared" si="95"/>
        <v>0</v>
      </c>
      <c r="BD58" s="102">
        <f t="shared" si="96"/>
        <v>0</v>
      </c>
      <c r="BE58" s="413" t="s">
        <v>69</v>
      </c>
    </row>
    <row r="59" spans="1:57" s="65" customFormat="1" ht="12" customHeight="1" x14ac:dyDescent="0.2">
      <c r="A59" s="43">
        <v>44</v>
      </c>
      <c r="B59" s="166"/>
      <c r="C59" s="166"/>
      <c r="D59" s="166"/>
      <c r="E59" s="162"/>
      <c r="F59" s="166"/>
      <c r="G59" s="162"/>
      <c r="H59" s="162"/>
      <c r="I59" s="189">
        <f t="shared" si="74"/>
        <v>0</v>
      </c>
      <c r="J59" s="195"/>
      <c r="K59" s="162"/>
      <c r="L59" s="168"/>
      <c r="M59" s="75">
        <f>_xlfn.XLOOKUP(L59,list_vat[Страна],list_vat[Ставка НДС %],0,0)</f>
        <v>0</v>
      </c>
      <c r="N59" s="162">
        <f t="shared" si="57"/>
        <v>0</v>
      </c>
      <c r="O59" s="169"/>
      <c r="P59" s="74">
        <f t="shared" si="97"/>
        <v>0</v>
      </c>
      <c r="Q59" s="162"/>
      <c r="R59" s="162" t="str">
        <f t="shared" si="75"/>
        <v>введи курс</v>
      </c>
      <c r="S59" s="196">
        <f t="shared" si="76"/>
        <v>0</v>
      </c>
      <c r="T59" s="192">
        <f t="shared" si="77"/>
        <v>0</v>
      </c>
      <c r="U59" s="76">
        <f t="shared" si="78"/>
        <v>0</v>
      </c>
      <c r="V59" s="123">
        <f t="shared" si="79"/>
        <v>0</v>
      </c>
      <c r="W59" s="191"/>
      <c r="X59" s="170"/>
      <c r="Y59" s="74">
        <f t="shared" si="98"/>
        <v>0</v>
      </c>
      <c r="Z59" s="188"/>
      <c r="AA59" s="130">
        <f t="shared" si="80"/>
        <v>0</v>
      </c>
      <c r="AB59" s="74">
        <f t="shared" si="81"/>
        <v>0</v>
      </c>
      <c r="AC59" s="356"/>
      <c r="AD59" s="130" cm="1">
        <f t="array" ref="AD59">IFERROR(ROUND((_xlfn.IFS(offer_sale_type="поставка",AB59,offer_sale_type="транзит",S59)*(1+AC59))/E59,2),0)</f>
        <v>0</v>
      </c>
      <c r="AE59" s="74">
        <f t="shared" si="82"/>
        <v>0</v>
      </c>
      <c r="AF59" s="123" cm="1">
        <f t="array" ref="AF59">IFERROR(ROUND(_xlfn.IFS(offer_sale_type="поставка",AB59,offer_sale_type="транзит",S59)*AC59,2),0)</f>
        <v>0</v>
      </c>
      <c r="AG59" s="130">
        <f t="shared" si="62"/>
        <v>0</v>
      </c>
      <c r="AH59" s="74">
        <f t="shared" si="63"/>
        <v>0</v>
      </c>
      <c r="AI59" s="123">
        <f t="shared" si="64"/>
        <v>0</v>
      </c>
      <c r="AJ59" s="118">
        <f t="shared" si="83"/>
        <v>0</v>
      </c>
      <c r="AK59" s="74">
        <f t="shared" si="84"/>
        <v>0</v>
      </c>
      <c r="AL59" s="174">
        <f t="shared" si="85"/>
        <v>0</v>
      </c>
      <c r="AM59" s="175">
        <f t="shared" si="65"/>
        <v>0</v>
      </c>
      <c r="AN59" s="130">
        <f t="shared" si="86"/>
        <v>0</v>
      </c>
      <c r="AO59" s="74">
        <f t="shared" si="66"/>
        <v>0</v>
      </c>
      <c r="AP59" s="123">
        <f t="shared" si="87"/>
        <v>0</v>
      </c>
      <c r="AQ59" s="118">
        <f t="shared" si="88"/>
        <v>0</v>
      </c>
      <c r="AR59" s="82" t="str">
        <f t="shared" si="89"/>
        <v>https://www.alta.ru/tnved/code//</v>
      </c>
      <c r="AS59" s="157"/>
      <c r="AT59" s="162"/>
      <c r="AU59" s="74">
        <f t="shared" si="90"/>
        <v>0</v>
      </c>
      <c r="AV59" s="157"/>
      <c r="AW59" s="75">
        <f>_xlfn.IFNA(VLOOKUP(L59,list_vat[],3,FALSE),0)</f>
        <v>0</v>
      </c>
      <c r="AX59" s="74">
        <f t="shared" si="91"/>
        <v>0</v>
      </c>
      <c r="AY59" s="74">
        <f t="shared" si="92"/>
        <v>0</v>
      </c>
      <c r="AZ59" s="130">
        <f t="shared" si="93"/>
        <v>0</v>
      </c>
      <c r="BA59" s="74">
        <f t="shared" si="72"/>
        <v>0</v>
      </c>
      <c r="BB59" s="193">
        <f t="shared" si="94"/>
        <v>0</v>
      </c>
      <c r="BC59" s="102">
        <f t="shared" si="95"/>
        <v>0</v>
      </c>
      <c r="BD59" s="102">
        <f t="shared" si="96"/>
        <v>0</v>
      </c>
      <c r="BE59" s="413" t="s">
        <v>69</v>
      </c>
    </row>
    <row r="60" spans="1:57" s="65" customFormat="1" ht="12" customHeight="1" x14ac:dyDescent="0.2">
      <c r="A60" s="43">
        <v>45</v>
      </c>
      <c r="B60" s="166"/>
      <c r="C60" s="166"/>
      <c r="D60" s="166"/>
      <c r="E60" s="162"/>
      <c r="F60" s="166"/>
      <c r="G60" s="162"/>
      <c r="H60" s="162"/>
      <c r="I60" s="189">
        <f t="shared" si="74"/>
        <v>0</v>
      </c>
      <c r="J60" s="195"/>
      <c r="K60" s="162"/>
      <c r="L60" s="168"/>
      <c r="M60" s="75">
        <f>_xlfn.XLOOKUP(L60,list_vat[Страна],list_vat[Ставка НДС %],0,0)</f>
        <v>0</v>
      </c>
      <c r="N60" s="162">
        <f t="shared" si="57"/>
        <v>0</v>
      </c>
      <c r="O60" s="169"/>
      <c r="P60" s="74">
        <f t="shared" si="97"/>
        <v>0</v>
      </c>
      <c r="Q60" s="162"/>
      <c r="R60" s="162" t="str">
        <f t="shared" si="75"/>
        <v>введи курс</v>
      </c>
      <c r="S60" s="196">
        <f t="shared" si="76"/>
        <v>0</v>
      </c>
      <c r="T60" s="192">
        <f t="shared" si="77"/>
        <v>0</v>
      </c>
      <c r="U60" s="76">
        <f t="shared" si="78"/>
        <v>0</v>
      </c>
      <c r="V60" s="123">
        <f t="shared" si="79"/>
        <v>0</v>
      </c>
      <c r="W60" s="191"/>
      <c r="X60" s="170"/>
      <c r="Y60" s="74">
        <f t="shared" si="98"/>
        <v>0</v>
      </c>
      <c r="Z60" s="188"/>
      <c r="AA60" s="130">
        <f t="shared" si="80"/>
        <v>0</v>
      </c>
      <c r="AB60" s="74">
        <f t="shared" si="81"/>
        <v>0</v>
      </c>
      <c r="AC60" s="356"/>
      <c r="AD60" s="130" cm="1">
        <f t="array" ref="AD60">IFERROR(ROUND((_xlfn.IFS(offer_sale_type="поставка",AB60,offer_sale_type="транзит",S60)*(1+AC60))/E60,2),0)</f>
        <v>0</v>
      </c>
      <c r="AE60" s="74">
        <f t="shared" si="82"/>
        <v>0</v>
      </c>
      <c r="AF60" s="123" cm="1">
        <f t="array" ref="AF60">IFERROR(ROUND(_xlfn.IFS(offer_sale_type="поставка",AB60,offer_sale_type="транзит",S60)*AC60,2),0)</f>
        <v>0</v>
      </c>
      <c r="AG60" s="130">
        <f t="shared" si="62"/>
        <v>0</v>
      </c>
      <c r="AH60" s="74">
        <f t="shared" si="63"/>
        <v>0</v>
      </c>
      <c r="AI60" s="123">
        <f t="shared" si="64"/>
        <v>0</v>
      </c>
      <c r="AJ60" s="118">
        <f t="shared" si="83"/>
        <v>0</v>
      </c>
      <c r="AK60" s="74">
        <f t="shared" si="84"/>
        <v>0</v>
      </c>
      <c r="AL60" s="174">
        <f t="shared" si="85"/>
        <v>0</v>
      </c>
      <c r="AM60" s="175">
        <f t="shared" si="65"/>
        <v>0</v>
      </c>
      <c r="AN60" s="130">
        <f t="shared" si="86"/>
        <v>0</v>
      </c>
      <c r="AO60" s="74">
        <f t="shared" si="66"/>
        <v>0</v>
      </c>
      <c r="AP60" s="123">
        <f t="shared" si="87"/>
        <v>0</v>
      </c>
      <c r="AQ60" s="118">
        <f t="shared" si="88"/>
        <v>0</v>
      </c>
      <c r="AR60" s="82" t="str">
        <f t="shared" si="89"/>
        <v>https://www.alta.ru/tnved/code//</v>
      </c>
      <c r="AS60" s="157"/>
      <c r="AT60" s="162"/>
      <c r="AU60" s="74">
        <f t="shared" si="90"/>
        <v>0</v>
      </c>
      <c r="AV60" s="157"/>
      <c r="AW60" s="75">
        <f>_xlfn.IFNA(VLOOKUP(L60,list_vat[],3,FALSE),0)</f>
        <v>0</v>
      </c>
      <c r="AX60" s="74">
        <f t="shared" si="91"/>
        <v>0</v>
      </c>
      <c r="AY60" s="74">
        <f t="shared" si="92"/>
        <v>0</v>
      </c>
      <c r="AZ60" s="130">
        <f t="shared" si="93"/>
        <v>0</v>
      </c>
      <c r="BA60" s="74">
        <f t="shared" si="72"/>
        <v>0</v>
      </c>
      <c r="BB60" s="193">
        <f t="shared" si="94"/>
        <v>0</v>
      </c>
      <c r="BC60" s="102">
        <f t="shared" si="95"/>
        <v>0</v>
      </c>
      <c r="BD60" s="102">
        <f t="shared" si="96"/>
        <v>0</v>
      </c>
      <c r="BE60" s="413" t="s">
        <v>69</v>
      </c>
    </row>
    <row r="61" spans="1:57" s="65" customFormat="1" ht="12" customHeight="1" x14ac:dyDescent="0.2">
      <c r="A61" s="43">
        <v>46</v>
      </c>
      <c r="B61" s="166"/>
      <c r="C61" s="166"/>
      <c r="D61" s="166"/>
      <c r="E61" s="162"/>
      <c r="F61" s="166"/>
      <c r="G61" s="162"/>
      <c r="H61" s="162"/>
      <c r="I61" s="189">
        <f t="shared" si="74"/>
        <v>0</v>
      </c>
      <c r="J61" s="195"/>
      <c r="K61" s="162"/>
      <c r="L61" s="168"/>
      <c r="M61" s="75">
        <f>_xlfn.XLOOKUP(L61,list_vat[Страна],list_vat[Ставка НДС %],0,0)</f>
        <v>0</v>
      </c>
      <c r="N61" s="162">
        <f t="shared" si="57"/>
        <v>0</v>
      </c>
      <c r="O61" s="169"/>
      <c r="P61" s="74">
        <f t="shared" si="97"/>
        <v>0</v>
      </c>
      <c r="Q61" s="162"/>
      <c r="R61" s="162" t="str">
        <f t="shared" si="75"/>
        <v>введи курс</v>
      </c>
      <c r="S61" s="196">
        <f t="shared" si="76"/>
        <v>0</v>
      </c>
      <c r="T61" s="192">
        <f t="shared" si="77"/>
        <v>0</v>
      </c>
      <c r="U61" s="76">
        <f t="shared" si="78"/>
        <v>0</v>
      </c>
      <c r="V61" s="123">
        <f t="shared" si="79"/>
        <v>0</v>
      </c>
      <c r="W61" s="191"/>
      <c r="X61" s="170"/>
      <c r="Y61" s="74">
        <f t="shared" si="98"/>
        <v>0</v>
      </c>
      <c r="Z61" s="188"/>
      <c r="AA61" s="130">
        <f t="shared" si="80"/>
        <v>0</v>
      </c>
      <c r="AB61" s="74">
        <f t="shared" si="81"/>
        <v>0</v>
      </c>
      <c r="AC61" s="356"/>
      <c r="AD61" s="130" cm="1">
        <f t="array" ref="AD61">IFERROR(ROUND((_xlfn.IFS(offer_sale_type="поставка",AB61,offer_sale_type="транзит",S61)*(1+AC61))/E61,2),0)</f>
        <v>0</v>
      </c>
      <c r="AE61" s="74">
        <f t="shared" si="82"/>
        <v>0</v>
      </c>
      <c r="AF61" s="123" cm="1">
        <f t="array" ref="AF61">IFERROR(ROUND(_xlfn.IFS(offer_sale_type="поставка",AB61,offer_sale_type="транзит",S61)*AC61,2),0)</f>
        <v>0</v>
      </c>
      <c r="AG61" s="130">
        <f t="shared" si="62"/>
        <v>0</v>
      </c>
      <c r="AH61" s="74">
        <f t="shared" si="63"/>
        <v>0</v>
      </c>
      <c r="AI61" s="123">
        <f t="shared" si="64"/>
        <v>0</v>
      </c>
      <c r="AJ61" s="118">
        <f t="shared" si="83"/>
        <v>0</v>
      </c>
      <c r="AK61" s="74">
        <f t="shared" si="84"/>
        <v>0</v>
      </c>
      <c r="AL61" s="174">
        <f t="shared" si="85"/>
        <v>0</v>
      </c>
      <c r="AM61" s="175">
        <f t="shared" si="65"/>
        <v>0</v>
      </c>
      <c r="AN61" s="130">
        <f t="shared" si="86"/>
        <v>0</v>
      </c>
      <c r="AO61" s="74">
        <f t="shared" si="66"/>
        <v>0</v>
      </c>
      <c r="AP61" s="123">
        <f t="shared" si="87"/>
        <v>0</v>
      </c>
      <c r="AQ61" s="118">
        <f t="shared" si="88"/>
        <v>0</v>
      </c>
      <c r="AR61" s="82" t="str">
        <f t="shared" si="89"/>
        <v>https://www.alta.ru/tnved/code//</v>
      </c>
      <c r="AS61" s="157"/>
      <c r="AT61" s="162"/>
      <c r="AU61" s="74">
        <f t="shared" si="90"/>
        <v>0</v>
      </c>
      <c r="AV61" s="157"/>
      <c r="AW61" s="75">
        <f>_xlfn.IFNA(VLOOKUP(L61,list_vat[],3,FALSE),0)</f>
        <v>0</v>
      </c>
      <c r="AX61" s="74">
        <f t="shared" si="91"/>
        <v>0</v>
      </c>
      <c r="AY61" s="74">
        <f t="shared" si="92"/>
        <v>0</v>
      </c>
      <c r="AZ61" s="130">
        <f t="shared" si="93"/>
        <v>0</v>
      </c>
      <c r="BA61" s="74">
        <f t="shared" si="72"/>
        <v>0</v>
      </c>
      <c r="BB61" s="193">
        <f t="shared" si="94"/>
        <v>0</v>
      </c>
      <c r="BC61" s="102">
        <f t="shared" si="95"/>
        <v>0</v>
      </c>
      <c r="BD61" s="102">
        <f t="shared" si="96"/>
        <v>0</v>
      </c>
      <c r="BE61" s="413" t="s">
        <v>69</v>
      </c>
    </row>
    <row r="62" spans="1:57" s="65" customFormat="1" ht="12" customHeight="1" x14ac:dyDescent="0.2">
      <c r="A62" s="43">
        <v>47</v>
      </c>
      <c r="B62" s="166"/>
      <c r="C62" s="166"/>
      <c r="D62" s="166"/>
      <c r="E62" s="162"/>
      <c r="F62" s="166"/>
      <c r="G62" s="162"/>
      <c r="H62" s="162"/>
      <c r="I62" s="189">
        <f t="shared" si="74"/>
        <v>0</v>
      </c>
      <c r="J62" s="195"/>
      <c r="K62" s="162"/>
      <c r="L62" s="168"/>
      <c r="M62" s="75">
        <f>_xlfn.XLOOKUP(L62,list_vat[Страна],list_vat[Ставка НДС %],0,0)</f>
        <v>0</v>
      </c>
      <c r="N62" s="162">
        <f t="shared" si="57"/>
        <v>0</v>
      </c>
      <c r="O62" s="169"/>
      <c r="P62" s="74">
        <f t="shared" si="97"/>
        <v>0</v>
      </c>
      <c r="Q62" s="162"/>
      <c r="R62" s="162" t="str">
        <f t="shared" si="75"/>
        <v>введи курс</v>
      </c>
      <c r="S62" s="196">
        <f t="shared" si="76"/>
        <v>0</v>
      </c>
      <c r="T62" s="192">
        <f t="shared" si="77"/>
        <v>0</v>
      </c>
      <c r="U62" s="76">
        <f t="shared" si="78"/>
        <v>0</v>
      </c>
      <c r="V62" s="123">
        <f t="shared" si="79"/>
        <v>0</v>
      </c>
      <c r="W62" s="191"/>
      <c r="X62" s="170"/>
      <c r="Y62" s="74">
        <f t="shared" si="98"/>
        <v>0</v>
      </c>
      <c r="Z62" s="188"/>
      <c r="AA62" s="130">
        <f t="shared" si="80"/>
        <v>0</v>
      </c>
      <c r="AB62" s="74">
        <f t="shared" si="81"/>
        <v>0</v>
      </c>
      <c r="AC62" s="356"/>
      <c r="AD62" s="130" cm="1">
        <f t="array" ref="AD62">IFERROR(ROUND((_xlfn.IFS(offer_sale_type="поставка",AB62,offer_sale_type="транзит",S62)*(1+AC62))/E62,2),0)</f>
        <v>0</v>
      </c>
      <c r="AE62" s="74">
        <f t="shared" si="82"/>
        <v>0</v>
      </c>
      <c r="AF62" s="123" cm="1">
        <f t="array" ref="AF62">IFERROR(ROUND(_xlfn.IFS(offer_sale_type="поставка",AB62,offer_sale_type="транзит",S62)*AC62,2),0)</f>
        <v>0</v>
      </c>
      <c r="AG62" s="130">
        <f t="shared" si="62"/>
        <v>0</v>
      </c>
      <c r="AH62" s="74">
        <f t="shared" si="63"/>
        <v>0</v>
      </c>
      <c r="AI62" s="123">
        <f t="shared" si="64"/>
        <v>0</v>
      </c>
      <c r="AJ62" s="118">
        <f t="shared" si="83"/>
        <v>0</v>
      </c>
      <c r="AK62" s="74">
        <f t="shared" si="84"/>
        <v>0</v>
      </c>
      <c r="AL62" s="174">
        <f t="shared" si="85"/>
        <v>0</v>
      </c>
      <c r="AM62" s="175">
        <f t="shared" si="65"/>
        <v>0</v>
      </c>
      <c r="AN62" s="130">
        <f t="shared" si="86"/>
        <v>0</v>
      </c>
      <c r="AO62" s="74">
        <f t="shared" si="66"/>
        <v>0</v>
      </c>
      <c r="AP62" s="123">
        <f t="shared" si="87"/>
        <v>0</v>
      </c>
      <c r="AQ62" s="118">
        <f t="shared" si="88"/>
        <v>0</v>
      </c>
      <c r="AR62" s="82" t="str">
        <f t="shared" si="89"/>
        <v>https://www.alta.ru/tnved/code//</v>
      </c>
      <c r="AS62" s="157"/>
      <c r="AT62" s="162"/>
      <c r="AU62" s="74">
        <f t="shared" si="90"/>
        <v>0</v>
      </c>
      <c r="AV62" s="157"/>
      <c r="AW62" s="75">
        <f>_xlfn.IFNA(VLOOKUP(L62,list_vat[],3,FALSE),0)</f>
        <v>0</v>
      </c>
      <c r="AX62" s="74">
        <f t="shared" si="91"/>
        <v>0</v>
      </c>
      <c r="AY62" s="74">
        <f t="shared" si="92"/>
        <v>0</v>
      </c>
      <c r="AZ62" s="130">
        <f t="shared" si="93"/>
        <v>0</v>
      </c>
      <c r="BA62" s="74">
        <f t="shared" si="72"/>
        <v>0</v>
      </c>
      <c r="BB62" s="193">
        <f t="shared" si="94"/>
        <v>0</v>
      </c>
      <c r="BC62" s="102">
        <f t="shared" si="95"/>
        <v>0</v>
      </c>
      <c r="BD62" s="102">
        <f t="shared" si="96"/>
        <v>0</v>
      </c>
      <c r="BE62" s="413" t="s">
        <v>69</v>
      </c>
    </row>
    <row r="63" spans="1:57" s="65" customFormat="1" ht="12" customHeight="1" x14ac:dyDescent="0.2">
      <c r="A63" s="43">
        <v>48</v>
      </c>
      <c r="B63" s="166"/>
      <c r="C63" s="166"/>
      <c r="D63" s="166"/>
      <c r="E63" s="162"/>
      <c r="F63" s="166"/>
      <c r="G63" s="162"/>
      <c r="H63" s="162"/>
      <c r="I63" s="189">
        <f t="shared" si="74"/>
        <v>0</v>
      </c>
      <c r="J63" s="195"/>
      <c r="K63" s="162"/>
      <c r="L63" s="168"/>
      <c r="M63" s="75">
        <f>_xlfn.XLOOKUP(L63,list_vat[Страна],list_vat[Ставка НДС %],0,0)</f>
        <v>0</v>
      </c>
      <c r="N63" s="162">
        <f t="shared" si="57"/>
        <v>0</v>
      </c>
      <c r="O63" s="169"/>
      <c r="P63" s="74">
        <f t="shared" si="97"/>
        <v>0</v>
      </c>
      <c r="Q63" s="162"/>
      <c r="R63" s="162" t="str">
        <f t="shared" si="75"/>
        <v>введи курс</v>
      </c>
      <c r="S63" s="196">
        <f t="shared" si="76"/>
        <v>0</v>
      </c>
      <c r="T63" s="192">
        <f t="shared" si="77"/>
        <v>0</v>
      </c>
      <c r="U63" s="76">
        <f t="shared" si="78"/>
        <v>0</v>
      </c>
      <c r="V63" s="123">
        <f t="shared" si="79"/>
        <v>0</v>
      </c>
      <c r="W63" s="191"/>
      <c r="X63" s="170"/>
      <c r="Y63" s="74">
        <f t="shared" si="98"/>
        <v>0</v>
      </c>
      <c r="Z63" s="188"/>
      <c r="AA63" s="130">
        <f t="shared" si="80"/>
        <v>0</v>
      </c>
      <c r="AB63" s="74">
        <f t="shared" si="81"/>
        <v>0</v>
      </c>
      <c r="AC63" s="356"/>
      <c r="AD63" s="130" cm="1">
        <f t="array" ref="AD63">IFERROR(ROUND((_xlfn.IFS(offer_sale_type="поставка",AB63,offer_sale_type="транзит",S63)*(1+AC63))/E63,2),0)</f>
        <v>0</v>
      </c>
      <c r="AE63" s="74">
        <f t="shared" si="82"/>
        <v>0</v>
      </c>
      <c r="AF63" s="123" cm="1">
        <f t="array" ref="AF63">IFERROR(ROUND(_xlfn.IFS(offer_sale_type="поставка",AB63,offer_sale_type="транзит",S63)*AC63,2),0)</f>
        <v>0</v>
      </c>
      <c r="AG63" s="130">
        <f t="shared" si="62"/>
        <v>0</v>
      </c>
      <c r="AH63" s="74">
        <f t="shared" si="63"/>
        <v>0</v>
      </c>
      <c r="AI63" s="123">
        <f t="shared" si="64"/>
        <v>0</v>
      </c>
      <c r="AJ63" s="118">
        <f t="shared" si="83"/>
        <v>0</v>
      </c>
      <c r="AK63" s="74">
        <f t="shared" si="84"/>
        <v>0</v>
      </c>
      <c r="AL63" s="174">
        <f t="shared" si="85"/>
        <v>0</v>
      </c>
      <c r="AM63" s="175">
        <f t="shared" si="65"/>
        <v>0</v>
      </c>
      <c r="AN63" s="130">
        <f t="shared" si="86"/>
        <v>0</v>
      </c>
      <c r="AO63" s="74">
        <f t="shared" si="66"/>
        <v>0</v>
      </c>
      <c r="AP63" s="123">
        <f t="shared" si="87"/>
        <v>0</v>
      </c>
      <c r="AQ63" s="118">
        <f t="shared" si="88"/>
        <v>0</v>
      </c>
      <c r="AR63" s="82" t="str">
        <f t="shared" si="89"/>
        <v>https://www.alta.ru/tnved/code//</v>
      </c>
      <c r="AS63" s="157"/>
      <c r="AT63" s="162"/>
      <c r="AU63" s="74">
        <f t="shared" si="90"/>
        <v>0</v>
      </c>
      <c r="AV63" s="157"/>
      <c r="AW63" s="75">
        <f>_xlfn.IFNA(VLOOKUP(L63,list_vat[],3,FALSE),0)</f>
        <v>0</v>
      </c>
      <c r="AX63" s="74">
        <f t="shared" si="91"/>
        <v>0</v>
      </c>
      <c r="AY63" s="74">
        <f t="shared" si="92"/>
        <v>0</v>
      </c>
      <c r="AZ63" s="130">
        <f t="shared" si="93"/>
        <v>0</v>
      </c>
      <c r="BA63" s="74">
        <f t="shared" si="72"/>
        <v>0</v>
      </c>
      <c r="BB63" s="193">
        <f t="shared" si="94"/>
        <v>0</v>
      </c>
      <c r="BC63" s="102">
        <f t="shared" si="95"/>
        <v>0</v>
      </c>
      <c r="BD63" s="102">
        <f t="shared" si="96"/>
        <v>0</v>
      </c>
      <c r="BE63" s="413" t="s">
        <v>69</v>
      </c>
    </row>
    <row r="64" spans="1:57" s="65" customFormat="1" ht="12" customHeight="1" x14ac:dyDescent="0.2">
      <c r="A64" s="43">
        <v>49</v>
      </c>
      <c r="B64" s="166"/>
      <c r="C64" s="166"/>
      <c r="D64" s="166"/>
      <c r="E64" s="162"/>
      <c r="F64" s="166"/>
      <c r="G64" s="162"/>
      <c r="H64" s="162"/>
      <c r="I64" s="189">
        <f t="shared" si="74"/>
        <v>0</v>
      </c>
      <c r="J64" s="195"/>
      <c r="K64" s="162"/>
      <c r="L64" s="168"/>
      <c r="M64" s="75">
        <f>_xlfn.XLOOKUP(L64,list_vat[Страна],list_vat[Ставка НДС %],0,0)</f>
        <v>0</v>
      </c>
      <c r="N64" s="162">
        <f t="shared" si="57"/>
        <v>0</v>
      </c>
      <c r="O64" s="169"/>
      <c r="P64" s="74">
        <f t="shared" si="97"/>
        <v>0</v>
      </c>
      <c r="Q64" s="162"/>
      <c r="R64" s="162" t="str">
        <f t="shared" si="75"/>
        <v>введи курс</v>
      </c>
      <c r="S64" s="196">
        <f t="shared" si="76"/>
        <v>0</v>
      </c>
      <c r="T64" s="192">
        <f t="shared" si="77"/>
        <v>0</v>
      </c>
      <c r="U64" s="76">
        <f t="shared" si="78"/>
        <v>0</v>
      </c>
      <c r="V64" s="123">
        <f t="shared" si="79"/>
        <v>0</v>
      </c>
      <c r="W64" s="191"/>
      <c r="X64" s="170"/>
      <c r="Y64" s="74">
        <f t="shared" si="98"/>
        <v>0</v>
      </c>
      <c r="Z64" s="188"/>
      <c r="AA64" s="130">
        <f t="shared" si="80"/>
        <v>0</v>
      </c>
      <c r="AB64" s="74">
        <f t="shared" si="81"/>
        <v>0</v>
      </c>
      <c r="AC64" s="356"/>
      <c r="AD64" s="130" cm="1">
        <f t="array" ref="AD64">IFERROR(ROUND((_xlfn.IFS(offer_sale_type="поставка",AB64,offer_sale_type="транзит",S64)*(1+AC64))/E64,2),0)</f>
        <v>0</v>
      </c>
      <c r="AE64" s="74">
        <f t="shared" si="82"/>
        <v>0</v>
      </c>
      <c r="AF64" s="123" cm="1">
        <f t="array" ref="AF64">IFERROR(ROUND(_xlfn.IFS(offer_sale_type="поставка",AB64,offer_sale_type="транзит",S64)*AC64,2),0)</f>
        <v>0</v>
      </c>
      <c r="AG64" s="130">
        <f t="shared" si="62"/>
        <v>0</v>
      </c>
      <c r="AH64" s="74">
        <f t="shared" si="63"/>
        <v>0</v>
      </c>
      <c r="AI64" s="123">
        <f t="shared" si="64"/>
        <v>0</v>
      </c>
      <c r="AJ64" s="118">
        <f t="shared" si="83"/>
        <v>0</v>
      </c>
      <c r="AK64" s="74">
        <f t="shared" si="84"/>
        <v>0</v>
      </c>
      <c r="AL64" s="174">
        <f t="shared" si="85"/>
        <v>0</v>
      </c>
      <c r="AM64" s="175">
        <f t="shared" si="65"/>
        <v>0</v>
      </c>
      <c r="AN64" s="130">
        <f t="shared" si="86"/>
        <v>0</v>
      </c>
      <c r="AO64" s="74">
        <f t="shared" si="66"/>
        <v>0</v>
      </c>
      <c r="AP64" s="123">
        <f t="shared" si="87"/>
        <v>0</v>
      </c>
      <c r="AQ64" s="118">
        <f t="shared" si="88"/>
        <v>0</v>
      </c>
      <c r="AR64" s="82" t="str">
        <f t="shared" si="89"/>
        <v>https://www.alta.ru/tnved/code//</v>
      </c>
      <c r="AS64" s="157"/>
      <c r="AT64" s="162"/>
      <c r="AU64" s="74">
        <f t="shared" si="90"/>
        <v>0</v>
      </c>
      <c r="AV64" s="157"/>
      <c r="AW64" s="75">
        <f>_xlfn.IFNA(VLOOKUP(L64,list_vat[],3,FALSE),0)</f>
        <v>0</v>
      </c>
      <c r="AX64" s="74">
        <f t="shared" si="91"/>
        <v>0</v>
      </c>
      <c r="AY64" s="74">
        <f t="shared" si="92"/>
        <v>0</v>
      </c>
      <c r="AZ64" s="130">
        <f t="shared" si="93"/>
        <v>0</v>
      </c>
      <c r="BA64" s="74">
        <f t="shared" si="72"/>
        <v>0</v>
      </c>
      <c r="BB64" s="193">
        <f t="shared" si="94"/>
        <v>0</v>
      </c>
      <c r="BC64" s="102">
        <f t="shared" si="95"/>
        <v>0</v>
      </c>
      <c r="BD64" s="102">
        <f t="shared" si="96"/>
        <v>0</v>
      </c>
      <c r="BE64" s="413" t="s">
        <v>69</v>
      </c>
    </row>
    <row r="65" spans="1:57" s="65" customFormat="1" ht="12" customHeight="1" x14ac:dyDescent="0.2">
      <c r="A65" s="43">
        <v>50</v>
      </c>
      <c r="B65" s="166"/>
      <c r="C65" s="166"/>
      <c r="D65" s="166"/>
      <c r="E65" s="162"/>
      <c r="F65" s="166"/>
      <c r="G65" s="162"/>
      <c r="H65" s="162"/>
      <c r="I65" s="189">
        <f t="shared" si="74"/>
        <v>0</v>
      </c>
      <c r="J65" s="195"/>
      <c r="K65" s="162"/>
      <c r="L65" s="168"/>
      <c r="M65" s="75">
        <f>_xlfn.XLOOKUP(L65,list_vat[Страна],list_vat[Ставка НДС %],0,0)</f>
        <v>0</v>
      </c>
      <c r="N65" s="162">
        <f t="shared" si="57"/>
        <v>0</v>
      </c>
      <c r="O65" s="169"/>
      <c r="P65" s="74">
        <f t="shared" si="97"/>
        <v>0</v>
      </c>
      <c r="Q65" s="162"/>
      <c r="R65" s="162" t="str">
        <f t="shared" si="75"/>
        <v>введи курс</v>
      </c>
      <c r="S65" s="196">
        <f t="shared" si="76"/>
        <v>0</v>
      </c>
      <c r="T65" s="192">
        <f t="shared" si="77"/>
        <v>0</v>
      </c>
      <c r="U65" s="76">
        <f t="shared" si="78"/>
        <v>0</v>
      </c>
      <c r="V65" s="123">
        <f t="shared" si="79"/>
        <v>0</v>
      </c>
      <c r="W65" s="191"/>
      <c r="X65" s="170"/>
      <c r="Y65" s="74">
        <f t="shared" si="98"/>
        <v>0</v>
      </c>
      <c r="Z65" s="188"/>
      <c r="AA65" s="130">
        <f t="shared" si="80"/>
        <v>0</v>
      </c>
      <c r="AB65" s="74">
        <f t="shared" si="81"/>
        <v>0</v>
      </c>
      <c r="AC65" s="356"/>
      <c r="AD65" s="130" cm="1">
        <f t="array" ref="AD65">IFERROR(ROUND((_xlfn.IFS(offer_sale_type="поставка",AB65,offer_sale_type="транзит",S65)*(1+AC65))/E65,2),0)</f>
        <v>0</v>
      </c>
      <c r="AE65" s="74">
        <f t="shared" si="82"/>
        <v>0</v>
      </c>
      <c r="AF65" s="123" cm="1">
        <f t="array" ref="AF65">IFERROR(ROUND(_xlfn.IFS(offer_sale_type="поставка",AB65,offer_sale_type="транзит",S65)*AC65,2),0)</f>
        <v>0</v>
      </c>
      <c r="AG65" s="130">
        <f t="shared" si="62"/>
        <v>0</v>
      </c>
      <c r="AH65" s="74">
        <f t="shared" si="63"/>
        <v>0</v>
      </c>
      <c r="AI65" s="123">
        <f t="shared" si="64"/>
        <v>0</v>
      </c>
      <c r="AJ65" s="118">
        <f t="shared" si="83"/>
        <v>0</v>
      </c>
      <c r="AK65" s="74">
        <f t="shared" si="84"/>
        <v>0</v>
      </c>
      <c r="AL65" s="174">
        <f t="shared" si="85"/>
        <v>0</v>
      </c>
      <c r="AM65" s="175">
        <f t="shared" si="65"/>
        <v>0</v>
      </c>
      <c r="AN65" s="130">
        <f t="shared" si="86"/>
        <v>0</v>
      </c>
      <c r="AO65" s="74">
        <f t="shared" si="66"/>
        <v>0</v>
      </c>
      <c r="AP65" s="123">
        <f t="shared" si="87"/>
        <v>0</v>
      </c>
      <c r="AQ65" s="118">
        <f t="shared" si="88"/>
        <v>0</v>
      </c>
      <c r="AR65" s="82" t="str">
        <f t="shared" si="89"/>
        <v>https://www.alta.ru/tnved/code//</v>
      </c>
      <c r="AS65" s="157"/>
      <c r="AT65" s="162"/>
      <c r="AU65" s="74">
        <f t="shared" si="90"/>
        <v>0</v>
      </c>
      <c r="AV65" s="157"/>
      <c r="AW65" s="75">
        <f>_xlfn.IFNA(VLOOKUP(L65,list_vat[],3,FALSE),0)</f>
        <v>0</v>
      </c>
      <c r="AX65" s="74">
        <f t="shared" si="91"/>
        <v>0</v>
      </c>
      <c r="AY65" s="74">
        <f t="shared" si="92"/>
        <v>0</v>
      </c>
      <c r="AZ65" s="130">
        <f t="shared" si="93"/>
        <v>0</v>
      </c>
      <c r="BA65" s="74">
        <f t="shared" si="72"/>
        <v>0</v>
      </c>
      <c r="BB65" s="193">
        <f t="shared" si="94"/>
        <v>0</v>
      </c>
      <c r="BC65" s="102">
        <f t="shared" si="95"/>
        <v>0</v>
      </c>
      <c r="BD65" s="102">
        <f t="shared" si="96"/>
        <v>0</v>
      </c>
      <c r="BE65" s="413" t="s">
        <v>69</v>
      </c>
    </row>
    <row r="66" spans="1:57" s="65" customFormat="1" ht="12" customHeight="1" x14ac:dyDescent="0.2">
      <c r="A66" s="43">
        <v>51</v>
      </c>
      <c r="B66" s="166"/>
      <c r="C66" s="166"/>
      <c r="D66" s="166"/>
      <c r="E66" s="162"/>
      <c r="F66" s="166"/>
      <c r="G66" s="162"/>
      <c r="H66" s="162"/>
      <c r="I66" s="189">
        <f t="shared" si="74"/>
        <v>0</v>
      </c>
      <c r="J66" s="195"/>
      <c r="K66" s="162"/>
      <c r="L66" s="168"/>
      <c r="M66" s="75">
        <f>_xlfn.XLOOKUP(L66,list_vat[Страна],list_vat[Ставка НДС %],0,0)</f>
        <v>0</v>
      </c>
      <c r="N66" s="162">
        <f t="shared" si="57"/>
        <v>0</v>
      </c>
      <c r="O66" s="169"/>
      <c r="P66" s="74">
        <f t="shared" si="97"/>
        <v>0</v>
      </c>
      <c r="Q66" s="162"/>
      <c r="R66" s="162" t="str">
        <f t="shared" si="75"/>
        <v>введи курс</v>
      </c>
      <c r="S66" s="196">
        <f t="shared" si="76"/>
        <v>0</v>
      </c>
      <c r="T66" s="192">
        <f t="shared" si="77"/>
        <v>0</v>
      </c>
      <c r="U66" s="76">
        <f t="shared" si="78"/>
        <v>0</v>
      </c>
      <c r="V66" s="123">
        <f t="shared" si="79"/>
        <v>0</v>
      </c>
      <c r="W66" s="191"/>
      <c r="X66" s="170"/>
      <c r="Y66" s="74">
        <f t="shared" si="98"/>
        <v>0</v>
      </c>
      <c r="Z66" s="188"/>
      <c r="AA66" s="130">
        <f t="shared" si="80"/>
        <v>0</v>
      </c>
      <c r="AB66" s="74">
        <f t="shared" si="81"/>
        <v>0</v>
      </c>
      <c r="AC66" s="356"/>
      <c r="AD66" s="130" cm="1">
        <f t="array" ref="AD66">IFERROR(ROUND((_xlfn.IFS(offer_sale_type="поставка",AB66,offer_sale_type="транзит",S66)*(1+AC66))/E66,2),0)</f>
        <v>0</v>
      </c>
      <c r="AE66" s="74">
        <f t="shared" si="82"/>
        <v>0</v>
      </c>
      <c r="AF66" s="123" cm="1">
        <f t="array" ref="AF66">IFERROR(ROUND(_xlfn.IFS(offer_sale_type="поставка",AB66,offer_sale_type="транзит",S66)*AC66,2),0)</f>
        <v>0</v>
      </c>
      <c r="AG66" s="130">
        <f t="shared" si="62"/>
        <v>0</v>
      </c>
      <c r="AH66" s="74">
        <f t="shared" si="63"/>
        <v>0</v>
      </c>
      <c r="AI66" s="123">
        <f t="shared" si="64"/>
        <v>0</v>
      </c>
      <c r="AJ66" s="118">
        <f t="shared" si="83"/>
        <v>0</v>
      </c>
      <c r="AK66" s="74">
        <f t="shared" si="84"/>
        <v>0</v>
      </c>
      <c r="AL66" s="174">
        <f t="shared" si="85"/>
        <v>0</v>
      </c>
      <c r="AM66" s="175">
        <f t="shared" si="65"/>
        <v>0</v>
      </c>
      <c r="AN66" s="130">
        <f t="shared" si="86"/>
        <v>0</v>
      </c>
      <c r="AO66" s="74">
        <f t="shared" si="66"/>
        <v>0</v>
      </c>
      <c r="AP66" s="123">
        <f t="shared" si="87"/>
        <v>0</v>
      </c>
      <c r="AQ66" s="118">
        <f t="shared" si="88"/>
        <v>0</v>
      </c>
      <c r="AR66" s="82" t="str">
        <f t="shared" si="89"/>
        <v>https://www.alta.ru/tnved/code//</v>
      </c>
      <c r="AS66" s="157"/>
      <c r="AT66" s="162"/>
      <c r="AU66" s="74">
        <f t="shared" si="90"/>
        <v>0</v>
      </c>
      <c r="AV66" s="157"/>
      <c r="AW66" s="75">
        <f>_xlfn.IFNA(VLOOKUP(L66,list_vat[],3,FALSE),0)</f>
        <v>0</v>
      </c>
      <c r="AX66" s="74">
        <f t="shared" si="91"/>
        <v>0</v>
      </c>
      <c r="AY66" s="74">
        <f t="shared" si="92"/>
        <v>0</v>
      </c>
      <c r="AZ66" s="130">
        <f t="shared" si="93"/>
        <v>0</v>
      </c>
      <c r="BA66" s="74">
        <f t="shared" si="72"/>
        <v>0</v>
      </c>
      <c r="BB66" s="193">
        <f t="shared" si="94"/>
        <v>0</v>
      </c>
      <c r="BC66" s="102">
        <f t="shared" si="95"/>
        <v>0</v>
      </c>
      <c r="BD66" s="102">
        <f t="shared" si="96"/>
        <v>0</v>
      </c>
      <c r="BE66" s="413" t="s">
        <v>69</v>
      </c>
    </row>
    <row r="67" spans="1:57" s="65" customFormat="1" ht="12" customHeight="1" x14ac:dyDescent="0.2">
      <c r="A67" s="43">
        <v>52</v>
      </c>
      <c r="B67" s="166"/>
      <c r="C67" s="166"/>
      <c r="D67" s="166"/>
      <c r="E67" s="162"/>
      <c r="F67" s="166"/>
      <c r="G67" s="162"/>
      <c r="H67" s="162"/>
      <c r="I67" s="189">
        <f t="shared" si="74"/>
        <v>0</v>
      </c>
      <c r="J67" s="195"/>
      <c r="K67" s="162"/>
      <c r="L67" s="168"/>
      <c r="M67" s="75">
        <f>_xlfn.XLOOKUP(L67,list_vat[Страна],list_vat[Ставка НДС %],0,0)</f>
        <v>0</v>
      </c>
      <c r="N67" s="162">
        <f t="shared" si="57"/>
        <v>0</v>
      </c>
      <c r="O67" s="169"/>
      <c r="P67" s="74">
        <f t="shared" si="97"/>
        <v>0</v>
      </c>
      <c r="Q67" s="162"/>
      <c r="R67" s="162" t="str">
        <f t="shared" si="75"/>
        <v>введи курс</v>
      </c>
      <c r="S67" s="196">
        <f t="shared" si="76"/>
        <v>0</v>
      </c>
      <c r="T67" s="192">
        <f t="shared" si="77"/>
        <v>0</v>
      </c>
      <c r="U67" s="76">
        <f t="shared" si="78"/>
        <v>0</v>
      </c>
      <c r="V67" s="123">
        <f t="shared" si="79"/>
        <v>0</v>
      </c>
      <c r="W67" s="191"/>
      <c r="X67" s="170"/>
      <c r="Y67" s="74">
        <f t="shared" si="98"/>
        <v>0</v>
      </c>
      <c r="Z67" s="188"/>
      <c r="AA67" s="130">
        <f t="shared" si="80"/>
        <v>0</v>
      </c>
      <c r="AB67" s="74">
        <f t="shared" si="81"/>
        <v>0</v>
      </c>
      <c r="AC67" s="356"/>
      <c r="AD67" s="130" cm="1">
        <f t="array" ref="AD67">IFERROR(ROUND((_xlfn.IFS(offer_sale_type="поставка",AB67,offer_sale_type="транзит",S67)*(1+AC67))/E67,2),0)</f>
        <v>0</v>
      </c>
      <c r="AE67" s="74">
        <f t="shared" si="82"/>
        <v>0</v>
      </c>
      <c r="AF67" s="123" cm="1">
        <f t="array" ref="AF67">IFERROR(ROUND(_xlfn.IFS(offer_sale_type="поставка",AB67,offer_sale_type="транзит",S67)*AC67,2),0)</f>
        <v>0</v>
      </c>
      <c r="AG67" s="130">
        <f t="shared" si="62"/>
        <v>0</v>
      </c>
      <c r="AH67" s="74">
        <f t="shared" si="63"/>
        <v>0</v>
      </c>
      <c r="AI67" s="123">
        <f t="shared" si="64"/>
        <v>0</v>
      </c>
      <c r="AJ67" s="118">
        <f t="shared" si="83"/>
        <v>0</v>
      </c>
      <c r="AK67" s="74">
        <f t="shared" si="84"/>
        <v>0</v>
      </c>
      <c r="AL67" s="174">
        <f t="shared" si="85"/>
        <v>0</v>
      </c>
      <c r="AM67" s="175">
        <f t="shared" si="65"/>
        <v>0</v>
      </c>
      <c r="AN67" s="130">
        <f t="shared" si="86"/>
        <v>0</v>
      </c>
      <c r="AO67" s="74">
        <f t="shared" si="66"/>
        <v>0</v>
      </c>
      <c r="AP67" s="123">
        <f t="shared" si="87"/>
        <v>0</v>
      </c>
      <c r="AQ67" s="118">
        <f t="shared" si="88"/>
        <v>0</v>
      </c>
      <c r="AR67" s="82" t="str">
        <f t="shared" si="89"/>
        <v>https://www.alta.ru/tnved/code//</v>
      </c>
      <c r="AS67" s="157"/>
      <c r="AT67" s="162"/>
      <c r="AU67" s="74">
        <f t="shared" si="90"/>
        <v>0</v>
      </c>
      <c r="AV67" s="157"/>
      <c r="AW67" s="75">
        <f>_xlfn.IFNA(VLOOKUP(L67,list_vat[],3,FALSE),0)</f>
        <v>0</v>
      </c>
      <c r="AX67" s="74">
        <f t="shared" si="91"/>
        <v>0</v>
      </c>
      <c r="AY67" s="74">
        <f t="shared" si="92"/>
        <v>0</v>
      </c>
      <c r="AZ67" s="130">
        <f t="shared" si="93"/>
        <v>0</v>
      </c>
      <c r="BA67" s="74">
        <f t="shared" si="72"/>
        <v>0</v>
      </c>
      <c r="BB67" s="193">
        <f t="shared" si="94"/>
        <v>0</v>
      </c>
      <c r="BC67" s="102">
        <f t="shared" si="95"/>
        <v>0</v>
      </c>
      <c r="BD67" s="102">
        <f t="shared" si="96"/>
        <v>0</v>
      </c>
      <c r="BE67" s="413" t="s">
        <v>69</v>
      </c>
    </row>
    <row r="68" spans="1:57" s="65" customFormat="1" ht="12" customHeight="1" x14ac:dyDescent="0.2">
      <c r="A68" s="43">
        <v>53</v>
      </c>
      <c r="B68" s="166"/>
      <c r="C68" s="166"/>
      <c r="D68" s="166"/>
      <c r="E68" s="162"/>
      <c r="F68" s="166"/>
      <c r="G68" s="162"/>
      <c r="H68" s="162"/>
      <c r="I68" s="189">
        <f t="shared" si="74"/>
        <v>0</v>
      </c>
      <c r="J68" s="195"/>
      <c r="K68" s="162"/>
      <c r="L68" s="168"/>
      <c r="M68" s="75">
        <f>_xlfn.XLOOKUP(L68,list_vat[Страна],list_vat[Ставка НДС %],0,0)</f>
        <v>0</v>
      </c>
      <c r="N68" s="162">
        <f t="shared" si="57"/>
        <v>0</v>
      </c>
      <c r="O68" s="169"/>
      <c r="P68" s="74">
        <f t="shared" si="97"/>
        <v>0</v>
      </c>
      <c r="Q68" s="162"/>
      <c r="R68" s="162" t="str">
        <f t="shared" si="75"/>
        <v>введи курс</v>
      </c>
      <c r="S68" s="196">
        <f t="shared" si="76"/>
        <v>0</v>
      </c>
      <c r="T68" s="192">
        <f t="shared" si="77"/>
        <v>0</v>
      </c>
      <c r="U68" s="76">
        <f t="shared" si="78"/>
        <v>0</v>
      </c>
      <c r="V68" s="123">
        <f t="shared" si="79"/>
        <v>0</v>
      </c>
      <c r="W68" s="191"/>
      <c r="X68" s="170"/>
      <c r="Y68" s="74">
        <f t="shared" si="98"/>
        <v>0</v>
      </c>
      <c r="Z68" s="188"/>
      <c r="AA68" s="130">
        <f t="shared" si="80"/>
        <v>0</v>
      </c>
      <c r="AB68" s="74">
        <f t="shared" si="81"/>
        <v>0</v>
      </c>
      <c r="AC68" s="356"/>
      <c r="AD68" s="130" cm="1">
        <f t="array" ref="AD68">IFERROR(ROUND((_xlfn.IFS(offer_sale_type="поставка",AB68,offer_sale_type="транзит",S68)*(1+AC68))/E68,2),0)</f>
        <v>0</v>
      </c>
      <c r="AE68" s="74">
        <f t="shared" si="82"/>
        <v>0</v>
      </c>
      <c r="AF68" s="123" cm="1">
        <f t="array" ref="AF68">IFERROR(ROUND(_xlfn.IFS(offer_sale_type="поставка",AB68,offer_sale_type="транзит",S68)*AC68,2),0)</f>
        <v>0</v>
      </c>
      <c r="AG68" s="130">
        <f t="shared" si="62"/>
        <v>0</v>
      </c>
      <c r="AH68" s="74">
        <f t="shared" si="63"/>
        <v>0</v>
      </c>
      <c r="AI68" s="123">
        <f t="shared" si="64"/>
        <v>0</v>
      </c>
      <c r="AJ68" s="118">
        <f t="shared" si="83"/>
        <v>0</v>
      </c>
      <c r="AK68" s="74">
        <f t="shared" si="84"/>
        <v>0</v>
      </c>
      <c r="AL68" s="174">
        <f t="shared" si="85"/>
        <v>0</v>
      </c>
      <c r="AM68" s="175">
        <f t="shared" si="65"/>
        <v>0</v>
      </c>
      <c r="AN68" s="130">
        <f t="shared" si="86"/>
        <v>0</v>
      </c>
      <c r="AO68" s="74">
        <f t="shared" si="66"/>
        <v>0</v>
      </c>
      <c r="AP68" s="123">
        <f t="shared" si="87"/>
        <v>0</v>
      </c>
      <c r="AQ68" s="118">
        <f t="shared" si="88"/>
        <v>0</v>
      </c>
      <c r="AR68" s="82" t="str">
        <f t="shared" si="89"/>
        <v>https://www.alta.ru/tnved/code//</v>
      </c>
      <c r="AS68" s="157"/>
      <c r="AT68" s="162"/>
      <c r="AU68" s="74">
        <f t="shared" si="90"/>
        <v>0</v>
      </c>
      <c r="AV68" s="157"/>
      <c r="AW68" s="75">
        <f>_xlfn.IFNA(VLOOKUP(L68,list_vat[],3,FALSE),0)</f>
        <v>0</v>
      </c>
      <c r="AX68" s="74">
        <f t="shared" si="91"/>
        <v>0</v>
      </c>
      <c r="AY68" s="74">
        <f t="shared" si="92"/>
        <v>0</v>
      </c>
      <c r="AZ68" s="130">
        <f t="shared" si="93"/>
        <v>0</v>
      </c>
      <c r="BA68" s="74">
        <f t="shared" si="72"/>
        <v>0</v>
      </c>
      <c r="BB68" s="193">
        <f t="shared" si="94"/>
        <v>0</v>
      </c>
      <c r="BC68" s="102">
        <f t="shared" si="95"/>
        <v>0</v>
      </c>
      <c r="BD68" s="102">
        <f t="shared" si="96"/>
        <v>0</v>
      </c>
      <c r="BE68" s="413" t="s">
        <v>69</v>
      </c>
    </row>
    <row r="69" spans="1:57" s="65" customFormat="1" ht="12" customHeight="1" x14ac:dyDescent="0.2">
      <c r="A69" s="43">
        <v>54</v>
      </c>
      <c r="B69" s="166"/>
      <c r="C69" s="166"/>
      <c r="D69" s="166"/>
      <c r="E69" s="162"/>
      <c r="F69" s="166"/>
      <c r="G69" s="162"/>
      <c r="H69" s="162"/>
      <c r="I69" s="189">
        <f t="shared" si="74"/>
        <v>0</v>
      </c>
      <c r="J69" s="195"/>
      <c r="K69" s="162"/>
      <c r="L69" s="168"/>
      <c r="M69" s="75">
        <f>_xlfn.XLOOKUP(L69,list_vat[Страна],list_vat[Ставка НДС %],0,0)</f>
        <v>0</v>
      </c>
      <c r="N69" s="162">
        <f t="shared" si="57"/>
        <v>0</v>
      </c>
      <c r="O69" s="169"/>
      <c r="P69" s="74">
        <f t="shared" si="97"/>
        <v>0</v>
      </c>
      <c r="Q69" s="162"/>
      <c r="R69" s="162" t="str">
        <f t="shared" si="75"/>
        <v>введи курс</v>
      </c>
      <c r="S69" s="196">
        <f t="shared" si="76"/>
        <v>0</v>
      </c>
      <c r="T69" s="192">
        <f t="shared" si="77"/>
        <v>0</v>
      </c>
      <c r="U69" s="76">
        <f t="shared" si="78"/>
        <v>0</v>
      </c>
      <c r="V69" s="123">
        <f t="shared" si="79"/>
        <v>0</v>
      </c>
      <c r="W69" s="191"/>
      <c r="X69" s="170"/>
      <c r="Y69" s="74">
        <f t="shared" si="98"/>
        <v>0</v>
      </c>
      <c r="Z69" s="188"/>
      <c r="AA69" s="130">
        <f t="shared" si="80"/>
        <v>0</v>
      </c>
      <c r="AB69" s="74">
        <f t="shared" si="81"/>
        <v>0</v>
      </c>
      <c r="AC69" s="356"/>
      <c r="AD69" s="130" cm="1">
        <f t="array" ref="AD69">IFERROR(ROUND((_xlfn.IFS(offer_sale_type="поставка",AB69,offer_sale_type="транзит",S69)*(1+AC69))/E69,2),0)</f>
        <v>0</v>
      </c>
      <c r="AE69" s="74">
        <f t="shared" si="82"/>
        <v>0</v>
      </c>
      <c r="AF69" s="123" cm="1">
        <f t="array" ref="AF69">IFERROR(ROUND(_xlfn.IFS(offer_sale_type="поставка",AB69,offer_sale_type="транзит",S69)*AC69,2),0)</f>
        <v>0</v>
      </c>
      <c r="AG69" s="130">
        <f t="shared" si="62"/>
        <v>0</v>
      </c>
      <c r="AH69" s="74">
        <f t="shared" si="63"/>
        <v>0</v>
      </c>
      <c r="AI69" s="123">
        <f t="shared" si="64"/>
        <v>0</v>
      </c>
      <c r="AJ69" s="118">
        <f t="shared" si="83"/>
        <v>0</v>
      </c>
      <c r="AK69" s="74">
        <f t="shared" si="84"/>
        <v>0</v>
      </c>
      <c r="AL69" s="174">
        <f t="shared" si="85"/>
        <v>0</v>
      </c>
      <c r="AM69" s="175">
        <f t="shared" si="65"/>
        <v>0</v>
      </c>
      <c r="AN69" s="130">
        <f t="shared" si="86"/>
        <v>0</v>
      </c>
      <c r="AO69" s="74">
        <f t="shared" si="66"/>
        <v>0</v>
      </c>
      <c r="AP69" s="123">
        <f t="shared" si="87"/>
        <v>0</v>
      </c>
      <c r="AQ69" s="118">
        <f t="shared" si="88"/>
        <v>0</v>
      </c>
      <c r="AR69" s="82" t="str">
        <f t="shared" si="89"/>
        <v>https://www.alta.ru/tnved/code//</v>
      </c>
      <c r="AS69" s="157"/>
      <c r="AT69" s="162"/>
      <c r="AU69" s="74">
        <f t="shared" si="90"/>
        <v>0</v>
      </c>
      <c r="AV69" s="157"/>
      <c r="AW69" s="75">
        <f>_xlfn.IFNA(VLOOKUP(L69,list_vat[],3,FALSE),0)</f>
        <v>0</v>
      </c>
      <c r="AX69" s="74">
        <f t="shared" si="91"/>
        <v>0</v>
      </c>
      <c r="AY69" s="74">
        <f t="shared" si="92"/>
        <v>0</v>
      </c>
      <c r="AZ69" s="130">
        <f t="shared" si="93"/>
        <v>0</v>
      </c>
      <c r="BA69" s="74">
        <f t="shared" si="72"/>
        <v>0</v>
      </c>
      <c r="BB69" s="193">
        <f t="shared" si="94"/>
        <v>0</v>
      </c>
      <c r="BC69" s="102">
        <f t="shared" si="95"/>
        <v>0</v>
      </c>
      <c r="BD69" s="102">
        <f t="shared" si="96"/>
        <v>0</v>
      </c>
      <c r="BE69" s="413" t="s">
        <v>69</v>
      </c>
    </row>
    <row r="70" spans="1:57" s="65" customFormat="1" ht="12" customHeight="1" x14ac:dyDescent="0.2">
      <c r="A70" s="43">
        <v>55</v>
      </c>
      <c r="B70" s="166"/>
      <c r="C70" s="166"/>
      <c r="D70" s="166"/>
      <c r="E70" s="162"/>
      <c r="F70" s="166"/>
      <c r="G70" s="162"/>
      <c r="H70" s="162"/>
      <c r="I70" s="189">
        <f t="shared" si="74"/>
        <v>0</v>
      </c>
      <c r="J70" s="195"/>
      <c r="K70" s="162"/>
      <c r="L70" s="168"/>
      <c r="M70" s="75">
        <f>_xlfn.XLOOKUP(L70,list_vat[Страна],list_vat[Ставка НДС %],0,0)</f>
        <v>0</v>
      </c>
      <c r="N70" s="162">
        <f t="shared" si="57"/>
        <v>0</v>
      </c>
      <c r="O70" s="169"/>
      <c r="P70" s="74">
        <f t="shared" si="97"/>
        <v>0</v>
      </c>
      <c r="Q70" s="162"/>
      <c r="R70" s="162" t="str">
        <f t="shared" si="75"/>
        <v>введи курс</v>
      </c>
      <c r="S70" s="196">
        <f t="shared" si="76"/>
        <v>0</v>
      </c>
      <c r="T70" s="192">
        <f t="shared" si="77"/>
        <v>0</v>
      </c>
      <c r="U70" s="76">
        <f t="shared" si="78"/>
        <v>0</v>
      </c>
      <c r="V70" s="123">
        <f t="shared" si="79"/>
        <v>0</v>
      </c>
      <c r="W70" s="191"/>
      <c r="X70" s="170"/>
      <c r="Y70" s="74">
        <f t="shared" si="98"/>
        <v>0</v>
      </c>
      <c r="Z70" s="188"/>
      <c r="AA70" s="130">
        <f t="shared" si="80"/>
        <v>0</v>
      </c>
      <c r="AB70" s="74">
        <f t="shared" si="81"/>
        <v>0</v>
      </c>
      <c r="AC70" s="356"/>
      <c r="AD70" s="130" cm="1">
        <f t="array" ref="AD70">IFERROR(ROUND((_xlfn.IFS(offer_sale_type="поставка",AB70,offer_sale_type="транзит",S70)*(1+AC70))/E70,2),0)</f>
        <v>0</v>
      </c>
      <c r="AE70" s="74">
        <f t="shared" si="82"/>
        <v>0</v>
      </c>
      <c r="AF70" s="123" cm="1">
        <f t="array" ref="AF70">IFERROR(ROUND(_xlfn.IFS(offer_sale_type="поставка",AB70,offer_sale_type="транзит",S70)*AC70,2),0)</f>
        <v>0</v>
      </c>
      <c r="AG70" s="130">
        <f t="shared" si="62"/>
        <v>0</v>
      </c>
      <c r="AH70" s="74">
        <f t="shared" si="63"/>
        <v>0</v>
      </c>
      <c r="AI70" s="123">
        <f t="shared" si="64"/>
        <v>0</v>
      </c>
      <c r="AJ70" s="118">
        <f t="shared" si="83"/>
        <v>0</v>
      </c>
      <c r="AK70" s="74">
        <f t="shared" si="84"/>
        <v>0</v>
      </c>
      <c r="AL70" s="174">
        <f t="shared" si="85"/>
        <v>0</v>
      </c>
      <c r="AM70" s="175">
        <f t="shared" si="65"/>
        <v>0</v>
      </c>
      <c r="AN70" s="130">
        <f t="shared" si="86"/>
        <v>0</v>
      </c>
      <c r="AO70" s="74">
        <f t="shared" si="66"/>
        <v>0</v>
      </c>
      <c r="AP70" s="123">
        <f t="shared" si="87"/>
        <v>0</v>
      </c>
      <c r="AQ70" s="118">
        <f t="shared" si="88"/>
        <v>0</v>
      </c>
      <c r="AR70" s="82" t="str">
        <f t="shared" si="89"/>
        <v>https://www.alta.ru/tnved/code//</v>
      </c>
      <c r="AS70" s="157"/>
      <c r="AT70" s="162"/>
      <c r="AU70" s="74">
        <f t="shared" si="90"/>
        <v>0</v>
      </c>
      <c r="AV70" s="157"/>
      <c r="AW70" s="75">
        <f>_xlfn.IFNA(VLOOKUP(L70,list_vat[],3,FALSE),0)</f>
        <v>0</v>
      </c>
      <c r="AX70" s="74">
        <f t="shared" si="91"/>
        <v>0</v>
      </c>
      <c r="AY70" s="74">
        <f t="shared" si="92"/>
        <v>0</v>
      </c>
      <c r="AZ70" s="130">
        <f t="shared" si="93"/>
        <v>0</v>
      </c>
      <c r="BA70" s="74">
        <f t="shared" si="72"/>
        <v>0</v>
      </c>
      <c r="BB70" s="193">
        <f t="shared" si="94"/>
        <v>0</v>
      </c>
      <c r="BC70" s="102">
        <f t="shared" si="95"/>
        <v>0</v>
      </c>
      <c r="BD70" s="102">
        <f t="shared" si="96"/>
        <v>0</v>
      </c>
      <c r="BE70" s="413" t="s">
        <v>69</v>
      </c>
    </row>
    <row r="71" spans="1:57" s="65" customFormat="1" ht="12" customHeight="1" x14ac:dyDescent="0.2">
      <c r="A71" s="43">
        <v>56</v>
      </c>
      <c r="B71" s="166"/>
      <c r="C71" s="166"/>
      <c r="D71" s="166"/>
      <c r="E71" s="162"/>
      <c r="F71" s="166"/>
      <c r="G71" s="162"/>
      <c r="H71" s="162"/>
      <c r="I71" s="189">
        <f t="shared" si="74"/>
        <v>0</v>
      </c>
      <c r="J71" s="195"/>
      <c r="K71" s="162"/>
      <c r="L71" s="168"/>
      <c r="M71" s="75">
        <f>_xlfn.XLOOKUP(L71,list_vat[Страна],list_vat[Ставка НДС %],0,0)</f>
        <v>0</v>
      </c>
      <c r="N71" s="162">
        <f t="shared" si="57"/>
        <v>0</v>
      </c>
      <c r="O71" s="169"/>
      <c r="P71" s="74">
        <f t="shared" si="97"/>
        <v>0</v>
      </c>
      <c r="Q71" s="162"/>
      <c r="R71" s="162" t="str">
        <f t="shared" si="75"/>
        <v>введи курс</v>
      </c>
      <c r="S71" s="196">
        <f t="shared" si="76"/>
        <v>0</v>
      </c>
      <c r="T71" s="192">
        <f t="shared" si="77"/>
        <v>0</v>
      </c>
      <c r="U71" s="76">
        <f t="shared" si="78"/>
        <v>0</v>
      </c>
      <c r="V71" s="123">
        <f t="shared" si="79"/>
        <v>0</v>
      </c>
      <c r="W71" s="191"/>
      <c r="X71" s="170"/>
      <c r="Y71" s="74">
        <f t="shared" si="98"/>
        <v>0</v>
      </c>
      <c r="Z71" s="188"/>
      <c r="AA71" s="130">
        <f t="shared" si="80"/>
        <v>0</v>
      </c>
      <c r="AB71" s="74">
        <f t="shared" si="81"/>
        <v>0</v>
      </c>
      <c r="AC71" s="356"/>
      <c r="AD71" s="130" cm="1">
        <f t="array" ref="AD71">IFERROR(ROUND((_xlfn.IFS(offer_sale_type="поставка",AB71,offer_sale_type="транзит",S71)*(1+AC71))/E71,2),0)</f>
        <v>0</v>
      </c>
      <c r="AE71" s="74">
        <f t="shared" si="82"/>
        <v>0</v>
      </c>
      <c r="AF71" s="123" cm="1">
        <f t="array" ref="AF71">IFERROR(ROUND(_xlfn.IFS(offer_sale_type="поставка",AB71,offer_sale_type="транзит",S71)*AC71,2),0)</f>
        <v>0</v>
      </c>
      <c r="AG71" s="130">
        <f t="shared" si="62"/>
        <v>0</v>
      </c>
      <c r="AH71" s="74">
        <f t="shared" si="63"/>
        <v>0</v>
      </c>
      <c r="AI71" s="123">
        <f t="shared" si="64"/>
        <v>0</v>
      </c>
      <c r="AJ71" s="118">
        <f t="shared" si="83"/>
        <v>0</v>
      </c>
      <c r="AK71" s="74">
        <f t="shared" si="84"/>
        <v>0</v>
      </c>
      <c r="AL71" s="174">
        <f t="shared" si="85"/>
        <v>0</v>
      </c>
      <c r="AM71" s="175">
        <f t="shared" si="65"/>
        <v>0</v>
      </c>
      <c r="AN71" s="130">
        <f t="shared" si="86"/>
        <v>0</v>
      </c>
      <c r="AO71" s="74">
        <f t="shared" si="66"/>
        <v>0</v>
      </c>
      <c r="AP71" s="123">
        <f t="shared" si="87"/>
        <v>0</v>
      </c>
      <c r="AQ71" s="118">
        <f t="shared" si="88"/>
        <v>0</v>
      </c>
      <c r="AR71" s="82" t="str">
        <f t="shared" si="89"/>
        <v>https://www.alta.ru/tnved/code//</v>
      </c>
      <c r="AS71" s="157"/>
      <c r="AT71" s="162"/>
      <c r="AU71" s="74">
        <f t="shared" si="90"/>
        <v>0</v>
      </c>
      <c r="AV71" s="157"/>
      <c r="AW71" s="75">
        <f>_xlfn.IFNA(VLOOKUP(L71,list_vat[],3,FALSE),0)</f>
        <v>0</v>
      </c>
      <c r="AX71" s="74">
        <f t="shared" si="91"/>
        <v>0</v>
      </c>
      <c r="AY71" s="74">
        <f t="shared" si="92"/>
        <v>0</v>
      </c>
      <c r="AZ71" s="130">
        <f t="shared" si="93"/>
        <v>0</v>
      </c>
      <c r="BA71" s="74">
        <f t="shared" si="72"/>
        <v>0</v>
      </c>
      <c r="BB71" s="193">
        <f t="shared" si="94"/>
        <v>0</v>
      </c>
      <c r="BC71" s="102">
        <f t="shared" si="95"/>
        <v>0</v>
      </c>
      <c r="BD71" s="102">
        <f t="shared" si="96"/>
        <v>0</v>
      </c>
      <c r="BE71" s="413" t="s">
        <v>69</v>
      </c>
    </row>
    <row r="72" spans="1:57" s="65" customFormat="1" ht="12" customHeight="1" x14ac:dyDescent="0.2">
      <c r="A72" s="43">
        <v>57</v>
      </c>
      <c r="B72" s="166"/>
      <c r="C72" s="166"/>
      <c r="D72" s="166"/>
      <c r="E72" s="162"/>
      <c r="F72" s="166"/>
      <c r="G72" s="162"/>
      <c r="H72" s="162"/>
      <c r="I72" s="189">
        <f t="shared" si="74"/>
        <v>0</v>
      </c>
      <c r="J72" s="195"/>
      <c r="K72" s="162"/>
      <c r="L72" s="168"/>
      <c r="M72" s="75">
        <f>_xlfn.XLOOKUP(L72,list_vat[Страна],list_vat[Ставка НДС %],0,0)</f>
        <v>0</v>
      </c>
      <c r="N72" s="162">
        <f t="shared" si="57"/>
        <v>0</v>
      </c>
      <c r="O72" s="169"/>
      <c r="P72" s="74">
        <f t="shared" si="97"/>
        <v>0</v>
      </c>
      <c r="Q72" s="162"/>
      <c r="R72" s="162" t="str">
        <f t="shared" si="75"/>
        <v>введи курс</v>
      </c>
      <c r="S72" s="196">
        <f t="shared" si="76"/>
        <v>0</v>
      </c>
      <c r="T72" s="192">
        <f t="shared" si="77"/>
        <v>0</v>
      </c>
      <c r="U72" s="76">
        <f t="shared" si="78"/>
        <v>0</v>
      </c>
      <c r="V72" s="123">
        <f t="shared" si="79"/>
        <v>0</v>
      </c>
      <c r="W72" s="191"/>
      <c r="X72" s="170"/>
      <c r="Y72" s="74">
        <f t="shared" si="98"/>
        <v>0</v>
      </c>
      <c r="Z72" s="188"/>
      <c r="AA72" s="130">
        <f t="shared" si="80"/>
        <v>0</v>
      </c>
      <c r="AB72" s="74">
        <f t="shared" si="81"/>
        <v>0</v>
      </c>
      <c r="AC72" s="356"/>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2"/>
        <v>0</v>
      </c>
      <c r="AH72" s="74">
        <f t="shared" si="63"/>
        <v>0</v>
      </c>
      <c r="AI72" s="123">
        <f t="shared" si="64"/>
        <v>0</v>
      </c>
      <c r="AJ72" s="118">
        <f t="shared" si="83"/>
        <v>0</v>
      </c>
      <c r="AK72" s="74">
        <f t="shared" si="84"/>
        <v>0</v>
      </c>
      <c r="AL72" s="174">
        <f t="shared" si="85"/>
        <v>0</v>
      </c>
      <c r="AM72" s="175">
        <f t="shared" si="65"/>
        <v>0</v>
      </c>
      <c r="AN72" s="130">
        <f t="shared" si="86"/>
        <v>0</v>
      </c>
      <c r="AO72" s="74">
        <f t="shared" si="66"/>
        <v>0</v>
      </c>
      <c r="AP72" s="123">
        <f t="shared" si="87"/>
        <v>0</v>
      </c>
      <c r="AQ72" s="118">
        <f t="shared" si="88"/>
        <v>0</v>
      </c>
      <c r="AR72" s="82" t="str">
        <f t="shared" si="89"/>
        <v>https://www.alta.ru/tnved/code//</v>
      </c>
      <c r="AS72" s="157"/>
      <c r="AT72" s="162"/>
      <c r="AU72" s="74">
        <f t="shared" si="90"/>
        <v>0</v>
      </c>
      <c r="AV72" s="157"/>
      <c r="AW72" s="75">
        <f>_xlfn.IFNA(VLOOKUP(L72,list_vat[],3,FALSE),0)</f>
        <v>0</v>
      </c>
      <c r="AX72" s="74">
        <f t="shared" si="91"/>
        <v>0</v>
      </c>
      <c r="AY72" s="74">
        <f t="shared" si="92"/>
        <v>0</v>
      </c>
      <c r="AZ72" s="130">
        <f t="shared" si="93"/>
        <v>0</v>
      </c>
      <c r="BA72" s="74">
        <f t="shared" si="72"/>
        <v>0</v>
      </c>
      <c r="BB72" s="193">
        <f t="shared" si="94"/>
        <v>0</v>
      </c>
      <c r="BC72" s="102">
        <f t="shared" si="95"/>
        <v>0</v>
      </c>
      <c r="BD72" s="102">
        <f t="shared" si="96"/>
        <v>0</v>
      </c>
      <c r="BE72" s="413" t="s">
        <v>69</v>
      </c>
    </row>
    <row r="73" spans="1:57" s="65" customFormat="1" ht="12" customHeight="1" x14ac:dyDescent="0.2">
      <c r="A73" s="43">
        <v>58</v>
      </c>
      <c r="B73" s="166"/>
      <c r="C73" s="166"/>
      <c r="D73" s="166"/>
      <c r="E73" s="162"/>
      <c r="F73" s="166"/>
      <c r="G73" s="162"/>
      <c r="H73" s="162"/>
      <c r="I73" s="189">
        <f t="shared" si="74"/>
        <v>0</v>
      </c>
      <c r="J73" s="195"/>
      <c r="K73" s="162"/>
      <c r="L73" s="168"/>
      <c r="M73" s="75">
        <f>_xlfn.XLOOKUP(L73,list_vat[Страна],list_vat[Ставка НДС %],0,0)</f>
        <v>0</v>
      </c>
      <c r="N73" s="162">
        <f t="shared" si="57"/>
        <v>0</v>
      </c>
      <c r="O73" s="169"/>
      <c r="P73" s="74">
        <f t="shared" si="97"/>
        <v>0</v>
      </c>
      <c r="Q73" s="162"/>
      <c r="R73" s="162" t="str">
        <f t="shared" si="75"/>
        <v>введи курс</v>
      </c>
      <c r="S73" s="196">
        <f t="shared" si="76"/>
        <v>0</v>
      </c>
      <c r="T73" s="192">
        <f t="shared" si="77"/>
        <v>0</v>
      </c>
      <c r="U73" s="76">
        <f t="shared" si="78"/>
        <v>0</v>
      </c>
      <c r="V73" s="123">
        <f t="shared" si="79"/>
        <v>0</v>
      </c>
      <c r="W73" s="191"/>
      <c r="X73" s="170"/>
      <c r="Y73" s="74">
        <f t="shared" si="98"/>
        <v>0</v>
      </c>
      <c r="Z73" s="188"/>
      <c r="AA73" s="130">
        <f t="shared" si="80"/>
        <v>0</v>
      </c>
      <c r="AB73" s="74">
        <f t="shared" si="81"/>
        <v>0</v>
      </c>
      <c r="AC73" s="356"/>
      <c r="AD73" s="130" cm="1">
        <f t="array" ref="AD73">IFERROR(ROUND((_xlfn.IFS(offer_sale_type="поставка",AB73,offer_sale_type="транзит",S73)*(1+AC73))/E73,2),0)</f>
        <v>0</v>
      </c>
      <c r="AE73" s="74">
        <f t="shared" si="82"/>
        <v>0</v>
      </c>
      <c r="AF73" s="123" cm="1">
        <f t="array" ref="AF73">IFERROR(ROUND(_xlfn.IFS(offer_sale_type="поставка",AB73,offer_sale_type="транзит",S73)*AC73,2),0)</f>
        <v>0</v>
      </c>
      <c r="AG73" s="130">
        <f t="shared" si="62"/>
        <v>0</v>
      </c>
      <c r="AH73" s="74">
        <f t="shared" si="63"/>
        <v>0</v>
      </c>
      <c r="AI73" s="123">
        <f t="shared" si="64"/>
        <v>0</v>
      </c>
      <c r="AJ73" s="118">
        <f t="shared" si="83"/>
        <v>0</v>
      </c>
      <c r="AK73" s="74">
        <f t="shared" si="84"/>
        <v>0</v>
      </c>
      <c r="AL73" s="174">
        <f t="shared" si="85"/>
        <v>0</v>
      </c>
      <c r="AM73" s="175">
        <f t="shared" si="65"/>
        <v>0</v>
      </c>
      <c r="AN73" s="130">
        <f t="shared" si="86"/>
        <v>0</v>
      </c>
      <c r="AO73" s="74">
        <f t="shared" si="66"/>
        <v>0</v>
      </c>
      <c r="AP73" s="123">
        <f t="shared" si="87"/>
        <v>0</v>
      </c>
      <c r="AQ73" s="118">
        <f t="shared" si="88"/>
        <v>0</v>
      </c>
      <c r="AR73" s="82" t="str">
        <f t="shared" si="89"/>
        <v>https://www.alta.ru/tnved/code//</v>
      </c>
      <c r="AS73" s="157"/>
      <c r="AT73" s="162"/>
      <c r="AU73" s="74">
        <f t="shared" si="90"/>
        <v>0</v>
      </c>
      <c r="AV73" s="157"/>
      <c r="AW73" s="75">
        <f>_xlfn.IFNA(VLOOKUP(L73,list_vat[],3,FALSE),0)</f>
        <v>0</v>
      </c>
      <c r="AX73" s="74">
        <f t="shared" si="91"/>
        <v>0</v>
      </c>
      <c r="AY73" s="74">
        <f t="shared" si="92"/>
        <v>0</v>
      </c>
      <c r="AZ73" s="130">
        <f t="shared" si="93"/>
        <v>0</v>
      </c>
      <c r="BA73" s="74">
        <f t="shared" si="72"/>
        <v>0</v>
      </c>
      <c r="BB73" s="193">
        <f t="shared" si="94"/>
        <v>0</v>
      </c>
      <c r="BC73" s="102">
        <f t="shared" si="95"/>
        <v>0</v>
      </c>
      <c r="BD73" s="102">
        <f t="shared" si="96"/>
        <v>0</v>
      </c>
      <c r="BE73" s="413" t="s">
        <v>69</v>
      </c>
    </row>
    <row r="74" spans="1:57" s="65" customFormat="1" ht="12" customHeight="1" x14ac:dyDescent="0.2">
      <c r="A74" s="43">
        <v>59</v>
      </c>
      <c r="B74" s="166"/>
      <c r="C74" s="166"/>
      <c r="D74" s="166"/>
      <c r="E74" s="162"/>
      <c r="F74" s="166"/>
      <c r="G74" s="162"/>
      <c r="H74" s="162"/>
      <c r="I74" s="189">
        <f t="shared" si="74"/>
        <v>0</v>
      </c>
      <c r="J74" s="195"/>
      <c r="K74" s="162"/>
      <c r="L74" s="168"/>
      <c r="M74" s="75">
        <f>_xlfn.XLOOKUP(L74,list_vat[Страна],list_vat[Ставка НДС %],0,0)</f>
        <v>0</v>
      </c>
      <c r="N74" s="162">
        <f t="shared" si="57"/>
        <v>0</v>
      </c>
      <c r="O74" s="169"/>
      <c r="P74" s="74">
        <f t="shared" si="97"/>
        <v>0</v>
      </c>
      <c r="Q74" s="162"/>
      <c r="R74" s="162" t="str">
        <f t="shared" si="75"/>
        <v>введи курс</v>
      </c>
      <c r="S74" s="196">
        <f t="shared" si="76"/>
        <v>0</v>
      </c>
      <c r="T74" s="192">
        <f t="shared" si="77"/>
        <v>0</v>
      </c>
      <c r="U74" s="76">
        <f t="shared" si="78"/>
        <v>0</v>
      </c>
      <c r="V74" s="123">
        <f t="shared" si="79"/>
        <v>0</v>
      </c>
      <c r="W74" s="191"/>
      <c r="X74" s="170"/>
      <c r="Y74" s="74">
        <f t="shared" si="98"/>
        <v>0</v>
      </c>
      <c r="Z74" s="188"/>
      <c r="AA74" s="130">
        <f t="shared" si="80"/>
        <v>0</v>
      </c>
      <c r="AB74" s="74">
        <f t="shared" si="81"/>
        <v>0</v>
      </c>
      <c r="AC74" s="356"/>
      <c r="AD74" s="130" cm="1">
        <f t="array" ref="AD74">IFERROR(ROUND((_xlfn.IFS(offer_sale_type="поставка",AB74,offer_sale_type="транзит",S74)*(1+AC74))/E74,2),0)</f>
        <v>0</v>
      </c>
      <c r="AE74" s="74">
        <f t="shared" si="82"/>
        <v>0</v>
      </c>
      <c r="AF74" s="123" cm="1">
        <f t="array" ref="AF74">IFERROR(ROUND(_xlfn.IFS(offer_sale_type="поставка",AB74,offer_sale_type="транзит",S74)*AC74,2),0)</f>
        <v>0</v>
      </c>
      <c r="AG74" s="130">
        <f t="shared" si="62"/>
        <v>0</v>
      </c>
      <c r="AH74" s="74">
        <f t="shared" si="63"/>
        <v>0</v>
      </c>
      <c r="AI74" s="123">
        <f t="shared" si="64"/>
        <v>0</v>
      </c>
      <c r="AJ74" s="118">
        <f t="shared" si="83"/>
        <v>0</v>
      </c>
      <c r="AK74" s="74">
        <f t="shared" si="84"/>
        <v>0</v>
      </c>
      <c r="AL74" s="174">
        <f t="shared" si="85"/>
        <v>0</v>
      </c>
      <c r="AM74" s="175">
        <f t="shared" si="65"/>
        <v>0</v>
      </c>
      <c r="AN74" s="130">
        <f t="shared" si="86"/>
        <v>0</v>
      </c>
      <c r="AO74" s="74">
        <f t="shared" si="66"/>
        <v>0</v>
      </c>
      <c r="AP74" s="123">
        <f t="shared" si="87"/>
        <v>0</v>
      </c>
      <c r="AQ74" s="118">
        <f t="shared" si="88"/>
        <v>0</v>
      </c>
      <c r="AR74" s="82" t="str">
        <f t="shared" si="89"/>
        <v>https://www.alta.ru/tnved/code//</v>
      </c>
      <c r="AS74" s="157"/>
      <c r="AT74" s="162"/>
      <c r="AU74" s="74">
        <f t="shared" si="90"/>
        <v>0</v>
      </c>
      <c r="AV74" s="157"/>
      <c r="AW74" s="75">
        <f>_xlfn.IFNA(VLOOKUP(L74,list_vat[],3,FALSE),0)</f>
        <v>0</v>
      </c>
      <c r="AX74" s="74">
        <f t="shared" si="91"/>
        <v>0</v>
      </c>
      <c r="AY74" s="74">
        <f t="shared" si="92"/>
        <v>0</v>
      </c>
      <c r="AZ74" s="130">
        <f t="shared" si="93"/>
        <v>0</v>
      </c>
      <c r="BA74" s="74">
        <f t="shared" si="72"/>
        <v>0</v>
      </c>
      <c r="BB74" s="193">
        <f t="shared" si="94"/>
        <v>0</v>
      </c>
      <c r="BC74" s="102">
        <f t="shared" si="95"/>
        <v>0</v>
      </c>
      <c r="BD74" s="102">
        <f t="shared" si="96"/>
        <v>0</v>
      </c>
      <c r="BE74" s="413" t="s">
        <v>69</v>
      </c>
    </row>
    <row r="75" spans="1:57" s="65" customFormat="1" ht="12" customHeight="1" x14ac:dyDescent="0.2">
      <c r="A75" s="43">
        <v>60</v>
      </c>
      <c r="B75" s="166"/>
      <c r="C75" s="166"/>
      <c r="D75" s="166"/>
      <c r="E75" s="162"/>
      <c r="F75" s="166"/>
      <c r="G75" s="162"/>
      <c r="H75" s="162"/>
      <c r="I75" s="189">
        <f t="shared" si="74"/>
        <v>0</v>
      </c>
      <c r="J75" s="195"/>
      <c r="K75" s="162"/>
      <c r="L75" s="168"/>
      <c r="M75" s="75">
        <f>_xlfn.XLOOKUP(L75,list_vat[Страна],list_vat[Ставка НДС %],0,0)</f>
        <v>0</v>
      </c>
      <c r="N75" s="162">
        <f t="shared" si="57"/>
        <v>0</v>
      </c>
      <c r="O75" s="169"/>
      <c r="P75" s="74">
        <f t="shared" si="97"/>
        <v>0</v>
      </c>
      <c r="Q75" s="162"/>
      <c r="R75" s="162" t="str">
        <f t="shared" si="75"/>
        <v>введи курс</v>
      </c>
      <c r="S75" s="196">
        <f t="shared" si="76"/>
        <v>0</v>
      </c>
      <c r="T75" s="192">
        <f t="shared" si="77"/>
        <v>0</v>
      </c>
      <c r="U75" s="76">
        <f t="shared" si="78"/>
        <v>0</v>
      </c>
      <c r="V75" s="123">
        <f t="shared" si="79"/>
        <v>0</v>
      </c>
      <c r="W75" s="191"/>
      <c r="X75" s="170"/>
      <c r="Y75" s="74">
        <f t="shared" si="98"/>
        <v>0</v>
      </c>
      <c r="Z75" s="188"/>
      <c r="AA75" s="130">
        <f t="shared" si="80"/>
        <v>0</v>
      </c>
      <c r="AB75" s="74">
        <f t="shared" si="81"/>
        <v>0</v>
      </c>
      <c r="AC75" s="356"/>
      <c r="AD75" s="130" cm="1">
        <f t="array" ref="AD75">IFERROR(ROUND((_xlfn.IFS(offer_sale_type="поставка",AB75,offer_sale_type="транзит",S75)*(1+AC75))/E75,2),0)</f>
        <v>0</v>
      </c>
      <c r="AE75" s="74">
        <f t="shared" si="82"/>
        <v>0</v>
      </c>
      <c r="AF75" s="123" cm="1">
        <f t="array" ref="AF75">IFERROR(ROUND(_xlfn.IFS(offer_sale_type="поставка",AB75,offer_sale_type="транзит",S75)*AC75,2),0)</f>
        <v>0</v>
      </c>
      <c r="AG75" s="130">
        <f t="shared" si="62"/>
        <v>0</v>
      </c>
      <c r="AH75" s="74">
        <f t="shared" si="63"/>
        <v>0</v>
      </c>
      <c r="AI75" s="123">
        <f t="shared" si="64"/>
        <v>0</v>
      </c>
      <c r="AJ75" s="118">
        <f t="shared" si="83"/>
        <v>0</v>
      </c>
      <c r="AK75" s="74">
        <f t="shared" si="84"/>
        <v>0</v>
      </c>
      <c r="AL75" s="174">
        <f t="shared" si="85"/>
        <v>0</v>
      </c>
      <c r="AM75" s="175">
        <f t="shared" si="65"/>
        <v>0</v>
      </c>
      <c r="AN75" s="130">
        <f t="shared" si="86"/>
        <v>0</v>
      </c>
      <c r="AO75" s="74">
        <f t="shared" si="66"/>
        <v>0</v>
      </c>
      <c r="AP75" s="123">
        <f t="shared" si="87"/>
        <v>0</v>
      </c>
      <c r="AQ75" s="118">
        <f t="shared" si="88"/>
        <v>0</v>
      </c>
      <c r="AR75" s="82" t="str">
        <f t="shared" si="89"/>
        <v>https://www.alta.ru/tnved/code//</v>
      </c>
      <c r="AS75" s="157"/>
      <c r="AT75" s="162"/>
      <c r="AU75" s="74">
        <f t="shared" si="90"/>
        <v>0</v>
      </c>
      <c r="AV75" s="157"/>
      <c r="AW75" s="75">
        <f>_xlfn.IFNA(VLOOKUP(L75,list_vat[],3,FALSE),0)</f>
        <v>0</v>
      </c>
      <c r="AX75" s="74">
        <f t="shared" si="91"/>
        <v>0</v>
      </c>
      <c r="AY75" s="74">
        <f t="shared" si="92"/>
        <v>0</v>
      </c>
      <c r="AZ75" s="130">
        <f t="shared" si="93"/>
        <v>0</v>
      </c>
      <c r="BA75" s="74">
        <f t="shared" si="72"/>
        <v>0</v>
      </c>
      <c r="BB75" s="193">
        <f t="shared" si="94"/>
        <v>0</v>
      </c>
      <c r="BC75" s="102">
        <f t="shared" si="95"/>
        <v>0</v>
      </c>
      <c r="BD75" s="102">
        <f t="shared" si="96"/>
        <v>0</v>
      </c>
      <c r="BE75" s="413" t="s">
        <v>69</v>
      </c>
    </row>
    <row r="76" spans="1:57" s="65" customFormat="1" ht="12" customHeight="1" x14ac:dyDescent="0.2">
      <c r="A76" s="43">
        <v>61</v>
      </c>
      <c r="B76" s="166"/>
      <c r="C76" s="166"/>
      <c r="D76" s="166"/>
      <c r="E76" s="162"/>
      <c r="F76" s="166"/>
      <c r="G76" s="162"/>
      <c r="H76" s="162"/>
      <c r="I76" s="189">
        <f t="shared" si="74"/>
        <v>0</v>
      </c>
      <c r="J76" s="195"/>
      <c r="K76" s="162"/>
      <c r="L76" s="168"/>
      <c r="M76" s="75">
        <f>_xlfn.XLOOKUP(L76,list_vat[Страна],list_vat[Ставка НДС %],0,0)</f>
        <v>0</v>
      </c>
      <c r="N76" s="162">
        <f t="shared" si="57"/>
        <v>0</v>
      </c>
      <c r="O76" s="169"/>
      <c r="P76" s="74">
        <f t="shared" si="97"/>
        <v>0</v>
      </c>
      <c r="Q76" s="162"/>
      <c r="R76" s="162" t="str">
        <f t="shared" si="75"/>
        <v>введи курс</v>
      </c>
      <c r="S76" s="196">
        <f t="shared" si="76"/>
        <v>0</v>
      </c>
      <c r="T76" s="192">
        <f t="shared" si="77"/>
        <v>0</v>
      </c>
      <c r="U76" s="76">
        <f t="shared" si="78"/>
        <v>0</v>
      </c>
      <c r="V76" s="123">
        <f t="shared" si="79"/>
        <v>0</v>
      </c>
      <c r="W76" s="191"/>
      <c r="X76" s="170"/>
      <c r="Y76" s="74">
        <f t="shared" si="98"/>
        <v>0</v>
      </c>
      <c r="Z76" s="188"/>
      <c r="AA76" s="130">
        <f t="shared" si="80"/>
        <v>0</v>
      </c>
      <c r="AB76" s="74">
        <f t="shared" si="81"/>
        <v>0</v>
      </c>
      <c r="AC76" s="356"/>
      <c r="AD76" s="130" cm="1">
        <f t="array" ref="AD76">IFERROR(ROUND((_xlfn.IFS(offer_sale_type="поставка",AB76,offer_sale_type="транзит",S76)*(1+AC76))/E76,2),0)</f>
        <v>0</v>
      </c>
      <c r="AE76" s="74">
        <f t="shared" si="82"/>
        <v>0</v>
      </c>
      <c r="AF76" s="123" cm="1">
        <f t="array" ref="AF76">IFERROR(ROUND(_xlfn.IFS(offer_sale_type="поставка",AB76,offer_sale_type="транзит",S76)*AC76,2),0)</f>
        <v>0</v>
      </c>
      <c r="AG76" s="130">
        <f t="shared" si="62"/>
        <v>0</v>
      </c>
      <c r="AH76" s="74">
        <f t="shared" si="63"/>
        <v>0</v>
      </c>
      <c r="AI76" s="123">
        <f t="shared" si="64"/>
        <v>0</v>
      </c>
      <c r="AJ76" s="118">
        <f t="shared" si="83"/>
        <v>0</v>
      </c>
      <c r="AK76" s="74">
        <f t="shared" si="84"/>
        <v>0</v>
      </c>
      <c r="AL76" s="174">
        <f t="shared" si="85"/>
        <v>0</v>
      </c>
      <c r="AM76" s="175">
        <f t="shared" si="65"/>
        <v>0</v>
      </c>
      <c r="AN76" s="130">
        <f t="shared" si="86"/>
        <v>0</v>
      </c>
      <c r="AO76" s="74">
        <f t="shared" si="66"/>
        <v>0</v>
      </c>
      <c r="AP76" s="123">
        <f t="shared" si="87"/>
        <v>0</v>
      </c>
      <c r="AQ76" s="118">
        <f t="shared" si="88"/>
        <v>0</v>
      </c>
      <c r="AR76" s="82" t="str">
        <f t="shared" si="89"/>
        <v>https://www.alta.ru/tnved/code//</v>
      </c>
      <c r="AS76" s="157"/>
      <c r="AT76" s="162"/>
      <c r="AU76" s="74">
        <f t="shared" si="90"/>
        <v>0</v>
      </c>
      <c r="AV76" s="157"/>
      <c r="AW76" s="75">
        <f>_xlfn.IFNA(VLOOKUP(L76,list_vat[],3,FALSE),0)</f>
        <v>0</v>
      </c>
      <c r="AX76" s="74">
        <f t="shared" si="91"/>
        <v>0</v>
      </c>
      <c r="AY76" s="74">
        <f t="shared" si="92"/>
        <v>0</v>
      </c>
      <c r="AZ76" s="130">
        <f t="shared" si="93"/>
        <v>0</v>
      </c>
      <c r="BA76" s="74">
        <f t="shared" si="72"/>
        <v>0</v>
      </c>
      <c r="BB76" s="193">
        <f t="shared" si="94"/>
        <v>0</v>
      </c>
      <c r="BC76" s="102">
        <f t="shared" si="95"/>
        <v>0</v>
      </c>
      <c r="BD76" s="102">
        <f t="shared" si="96"/>
        <v>0</v>
      </c>
      <c r="BE76" s="413" t="s">
        <v>69</v>
      </c>
    </row>
    <row r="77" spans="1:57" s="65" customFormat="1" ht="12" customHeight="1" x14ac:dyDescent="0.2">
      <c r="A77" s="43">
        <v>62</v>
      </c>
      <c r="B77" s="166"/>
      <c r="C77" s="166"/>
      <c r="D77" s="166"/>
      <c r="E77" s="162"/>
      <c r="F77" s="166"/>
      <c r="G77" s="162"/>
      <c r="H77" s="162"/>
      <c r="I77" s="189">
        <f t="shared" si="74"/>
        <v>0</v>
      </c>
      <c r="J77" s="195"/>
      <c r="K77" s="162"/>
      <c r="L77" s="168"/>
      <c r="M77" s="75">
        <f>_xlfn.XLOOKUP(L77,list_vat[Страна],list_vat[Ставка НДС %],0,0)</f>
        <v>0</v>
      </c>
      <c r="N77" s="162">
        <f t="shared" si="57"/>
        <v>0</v>
      </c>
      <c r="O77" s="169"/>
      <c r="P77" s="74">
        <f t="shared" si="97"/>
        <v>0</v>
      </c>
      <c r="Q77" s="162"/>
      <c r="R77" s="162" t="str">
        <f t="shared" si="75"/>
        <v>введи курс</v>
      </c>
      <c r="S77" s="196">
        <f t="shared" si="76"/>
        <v>0</v>
      </c>
      <c r="T77" s="192">
        <f t="shared" si="77"/>
        <v>0</v>
      </c>
      <c r="U77" s="76">
        <f t="shared" si="78"/>
        <v>0</v>
      </c>
      <c r="V77" s="123">
        <f t="shared" si="79"/>
        <v>0</v>
      </c>
      <c r="W77" s="191"/>
      <c r="X77" s="170"/>
      <c r="Y77" s="74">
        <f t="shared" si="98"/>
        <v>0</v>
      </c>
      <c r="Z77" s="188"/>
      <c r="AA77" s="130">
        <f t="shared" si="80"/>
        <v>0</v>
      </c>
      <c r="AB77" s="74">
        <f t="shared" si="81"/>
        <v>0</v>
      </c>
      <c r="AC77" s="356"/>
      <c r="AD77" s="130" cm="1">
        <f t="array" ref="AD77">IFERROR(ROUND((_xlfn.IFS(offer_sale_type="поставка",AB77,offer_sale_type="транзит",S77)*(1+AC77))/E77,2),0)</f>
        <v>0</v>
      </c>
      <c r="AE77" s="74">
        <f t="shared" si="82"/>
        <v>0</v>
      </c>
      <c r="AF77" s="123" cm="1">
        <f t="array" ref="AF77">IFERROR(ROUND(_xlfn.IFS(offer_sale_type="поставка",AB77,offer_sale_type="транзит",S77)*AC77,2),0)</f>
        <v>0</v>
      </c>
      <c r="AG77" s="130">
        <f t="shared" si="62"/>
        <v>0</v>
      </c>
      <c r="AH77" s="74">
        <f t="shared" si="63"/>
        <v>0</v>
      </c>
      <c r="AI77" s="123">
        <f t="shared" si="64"/>
        <v>0</v>
      </c>
      <c r="AJ77" s="118">
        <f t="shared" si="83"/>
        <v>0</v>
      </c>
      <c r="AK77" s="74">
        <f t="shared" si="84"/>
        <v>0</v>
      </c>
      <c r="AL77" s="174">
        <f t="shared" si="85"/>
        <v>0</v>
      </c>
      <c r="AM77" s="175">
        <f t="shared" si="65"/>
        <v>0</v>
      </c>
      <c r="AN77" s="130">
        <f t="shared" si="86"/>
        <v>0</v>
      </c>
      <c r="AO77" s="74">
        <f t="shared" si="66"/>
        <v>0</v>
      </c>
      <c r="AP77" s="123">
        <f t="shared" si="87"/>
        <v>0</v>
      </c>
      <c r="AQ77" s="118">
        <f t="shared" si="88"/>
        <v>0</v>
      </c>
      <c r="AR77" s="82" t="str">
        <f t="shared" si="89"/>
        <v>https://www.alta.ru/tnved/code//</v>
      </c>
      <c r="AS77" s="157"/>
      <c r="AT77" s="162"/>
      <c r="AU77" s="74">
        <f t="shared" si="90"/>
        <v>0</v>
      </c>
      <c r="AV77" s="157"/>
      <c r="AW77" s="75">
        <f>_xlfn.IFNA(VLOOKUP(L77,list_vat[],3,FALSE),0)</f>
        <v>0</v>
      </c>
      <c r="AX77" s="74">
        <f t="shared" si="91"/>
        <v>0</v>
      </c>
      <c r="AY77" s="74">
        <f t="shared" si="92"/>
        <v>0</v>
      </c>
      <c r="AZ77" s="130">
        <f t="shared" si="93"/>
        <v>0</v>
      </c>
      <c r="BA77" s="74">
        <f t="shared" si="72"/>
        <v>0</v>
      </c>
      <c r="BB77" s="193">
        <f t="shared" si="94"/>
        <v>0</v>
      </c>
      <c r="BC77" s="102">
        <f t="shared" si="95"/>
        <v>0</v>
      </c>
      <c r="BD77" s="102">
        <f t="shared" si="96"/>
        <v>0</v>
      </c>
      <c r="BE77" s="413" t="s">
        <v>69</v>
      </c>
    </row>
    <row r="78" spans="1:57" s="65" customFormat="1" ht="12" customHeight="1" x14ac:dyDescent="0.2">
      <c r="A78" s="43">
        <v>63</v>
      </c>
      <c r="B78" s="166"/>
      <c r="C78" s="166"/>
      <c r="D78" s="166"/>
      <c r="E78" s="162"/>
      <c r="F78" s="166"/>
      <c r="G78" s="162"/>
      <c r="H78" s="162"/>
      <c r="I78" s="189">
        <f t="shared" si="74"/>
        <v>0</v>
      </c>
      <c r="J78" s="195"/>
      <c r="K78" s="162"/>
      <c r="L78" s="168"/>
      <c r="M78" s="75">
        <f>_xlfn.XLOOKUP(L78,list_vat[Страна],list_vat[Ставка НДС %],0,0)</f>
        <v>0</v>
      </c>
      <c r="N78" s="162">
        <f t="shared" si="57"/>
        <v>0</v>
      </c>
      <c r="O78" s="169"/>
      <c r="P78" s="74">
        <f t="shared" si="97"/>
        <v>0</v>
      </c>
      <c r="Q78" s="162"/>
      <c r="R78" s="162" t="str">
        <f t="shared" si="75"/>
        <v>введи курс</v>
      </c>
      <c r="S78" s="196">
        <f t="shared" si="76"/>
        <v>0</v>
      </c>
      <c r="T78" s="192">
        <f t="shared" si="77"/>
        <v>0</v>
      </c>
      <c r="U78" s="76">
        <f t="shared" si="78"/>
        <v>0</v>
      </c>
      <c r="V78" s="123">
        <f t="shared" si="79"/>
        <v>0</v>
      </c>
      <c r="W78" s="191"/>
      <c r="X78" s="170"/>
      <c r="Y78" s="74">
        <f t="shared" si="98"/>
        <v>0</v>
      </c>
      <c r="Z78" s="188"/>
      <c r="AA78" s="130">
        <f t="shared" si="80"/>
        <v>0</v>
      </c>
      <c r="AB78" s="74">
        <f t="shared" si="81"/>
        <v>0</v>
      </c>
      <c r="AC78" s="356"/>
      <c r="AD78" s="130" cm="1">
        <f t="array" ref="AD78">IFERROR(ROUND((_xlfn.IFS(offer_sale_type="поставка",AB78,offer_sale_type="транзит",S78)*(1+AC78))/E78,2),0)</f>
        <v>0</v>
      </c>
      <c r="AE78" s="74">
        <f t="shared" si="82"/>
        <v>0</v>
      </c>
      <c r="AF78" s="123" cm="1">
        <f t="array" ref="AF78">IFERROR(ROUND(_xlfn.IFS(offer_sale_type="поставка",AB78,offer_sale_type="транзит",S78)*AC78,2),0)</f>
        <v>0</v>
      </c>
      <c r="AG78" s="130">
        <f t="shared" si="62"/>
        <v>0</v>
      </c>
      <c r="AH78" s="74">
        <f t="shared" si="63"/>
        <v>0</v>
      </c>
      <c r="AI78" s="123">
        <f t="shared" si="64"/>
        <v>0</v>
      </c>
      <c r="AJ78" s="118">
        <f t="shared" si="83"/>
        <v>0</v>
      </c>
      <c r="AK78" s="74">
        <f t="shared" si="84"/>
        <v>0</v>
      </c>
      <c r="AL78" s="174">
        <f t="shared" si="85"/>
        <v>0</v>
      </c>
      <c r="AM78" s="175">
        <f t="shared" si="65"/>
        <v>0</v>
      </c>
      <c r="AN78" s="130">
        <f t="shared" si="86"/>
        <v>0</v>
      </c>
      <c r="AO78" s="74">
        <f t="shared" si="66"/>
        <v>0</v>
      </c>
      <c r="AP78" s="123">
        <f t="shared" si="87"/>
        <v>0</v>
      </c>
      <c r="AQ78" s="118">
        <f t="shared" si="88"/>
        <v>0</v>
      </c>
      <c r="AR78" s="82" t="str">
        <f t="shared" si="89"/>
        <v>https://www.alta.ru/tnved/code//</v>
      </c>
      <c r="AS78" s="157"/>
      <c r="AT78" s="162"/>
      <c r="AU78" s="74">
        <f t="shared" si="90"/>
        <v>0</v>
      </c>
      <c r="AV78" s="157"/>
      <c r="AW78" s="75">
        <f>_xlfn.IFNA(VLOOKUP(L78,list_vat[],3,FALSE),0)</f>
        <v>0</v>
      </c>
      <c r="AX78" s="74">
        <f t="shared" si="91"/>
        <v>0</v>
      </c>
      <c r="AY78" s="74">
        <f t="shared" si="92"/>
        <v>0</v>
      </c>
      <c r="AZ78" s="130">
        <f t="shared" si="93"/>
        <v>0</v>
      </c>
      <c r="BA78" s="74">
        <f t="shared" si="72"/>
        <v>0</v>
      </c>
      <c r="BB78" s="193">
        <f t="shared" si="94"/>
        <v>0</v>
      </c>
      <c r="BC78" s="102">
        <f t="shared" si="95"/>
        <v>0</v>
      </c>
      <c r="BD78" s="102">
        <f t="shared" si="96"/>
        <v>0</v>
      </c>
      <c r="BE78" s="413" t="s">
        <v>69</v>
      </c>
    </row>
    <row r="79" spans="1:57" s="65" customFormat="1" ht="12" customHeight="1" x14ac:dyDescent="0.2">
      <c r="A79" s="43">
        <v>64</v>
      </c>
      <c r="B79" s="166"/>
      <c r="C79" s="166"/>
      <c r="D79" s="166"/>
      <c r="E79" s="162"/>
      <c r="F79" s="166"/>
      <c r="G79" s="162"/>
      <c r="H79" s="162"/>
      <c r="I79" s="189">
        <f t="shared" si="74"/>
        <v>0</v>
      </c>
      <c r="J79" s="195"/>
      <c r="K79" s="162"/>
      <c r="L79" s="168"/>
      <c r="M79" s="75">
        <f>_xlfn.XLOOKUP(L79,list_vat[Страна],list_vat[Ставка НДС %],0,0)</f>
        <v>0</v>
      </c>
      <c r="N79" s="162">
        <f t="shared" si="57"/>
        <v>0</v>
      </c>
      <c r="O79" s="169"/>
      <c r="P79" s="74">
        <f t="shared" si="97"/>
        <v>0</v>
      </c>
      <c r="Q79" s="162"/>
      <c r="R79" s="162" t="str">
        <f t="shared" si="75"/>
        <v>введи курс</v>
      </c>
      <c r="S79" s="196">
        <f t="shared" si="76"/>
        <v>0</v>
      </c>
      <c r="T79" s="192">
        <f t="shared" si="77"/>
        <v>0</v>
      </c>
      <c r="U79" s="76">
        <f t="shared" si="78"/>
        <v>0</v>
      </c>
      <c r="V79" s="123">
        <f t="shared" si="79"/>
        <v>0</v>
      </c>
      <c r="W79" s="191"/>
      <c r="X79" s="170"/>
      <c r="Y79" s="74">
        <f t="shared" si="98"/>
        <v>0</v>
      </c>
      <c r="Z79" s="188"/>
      <c r="AA79" s="130">
        <f t="shared" si="80"/>
        <v>0</v>
      </c>
      <c r="AB79" s="74">
        <f t="shared" si="81"/>
        <v>0</v>
      </c>
      <c r="AC79" s="356"/>
      <c r="AD79" s="130" cm="1">
        <f t="array" ref="AD79">IFERROR(ROUND((_xlfn.IFS(offer_sale_type="поставка",AB79,offer_sale_type="транзит",S79)*(1+AC79))/E79,2),0)</f>
        <v>0</v>
      </c>
      <c r="AE79" s="74">
        <f t="shared" si="82"/>
        <v>0</v>
      </c>
      <c r="AF79" s="123" cm="1">
        <f t="array" ref="AF79">IFERROR(ROUND(_xlfn.IFS(offer_sale_type="поставка",AB79,offer_sale_type="транзит",S79)*AC79,2),0)</f>
        <v>0</v>
      </c>
      <c r="AG79" s="130">
        <f t="shared" si="62"/>
        <v>0</v>
      </c>
      <c r="AH79" s="74">
        <f t="shared" si="63"/>
        <v>0</v>
      </c>
      <c r="AI79" s="123">
        <f t="shared" si="64"/>
        <v>0</v>
      </c>
      <c r="AJ79" s="118">
        <f t="shared" si="83"/>
        <v>0</v>
      </c>
      <c r="AK79" s="74">
        <f t="shared" si="84"/>
        <v>0</v>
      </c>
      <c r="AL79" s="174">
        <f t="shared" si="85"/>
        <v>0</v>
      </c>
      <c r="AM79" s="175">
        <f t="shared" si="65"/>
        <v>0</v>
      </c>
      <c r="AN79" s="130">
        <f t="shared" si="86"/>
        <v>0</v>
      </c>
      <c r="AO79" s="74">
        <f t="shared" si="66"/>
        <v>0</v>
      </c>
      <c r="AP79" s="123">
        <f t="shared" si="87"/>
        <v>0</v>
      </c>
      <c r="AQ79" s="118">
        <f t="shared" si="88"/>
        <v>0</v>
      </c>
      <c r="AR79" s="82" t="str">
        <f t="shared" si="89"/>
        <v>https://www.alta.ru/tnved/code//</v>
      </c>
      <c r="AS79" s="157"/>
      <c r="AT79" s="162"/>
      <c r="AU79" s="74">
        <f t="shared" si="90"/>
        <v>0</v>
      </c>
      <c r="AV79" s="157"/>
      <c r="AW79" s="75">
        <f>_xlfn.IFNA(VLOOKUP(L79,list_vat[],3,FALSE),0)</f>
        <v>0</v>
      </c>
      <c r="AX79" s="74">
        <f t="shared" si="91"/>
        <v>0</v>
      </c>
      <c r="AY79" s="74">
        <f t="shared" si="92"/>
        <v>0</v>
      </c>
      <c r="AZ79" s="130">
        <f t="shared" si="93"/>
        <v>0</v>
      </c>
      <c r="BA79" s="74">
        <f t="shared" si="72"/>
        <v>0</v>
      </c>
      <c r="BB79" s="193">
        <f t="shared" si="94"/>
        <v>0</v>
      </c>
      <c r="BC79" s="102">
        <f t="shared" si="95"/>
        <v>0</v>
      </c>
      <c r="BD79" s="102">
        <f t="shared" si="96"/>
        <v>0</v>
      </c>
      <c r="BE79" s="413" t="s">
        <v>69</v>
      </c>
    </row>
    <row r="80" spans="1:57" s="65" customFormat="1" ht="12" customHeight="1" x14ac:dyDescent="0.2">
      <c r="A80" s="43">
        <v>65</v>
      </c>
      <c r="B80" s="166"/>
      <c r="C80" s="166"/>
      <c r="D80" s="166"/>
      <c r="E80" s="162"/>
      <c r="F80" s="166"/>
      <c r="G80" s="162"/>
      <c r="H80" s="162"/>
      <c r="I80" s="189">
        <f t="shared" si="74"/>
        <v>0</v>
      </c>
      <c r="J80" s="195"/>
      <c r="K80" s="162"/>
      <c r="L80" s="168"/>
      <c r="M80" s="75">
        <f>_xlfn.XLOOKUP(L80,list_vat[Страна],list_vat[Ставка НДС %],0,0)</f>
        <v>0</v>
      </c>
      <c r="N80" s="162">
        <f t="shared" si="57"/>
        <v>0</v>
      </c>
      <c r="O80" s="169"/>
      <c r="P80" s="74">
        <f t="shared" si="97"/>
        <v>0</v>
      </c>
      <c r="Q80" s="162"/>
      <c r="R80" s="162" t="str">
        <f t="shared" si="75"/>
        <v>введи курс</v>
      </c>
      <c r="S80" s="196">
        <f t="shared" si="76"/>
        <v>0</v>
      </c>
      <c r="T80" s="192">
        <f t="shared" si="77"/>
        <v>0</v>
      </c>
      <c r="U80" s="76">
        <f t="shared" si="78"/>
        <v>0</v>
      </c>
      <c r="V80" s="123">
        <f t="shared" si="79"/>
        <v>0</v>
      </c>
      <c r="W80" s="191"/>
      <c r="X80" s="170"/>
      <c r="Y80" s="74">
        <f t="shared" ref="Y80:Y111" si="99">ROUND(IF(offer_incoterms="DDP",X80*(AY80+T80),0),2)</f>
        <v>0</v>
      </c>
      <c r="Z80" s="188"/>
      <c r="AA80" s="130">
        <f t="shared" si="80"/>
        <v>0</v>
      </c>
      <c r="AB80" s="74">
        <f t="shared" si="81"/>
        <v>0</v>
      </c>
      <c r="AC80" s="356"/>
      <c r="AD80" s="130" cm="1">
        <f t="array" ref="AD80">IFERROR(ROUND((_xlfn.IFS(offer_sale_type="поставка",AB80,offer_sale_type="транзит",S80)*(1+AC80))/E80,2),0)</f>
        <v>0</v>
      </c>
      <c r="AE80" s="74">
        <f t="shared" si="82"/>
        <v>0</v>
      </c>
      <c r="AF80" s="123" cm="1">
        <f t="array" ref="AF80">IFERROR(ROUND(_xlfn.IFS(offer_sale_type="поставка",AB80,offer_sale_type="транзит",S80)*AC80,2),0)</f>
        <v>0</v>
      </c>
      <c r="AG80" s="130">
        <f t="shared" si="62"/>
        <v>0</v>
      </c>
      <c r="AH80" s="74">
        <f t="shared" ref="AH80:AH143" si="100">SUM(AE80,AG80,AI80)*rate_forex_risk</f>
        <v>0</v>
      </c>
      <c r="AI80" s="123">
        <f t="shared" ref="AI80:AI143" si="101">IF(OR(seller_region="TR",offer_sale_type="экспорт"),0,rate_fin_comm)*SUM(AZ80,AZ80*AW80,T80)</f>
        <v>0</v>
      </c>
      <c r="AJ80" s="118">
        <f t="shared" si="83"/>
        <v>0</v>
      </c>
      <c r="AK80" s="74">
        <f t="shared" si="84"/>
        <v>0</v>
      </c>
      <c r="AL80" s="174">
        <f t="shared" si="85"/>
        <v>0</v>
      </c>
      <c r="AM80" s="175">
        <f t="shared" ref="AM80:AM143" si="102">ROUND(AJ80*(1+IF(offer_incoterms="DDP",rate_vatRu,0)),2)</f>
        <v>0</v>
      </c>
      <c r="AN80" s="130">
        <f t="shared" si="86"/>
        <v>0</v>
      </c>
      <c r="AO80" s="74">
        <f t="shared" ref="AO80:AO143" si="103">SUM(AY80,Y80:Z80,T80)*IF(AND(offer_incoterms="DDP",offer_sale_type&lt;&gt;"экспорт"),rate_vatRu,0)</f>
        <v>0</v>
      </c>
      <c r="AP80" s="123">
        <f t="shared" si="87"/>
        <v>0</v>
      </c>
      <c r="AQ80" s="118">
        <f t="shared" ref="AQ80:AQ143" si="104">IF(offer_sale_type="транзит",SUM(AF80:AI80,BA80,BB80),0)</f>
        <v>0</v>
      </c>
      <c r="AR80" s="82" t="str">
        <f t="shared" si="89"/>
        <v>https://www.alta.ru/tnved/code//</v>
      </c>
      <c r="AS80" s="157"/>
      <c r="AT80" s="162"/>
      <c r="AU80" s="74">
        <f t="shared" ref="AU80:AU143" si="105">IF(ISBLANK(AT80),0,AJ80-AT80)</f>
        <v>0</v>
      </c>
      <c r="AV80" s="157"/>
      <c r="AW80" s="75">
        <f>_xlfn.IFNA(VLOOKUP(L80,list_vat[],3,FALSE),0)</f>
        <v>0</v>
      </c>
      <c r="AX80" s="74">
        <f t="shared" si="91"/>
        <v>0</v>
      </c>
      <c r="AY80" s="74">
        <f t="shared" si="92"/>
        <v>0</v>
      </c>
      <c r="AZ80" s="130">
        <f t="shared" si="93"/>
        <v>0</v>
      </c>
      <c r="BA80" s="74">
        <f t="shared" ref="BA80:BA143" si="106">cost_fin_total*$BD80</f>
        <v>0</v>
      </c>
      <c r="BB80" s="193">
        <f t="shared" si="94"/>
        <v>0</v>
      </c>
      <c r="BC80" s="102">
        <f t="shared" si="95"/>
        <v>0</v>
      </c>
      <c r="BD80" s="102">
        <f t="shared" si="96"/>
        <v>0</v>
      </c>
      <c r="BE80" s="413" t="s">
        <v>69</v>
      </c>
    </row>
    <row r="81" spans="1:57" s="65" customFormat="1" ht="12" customHeight="1" x14ac:dyDescent="0.2">
      <c r="A81" s="43">
        <v>66</v>
      </c>
      <c r="B81" s="166"/>
      <c r="C81" s="166"/>
      <c r="D81" s="166"/>
      <c r="E81" s="162"/>
      <c r="F81" s="166"/>
      <c r="G81" s="162"/>
      <c r="H81" s="162"/>
      <c r="I81" s="189">
        <f t="shared" ref="I81:I144" si="107">E81*G81</f>
        <v>0</v>
      </c>
      <c r="J81" s="195"/>
      <c r="K81" s="162"/>
      <c r="L81" s="168"/>
      <c r="M81" s="75">
        <f>_xlfn.XLOOKUP(L81,list_vat[Страна],list_vat[Ставка НДС %],0,0)</f>
        <v>0</v>
      </c>
      <c r="N81" s="162">
        <f t="shared" ref="N81:N144" si="108">IFERROR(IF(L81="Китай",K81,K81/(1+M81)),0)</f>
        <v>0</v>
      </c>
      <c r="O81" s="169"/>
      <c r="P81" s="74">
        <f t="shared" si="97"/>
        <v>0</v>
      </c>
      <c r="Q81" s="162"/>
      <c r="R81" s="162" t="str">
        <f t="shared" ref="R81:R144" si="109">IF(ISBLANK(Q81),"введи курс",P81/Q81)</f>
        <v>введи курс</v>
      </c>
      <c r="S81" s="196">
        <f t="shared" ref="S81:S144" si="110">IF(AND(ISNUMBER(E81),ISNUMBER(Q81)),E81*R81,0)</f>
        <v>0</v>
      </c>
      <c r="T81" s="192">
        <f t="shared" ref="T81:T144" si="111">$BC81*V$11</f>
        <v>0</v>
      </c>
      <c r="U81" s="76">
        <f t="shared" ref="U81:U144" si="112">$BC81*W$11</f>
        <v>0</v>
      </c>
      <c r="V81" s="123">
        <f t="shared" ref="V81:V144" si="113">+SUM(T81:U81)</f>
        <v>0</v>
      </c>
      <c r="W81" s="191"/>
      <c r="X81" s="170"/>
      <c r="Y81" s="74">
        <f t="shared" si="99"/>
        <v>0</v>
      </c>
      <c r="Z81" s="188"/>
      <c r="AA81" s="130">
        <f t="shared" ref="AA81:AA144" si="114">IFERROR(AB81/E81,0)</f>
        <v>0</v>
      </c>
      <c r="AB81" s="74">
        <f t="shared" ref="AB81:AB144" si="115">ROUND(SUM(S81,V81,Y81:Z81,BA81:BB81),2)</f>
        <v>0</v>
      </c>
      <c r="AC81" s="356"/>
      <c r="AD81" s="130" cm="1">
        <f t="array" ref="AD81">IFERROR(ROUND((_xlfn.IFS(offer_sale_type="поставка",AB81,offer_sale_type="транзит",S81)*(1+AC81))/E81,2),0)</f>
        <v>0</v>
      </c>
      <c r="AE81" s="74">
        <f t="shared" ref="AE81:AE144" si="116">AD81*E81</f>
        <v>0</v>
      </c>
      <c r="AF81" s="123" cm="1">
        <f t="array" ref="AF81">IFERROR(ROUND(_xlfn.IFS(offer_sale_type="поставка",AB81,offer_sale_type="транзит",S81)*AC81,2),0)</f>
        <v>0</v>
      </c>
      <c r="AG81" s="130">
        <f t="shared" si="62"/>
        <v>0</v>
      </c>
      <c r="AH81" s="74">
        <f t="shared" si="100"/>
        <v>0</v>
      </c>
      <c r="AI81" s="123">
        <f t="shared" si="101"/>
        <v>0</v>
      </c>
      <c r="AJ81" s="118">
        <f t="shared" ref="AJ81:AJ144" si="117">IFERROR(ROUND(SUM(AB81,AF81:AI81)/E81,2),0)</f>
        <v>0</v>
      </c>
      <c r="AK81" s="74">
        <f t="shared" ref="AK81:AK144" si="118">AJ81*E81</f>
        <v>0</v>
      </c>
      <c r="AL81" s="174">
        <f t="shared" ref="AL81:AL144" si="119">ROUND(IFERROR(AM81*E81,0),2)</f>
        <v>0</v>
      </c>
      <c r="AM81" s="175">
        <f t="shared" si="102"/>
        <v>0</v>
      </c>
      <c r="AN81" s="130">
        <f t="shared" ref="AN81:AN144" si="120">AL81-AK81</f>
        <v>0</v>
      </c>
      <c r="AO81" s="74">
        <f t="shared" si="103"/>
        <v>0</v>
      </c>
      <c r="AP81" s="123">
        <f t="shared" ref="AP81:AP144" si="121">AN81-AO81</f>
        <v>0</v>
      </c>
      <c r="AQ81" s="118">
        <f t="shared" si="104"/>
        <v>0</v>
      </c>
      <c r="AR81" s="82" t="str">
        <f t="shared" ref="AR81:AR144" si="122">HYPERLINK("https://www.alta.ru/tnved/code/")&amp;W81&amp;"/"</f>
        <v>https://www.alta.ru/tnved/code//</v>
      </c>
      <c r="AS81" s="157"/>
      <c r="AT81" s="162"/>
      <c r="AU81" s="74">
        <f t="shared" si="105"/>
        <v>0</v>
      </c>
      <c r="AV81" s="157"/>
      <c r="AW81" s="75">
        <f>_xlfn.IFNA(VLOOKUP(L81,list_vat[],3,FALSE),0)</f>
        <v>0</v>
      </c>
      <c r="AX81" s="74">
        <f t="shared" ref="AX81:AX144" si="123">IFERROR(ROUND(S81*(1+AW81)/E81,2),0)</f>
        <v>0</v>
      </c>
      <c r="AY81" s="74">
        <f t="shared" ref="AY81:AY144" si="124">E81*AX81</f>
        <v>0</v>
      </c>
      <c r="AZ81" s="130">
        <f t="shared" ref="AZ81:AZ144" si="125">S81*(1+M81)</f>
        <v>0</v>
      </c>
      <c r="BA81" s="74">
        <f t="shared" si="106"/>
        <v>0</v>
      </c>
      <c r="BB81" s="193">
        <f t="shared" ref="BB81:BB144" si="126">credit_sales_interest*BD81</f>
        <v>0</v>
      </c>
      <c r="BC81" s="102">
        <f t="shared" ref="BC81:BC144" si="127">IFERROR(IF($I$13&gt;0,$I81/$I$13,$S81/$S$13),0)</f>
        <v>0</v>
      </c>
      <c r="BD81" s="102">
        <f t="shared" ref="BD81:BD144" si="128">IFERROR($S81/$S$13,0)</f>
        <v>0</v>
      </c>
      <c r="BE81" s="413" t="s">
        <v>69</v>
      </c>
    </row>
    <row r="82" spans="1:57" s="65" customFormat="1" ht="12" customHeight="1" x14ac:dyDescent="0.2">
      <c r="A82" s="43">
        <v>67</v>
      </c>
      <c r="B82" s="166"/>
      <c r="C82" s="166"/>
      <c r="D82" s="166"/>
      <c r="E82" s="162"/>
      <c r="F82" s="166"/>
      <c r="G82" s="162"/>
      <c r="H82" s="162"/>
      <c r="I82" s="189">
        <f t="shared" si="107"/>
        <v>0</v>
      </c>
      <c r="J82" s="195"/>
      <c r="K82" s="162"/>
      <c r="L82" s="168"/>
      <c r="M82" s="75">
        <f>_xlfn.XLOOKUP(L82,list_vat[Страна],list_vat[Ставка НДС %],0,0)</f>
        <v>0</v>
      </c>
      <c r="N82" s="162">
        <f t="shared" si="108"/>
        <v>0</v>
      </c>
      <c r="O82" s="169"/>
      <c r="P82" s="74">
        <f t="shared" ref="P82:P145" si="129">N82*(1-O82)</f>
        <v>0</v>
      </c>
      <c r="Q82" s="162"/>
      <c r="R82" s="162" t="str">
        <f t="shared" si="109"/>
        <v>введи курс</v>
      </c>
      <c r="S82" s="196">
        <f t="shared" si="110"/>
        <v>0</v>
      </c>
      <c r="T82" s="192">
        <f t="shared" si="111"/>
        <v>0</v>
      </c>
      <c r="U82" s="76">
        <f t="shared" si="112"/>
        <v>0</v>
      </c>
      <c r="V82" s="123">
        <f t="shared" si="113"/>
        <v>0</v>
      </c>
      <c r="W82" s="191"/>
      <c r="X82" s="170"/>
      <c r="Y82" s="74">
        <f t="shared" si="99"/>
        <v>0</v>
      </c>
      <c r="Z82" s="188"/>
      <c r="AA82" s="130">
        <f t="shared" si="114"/>
        <v>0</v>
      </c>
      <c r="AB82" s="74">
        <f t="shared" si="115"/>
        <v>0</v>
      </c>
      <c r="AC82" s="356"/>
      <c r="AD82" s="130" cm="1">
        <f t="array" ref="AD82">IFERROR(ROUND((_xlfn.IFS(offer_sale_type="поставка",AB82,offer_sale_type="транзит",S82)*(1+AC82))/E82,2),0)</f>
        <v>0</v>
      </c>
      <c r="AE82" s="74">
        <f t="shared" si="116"/>
        <v>0</v>
      </c>
      <c r="AF82" s="123" cm="1">
        <f t="array" ref="AF82">IFERROR(ROUND(_xlfn.IFS(offer_sale_type="поставка",AB82,offer_sale_type="транзит",S82)*AC82,2),0)</f>
        <v>0</v>
      </c>
      <c r="AG82" s="130">
        <f t="shared" si="62"/>
        <v>0</v>
      </c>
      <c r="AH82" s="74">
        <f t="shared" si="100"/>
        <v>0</v>
      </c>
      <c r="AI82" s="123">
        <f t="shared" si="101"/>
        <v>0</v>
      </c>
      <c r="AJ82" s="118">
        <f t="shared" si="117"/>
        <v>0</v>
      </c>
      <c r="AK82" s="74">
        <f t="shared" si="118"/>
        <v>0</v>
      </c>
      <c r="AL82" s="174">
        <f t="shared" si="119"/>
        <v>0</v>
      </c>
      <c r="AM82" s="175">
        <f t="shared" si="102"/>
        <v>0</v>
      </c>
      <c r="AN82" s="130">
        <f t="shared" si="120"/>
        <v>0</v>
      </c>
      <c r="AO82" s="74">
        <f t="shared" si="103"/>
        <v>0</v>
      </c>
      <c r="AP82" s="123">
        <f t="shared" si="121"/>
        <v>0</v>
      </c>
      <c r="AQ82" s="118">
        <f t="shared" si="104"/>
        <v>0</v>
      </c>
      <c r="AR82" s="82" t="str">
        <f t="shared" si="122"/>
        <v>https://www.alta.ru/tnved/code//</v>
      </c>
      <c r="AS82" s="157"/>
      <c r="AT82" s="162"/>
      <c r="AU82" s="74">
        <f t="shared" si="105"/>
        <v>0</v>
      </c>
      <c r="AV82" s="157"/>
      <c r="AW82" s="75">
        <f>_xlfn.IFNA(VLOOKUP(L82,list_vat[],3,FALSE),0)</f>
        <v>0</v>
      </c>
      <c r="AX82" s="74">
        <f t="shared" si="123"/>
        <v>0</v>
      </c>
      <c r="AY82" s="74">
        <f t="shared" si="124"/>
        <v>0</v>
      </c>
      <c r="AZ82" s="130">
        <f t="shared" si="125"/>
        <v>0</v>
      </c>
      <c r="BA82" s="74">
        <f t="shared" si="106"/>
        <v>0</v>
      </c>
      <c r="BB82" s="193">
        <f t="shared" si="126"/>
        <v>0</v>
      </c>
      <c r="BC82" s="102">
        <f t="shared" si="127"/>
        <v>0</v>
      </c>
      <c r="BD82" s="102">
        <f t="shared" si="128"/>
        <v>0</v>
      </c>
      <c r="BE82" s="413" t="s">
        <v>69</v>
      </c>
    </row>
    <row r="83" spans="1:57" s="65" customFormat="1" ht="12" customHeight="1" x14ac:dyDescent="0.2">
      <c r="A83" s="43">
        <v>68</v>
      </c>
      <c r="B83" s="166"/>
      <c r="C83" s="166"/>
      <c r="D83" s="166"/>
      <c r="E83" s="162"/>
      <c r="F83" s="166"/>
      <c r="G83" s="162"/>
      <c r="H83" s="162"/>
      <c r="I83" s="189">
        <f t="shared" si="107"/>
        <v>0</v>
      </c>
      <c r="J83" s="195"/>
      <c r="K83" s="162"/>
      <c r="L83" s="168"/>
      <c r="M83" s="75">
        <f>_xlfn.XLOOKUP(L83,list_vat[Страна],list_vat[Ставка НДС %],0,0)</f>
        <v>0</v>
      </c>
      <c r="N83" s="162">
        <f t="shared" si="108"/>
        <v>0</v>
      </c>
      <c r="O83" s="169"/>
      <c r="P83" s="74">
        <f t="shared" si="129"/>
        <v>0</v>
      </c>
      <c r="Q83" s="162"/>
      <c r="R83" s="162" t="str">
        <f t="shared" si="109"/>
        <v>введи курс</v>
      </c>
      <c r="S83" s="196">
        <f t="shared" si="110"/>
        <v>0</v>
      </c>
      <c r="T83" s="192">
        <f t="shared" si="111"/>
        <v>0</v>
      </c>
      <c r="U83" s="76">
        <f t="shared" si="112"/>
        <v>0</v>
      </c>
      <c r="V83" s="123">
        <f t="shared" si="113"/>
        <v>0</v>
      </c>
      <c r="W83" s="191"/>
      <c r="X83" s="170"/>
      <c r="Y83" s="74">
        <f t="shared" si="99"/>
        <v>0</v>
      </c>
      <c r="Z83" s="188"/>
      <c r="AA83" s="130">
        <f t="shared" si="114"/>
        <v>0</v>
      </c>
      <c r="AB83" s="74">
        <f t="shared" si="115"/>
        <v>0</v>
      </c>
      <c r="AC83" s="356"/>
      <c r="AD83" s="130" cm="1">
        <f t="array" ref="AD83">IFERROR(ROUND((_xlfn.IFS(offer_sale_type="поставка",AB83,offer_sale_type="транзит",S83)*(1+AC83))/E83,2),0)</f>
        <v>0</v>
      </c>
      <c r="AE83" s="74">
        <f t="shared" si="116"/>
        <v>0</v>
      </c>
      <c r="AF83" s="123" cm="1">
        <f t="array" ref="AF83">IFERROR(ROUND(_xlfn.IFS(offer_sale_type="поставка",AB83,offer_sale_type="транзит",S83)*AC83,2),0)</f>
        <v>0</v>
      </c>
      <c r="AG83" s="130">
        <f t="shared" si="62"/>
        <v>0</v>
      </c>
      <c r="AH83" s="74">
        <f t="shared" si="100"/>
        <v>0</v>
      </c>
      <c r="AI83" s="123">
        <f t="shared" si="101"/>
        <v>0</v>
      </c>
      <c r="AJ83" s="118">
        <f t="shared" si="117"/>
        <v>0</v>
      </c>
      <c r="AK83" s="74">
        <f t="shared" si="118"/>
        <v>0</v>
      </c>
      <c r="AL83" s="174">
        <f t="shared" si="119"/>
        <v>0</v>
      </c>
      <c r="AM83" s="175">
        <f t="shared" si="102"/>
        <v>0</v>
      </c>
      <c r="AN83" s="130">
        <f t="shared" si="120"/>
        <v>0</v>
      </c>
      <c r="AO83" s="74">
        <f t="shared" si="103"/>
        <v>0</v>
      </c>
      <c r="AP83" s="123">
        <f t="shared" si="121"/>
        <v>0</v>
      </c>
      <c r="AQ83" s="118">
        <f t="shared" si="104"/>
        <v>0</v>
      </c>
      <c r="AR83" s="82" t="str">
        <f t="shared" si="122"/>
        <v>https://www.alta.ru/tnved/code//</v>
      </c>
      <c r="AS83" s="157"/>
      <c r="AT83" s="162"/>
      <c r="AU83" s="74">
        <f t="shared" si="105"/>
        <v>0</v>
      </c>
      <c r="AV83" s="157"/>
      <c r="AW83" s="75">
        <f>_xlfn.IFNA(VLOOKUP(L83,list_vat[],3,FALSE),0)</f>
        <v>0</v>
      </c>
      <c r="AX83" s="74">
        <f t="shared" si="123"/>
        <v>0</v>
      </c>
      <c r="AY83" s="74">
        <f t="shared" si="124"/>
        <v>0</v>
      </c>
      <c r="AZ83" s="130">
        <f t="shared" si="125"/>
        <v>0</v>
      </c>
      <c r="BA83" s="74">
        <f t="shared" si="106"/>
        <v>0</v>
      </c>
      <c r="BB83" s="193">
        <f t="shared" si="126"/>
        <v>0</v>
      </c>
      <c r="BC83" s="102">
        <f t="shared" si="127"/>
        <v>0</v>
      </c>
      <c r="BD83" s="102">
        <f t="shared" si="128"/>
        <v>0</v>
      </c>
      <c r="BE83" s="413" t="s">
        <v>69</v>
      </c>
    </row>
    <row r="84" spans="1:57" s="65" customFormat="1" ht="12" customHeight="1" x14ac:dyDescent="0.2">
      <c r="A84" s="43">
        <v>69</v>
      </c>
      <c r="B84" s="166"/>
      <c r="C84" s="166"/>
      <c r="D84" s="166"/>
      <c r="E84" s="162"/>
      <c r="F84" s="166"/>
      <c r="G84" s="162"/>
      <c r="H84" s="162"/>
      <c r="I84" s="189">
        <f t="shared" si="107"/>
        <v>0</v>
      </c>
      <c r="J84" s="195"/>
      <c r="K84" s="162"/>
      <c r="L84" s="168"/>
      <c r="M84" s="75">
        <f>_xlfn.XLOOKUP(L84,list_vat[Страна],list_vat[Ставка НДС %],0,0)</f>
        <v>0</v>
      </c>
      <c r="N84" s="162">
        <f t="shared" si="108"/>
        <v>0</v>
      </c>
      <c r="O84" s="169"/>
      <c r="P84" s="74">
        <f t="shared" si="129"/>
        <v>0</v>
      </c>
      <c r="Q84" s="162"/>
      <c r="R84" s="162" t="str">
        <f t="shared" si="109"/>
        <v>введи курс</v>
      </c>
      <c r="S84" s="196">
        <f t="shared" si="110"/>
        <v>0</v>
      </c>
      <c r="T84" s="192">
        <f t="shared" si="111"/>
        <v>0</v>
      </c>
      <c r="U84" s="76">
        <f t="shared" si="112"/>
        <v>0</v>
      </c>
      <c r="V84" s="123">
        <f t="shared" si="113"/>
        <v>0</v>
      </c>
      <c r="W84" s="191"/>
      <c r="X84" s="170"/>
      <c r="Y84" s="74">
        <f t="shared" si="99"/>
        <v>0</v>
      </c>
      <c r="Z84" s="188"/>
      <c r="AA84" s="130">
        <f t="shared" si="114"/>
        <v>0</v>
      </c>
      <c r="AB84" s="74">
        <f t="shared" si="115"/>
        <v>0</v>
      </c>
      <c r="AC84" s="356"/>
      <c r="AD84" s="130" cm="1">
        <f t="array" ref="AD84">IFERROR(ROUND((_xlfn.IFS(offer_sale_type="поставка",AB84,offer_sale_type="транзит",S84)*(1+AC84))/E84,2),0)</f>
        <v>0</v>
      </c>
      <c r="AE84" s="74">
        <f t="shared" si="116"/>
        <v>0</v>
      </c>
      <c r="AF84" s="123" cm="1">
        <f t="array" ref="AF84">IFERROR(ROUND(_xlfn.IFS(offer_sale_type="поставка",AB84,offer_sale_type="транзит",S84)*AC84,2),0)</f>
        <v>0</v>
      </c>
      <c r="AG84" s="130">
        <f t="shared" si="62"/>
        <v>0</v>
      </c>
      <c r="AH84" s="74">
        <f t="shared" si="100"/>
        <v>0</v>
      </c>
      <c r="AI84" s="123">
        <f t="shared" si="101"/>
        <v>0</v>
      </c>
      <c r="AJ84" s="118">
        <f t="shared" si="117"/>
        <v>0</v>
      </c>
      <c r="AK84" s="74">
        <f t="shared" si="118"/>
        <v>0</v>
      </c>
      <c r="AL84" s="174">
        <f t="shared" si="119"/>
        <v>0</v>
      </c>
      <c r="AM84" s="175">
        <f t="shared" si="102"/>
        <v>0</v>
      </c>
      <c r="AN84" s="130">
        <f t="shared" si="120"/>
        <v>0</v>
      </c>
      <c r="AO84" s="74">
        <f t="shared" si="103"/>
        <v>0</v>
      </c>
      <c r="AP84" s="123">
        <f t="shared" si="121"/>
        <v>0</v>
      </c>
      <c r="AQ84" s="118">
        <f t="shared" si="104"/>
        <v>0</v>
      </c>
      <c r="AR84" s="82" t="str">
        <f t="shared" si="122"/>
        <v>https://www.alta.ru/tnved/code//</v>
      </c>
      <c r="AS84" s="157"/>
      <c r="AT84" s="162"/>
      <c r="AU84" s="74">
        <f t="shared" si="105"/>
        <v>0</v>
      </c>
      <c r="AV84" s="157"/>
      <c r="AW84" s="75">
        <f>_xlfn.IFNA(VLOOKUP(L84,list_vat[],3,FALSE),0)</f>
        <v>0</v>
      </c>
      <c r="AX84" s="74">
        <f t="shared" si="123"/>
        <v>0</v>
      </c>
      <c r="AY84" s="74">
        <f t="shared" si="124"/>
        <v>0</v>
      </c>
      <c r="AZ84" s="130">
        <f t="shared" si="125"/>
        <v>0</v>
      </c>
      <c r="BA84" s="74">
        <f t="shared" si="106"/>
        <v>0</v>
      </c>
      <c r="BB84" s="193">
        <f t="shared" si="126"/>
        <v>0</v>
      </c>
      <c r="BC84" s="102">
        <f t="shared" si="127"/>
        <v>0</v>
      </c>
      <c r="BD84" s="102">
        <f t="shared" si="128"/>
        <v>0</v>
      </c>
      <c r="BE84" s="413" t="s">
        <v>69</v>
      </c>
    </row>
    <row r="85" spans="1:57" s="65" customFormat="1" ht="12" customHeight="1" x14ac:dyDescent="0.2">
      <c r="A85" s="43">
        <v>70</v>
      </c>
      <c r="B85" s="166"/>
      <c r="C85" s="166"/>
      <c r="D85" s="166"/>
      <c r="E85" s="162"/>
      <c r="F85" s="166"/>
      <c r="G85" s="162"/>
      <c r="H85" s="162"/>
      <c r="I85" s="189">
        <f t="shared" si="107"/>
        <v>0</v>
      </c>
      <c r="J85" s="195"/>
      <c r="K85" s="162"/>
      <c r="L85" s="168"/>
      <c r="M85" s="75">
        <f>_xlfn.XLOOKUP(L85,list_vat[Страна],list_vat[Ставка НДС %],0,0)</f>
        <v>0</v>
      </c>
      <c r="N85" s="162">
        <f t="shared" si="108"/>
        <v>0</v>
      </c>
      <c r="O85" s="169"/>
      <c r="P85" s="74">
        <f t="shared" si="129"/>
        <v>0</v>
      </c>
      <c r="Q85" s="162"/>
      <c r="R85" s="162" t="str">
        <f t="shared" si="109"/>
        <v>введи курс</v>
      </c>
      <c r="S85" s="196">
        <f t="shared" si="110"/>
        <v>0</v>
      </c>
      <c r="T85" s="192">
        <f t="shared" si="111"/>
        <v>0</v>
      </c>
      <c r="U85" s="76">
        <f t="shared" si="112"/>
        <v>0</v>
      </c>
      <c r="V85" s="123">
        <f t="shared" si="113"/>
        <v>0</v>
      </c>
      <c r="W85" s="191"/>
      <c r="X85" s="170"/>
      <c r="Y85" s="74">
        <f t="shared" si="99"/>
        <v>0</v>
      </c>
      <c r="Z85" s="188"/>
      <c r="AA85" s="130">
        <f t="shared" si="114"/>
        <v>0</v>
      </c>
      <c r="AB85" s="74">
        <f t="shared" si="115"/>
        <v>0</v>
      </c>
      <c r="AC85" s="356"/>
      <c r="AD85" s="130" cm="1">
        <f t="array" ref="AD85">IFERROR(ROUND((_xlfn.IFS(offer_sale_type="поставка",AB85,offer_sale_type="транзит",S85)*(1+AC85))/E85,2),0)</f>
        <v>0</v>
      </c>
      <c r="AE85" s="74">
        <f t="shared" si="116"/>
        <v>0</v>
      </c>
      <c r="AF85" s="123" cm="1">
        <f t="array" ref="AF85">IFERROR(ROUND(_xlfn.IFS(offer_sale_type="поставка",AB85,offer_sale_type="транзит",S85)*AC85,2),0)</f>
        <v>0</v>
      </c>
      <c r="AG85" s="130">
        <f t="shared" si="62"/>
        <v>0</v>
      </c>
      <c r="AH85" s="74">
        <f t="shared" si="100"/>
        <v>0</v>
      </c>
      <c r="AI85" s="123">
        <f t="shared" si="101"/>
        <v>0</v>
      </c>
      <c r="AJ85" s="118">
        <f t="shared" si="117"/>
        <v>0</v>
      </c>
      <c r="AK85" s="74">
        <f t="shared" si="118"/>
        <v>0</v>
      </c>
      <c r="AL85" s="174">
        <f t="shared" si="119"/>
        <v>0</v>
      </c>
      <c r="AM85" s="175">
        <f t="shared" si="102"/>
        <v>0</v>
      </c>
      <c r="AN85" s="130">
        <f t="shared" si="120"/>
        <v>0</v>
      </c>
      <c r="AO85" s="74">
        <f t="shared" si="103"/>
        <v>0</v>
      </c>
      <c r="AP85" s="123">
        <f t="shared" si="121"/>
        <v>0</v>
      </c>
      <c r="AQ85" s="118">
        <f t="shared" si="104"/>
        <v>0</v>
      </c>
      <c r="AR85" s="82" t="str">
        <f t="shared" si="122"/>
        <v>https://www.alta.ru/tnved/code//</v>
      </c>
      <c r="AS85" s="157"/>
      <c r="AT85" s="162"/>
      <c r="AU85" s="74">
        <f t="shared" si="105"/>
        <v>0</v>
      </c>
      <c r="AV85" s="157"/>
      <c r="AW85" s="75">
        <f>_xlfn.IFNA(VLOOKUP(L85,list_vat[],3,FALSE),0)</f>
        <v>0</v>
      </c>
      <c r="AX85" s="74">
        <f t="shared" si="123"/>
        <v>0</v>
      </c>
      <c r="AY85" s="74">
        <f t="shared" si="124"/>
        <v>0</v>
      </c>
      <c r="AZ85" s="130">
        <f t="shared" si="125"/>
        <v>0</v>
      </c>
      <c r="BA85" s="74">
        <f t="shared" si="106"/>
        <v>0</v>
      </c>
      <c r="BB85" s="193">
        <f t="shared" si="126"/>
        <v>0</v>
      </c>
      <c r="BC85" s="102">
        <f t="shared" si="127"/>
        <v>0</v>
      </c>
      <c r="BD85" s="102">
        <f t="shared" si="128"/>
        <v>0</v>
      </c>
      <c r="BE85" s="413" t="s">
        <v>69</v>
      </c>
    </row>
    <row r="86" spans="1:57" s="65" customFormat="1" ht="12" customHeight="1" x14ac:dyDescent="0.2">
      <c r="A86" s="43">
        <v>71</v>
      </c>
      <c r="B86" s="166"/>
      <c r="C86" s="166"/>
      <c r="D86" s="166"/>
      <c r="E86" s="162"/>
      <c r="F86" s="166"/>
      <c r="G86" s="162"/>
      <c r="H86" s="162"/>
      <c r="I86" s="189">
        <f t="shared" si="107"/>
        <v>0</v>
      </c>
      <c r="J86" s="195"/>
      <c r="K86" s="162"/>
      <c r="L86" s="168"/>
      <c r="M86" s="75">
        <f>_xlfn.XLOOKUP(L86,list_vat[Страна],list_vat[Ставка НДС %],0,0)</f>
        <v>0</v>
      </c>
      <c r="N86" s="162">
        <f t="shared" si="108"/>
        <v>0</v>
      </c>
      <c r="O86" s="169"/>
      <c r="P86" s="74">
        <f t="shared" si="129"/>
        <v>0</v>
      </c>
      <c r="Q86" s="162"/>
      <c r="R86" s="162" t="str">
        <f t="shared" si="109"/>
        <v>введи курс</v>
      </c>
      <c r="S86" s="196">
        <f t="shared" si="110"/>
        <v>0</v>
      </c>
      <c r="T86" s="192">
        <f t="shared" si="111"/>
        <v>0</v>
      </c>
      <c r="U86" s="76">
        <f t="shared" si="112"/>
        <v>0</v>
      </c>
      <c r="V86" s="123">
        <f t="shared" si="113"/>
        <v>0</v>
      </c>
      <c r="W86" s="191"/>
      <c r="X86" s="170"/>
      <c r="Y86" s="74">
        <f t="shared" si="99"/>
        <v>0</v>
      </c>
      <c r="Z86" s="188"/>
      <c r="AA86" s="130">
        <f t="shared" si="114"/>
        <v>0</v>
      </c>
      <c r="AB86" s="74">
        <f t="shared" si="115"/>
        <v>0</v>
      </c>
      <c r="AC86" s="356"/>
      <c r="AD86" s="130" cm="1">
        <f t="array" ref="AD86">IFERROR(ROUND((_xlfn.IFS(offer_sale_type="поставка",AB86,offer_sale_type="транзит",S86)*(1+AC86))/E86,2),0)</f>
        <v>0</v>
      </c>
      <c r="AE86" s="74">
        <f t="shared" si="116"/>
        <v>0</v>
      </c>
      <c r="AF86" s="123" cm="1">
        <f t="array" ref="AF86">IFERROR(ROUND(_xlfn.IFS(offer_sale_type="поставка",AB86,offer_sale_type="транзит",S86)*AC86,2),0)</f>
        <v>0</v>
      </c>
      <c r="AG86" s="130">
        <f t="shared" si="62"/>
        <v>0</v>
      </c>
      <c r="AH86" s="74">
        <f t="shared" si="100"/>
        <v>0</v>
      </c>
      <c r="AI86" s="123">
        <f t="shared" si="101"/>
        <v>0</v>
      </c>
      <c r="AJ86" s="118">
        <f t="shared" si="117"/>
        <v>0</v>
      </c>
      <c r="AK86" s="74">
        <f t="shared" si="118"/>
        <v>0</v>
      </c>
      <c r="AL86" s="174">
        <f t="shared" si="119"/>
        <v>0</v>
      </c>
      <c r="AM86" s="175">
        <f t="shared" si="102"/>
        <v>0</v>
      </c>
      <c r="AN86" s="130">
        <f t="shared" si="120"/>
        <v>0</v>
      </c>
      <c r="AO86" s="74">
        <f t="shared" si="103"/>
        <v>0</v>
      </c>
      <c r="AP86" s="123">
        <f t="shared" si="121"/>
        <v>0</v>
      </c>
      <c r="AQ86" s="118">
        <f t="shared" si="104"/>
        <v>0</v>
      </c>
      <c r="AR86" s="82" t="str">
        <f t="shared" si="122"/>
        <v>https://www.alta.ru/tnved/code//</v>
      </c>
      <c r="AS86" s="157"/>
      <c r="AT86" s="162"/>
      <c r="AU86" s="74">
        <f t="shared" si="105"/>
        <v>0</v>
      </c>
      <c r="AV86" s="157"/>
      <c r="AW86" s="75">
        <f>_xlfn.IFNA(VLOOKUP(L86,list_vat[],3,FALSE),0)</f>
        <v>0</v>
      </c>
      <c r="AX86" s="74">
        <f t="shared" si="123"/>
        <v>0</v>
      </c>
      <c r="AY86" s="74">
        <f t="shared" si="124"/>
        <v>0</v>
      </c>
      <c r="AZ86" s="130">
        <f t="shared" si="125"/>
        <v>0</v>
      </c>
      <c r="BA86" s="74">
        <f t="shared" si="106"/>
        <v>0</v>
      </c>
      <c r="BB86" s="193">
        <f t="shared" si="126"/>
        <v>0</v>
      </c>
      <c r="BC86" s="102">
        <f t="shared" si="127"/>
        <v>0</v>
      </c>
      <c r="BD86" s="102">
        <f t="shared" si="128"/>
        <v>0</v>
      </c>
      <c r="BE86" s="413" t="s">
        <v>69</v>
      </c>
    </row>
    <row r="87" spans="1:57" s="65" customFormat="1" ht="12" customHeight="1" x14ac:dyDescent="0.2">
      <c r="A87" s="43">
        <v>72</v>
      </c>
      <c r="B87" s="166"/>
      <c r="C87" s="166"/>
      <c r="D87" s="166"/>
      <c r="E87" s="162"/>
      <c r="F87" s="166"/>
      <c r="G87" s="162"/>
      <c r="H87" s="162"/>
      <c r="I87" s="189">
        <f t="shared" si="107"/>
        <v>0</v>
      </c>
      <c r="J87" s="195"/>
      <c r="K87" s="162"/>
      <c r="L87" s="168"/>
      <c r="M87" s="75">
        <f>_xlfn.XLOOKUP(L87,list_vat[Страна],list_vat[Ставка НДС %],0,0)</f>
        <v>0</v>
      </c>
      <c r="N87" s="162">
        <f t="shared" si="108"/>
        <v>0</v>
      </c>
      <c r="O87" s="169"/>
      <c r="P87" s="74">
        <f t="shared" si="129"/>
        <v>0</v>
      </c>
      <c r="Q87" s="162"/>
      <c r="R87" s="162" t="str">
        <f t="shared" si="109"/>
        <v>введи курс</v>
      </c>
      <c r="S87" s="196">
        <f t="shared" si="110"/>
        <v>0</v>
      </c>
      <c r="T87" s="192">
        <f t="shared" si="111"/>
        <v>0</v>
      </c>
      <c r="U87" s="76">
        <f t="shared" si="112"/>
        <v>0</v>
      </c>
      <c r="V87" s="123">
        <f t="shared" si="113"/>
        <v>0</v>
      </c>
      <c r="W87" s="191"/>
      <c r="X87" s="170"/>
      <c r="Y87" s="74">
        <f t="shared" si="99"/>
        <v>0</v>
      </c>
      <c r="Z87" s="188"/>
      <c r="AA87" s="130">
        <f t="shared" si="114"/>
        <v>0</v>
      </c>
      <c r="AB87" s="74">
        <f t="shared" si="115"/>
        <v>0</v>
      </c>
      <c r="AC87" s="356"/>
      <c r="AD87" s="130" cm="1">
        <f t="array" ref="AD87">IFERROR(ROUND((_xlfn.IFS(offer_sale_type="поставка",AB87,offer_sale_type="транзит",S87)*(1+AC87))/E87,2),0)</f>
        <v>0</v>
      </c>
      <c r="AE87" s="74">
        <f t="shared" si="116"/>
        <v>0</v>
      </c>
      <c r="AF87" s="123" cm="1">
        <f t="array" ref="AF87">IFERROR(ROUND(_xlfn.IFS(offer_sale_type="поставка",AB87,offer_sale_type="транзит",S87)*AC87,2),0)</f>
        <v>0</v>
      </c>
      <c r="AG87" s="130">
        <f t="shared" si="62"/>
        <v>0</v>
      </c>
      <c r="AH87" s="74">
        <f t="shared" si="100"/>
        <v>0</v>
      </c>
      <c r="AI87" s="123">
        <f t="shared" si="101"/>
        <v>0</v>
      </c>
      <c r="AJ87" s="118">
        <f t="shared" si="117"/>
        <v>0</v>
      </c>
      <c r="AK87" s="74">
        <f t="shared" si="118"/>
        <v>0</v>
      </c>
      <c r="AL87" s="174">
        <f t="shared" si="119"/>
        <v>0</v>
      </c>
      <c r="AM87" s="175">
        <f t="shared" si="102"/>
        <v>0</v>
      </c>
      <c r="AN87" s="130">
        <f t="shared" si="120"/>
        <v>0</v>
      </c>
      <c r="AO87" s="74">
        <f t="shared" si="103"/>
        <v>0</v>
      </c>
      <c r="AP87" s="123">
        <f t="shared" si="121"/>
        <v>0</v>
      </c>
      <c r="AQ87" s="118">
        <f t="shared" si="104"/>
        <v>0</v>
      </c>
      <c r="AR87" s="82" t="str">
        <f t="shared" si="122"/>
        <v>https://www.alta.ru/tnved/code//</v>
      </c>
      <c r="AS87" s="157"/>
      <c r="AT87" s="162"/>
      <c r="AU87" s="74">
        <f t="shared" si="105"/>
        <v>0</v>
      </c>
      <c r="AV87" s="157"/>
      <c r="AW87" s="75">
        <f>_xlfn.IFNA(VLOOKUP(L87,list_vat[],3,FALSE),0)</f>
        <v>0</v>
      </c>
      <c r="AX87" s="74">
        <f t="shared" si="123"/>
        <v>0</v>
      </c>
      <c r="AY87" s="74">
        <f t="shared" si="124"/>
        <v>0</v>
      </c>
      <c r="AZ87" s="130">
        <f t="shared" si="125"/>
        <v>0</v>
      </c>
      <c r="BA87" s="74">
        <f t="shared" si="106"/>
        <v>0</v>
      </c>
      <c r="BB87" s="193">
        <f t="shared" si="126"/>
        <v>0</v>
      </c>
      <c r="BC87" s="102">
        <f t="shared" si="127"/>
        <v>0</v>
      </c>
      <c r="BD87" s="102">
        <f t="shared" si="128"/>
        <v>0</v>
      </c>
      <c r="BE87" s="413" t="s">
        <v>69</v>
      </c>
    </row>
    <row r="88" spans="1:57" s="65" customFormat="1" ht="12" customHeight="1" x14ac:dyDescent="0.2">
      <c r="A88" s="43">
        <v>73</v>
      </c>
      <c r="B88" s="166"/>
      <c r="C88" s="166"/>
      <c r="D88" s="166"/>
      <c r="E88" s="162"/>
      <c r="F88" s="166"/>
      <c r="G88" s="162"/>
      <c r="H88" s="162"/>
      <c r="I88" s="189">
        <f t="shared" si="107"/>
        <v>0</v>
      </c>
      <c r="J88" s="195"/>
      <c r="K88" s="162"/>
      <c r="L88" s="168"/>
      <c r="M88" s="75">
        <f>_xlfn.XLOOKUP(L88,list_vat[Страна],list_vat[Ставка НДС %],0,0)</f>
        <v>0</v>
      </c>
      <c r="N88" s="162">
        <f t="shared" si="108"/>
        <v>0</v>
      </c>
      <c r="O88" s="169"/>
      <c r="P88" s="74">
        <f t="shared" si="129"/>
        <v>0</v>
      </c>
      <c r="Q88" s="162"/>
      <c r="R88" s="162" t="str">
        <f t="shared" si="109"/>
        <v>введи курс</v>
      </c>
      <c r="S88" s="196">
        <f t="shared" si="110"/>
        <v>0</v>
      </c>
      <c r="T88" s="192">
        <f t="shared" si="111"/>
        <v>0</v>
      </c>
      <c r="U88" s="76">
        <f t="shared" si="112"/>
        <v>0</v>
      </c>
      <c r="V88" s="123">
        <f t="shared" si="113"/>
        <v>0</v>
      </c>
      <c r="W88" s="191"/>
      <c r="X88" s="170"/>
      <c r="Y88" s="74">
        <f t="shared" si="99"/>
        <v>0</v>
      </c>
      <c r="Z88" s="188"/>
      <c r="AA88" s="130">
        <f t="shared" si="114"/>
        <v>0</v>
      </c>
      <c r="AB88" s="74">
        <f t="shared" si="115"/>
        <v>0</v>
      </c>
      <c r="AC88" s="356"/>
      <c r="AD88" s="130" cm="1">
        <f t="array" ref="AD88">IFERROR(ROUND((_xlfn.IFS(offer_sale_type="поставка",AB88,offer_sale_type="транзит",S88)*(1+AC88))/E88,2),0)</f>
        <v>0</v>
      </c>
      <c r="AE88" s="74">
        <f t="shared" si="116"/>
        <v>0</v>
      </c>
      <c r="AF88" s="123" cm="1">
        <f t="array" ref="AF88">IFERROR(ROUND(_xlfn.IFS(offer_sale_type="поставка",AB88,offer_sale_type="транзит",S88)*AC88,2),0)</f>
        <v>0</v>
      </c>
      <c r="AG88" s="130">
        <f t="shared" si="62"/>
        <v>0</v>
      </c>
      <c r="AH88" s="74">
        <f t="shared" si="100"/>
        <v>0</v>
      </c>
      <c r="AI88" s="123">
        <f t="shared" si="101"/>
        <v>0</v>
      </c>
      <c r="AJ88" s="118">
        <f t="shared" si="117"/>
        <v>0</v>
      </c>
      <c r="AK88" s="74">
        <f t="shared" si="118"/>
        <v>0</v>
      </c>
      <c r="AL88" s="174">
        <f t="shared" si="119"/>
        <v>0</v>
      </c>
      <c r="AM88" s="175">
        <f t="shared" si="102"/>
        <v>0</v>
      </c>
      <c r="AN88" s="130">
        <f t="shared" si="120"/>
        <v>0</v>
      </c>
      <c r="AO88" s="74">
        <f t="shared" si="103"/>
        <v>0</v>
      </c>
      <c r="AP88" s="123">
        <f t="shared" si="121"/>
        <v>0</v>
      </c>
      <c r="AQ88" s="118">
        <f t="shared" si="104"/>
        <v>0</v>
      </c>
      <c r="AR88" s="82" t="str">
        <f t="shared" si="122"/>
        <v>https://www.alta.ru/tnved/code//</v>
      </c>
      <c r="AS88" s="157"/>
      <c r="AT88" s="162"/>
      <c r="AU88" s="74">
        <f t="shared" si="105"/>
        <v>0</v>
      </c>
      <c r="AV88" s="157"/>
      <c r="AW88" s="75">
        <f>_xlfn.IFNA(VLOOKUP(L88,list_vat[],3,FALSE),0)</f>
        <v>0</v>
      </c>
      <c r="AX88" s="74">
        <f t="shared" si="123"/>
        <v>0</v>
      </c>
      <c r="AY88" s="74">
        <f t="shared" si="124"/>
        <v>0</v>
      </c>
      <c r="AZ88" s="130">
        <f t="shared" si="125"/>
        <v>0</v>
      </c>
      <c r="BA88" s="74">
        <f t="shared" si="106"/>
        <v>0</v>
      </c>
      <c r="BB88" s="193">
        <f t="shared" si="126"/>
        <v>0</v>
      </c>
      <c r="BC88" s="102">
        <f t="shared" si="127"/>
        <v>0</v>
      </c>
      <c r="BD88" s="102">
        <f t="shared" si="128"/>
        <v>0</v>
      </c>
      <c r="BE88" s="413" t="s">
        <v>69</v>
      </c>
    </row>
    <row r="89" spans="1:57" s="65" customFormat="1" ht="12" customHeight="1" x14ac:dyDescent="0.2">
      <c r="A89" s="43">
        <v>74</v>
      </c>
      <c r="B89" s="166"/>
      <c r="C89" s="166"/>
      <c r="D89" s="166"/>
      <c r="E89" s="162"/>
      <c r="F89" s="166"/>
      <c r="G89" s="162"/>
      <c r="H89" s="162"/>
      <c r="I89" s="189">
        <f t="shared" si="107"/>
        <v>0</v>
      </c>
      <c r="J89" s="195"/>
      <c r="K89" s="162"/>
      <c r="L89" s="168"/>
      <c r="M89" s="75">
        <f>_xlfn.XLOOKUP(L89,list_vat[Страна],list_vat[Ставка НДС %],0,0)</f>
        <v>0</v>
      </c>
      <c r="N89" s="162">
        <f t="shared" si="108"/>
        <v>0</v>
      </c>
      <c r="O89" s="169"/>
      <c r="P89" s="74">
        <f t="shared" si="129"/>
        <v>0</v>
      </c>
      <c r="Q89" s="162"/>
      <c r="R89" s="162" t="str">
        <f t="shared" si="109"/>
        <v>введи курс</v>
      </c>
      <c r="S89" s="196">
        <f t="shared" si="110"/>
        <v>0</v>
      </c>
      <c r="T89" s="192">
        <f t="shared" si="111"/>
        <v>0</v>
      </c>
      <c r="U89" s="76">
        <f t="shared" si="112"/>
        <v>0</v>
      </c>
      <c r="V89" s="123">
        <f t="shared" si="113"/>
        <v>0</v>
      </c>
      <c r="W89" s="191"/>
      <c r="X89" s="170"/>
      <c r="Y89" s="74">
        <f t="shared" si="99"/>
        <v>0</v>
      </c>
      <c r="Z89" s="188"/>
      <c r="AA89" s="130">
        <f t="shared" si="114"/>
        <v>0</v>
      </c>
      <c r="AB89" s="74">
        <f t="shared" si="115"/>
        <v>0</v>
      </c>
      <c r="AC89" s="356"/>
      <c r="AD89" s="130" cm="1">
        <f t="array" ref="AD89">IFERROR(ROUND((_xlfn.IFS(offer_sale_type="поставка",AB89,offer_sale_type="транзит",S89)*(1+AC89))/E89,2),0)</f>
        <v>0</v>
      </c>
      <c r="AE89" s="74">
        <f t="shared" si="116"/>
        <v>0</v>
      </c>
      <c r="AF89" s="123" cm="1">
        <f t="array" ref="AF89">IFERROR(ROUND(_xlfn.IFS(offer_sale_type="поставка",AB89,offer_sale_type="транзит",S89)*AC89,2),0)</f>
        <v>0</v>
      </c>
      <c r="AG89" s="130">
        <f t="shared" si="62"/>
        <v>0</v>
      </c>
      <c r="AH89" s="74">
        <f t="shared" si="100"/>
        <v>0</v>
      </c>
      <c r="AI89" s="123">
        <f t="shared" si="101"/>
        <v>0</v>
      </c>
      <c r="AJ89" s="118">
        <f t="shared" si="117"/>
        <v>0</v>
      </c>
      <c r="AK89" s="74">
        <f t="shared" si="118"/>
        <v>0</v>
      </c>
      <c r="AL89" s="174">
        <f t="shared" si="119"/>
        <v>0</v>
      </c>
      <c r="AM89" s="175">
        <f t="shared" si="102"/>
        <v>0</v>
      </c>
      <c r="AN89" s="130">
        <f t="shared" si="120"/>
        <v>0</v>
      </c>
      <c r="AO89" s="74">
        <f t="shared" si="103"/>
        <v>0</v>
      </c>
      <c r="AP89" s="123">
        <f t="shared" si="121"/>
        <v>0</v>
      </c>
      <c r="AQ89" s="118">
        <f t="shared" si="104"/>
        <v>0</v>
      </c>
      <c r="AR89" s="82" t="str">
        <f t="shared" si="122"/>
        <v>https://www.alta.ru/tnved/code//</v>
      </c>
      <c r="AS89" s="157"/>
      <c r="AT89" s="162"/>
      <c r="AU89" s="74">
        <f t="shared" si="105"/>
        <v>0</v>
      </c>
      <c r="AV89" s="157"/>
      <c r="AW89" s="75">
        <f>_xlfn.IFNA(VLOOKUP(L89,list_vat[],3,FALSE),0)</f>
        <v>0</v>
      </c>
      <c r="AX89" s="74">
        <f t="shared" si="123"/>
        <v>0</v>
      </c>
      <c r="AY89" s="74">
        <f t="shared" si="124"/>
        <v>0</v>
      </c>
      <c r="AZ89" s="130">
        <f t="shared" si="125"/>
        <v>0</v>
      </c>
      <c r="BA89" s="74">
        <f t="shared" si="106"/>
        <v>0</v>
      </c>
      <c r="BB89" s="193">
        <f t="shared" si="126"/>
        <v>0</v>
      </c>
      <c r="BC89" s="102">
        <f t="shared" si="127"/>
        <v>0</v>
      </c>
      <c r="BD89" s="102">
        <f t="shared" si="128"/>
        <v>0</v>
      </c>
      <c r="BE89" s="413" t="s">
        <v>69</v>
      </c>
    </row>
    <row r="90" spans="1:57" s="65" customFormat="1" ht="12" customHeight="1" x14ac:dyDescent="0.2">
      <c r="A90" s="43">
        <v>75</v>
      </c>
      <c r="B90" s="166"/>
      <c r="C90" s="166"/>
      <c r="D90" s="166"/>
      <c r="E90" s="162"/>
      <c r="F90" s="166"/>
      <c r="G90" s="162"/>
      <c r="H90" s="162"/>
      <c r="I90" s="189">
        <f t="shared" si="107"/>
        <v>0</v>
      </c>
      <c r="J90" s="195"/>
      <c r="K90" s="162"/>
      <c r="L90" s="168"/>
      <c r="M90" s="75">
        <f>_xlfn.XLOOKUP(L90,list_vat[Страна],list_vat[Ставка НДС %],0,0)</f>
        <v>0</v>
      </c>
      <c r="N90" s="162">
        <f t="shared" si="108"/>
        <v>0</v>
      </c>
      <c r="O90" s="169"/>
      <c r="P90" s="74">
        <f t="shared" si="129"/>
        <v>0</v>
      </c>
      <c r="Q90" s="162"/>
      <c r="R90" s="162" t="str">
        <f t="shared" si="109"/>
        <v>введи курс</v>
      </c>
      <c r="S90" s="196">
        <f t="shared" si="110"/>
        <v>0</v>
      </c>
      <c r="T90" s="192">
        <f t="shared" si="111"/>
        <v>0</v>
      </c>
      <c r="U90" s="76">
        <f t="shared" si="112"/>
        <v>0</v>
      </c>
      <c r="V90" s="123">
        <f t="shared" si="113"/>
        <v>0</v>
      </c>
      <c r="W90" s="191"/>
      <c r="X90" s="170"/>
      <c r="Y90" s="74">
        <f t="shared" si="99"/>
        <v>0</v>
      </c>
      <c r="Z90" s="188"/>
      <c r="AA90" s="130">
        <f t="shared" si="114"/>
        <v>0</v>
      </c>
      <c r="AB90" s="74">
        <f t="shared" si="115"/>
        <v>0</v>
      </c>
      <c r="AC90" s="356"/>
      <c r="AD90" s="130" cm="1">
        <f t="array" ref="AD90">IFERROR(ROUND((_xlfn.IFS(offer_sale_type="поставка",AB90,offer_sale_type="транзит",S90)*(1+AC90))/E90,2),0)</f>
        <v>0</v>
      </c>
      <c r="AE90" s="74">
        <f t="shared" si="116"/>
        <v>0</v>
      </c>
      <c r="AF90" s="123" cm="1">
        <f t="array" ref="AF90">IFERROR(ROUND(_xlfn.IFS(offer_sale_type="поставка",AB90,offer_sale_type="транзит",S90)*AC90,2),0)</f>
        <v>0</v>
      </c>
      <c r="AG90" s="130">
        <f t="shared" si="62"/>
        <v>0</v>
      </c>
      <c r="AH90" s="74">
        <f t="shared" si="100"/>
        <v>0</v>
      </c>
      <c r="AI90" s="123">
        <f t="shared" si="101"/>
        <v>0</v>
      </c>
      <c r="AJ90" s="118">
        <f t="shared" si="117"/>
        <v>0</v>
      </c>
      <c r="AK90" s="74">
        <f t="shared" si="118"/>
        <v>0</v>
      </c>
      <c r="AL90" s="174">
        <f t="shared" si="119"/>
        <v>0</v>
      </c>
      <c r="AM90" s="175">
        <f t="shared" si="102"/>
        <v>0</v>
      </c>
      <c r="AN90" s="130">
        <f t="shared" si="120"/>
        <v>0</v>
      </c>
      <c r="AO90" s="74">
        <f t="shared" si="103"/>
        <v>0</v>
      </c>
      <c r="AP90" s="123">
        <f t="shared" si="121"/>
        <v>0</v>
      </c>
      <c r="AQ90" s="118">
        <f t="shared" si="104"/>
        <v>0</v>
      </c>
      <c r="AR90" s="82" t="str">
        <f t="shared" si="122"/>
        <v>https://www.alta.ru/tnved/code//</v>
      </c>
      <c r="AS90" s="157"/>
      <c r="AT90" s="162"/>
      <c r="AU90" s="74">
        <f t="shared" si="105"/>
        <v>0</v>
      </c>
      <c r="AV90" s="157"/>
      <c r="AW90" s="75">
        <f>_xlfn.IFNA(VLOOKUP(L90,list_vat[],3,FALSE),0)</f>
        <v>0</v>
      </c>
      <c r="AX90" s="74">
        <f t="shared" si="123"/>
        <v>0</v>
      </c>
      <c r="AY90" s="74">
        <f t="shared" si="124"/>
        <v>0</v>
      </c>
      <c r="AZ90" s="130">
        <f t="shared" si="125"/>
        <v>0</v>
      </c>
      <c r="BA90" s="74">
        <f t="shared" si="106"/>
        <v>0</v>
      </c>
      <c r="BB90" s="193">
        <f t="shared" si="126"/>
        <v>0</v>
      </c>
      <c r="BC90" s="102">
        <f t="shared" si="127"/>
        <v>0</v>
      </c>
      <c r="BD90" s="102">
        <f t="shared" si="128"/>
        <v>0</v>
      </c>
      <c r="BE90" s="413" t="s">
        <v>69</v>
      </c>
    </row>
    <row r="91" spans="1:57" s="65" customFormat="1" ht="12" customHeight="1" x14ac:dyDescent="0.2">
      <c r="A91" s="43">
        <v>76</v>
      </c>
      <c r="B91" s="166"/>
      <c r="C91" s="166"/>
      <c r="D91" s="166"/>
      <c r="E91" s="162"/>
      <c r="F91" s="166"/>
      <c r="G91" s="162"/>
      <c r="H91" s="162"/>
      <c r="I91" s="189">
        <f t="shared" si="107"/>
        <v>0</v>
      </c>
      <c r="J91" s="195"/>
      <c r="K91" s="162"/>
      <c r="L91" s="168"/>
      <c r="M91" s="75">
        <f>_xlfn.XLOOKUP(L91,list_vat[Страна],list_vat[Ставка НДС %],0,0)</f>
        <v>0</v>
      </c>
      <c r="N91" s="162">
        <f t="shared" si="108"/>
        <v>0</v>
      </c>
      <c r="O91" s="169"/>
      <c r="P91" s="74">
        <f t="shared" si="129"/>
        <v>0</v>
      </c>
      <c r="Q91" s="162"/>
      <c r="R91" s="162" t="str">
        <f t="shared" si="109"/>
        <v>введи курс</v>
      </c>
      <c r="S91" s="196">
        <f t="shared" si="110"/>
        <v>0</v>
      </c>
      <c r="T91" s="192">
        <f t="shared" si="111"/>
        <v>0</v>
      </c>
      <c r="U91" s="76">
        <f t="shared" si="112"/>
        <v>0</v>
      </c>
      <c r="V91" s="123">
        <f t="shared" si="113"/>
        <v>0</v>
      </c>
      <c r="W91" s="191"/>
      <c r="X91" s="170"/>
      <c r="Y91" s="74">
        <f t="shared" si="99"/>
        <v>0</v>
      </c>
      <c r="Z91" s="188"/>
      <c r="AA91" s="130">
        <f t="shared" si="114"/>
        <v>0</v>
      </c>
      <c r="AB91" s="74">
        <f>ROUND(SUM(S91,V91,Y91:Z91,BA91:BB91),2)</f>
        <v>0</v>
      </c>
      <c r="AC91" s="356"/>
      <c r="AD91" s="130" cm="1">
        <f t="array" ref="AD91">IFERROR(ROUND((_xlfn.IFS(offer_sale_type="поставка",AB91,offer_sale_type="транзит",S91)*(1+AC91))/E91,2),0)</f>
        <v>0</v>
      </c>
      <c r="AE91" s="74">
        <f t="shared" si="116"/>
        <v>0</v>
      </c>
      <c r="AF91" s="123" cm="1">
        <f t="array" ref="AF91">IFERROR(ROUND(_xlfn.IFS(offer_sale_type="поставка",AB91,offer_sale_type="транзит",S91)*AC91,2),0)</f>
        <v>0</v>
      </c>
      <c r="AG91" s="130">
        <f t="shared" si="62"/>
        <v>0</v>
      </c>
      <c r="AH91" s="74">
        <f t="shared" si="100"/>
        <v>0</v>
      </c>
      <c r="AI91" s="123">
        <f t="shared" si="101"/>
        <v>0</v>
      </c>
      <c r="AJ91" s="118">
        <f t="shared" si="117"/>
        <v>0</v>
      </c>
      <c r="AK91" s="74">
        <f t="shared" si="118"/>
        <v>0</v>
      </c>
      <c r="AL91" s="174">
        <f t="shared" si="119"/>
        <v>0</v>
      </c>
      <c r="AM91" s="175">
        <f t="shared" si="102"/>
        <v>0</v>
      </c>
      <c r="AN91" s="130">
        <f t="shared" si="120"/>
        <v>0</v>
      </c>
      <c r="AO91" s="74">
        <f t="shared" si="103"/>
        <v>0</v>
      </c>
      <c r="AP91" s="123">
        <f t="shared" si="121"/>
        <v>0</v>
      </c>
      <c r="AQ91" s="118">
        <f t="shared" si="104"/>
        <v>0</v>
      </c>
      <c r="AR91" s="82" t="str">
        <f t="shared" si="122"/>
        <v>https://www.alta.ru/tnved/code//</v>
      </c>
      <c r="AS91" s="157"/>
      <c r="AT91" s="162"/>
      <c r="AU91" s="74">
        <f t="shared" si="105"/>
        <v>0</v>
      </c>
      <c r="AV91" s="157"/>
      <c r="AW91" s="75">
        <f>_xlfn.IFNA(VLOOKUP(L91,list_vat[],3,FALSE),0)</f>
        <v>0</v>
      </c>
      <c r="AX91" s="74">
        <f t="shared" si="123"/>
        <v>0</v>
      </c>
      <c r="AY91" s="74">
        <f t="shared" si="124"/>
        <v>0</v>
      </c>
      <c r="AZ91" s="130">
        <f t="shared" si="125"/>
        <v>0</v>
      </c>
      <c r="BA91" s="74">
        <f t="shared" si="106"/>
        <v>0</v>
      </c>
      <c r="BB91" s="193">
        <f t="shared" si="126"/>
        <v>0</v>
      </c>
      <c r="BC91" s="102">
        <f t="shared" si="127"/>
        <v>0</v>
      </c>
      <c r="BD91" s="102">
        <f t="shared" si="128"/>
        <v>0</v>
      </c>
      <c r="BE91" s="413" t="s">
        <v>69</v>
      </c>
    </row>
    <row r="92" spans="1:57" s="65" customFormat="1" ht="12" customHeight="1" x14ac:dyDescent="0.2">
      <c r="A92" s="43">
        <v>77</v>
      </c>
      <c r="B92" s="166"/>
      <c r="C92" s="166"/>
      <c r="D92" s="166"/>
      <c r="E92" s="162"/>
      <c r="F92" s="166"/>
      <c r="G92" s="162"/>
      <c r="H92" s="162"/>
      <c r="I92" s="189">
        <f t="shared" si="107"/>
        <v>0</v>
      </c>
      <c r="J92" s="195"/>
      <c r="K92" s="162"/>
      <c r="L92" s="168"/>
      <c r="M92" s="75">
        <f>_xlfn.XLOOKUP(L92,list_vat[Страна],list_vat[Ставка НДС %],0,0)</f>
        <v>0</v>
      </c>
      <c r="N92" s="162">
        <f t="shared" si="108"/>
        <v>0</v>
      </c>
      <c r="O92" s="169"/>
      <c r="P92" s="74">
        <f t="shared" si="129"/>
        <v>0</v>
      </c>
      <c r="Q92" s="162"/>
      <c r="R92" s="162" t="str">
        <f t="shared" si="109"/>
        <v>введи курс</v>
      </c>
      <c r="S92" s="196">
        <f t="shared" si="110"/>
        <v>0</v>
      </c>
      <c r="T92" s="192">
        <f t="shared" si="111"/>
        <v>0</v>
      </c>
      <c r="U92" s="76">
        <f t="shared" si="112"/>
        <v>0</v>
      </c>
      <c r="V92" s="123">
        <f t="shared" si="113"/>
        <v>0</v>
      </c>
      <c r="W92" s="191"/>
      <c r="X92" s="170"/>
      <c r="Y92" s="74">
        <f t="shared" si="99"/>
        <v>0</v>
      </c>
      <c r="Z92" s="188"/>
      <c r="AA92" s="130">
        <f t="shared" si="114"/>
        <v>0</v>
      </c>
      <c r="AB92" s="74">
        <f t="shared" si="115"/>
        <v>0</v>
      </c>
      <c r="AC92" s="356"/>
      <c r="AD92" s="130" cm="1">
        <f t="array" ref="AD92">IFERROR(ROUND((_xlfn.IFS(offer_sale_type="поставка",AB92,offer_sale_type="транзит",S92)*(1+AC92))/E92,2),0)</f>
        <v>0</v>
      </c>
      <c r="AE92" s="74">
        <f t="shared" si="116"/>
        <v>0</v>
      </c>
      <c r="AF92" s="123" cm="1">
        <f t="array" ref="AF92">IFERROR(ROUND(_xlfn.IFS(offer_sale_type="поставка",AB92,offer_sale_type="транзит",S92)*AC92,2),0)</f>
        <v>0</v>
      </c>
      <c r="AG92" s="130">
        <f t="shared" si="62"/>
        <v>0</v>
      </c>
      <c r="AH92" s="74">
        <f t="shared" si="100"/>
        <v>0</v>
      </c>
      <c r="AI92" s="123">
        <f t="shared" si="101"/>
        <v>0</v>
      </c>
      <c r="AJ92" s="118">
        <f t="shared" si="117"/>
        <v>0</v>
      </c>
      <c r="AK92" s="74">
        <f t="shared" si="118"/>
        <v>0</v>
      </c>
      <c r="AL92" s="174">
        <f t="shared" si="119"/>
        <v>0</v>
      </c>
      <c r="AM92" s="175">
        <f t="shared" si="102"/>
        <v>0</v>
      </c>
      <c r="AN92" s="130">
        <f t="shared" si="120"/>
        <v>0</v>
      </c>
      <c r="AO92" s="74">
        <f t="shared" si="103"/>
        <v>0</v>
      </c>
      <c r="AP92" s="123">
        <f t="shared" si="121"/>
        <v>0</v>
      </c>
      <c r="AQ92" s="118">
        <f t="shared" si="104"/>
        <v>0</v>
      </c>
      <c r="AR92" s="82" t="str">
        <f t="shared" si="122"/>
        <v>https://www.alta.ru/tnved/code//</v>
      </c>
      <c r="AS92" s="157"/>
      <c r="AT92" s="162"/>
      <c r="AU92" s="74">
        <f t="shared" si="105"/>
        <v>0</v>
      </c>
      <c r="AV92" s="157"/>
      <c r="AW92" s="75">
        <f>_xlfn.IFNA(VLOOKUP(L92,list_vat[],3,FALSE),0)</f>
        <v>0</v>
      </c>
      <c r="AX92" s="74">
        <f t="shared" si="123"/>
        <v>0</v>
      </c>
      <c r="AY92" s="74">
        <f t="shared" si="124"/>
        <v>0</v>
      </c>
      <c r="AZ92" s="130">
        <f t="shared" si="125"/>
        <v>0</v>
      </c>
      <c r="BA92" s="74">
        <f t="shared" si="106"/>
        <v>0</v>
      </c>
      <c r="BB92" s="193">
        <f t="shared" si="126"/>
        <v>0</v>
      </c>
      <c r="BC92" s="102">
        <f t="shared" si="127"/>
        <v>0</v>
      </c>
      <c r="BD92" s="102">
        <f t="shared" si="128"/>
        <v>0</v>
      </c>
      <c r="BE92" s="413" t="s">
        <v>69</v>
      </c>
    </row>
    <row r="93" spans="1:57" s="65" customFormat="1" ht="12" customHeight="1" x14ac:dyDescent="0.2">
      <c r="A93" s="43">
        <v>78</v>
      </c>
      <c r="B93" s="166"/>
      <c r="C93" s="166"/>
      <c r="D93" s="166"/>
      <c r="E93" s="162"/>
      <c r="F93" s="166"/>
      <c r="G93" s="162"/>
      <c r="H93" s="162"/>
      <c r="I93" s="189">
        <f t="shared" si="107"/>
        <v>0</v>
      </c>
      <c r="J93" s="195"/>
      <c r="K93" s="162"/>
      <c r="L93" s="168"/>
      <c r="M93" s="75">
        <f>_xlfn.XLOOKUP(L93,list_vat[Страна],list_vat[Ставка НДС %],0,0)</f>
        <v>0</v>
      </c>
      <c r="N93" s="162">
        <f t="shared" si="108"/>
        <v>0</v>
      </c>
      <c r="O93" s="169"/>
      <c r="P93" s="74">
        <f t="shared" si="129"/>
        <v>0</v>
      </c>
      <c r="Q93" s="162"/>
      <c r="R93" s="162" t="str">
        <f t="shared" si="109"/>
        <v>введи курс</v>
      </c>
      <c r="S93" s="196">
        <f t="shared" si="110"/>
        <v>0</v>
      </c>
      <c r="T93" s="192">
        <f t="shared" si="111"/>
        <v>0</v>
      </c>
      <c r="U93" s="76">
        <f t="shared" si="112"/>
        <v>0</v>
      </c>
      <c r="V93" s="123">
        <f t="shared" si="113"/>
        <v>0</v>
      </c>
      <c r="W93" s="191"/>
      <c r="X93" s="170"/>
      <c r="Y93" s="74">
        <f t="shared" si="99"/>
        <v>0</v>
      </c>
      <c r="Z93" s="188"/>
      <c r="AA93" s="130">
        <f t="shared" si="114"/>
        <v>0</v>
      </c>
      <c r="AB93" s="74">
        <f t="shared" si="115"/>
        <v>0</v>
      </c>
      <c r="AC93" s="356"/>
      <c r="AD93" s="130" cm="1">
        <f t="array" ref="AD93">IFERROR(ROUND((_xlfn.IFS(offer_sale_type="поставка",AB93,offer_sale_type="транзит",S93)*(1+AC93))/E93,2),0)</f>
        <v>0</v>
      </c>
      <c r="AE93" s="74">
        <f t="shared" si="116"/>
        <v>0</v>
      </c>
      <c r="AF93" s="123" cm="1">
        <f t="array" ref="AF93">IFERROR(ROUND(_xlfn.IFS(offer_sale_type="поставка",AB93,offer_sale_type="транзит",S93)*AC93,2),0)</f>
        <v>0</v>
      </c>
      <c r="AG93" s="130">
        <f t="shared" si="62"/>
        <v>0</v>
      </c>
      <c r="AH93" s="74">
        <f t="shared" si="100"/>
        <v>0</v>
      </c>
      <c r="AI93" s="123">
        <f t="shared" si="101"/>
        <v>0</v>
      </c>
      <c r="AJ93" s="118">
        <f t="shared" si="117"/>
        <v>0</v>
      </c>
      <c r="AK93" s="74">
        <f t="shared" si="118"/>
        <v>0</v>
      </c>
      <c r="AL93" s="174">
        <f t="shared" si="119"/>
        <v>0</v>
      </c>
      <c r="AM93" s="175">
        <f t="shared" si="102"/>
        <v>0</v>
      </c>
      <c r="AN93" s="130">
        <f t="shared" si="120"/>
        <v>0</v>
      </c>
      <c r="AO93" s="74">
        <f t="shared" si="103"/>
        <v>0</v>
      </c>
      <c r="AP93" s="123">
        <f t="shared" si="121"/>
        <v>0</v>
      </c>
      <c r="AQ93" s="118">
        <f t="shared" si="104"/>
        <v>0</v>
      </c>
      <c r="AR93" s="82" t="str">
        <f t="shared" si="122"/>
        <v>https://www.alta.ru/tnved/code//</v>
      </c>
      <c r="AS93" s="157"/>
      <c r="AT93" s="162"/>
      <c r="AU93" s="74">
        <f t="shared" si="105"/>
        <v>0</v>
      </c>
      <c r="AV93" s="157"/>
      <c r="AW93" s="75">
        <f>_xlfn.IFNA(VLOOKUP(L93,list_vat[],3,FALSE),0)</f>
        <v>0</v>
      </c>
      <c r="AX93" s="74">
        <f t="shared" si="123"/>
        <v>0</v>
      </c>
      <c r="AY93" s="74">
        <f t="shared" si="124"/>
        <v>0</v>
      </c>
      <c r="AZ93" s="130">
        <f t="shared" si="125"/>
        <v>0</v>
      </c>
      <c r="BA93" s="74">
        <f t="shared" si="106"/>
        <v>0</v>
      </c>
      <c r="BB93" s="193">
        <f t="shared" si="126"/>
        <v>0</v>
      </c>
      <c r="BC93" s="102">
        <f t="shared" si="127"/>
        <v>0</v>
      </c>
      <c r="BD93" s="102">
        <f t="shared" si="128"/>
        <v>0</v>
      </c>
      <c r="BE93" s="413" t="s">
        <v>69</v>
      </c>
    </row>
    <row r="94" spans="1:57" s="65" customFormat="1" ht="12" customHeight="1" x14ac:dyDescent="0.2">
      <c r="A94" s="43">
        <v>79</v>
      </c>
      <c r="B94" s="166"/>
      <c r="C94" s="166"/>
      <c r="D94" s="166"/>
      <c r="E94" s="162"/>
      <c r="F94" s="166"/>
      <c r="G94" s="162"/>
      <c r="H94" s="162"/>
      <c r="I94" s="189">
        <f t="shared" si="107"/>
        <v>0</v>
      </c>
      <c r="J94" s="195"/>
      <c r="K94" s="162"/>
      <c r="L94" s="168"/>
      <c r="M94" s="75">
        <f>_xlfn.XLOOKUP(L94,list_vat[Страна],list_vat[Ставка НДС %],0,0)</f>
        <v>0</v>
      </c>
      <c r="N94" s="162">
        <f t="shared" si="108"/>
        <v>0</v>
      </c>
      <c r="O94" s="169"/>
      <c r="P94" s="74">
        <f t="shared" si="129"/>
        <v>0</v>
      </c>
      <c r="Q94" s="162"/>
      <c r="R94" s="162" t="str">
        <f t="shared" si="109"/>
        <v>введи курс</v>
      </c>
      <c r="S94" s="196">
        <f t="shared" si="110"/>
        <v>0</v>
      </c>
      <c r="T94" s="192">
        <f t="shared" si="111"/>
        <v>0</v>
      </c>
      <c r="U94" s="76">
        <f t="shared" si="112"/>
        <v>0</v>
      </c>
      <c r="V94" s="123">
        <f t="shared" si="113"/>
        <v>0</v>
      </c>
      <c r="W94" s="191"/>
      <c r="X94" s="170"/>
      <c r="Y94" s="74">
        <f t="shared" si="99"/>
        <v>0</v>
      </c>
      <c r="Z94" s="188"/>
      <c r="AA94" s="130">
        <f t="shared" si="114"/>
        <v>0</v>
      </c>
      <c r="AB94" s="74">
        <f t="shared" si="115"/>
        <v>0</v>
      </c>
      <c r="AC94" s="356"/>
      <c r="AD94" s="130" cm="1">
        <f t="array" ref="AD94">IFERROR(ROUND((_xlfn.IFS(offer_sale_type="поставка",AB94,offer_sale_type="транзит",S94)*(1+AC94))/E94,2),0)</f>
        <v>0</v>
      </c>
      <c r="AE94" s="74">
        <f t="shared" si="116"/>
        <v>0</v>
      </c>
      <c r="AF94" s="123" cm="1">
        <f t="array" ref="AF94">IFERROR(ROUND(_xlfn.IFS(offer_sale_type="поставка",AB94,offer_sale_type="транзит",S94)*AC94,2),0)</f>
        <v>0</v>
      </c>
      <c r="AG94" s="130">
        <f t="shared" si="62"/>
        <v>0</v>
      </c>
      <c r="AH94" s="74">
        <f t="shared" si="100"/>
        <v>0</v>
      </c>
      <c r="AI94" s="123">
        <f t="shared" si="101"/>
        <v>0</v>
      </c>
      <c r="AJ94" s="118">
        <f t="shared" si="117"/>
        <v>0</v>
      </c>
      <c r="AK94" s="74">
        <f t="shared" si="118"/>
        <v>0</v>
      </c>
      <c r="AL94" s="174">
        <f t="shared" si="119"/>
        <v>0</v>
      </c>
      <c r="AM94" s="175">
        <f t="shared" si="102"/>
        <v>0</v>
      </c>
      <c r="AN94" s="130">
        <f t="shared" si="120"/>
        <v>0</v>
      </c>
      <c r="AO94" s="74">
        <f t="shared" si="103"/>
        <v>0</v>
      </c>
      <c r="AP94" s="123">
        <f t="shared" si="121"/>
        <v>0</v>
      </c>
      <c r="AQ94" s="118">
        <f t="shared" si="104"/>
        <v>0</v>
      </c>
      <c r="AR94" s="82" t="str">
        <f t="shared" si="122"/>
        <v>https://www.alta.ru/tnved/code//</v>
      </c>
      <c r="AS94" s="157"/>
      <c r="AT94" s="162"/>
      <c r="AU94" s="74">
        <f t="shared" si="105"/>
        <v>0</v>
      </c>
      <c r="AV94" s="157"/>
      <c r="AW94" s="75">
        <f>_xlfn.IFNA(VLOOKUP(L94,list_vat[],3,FALSE),0)</f>
        <v>0</v>
      </c>
      <c r="AX94" s="74">
        <f t="shared" si="123"/>
        <v>0</v>
      </c>
      <c r="AY94" s="74">
        <f t="shared" si="124"/>
        <v>0</v>
      </c>
      <c r="AZ94" s="130">
        <f t="shared" si="125"/>
        <v>0</v>
      </c>
      <c r="BA94" s="74">
        <f t="shared" si="106"/>
        <v>0</v>
      </c>
      <c r="BB94" s="193">
        <f t="shared" si="126"/>
        <v>0</v>
      </c>
      <c r="BC94" s="102">
        <f t="shared" si="127"/>
        <v>0</v>
      </c>
      <c r="BD94" s="102">
        <f t="shared" si="128"/>
        <v>0</v>
      </c>
      <c r="BE94" s="413" t="s">
        <v>69</v>
      </c>
    </row>
    <row r="95" spans="1:57" s="65" customFormat="1" ht="12" customHeight="1" x14ac:dyDescent="0.2">
      <c r="A95" s="43">
        <v>80</v>
      </c>
      <c r="B95" s="166"/>
      <c r="C95" s="166"/>
      <c r="D95" s="166"/>
      <c r="E95" s="162"/>
      <c r="F95" s="166"/>
      <c r="G95" s="162"/>
      <c r="H95" s="162"/>
      <c r="I95" s="189">
        <f t="shared" si="107"/>
        <v>0</v>
      </c>
      <c r="J95" s="195"/>
      <c r="K95" s="162"/>
      <c r="L95" s="168"/>
      <c r="M95" s="75">
        <f>_xlfn.XLOOKUP(L95,list_vat[Страна],list_vat[Ставка НДС %],0,0)</f>
        <v>0</v>
      </c>
      <c r="N95" s="162">
        <f t="shared" si="108"/>
        <v>0</v>
      </c>
      <c r="O95" s="169"/>
      <c r="P95" s="74">
        <f t="shared" si="129"/>
        <v>0</v>
      </c>
      <c r="Q95" s="162"/>
      <c r="R95" s="162" t="str">
        <f t="shared" si="109"/>
        <v>введи курс</v>
      </c>
      <c r="S95" s="196">
        <f t="shared" si="110"/>
        <v>0</v>
      </c>
      <c r="T95" s="192">
        <f t="shared" si="111"/>
        <v>0</v>
      </c>
      <c r="U95" s="76">
        <f t="shared" si="112"/>
        <v>0</v>
      </c>
      <c r="V95" s="123">
        <f t="shared" si="113"/>
        <v>0</v>
      </c>
      <c r="W95" s="191"/>
      <c r="X95" s="170"/>
      <c r="Y95" s="74">
        <f t="shared" si="99"/>
        <v>0</v>
      </c>
      <c r="Z95" s="188"/>
      <c r="AA95" s="130">
        <f t="shared" si="114"/>
        <v>0</v>
      </c>
      <c r="AB95" s="74">
        <f t="shared" si="115"/>
        <v>0</v>
      </c>
      <c r="AC95" s="356"/>
      <c r="AD95" s="130" cm="1">
        <f t="array" ref="AD95">IFERROR(ROUND((_xlfn.IFS(offer_sale_type="поставка",AB95,offer_sale_type="транзит",S95)*(1+AC95))/E95,2),0)</f>
        <v>0</v>
      </c>
      <c r="AE95" s="74">
        <f t="shared" si="116"/>
        <v>0</v>
      </c>
      <c r="AF95" s="123" cm="1">
        <f t="array" ref="AF95">IFERROR(ROUND(_xlfn.IFS(offer_sale_type="поставка",AB95,offer_sale_type="транзит",S95)*AC95,2),0)</f>
        <v>0</v>
      </c>
      <c r="AG95" s="130">
        <f t="shared" si="62"/>
        <v>0</v>
      </c>
      <c r="AH95" s="74">
        <f t="shared" si="100"/>
        <v>0</v>
      </c>
      <c r="AI95" s="123">
        <f t="shared" si="101"/>
        <v>0</v>
      </c>
      <c r="AJ95" s="118">
        <f t="shared" si="117"/>
        <v>0</v>
      </c>
      <c r="AK95" s="74">
        <f t="shared" si="118"/>
        <v>0</v>
      </c>
      <c r="AL95" s="174">
        <f t="shared" si="119"/>
        <v>0</v>
      </c>
      <c r="AM95" s="175">
        <f t="shared" si="102"/>
        <v>0</v>
      </c>
      <c r="AN95" s="130">
        <f t="shared" si="120"/>
        <v>0</v>
      </c>
      <c r="AO95" s="74">
        <f t="shared" si="103"/>
        <v>0</v>
      </c>
      <c r="AP95" s="123">
        <f t="shared" si="121"/>
        <v>0</v>
      </c>
      <c r="AQ95" s="118">
        <f t="shared" si="104"/>
        <v>0</v>
      </c>
      <c r="AR95" s="82" t="str">
        <f t="shared" si="122"/>
        <v>https://www.alta.ru/tnved/code//</v>
      </c>
      <c r="AS95" s="157"/>
      <c r="AT95" s="162"/>
      <c r="AU95" s="74">
        <f t="shared" si="105"/>
        <v>0</v>
      </c>
      <c r="AV95" s="157"/>
      <c r="AW95" s="75">
        <f>_xlfn.IFNA(VLOOKUP(L95,list_vat[],3,FALSE),0)</f>
        <v>0</v>
      </c>
      <c r="AX95" s="74">
        <f t="shared" si="123"/>
        <v>0</v>
      </c>
      <c r="AY95" s="74">
        <f t="shared" si="124"/>
        <v>0</v>
      </c>
      <c r="AZ95" s="130">
        <f t="shared" si="125"/>
        <v>0</v>
      </c>
      <c r="BA95" s="74">
        <f t="shared" si="106"/>
        <v>0</v>
      </c>
      <c r="BB95" s="193">
        <f t="shared" si="126"/>
        <v>0</v>
      </c>
      <c r="BC95" s="102">
        <f t="shared" si="127"/>
        <v>0</v>
      </c>
      <c r="BD95" s="102">
        <f t="shared" si="128"/>
        <v>0</v>
      </c>
      <c r="BE95" s="413" t="s">
        <v>69</v>
      </c>
    </row>
    <row r="96" spans="1:57" s="65" customFormat="1" ht="12" customHeight="1" x14ac:dyDescent="0.2">
      <c r="A96" s="43">
        <v>81</v>
      </c>
      <c r="B96" s="166"/>
      <c r="C96" s="166"/>
      <c r="D96" s="166"/>
      <c r="E96" s="162"/>
      <c r="F96" s="166"/>
      <c r="G96" s="162"/>
      <c r="H96" s="162"/>
      <c r="I96" s="189">
        <f t="shared" si="107"/>
        <v>0</v>
      </c>
      <c r="J96" s="195"/>
      <c r="K96" s="162"/>
      <c r="L96" s="168"/>
      <c r="M96" s="75">
        <f>_xlfn.XLOOKUP(L96,list_vat[Страна],list_vat[Ставка НДС %],0,0)</f>
        <v>0</v>
      </c>
      <c r="N96" s="162">
        <f t="shared" si="108"/>
        <v>0</v>
      </c>
      <c r="O96" s="169"/>
      <c r="P96" s="74">
        <f t="shared" si="129"/>
        <v>0</v>
      </c>
      <c r="Q96" s="162"/>
      <c r="R96" s="162" t="str">
        <f t="shared" si="109"/>
        <v>введи курс</v>
      </c>
      <c r="S96" s="196">
        <f t="shared" si="110"/>
        <v>0</v>
      </c>
      <c r="T96" s="192">
        <f t="shared" si="111"/>
        <v>0</v>
      </c>
      <c r="U96" s="76">
        <f t="shared" si="112"/>
        <v>0</v>
      </c>
      <c r="V96" s="123">
        <f t="shared" si="113"/>
        <v>0</v>
      </c>
      <c r="W96" s="191"/>
      <c r="X96" s="170"/>
      <c r="Y96" s="74">
        <f t="shared" si="99"/>
        <v>0</v>
      </c>
      <c r="Z96" s="188"/>
      <c r="AA96" s="130">
        <f t="shared" si="114"/>
        <v>0</v>
      </c>
      <c r="AB96" s="74">
        <f t="shared" si="115"/>
        <v>0</v>
      </c>
      <c r="AC96" s="356"/>
      <c r="AD96" s="130" cm="1">
        <f t="array" ref="AD96">IFERROR(ROUND((_xlfn.IFS(offer_sale_type="поставка",AB96,offer_sale_type="транзит",S96)*(1+AC96))/E96,2),0)</f>
        <v>0</v>
      </c>
      <c r="AE96" s="74">
        <f t="shared" si="116"/>
        <v>0</v>
      </c>
      <c r="AF96" s="123" cm="1">
        <f t="array" ref="AF96">IFERROR(ROUND(_xlfn.IFS(offer_sale_type="поставка",AB96,offer_sale_type="транзит",S96)*AC96,2),0)</f>
        <v>0</v>
      </c>
      <c r="AG96" s="130">
        <f t="shared" si="62"/>
        <v>0</v>
      </c>
      <c r="AH96" s="74">
        <f t="shared" si="100"/>
        <v>0</v>
      </c>
      <c r="AI96" s="123">
        <f t="shared" si="101"/>
        <v>0</v>
      </c>
      <c r="AJ96" s="118">
        <f t="shared" si="117"/>
        <v>0</v>
      </c>
      <c r="AK96" s="74">
        <f t="shared" si="118"/>
        <v>0</v>
      </c>
      <c r="AL96" s="174">
        <f t="shared" si="119"/>
        <v>0</v>
      </c>
      <c r="AM96" s="175">
        <f t="shared" si="102"/>
        <v>0</v>
      </c>
      <c r="AN96" s="130">
        <f t="shared" si="120"/>
        <v>0</v>
      </c>
      <c r="AO96" s="74">
        <f t="shared" si="103"/>
        <v>0</v>
      </c>
      <c r="AP96" s="123">
        <f t="shared" si="121"/>
        <v>0</v>
      </c>
      <c r="AQ96" s="118">
        <f t="shared" si="104"/>
        <v>0</v>
      </c>
      <c r="AR96" s="82" t="str">
        <f t="shared" si="122"/>
        <v>https://www.alta.ru/tnved/code//</v>
      </c>
      <c r="AS96" s="157"/>
      <c r="AT96" s="162"/>
      <c r="AU96" s="74">
        <f t="shared" si="105"/>
        <v>0</v>
      </c>
      <c r="AV96" s="157"/>
      <c r="AW96" s="75">
        <f>_xlfn.IFNA(VLOOKUP(L96,list_vat[],3,FALSE),0)</f>
        <v>0</v>
      </c>
      <c r="AX96" s="74">
        <f t="shared" si="123"/>
        <v>0</v>
      </c>
      <c r="AY96" s="74">
        <f t="shared" si="124"/>
        <v>0</v>
      </c>
      <c r="AZ96" s="130">
        <f t="shared" si="125"/>
        <v>0</v>
      </c>
      <c r="BA96" s="74">
        <f t="shared" si="106"/>
        <v>0</v>
      </c>
      <c r="BB96" s="193">
        <f t="shared" si="126"/>
        <v>0</v>
      </c>
      <c r="BC96" s="102">
        <f t="shared" si="127"/>
        <v>0</v>
      </c>
      <c r="BD96" s="102">
        <f t="shared" si="128"/>
        <v>0</v>
      </c>
      <c r="BE96" s="413" t="s">
        <v>69</v>
      </c>
    </row>
    <row r="97" spans="1:57" s="65" customFormat="1" ht="12" customHeight="1" x14ac:dyDescent="0.2">
      <c r="A97" s="43">
        <v>82</v>
      </c>
      <c r="B97" s="166"/>
      <c r="C97" s="166"/>
      <c r="D97" s="166"/>
      <c r="E97" s="162"/>
      <c r="F97" s="166"/>
      <c r="G97" s="162"/>
      <c r="H97" s="162"/>
      <c r="I97" s="189">
        <f t="shared" si="107"/>
        <v>0</v>
      </c>
      <c r="J97" s="195"/>
      <c r="K97" s="162"/>
      <c r="L97" s="168"/>
      <c r="M97" s="75">
        <f>_xlfn.XLOOKUP(L97,list_vat[Страна],list_vat[Ставка НДС %],0,0)</f>
        <v>0</v>
      </c>
      <c r="N97" s="162">
        <f t="shared" si="108"/>
        <v>0</v>
      </c>
      <c r="O97" s="169"/>
      <c r="P97" s="74">
        <f t="shared" si="129"/>
        <v>0</v>
      </c>
      <c r="Q97" s="162"/>
      <c r="R97" s="162" t="str">
        <f t="shared" si="109"/>
        <v>введи курс</v>
      </c>
      <c r="S97" s="196">
        <f t="shared" si="110"/>
        <v>0</v>
      </c>
      <c r="T97" s="192">
        <f t="shared" si="111"/>
        <v>0</v>
      </c>
      <c r="U97" s="76">
        <f t="shared" si="112"/>
        <v>0</v>
      </c>
      <c r="V97" s="123">
        <f t="shared" si="113"/>
        <v>0</v>
      </c>
      <c r="W97" s="191"/>
      <c r="X97" s="170"/>
      <c r="Y97" s="74">
        <f t="shared" si="99"/>
        <v>0</v>
      </c>
      <c r="Z97" s="188"/>
      <c r="AA97" s="130">
        <f t="shared" si="114"/>
        <v>0</v>
      </c>
      <c r="AB97" s="74">
        <f t="shared" si="115"/>
        <v>0</v>
      </c>
      <c r="AC97" s="356"/>
      <c r="AD97" s="130" cm="1">
        <f t="array" ref="AD97">IFERROR(ROUND((_xlfn.IFS(offer_sale_type="поставка",AB97,offer_sale_type="транзит",S97)*(1+AC97))/E97,2),0)</f>
        <v>0</v>
      </c>
      <c r="AE97" s="74">
        <f t="shared" si="116"/>
        <v>0</v>
      </c>
      <c r="AF97" s="123" cm="1">
        <f t="array" ref="AF97">IFERROR(ROUND(_xlfn.IFS(offer_sale_type="поставка",AB97,offer_sale_type="транзит",S97)*AC97,2),0)</f>
        <v>0</v>
      </c>
      <c r="AG97" s="130">
        <f t="shared" si="62"/>
        <v>0</v>
      </c>
      <c r="AH97" s="74">
        <f t="shared" si="100"/>
        <v>0</v>
      </c>
      <c r="AI97" s="123">
        <f t="shared" si="101"/>
        <v>0</v>
      </c>
      <c r="AJ97" s="118">
        <f t="shared" si="117"/>
        <v>0</v>
      </c>
      <c r="AK97" s="74">
        <f t="shared" si="118"/>
        <v>0</v>
      </c>
      <c r="AL97" s="174">
        <f t="shared" si="119"/>
        <v>0</v>
      </c>
      <c r="AM97" s="175">
        <f t="shared" si="102"/>
        <v>0</v>
      </c>
      <c r="AN97" s="130">
        <f t="shared" si="120"/>
        <v>0</v>
      </c>
      <c r="AO97" s="74">
        <f t="shared" si="103"/>
        <v>0</v>
      </c>
      <c r="AP97" s="123">
        <f t="shared" si="121"/>
        <v>0</v>
      </c>
      <c r="AQ97" s="118">
        <f t="shared" si="104"/>
        <v>0</v>
      </c>
      <c r="AR97" s="82" t="str">
        <f t="shared" si="122"/>
        <v>https://www.alta.ru/tnved/code//</v>
      </c>
      <c r="AS97" s="157"/>
      <c r="AT97" s="162"/>
      <c r="AU97" s="74">
        <f t="shared" si="105"/>
        <v>0</v>
      </c>
      <c r="AV97" s="157"/>
      <c r="AW97" s="75">
        <f>_xlfn.IFNA(VLOOKUP(L97,list_vat[],3,FALSE),0)</f>
        <v>0</v>
      </c>
      <c r="AX97" s="74">
        <f t="shared" si="123"/>
        <v>0</v>
      </c>
      <c r="AY97" s="74">
        <f t="shared" si="124"/>
        <v>0</v>
      </c>
      <c r="AZ97" s="130">
        <f t="shared" si="125"/>
        <v>0</v>
      </c>
      <c r="BA97" s="74">
        <f t="shared" si="106"/>
        <v>0</v>
      </c>
      <c r="BB97" s="193">
        <f t="shared" si="126"/>
        <v>0</v>
      </c>
      <c r="BC97" s="102">
        <f t="shared" si="127"/>
        <v>0</v>
      </c>
      <c r="BD97" s="102">
        <f t="shared" si="128"/>
        <v>0</v>
      </c>
      <c r="BE97" s="413" t="s">
        <v>69</v>
      </c>
    </row>
    <row r="98" spans="1:57" s="65" customFormat="1" ht="12" customHeight="1" x14ac:dyDescent="0.2">
      <c r="A98" s="43">
        <v>83</v>
      </c>
      <c r="B98" s="166"/>
      <c r="C98" s="166"/>
      <c r="D98" s="166"/>
      <c r="E98" s="162"/>
      <c r="F98" s="166"/>
      <c r="G98" s="162"/>
      <c r="H98" s="162"/>
      <c r="I98" s="189">
        <f t="shared" si="107"/>
        <v>0</v>
      </c>
      <c r="J98" s="195"/>
      <c r="K98" s="162"/>
      <c r="L98" s="168"/>
      <c r="M98" s="75">
        <f>_xlfn.XLOOKUP(L98,list_vat[Страна],list_vat[Ставка НДС %],0,0)</f>
        <v>0</v>
      </c>
      <c r="N98" s="162">
        <f t="shared" si="108"/>
        <v>0</v>
      </c>
      <c r="O98" s="169"/>
      <c r="P98" s="74">
        <f t="shared" si="129"/>
        <v>0</v>
      </c>
      <c r="Q98" s="162"/>
      <c r="R98" s="162" t="str">
        <f t="shared" si="109"/>
        <v>введи курс</v>
      </c>
      <c r="S98" s="196">
        <f t="shared" si="110"/>
        <v>0</v>
      </c>
      <c r="T98" s="192">
        <f t="shared" si="111"/>
        <v>0</v>
      </c>
      <c r="U98" s="76">
        <f t="shared" si="112"/>
        <v>0</v>
      </c>
      <c r="V98" s="123">
        <f t="shared" si="113"/>
        <v>0</v>
      </c>
      <c r="W98" s="191"/>
      <c r="X98" s="170"/>
      <c r="Y98" s="74">
        <f t="shared" si="99"/>
        <v>0</v>
      </c>
      <c r="Z98" s="188"/>
      <c r="AA98" s="130">
        <f t="shared" si="114"/>
        <v>0</v>
      </c>
      <c r="AB98" s="74">
        <f t="shared" si="115"/>
        <v>0</v>
      </c>
      <c r="AC98" s="356"/>
      <c r="AD98" s="130" cm="1">
        <f t="array" ref="AD98">IFERROR(ROUND((_xlfn.IFS(offer_sale_type="поставка",AB98,offer_sale_type="транзит",S98)*(1+AC98))/E98,2),0)</f>
        <v>0</v>
      </c>
      <c r="AE98" s="74">
        <f t="shared" si="116"/>
        <v>0</v>
      </c>
      <c r="AF98" s="123" cm="1">
        <f t="array" ref="AF98">IFERROR(ROUND(_xlfn.IFS(offer_sale_type="поставка",AB98,offer_sale_type="транзит",S98)*AC98,2),0)</f>
        <v>0</v>
      </c>
      <c r="AG98" s="130">
        <f t="shared" si="62"/>
        <v>0</v>
      </c>
      <c r="AH98" s="74">
        <f t="shared" si="100"/>
        <v>0</v>
      </c>
      <c r="AI98" s="123">
        <f t="shared" si="101"/>
        <v>0</v>
      </c>
      <c r="AJ98" s="118">
        <f t="shared" si="117"/>
        <v>0</v>
      </c>
      <c r="AK98" s="74">
        <f t="shared" si="118"/>
        <v>0</v>
      </c>
      <c r="AL98" s="174">
        <f t="shared" si="119"/>
        <v>0</v>
      </c>
      <c r="AM98" s="175">
        <f t="shared" si="102"/>
        <v>0</v>
      </c>
      <c r="AN98" s="130">
        <f t="shared" si="120"/>
        <v>0</v>
      </c>
      <c r="AO98" s="74">
        <f t="shared" si="103"/>
        <v>0</v>
      </c>
      <c r="AP98" s="123">
        <f t="shared" si="121"/>
        <v>0</v>
      </c>
      <c r="AQ98" s="118">
        <f t="shared" si="104"/>
        <v>0</v>
      </c>
      <c r="AR98" s="82" t="str">
        <f t="shared" si="122"/>
        <v>https://www.alta.ru/tnved/code//</v>
      </c>
      <c r="AS98" s="157"/>
      <c r="AT98" s="162"/>
      <c r="AU98" s="74">
        <f t="shared" si="105"/>
        <v>0</v>
      </c>
      <c r="AV98" s="157"/>
      <c r="AW98" s="75">
        <f>_xlfn.IFNA(VLOOKUP(L98,list_vat[],3,FALSE),0)</f>
        <v>0</v>
      </c>
      <c r="AX98" s="74">
        <f t="shared" si="123"/>
        <v>0</v>
      </c>
      <c r="AY98" s="74">
        <f t="shared" si="124"/>
        <v>0</v>
      </c>
      <c r="AZ98" s="130">
        <f t="shared" si="125"/>
        <v>0</v>
      </c>
      <c r="BA98" s="74">
        <f t="shared" si="106"/>
        <v>0</v>
      </c>
      <c r="BB98" s="193">
        <f t="shared" si="126"/>
        <v>0</v>
      </c>
      <c r="BC98" s="102">
        <f t="shared" si="127"/>
        <v>0</v>
      </c>
      <c r="BD98" s="102">
        <f t="shared" si="128"/>
        <v>0</v>
      </c>
      <c r="BE98" s="413" t="s">
        <v>69</v>
      </c>
    </row>
    <row r="99" spans="1:57" s="65" customFormat="1" ht="12" customHeight="1" x14ac:dyDescent="0.2">
      <c r="A99" s="43">
        <v>84</v>
      </c>
      <c r="B99" s="166"/>
      <c r="C99" s="166"/>
      <c r="D99" s="166"/>
      <c r="E99" s="162"/>
      <c r="F99" s="166"/>
      <c r="G99" s="162"/>
      <c r="H99" s="162"/>
      <c r="I99" s="189">
        <f t="shared" si="107"/>
        <v>0</v>
      </c>
      <c r="J99" s="195"/>
      <c r="K99" s="162"/>
      <c r="L99" s="168"/>
      <c r="M99" s="75">
        <f>_xlfn.XLOOKUP(L99,list_vat[Страна],list_vat[Ставка НДС %],0,0)</f>
        <v>0</v>
      </c>
      <c r="N99" s="162">
        <f t="shared" si="108"/>
        <v>0</v>
      </c>
      <c r="O99" s="169"/>
      <c r="P99" s="74">
        <f t="shared" si="129"/>
        <v>0</v>
      </c>
      <c r="Q99" s="162"/>
      <c r="R99" s="162" t="str">
        <f t="shared" si="109"/>
        <v>введи курс</v>
      </c>
      <c r="S99" s="196">
        <f t="shared" si="110"/>
        <v>0</v>
      </c>
      <c r="T99" s="192">
        <f t="shared" si="111"/>
        <v>0</v>
      </c>
      <c r="U99" s="76">
        <f t="shared" si="112"/>
        <v>0</v>
      </c>
      <c r="V99" s="123">
        <f t="shared" si="113"/>
        <v>0</v>
      </c>
      <c r="W99" s="191"/>
      <c r="X99" s="170"/>
      <c r="Y99" s="74">
        <f t="shared" si="99"/>
        <v>0</v>
      </c>
      <c r="Z99" s="188"/>
      <c r="AA99" s="130">
        <f t="shared" si="114"/>
        <v>0</v>
      </c>
      <c r="AB99" s="74">
        <f t="shared" si="115"/>
        <v>0</v>
      </c>
      <c r="AC99" s="356"/>
      <c r="AD99" s="130" cm="1">
        <f t="array" ref="AD99">IFERROR(ROUND((_xlfn.IFS(offer_sale_type="поставка",AB99,offer_sale_type="транзит",S99)*(1+AC99))/E99,2),0)</f>
        <v>0</v>
      </c>
      <c r="AE99" s="74">
        <f t="shared" si="116"/>
        <v>0</v>
      </c>
      <c r="AF99" s="123" cm="1">
        <f t="array" ref="AF99">IFERROR(ROUND(_xlfn.IFS(offer_sale_type="поставка",AB99,offer_sale_type="транзит",S99)*AC99,2),0)</f>
        <v>0</v>
      </c>
      <c r="AG99" s="130">
        <f t="shared" si="62"/>
        <v>0</v>
      </c>
      <c r="AH99" s="74">
        <f t="shared" si="100"/>
        <v>0</v>
      </c>
      <c r="AI99" s="123">
        <f t="shared" si="101"/>
        <v>0</v>
      </c>
      <c r="AJ99" s="118">
        <f t="shared" si="117"/>
        <v>0</v>
      </c>
      <c r="AK99" s="74">
        <f t="shared" si="118"/>
        <v>0</v>
      </c>
      <c r="AL99" s="174">
        <f t="shared" si="119"/>
        <v>0</v>
      </c>
      <c r="AM99" s="175">
        <f t="shared" si="102"/>
        <v>0</v>
      </c>
      <c r="AN99" s="130">
        <f t="shared" si="120"/>
        <v>0</v>
      </c>
      <c r="AO99" s="74">
        <f t="shared" si="103"/>
        <v>0</v>
      </c>
      <c r="AP99" s="123">
        <f t="shared" si="121"/>
        <v>0</v>
      </c>
      <c r="AQ99" s="118">
        <f t="shared" si="104"/>
        <v>0</v>
      </c>
      <c r="AR99" s="82" t="str">
        <f t="shared" si="122"/>
        <v>https://www.alta.ru/tnved/code//</v>
      </c>
      <c r="AS99" s="157"/>
      <c r="AT99" s="162"/>
      <c r="AU99" s="74">
        <f t="shared" si="105"/>
        <v>0</v>
      </c>
      <c r="AV99" s="157"/>
      <c r="AW99" s="75">
        <f>_xlfn.IFNA(VLOOKUP(L99,list_vat[],3,FALSE),0)</f>
        <v>0</v>
      </c>
      <c r="AX99" s="74">
        <f t="shared" si="123"/>
        <v>0</v>
      </c>
      <c r="AY99" s="74">
        <f t="shared" si="124"/>
        <v>0</v>
      </c>
      <c r="AZ99" s="130">
        <f t="shared" si="125"/>
        <v>0</v>
      </c>
      <c r="BA99" s="74">
        <f t="shared" si="106"/>
        <v>0</v>
      </c>
      <c r="BB99" s="193">
        <f t="shared" si="126"/>
        <v>0</v>
      </c>
      <c r="BC99" s="102">
        <f t="shared" si="127"/>
        <v>0</v>
      </c>
      <c r="BD99" s="102">
        <f t="shared" si="128"/>
        <v>0</v>
      </c>
      <c r="BE99" s="413" t="s">
        <v>69</v>
      </c>
    </row>
    <row r="100" spans="1:57" s="65" customFormat="1" ht="12" customHeight="1" x14ac:dyDescent="0.2">
      <c r="A100" s="43">
        <v>85</v>
      </c>
      <c r="B100" s="166"/>
      <c r="C100" s="166"/>
      <c r="D100" s="166"/>
      <c r="E100" s="162"/>
      <c r="F100" s="166"/>
      <c r="G100" s="162"/>
      <c r="H100" s="162"/>
      <c r="I100" s="189">
        <f t="shared" si="107"/>
        <v>0</v>
      </c>
      <c r="J100" s="195"/>
      <c r="K100" s="162"/>
      <c r="L100" s="168"/>
      <c r="M100" s="75">
        <f>_xlfn.XLOOKUP(L100,list_vat[Страна],list_vat[Ставка НДС %],0,0)</f>
        <v>0</v>
      </c>
      <c r="N100" s="162">
        <f t="shared" si="108"/>
        <v>0</v>
      </c>
      <c r="O100" s="169"/>
      <c r="P100" s="74">
        <f t="shared" si="129"/>
        <v>0</v>
      </c>
      <c r="Q100" s="162"/>
      <c r="R100" s="162" t="str">
        <f t="shared" si="109"/>
        <v>введи курс</v>
      </c>
      <c r="S100" s="196">
        <f t="shared" si="110"/>
        <v>0</v>
      </c>
      <c r="T100" s="192">
        <f t="shared" si="111"/>
        <v>0</v>
      </c>
      <c r="U100" s="76">
        <f t="shared" si="112"/>
        <v>0</v>
      </c>
      <c r="V100" s="123">
        <f t="shared" si="113"/>
        <v>0</v>
      </c>
      <c r="W100" s="191"/>
      <c r="X100" s="170"/>
      <c r="Y100" s="74">
        <f t="shared" si="99"/>
        <v>0</v>
      </c>
      <c r="Z100" s="188"/>
      <c r="AA100" s="130">
        <f t="shared" si="114"/>
        <v>0</v>
      </c>
      <c r="AB100" s="74">
        <f t="shared" si="115"/>
        <v>0</v>
      </c>
      <c r="AC100" s="356"/>
      <c r="AD100" s="130" cm="1">
        <f t="array" ref="AD100">IFERROR(ROUND((_xlfn.IFS(offer_sale_type="поставка",AB100,offer_sale_type="транзит",S100)*(1+AC100))/E100,2),0)</f>
        <v>0</v>
      </c>
      <c r="AE100" s="74">
        <f t="shared" si="116"/>
        <v>0</v>
      </c>
      <c r="AF100" s="123" cm="1">
        <f t="array" ref="AF100">IFERROR(ROUND(_xlfn.IFS(offer_sale_type="поставка",AB100,offer_sale_type="транзит",S100)*AC100,2),0)</f>
        <v>0</v>
      </c>
      <c r="AG100" s="130">
        <f t="shared" si="62"/>
        <v>0</v>
      </c>
      <c r="AH100" s="74">
        <f t="shared" si="100"/>
        <v>0</v>
      </c>
      <c r="AI100" s="123">
        <f t="shared" si="101"/>
        <v>0</v>
      </c>
      <c r="AJ100" s="118">
        <f t="shared" si="117"/>
        <v>0</v>
      </c>
      <c r="AK100" s="74">
        <f t="shared" si="118"/>
        <v>0</v>
      </c>
      <c r="AL100" s="174">
        <f t="shared" si="119"/>
        <v>0</v>
      </c>
      <c r="AM100" s="175">
        <f t="shared" si="102"/>
        <v>0</v>
      </c>
      <c r="AN100" s="130">
        <f t="shared" si="120"/>
        <v>0</v>
      </c>
      <c r="AO100" s="74">
        <f t="shared" si="103"/>
        <v>0</v>
      </c>
      <c r="AP100" s="123">
        <f t="shared" si="121"/>
        <v>0</v>
      </c>
      <c r="AQ100" s="118">
        <f t="shared" si="104"/>
        <v>0</v>
      </c>
      <c r="AR100" s="82" t="str">
        <f t="shared" si="122"/>
        <v>https://www.alta.ru/tnved/code//</v>
      </c>
      <c r="AS100" s="157"/>
      <c r="AT100" s="162"/>
      <c r="AU100" s="74">
        <f t="shared" si="105"/>
        <v>0</v>
      </c>
      <c r="AV100" s="157"/>
      <c r="AW100" s="75">
        <f>_xlfn.IFNA(VLOOKUP(L100,list_vat[],3,FALSE),0)</f>
        <v>0</v>
      </c>
      <c r="AX100" s="74">
        <f t="shared" si="123"/>
        <v>0</v>
      </c>
      <c r="AY100" s="74">
        <f t="shared" si="124"/>
        <v>0</v>
      </c>
      <c r="AZ100" s="130">
        <f t="shared" si="125"/>
        <v>0</v>
      </c>
      <c r="BA100" s="74">
        <f t="shared" si="106"/>
        <v>0</v>
      </c>
      <c r="BB100" s="193">
        <f t="shared" si="126"/>
        <v>0</v>
      </c>
      <c r="BC100" s="102">
        <f t="shared" si="127"/>
        <v>0</v>
      </c>
      <c r="BD100" s="102">
        <f t="shared" si="128"/>
        <v>0</v>
      </c>
      <c r="BE100" s="413" t="s">
        <v>69</v>
      </c>
    </row>
    <row r="101" spans="1:57" s="65" customFormat="1" ht="12" customHeight="1" x14ac:dyDescent="0.2">
      <c r="A101" s="43">
        <v>86</v>
      </c>
      <c r="B101" s="166"/>
      <c r="C101" s="166"/>
      <c r="D101" s="166"/>
      <c r="E101" s="162"/>
      <c r="F101" s="166"/>
      <c r="G101" s="162"/>
      <c r="H101" s="162"/>
      <c r="I101" s="189">
        <f t="shared" si="107"/>
        <v>0</v>
      </c>
      <c r="J101" s="195"/>
      <c r="K101" s="162"/>
      <c r="L101" s="168"/>
      <c r="M101" s="75">
        <f>_xlfn.XLOOKUP(L101,list_vat[Страна],list_vat[Ставка НДС %],0,0)</f>
        <v>0</v>
      </c>
      <c r="N101" s="162">
        <f t="shared" si="108"/>
        <v>0</v>
      </c>
      <c r="O101" s="169"/>
      <c r="P101" s="74">
        <f t="shared" si="129"/>
        <v>0</v>
      </c>
      <c r="Q101" s="162"/>
      <c r="R101" s="162" t="str">
        <f t="shared" si="109"/>
        <v>введи курс</v>
      </c>
      <c r="S101" s="196">
        <f t="shared" si="110"/>
        <v>0</v>
      </c>
      <c r="T101" s="192">
        <f t="shared" si="111"/>
        <v>0</v>
      </c>
      <c r="U101" s="76">
        <f t="shared" si="112"/>
        <v>0</v>
      </c>
      <c r="V101" s="123">
        <f t="shared" si="113"/>
        <v>0</v>
      </c>
      <c r="W101" s="191"/>
      <c r="X101" s="170"/>
      <c r="Y101" s="74">
        <f t="shared" si="99"/>
        <v>0</v>
      </c>
      <c r="Z101" s="188"/>
      <c r="AA101" s="130">
        <f t="shared" si="114"/>
        <v>0</v>
      </c>
      <c r="AB101" s="74">
        <f t="shared" si="115"/>
        <v>0</v>
      </c>
      <c r="AC101" s="356"/>
      <c r="AD101" s="130" cm="1">
        <f t="array" ref="AD101">IFERROR(ROUND((_xlfn.IFS(offer_sale_type="поставка",AB101,offer_sale_type="транзит",S101)*(1+AC101))/E101,2),0)</f>
        <v>0</v>
      </c>
      <c r="AE101" s="74">
        <f t="shared" si="116"/>
        <v>0</v>
      </c>
      <c r="AF101" s="123" cm="1">
        <f t="array" ref="AF101">IFERROR(ROUND(_xlfn.IFS(offer_sale_type="поставка",AB101,offer_sale_type="транзит",S101)*AC101,2),0)</f>
        <v>0</v>
      </c>
      <c r="AG101" s="130">
        <f t="shared" si="62"/>
        <v>0</v>
      </c>
      <c r="AH101" s="74">
        <f t="shared" si="100"/>
        <v>0</v>
      </c>
      <c r="AI101" s="123">
        <f t="shared" si="101"/>
        <v>0</v>
      </c>
      <c r="AJ101" s="118">
        <f t="shared" si="117"/>
        <v>0</v>
      </c>
      <c r="AK101" s="74">
        <f t="shared" si="118"/>
        <v>0</v>
      </c>
      <c r="AL101" s="174">
        <f t="shared" si="119"/>
        <v>0</v>
      </c>
      <c r="AM101" s="175">
        <f t="shared" si="102"/>
        <v>0</v>
      </c>
      <c r="AN101" s="130">
        <f t="shared" si="120"/>
        <v>0</v>
      </c>
      <c r="AO101" s="74">
        <f t="shared" si="103"/>
        <v>0</v>
      </c>
      <c r="AP101" s="123">
        <f t="shared" si="121"/>
        <v>0</v>
      </c>
      <c r="AQ101" s="118">
        <f t="shared" si="104"/>
        <v>0</v>
      </c>
      <c r="AR101" s="82" t="str">
        <f t="shared" si="122"/>
        <v>https://www.alta.ru/tnved/code//</v>
      </c>
      <c r="AS101" s="157"/>
      <c r="AT101" s="162"/>
      <c r="AU101" s="74">
        <f t="shared" si="105"/>
        <v>0</v>
      </c>
      <c r="AV101" s="157"/>
      <c r="AW101" s="75">
        <f>_xlfn.IFNA(VLOOKUP(L101,list_vat[],3,FALSE),0)</f>
        <v>0</v>
      </c>
      <c r="AX101" s="74">
        <f t="shared" si="123"/>
        <v>0</v>
      </c>
      <c r="AY101" s="74">
        <f t="shared" si="124"/>
        <v>0</v>
      </c>
      <c r="AZ101" s="130">
        <f t="shared" si="125"/>
        <v>0</v>
      </c>
      <c r="BA101" s="74">
        <f t="shared" si="106"/>
        <v>0</v>
      </c>
      <c r="BB101" s="193">
        <f t="shared" si="126"/>
        <v>0</v>
      </c>
      <c r="BC101" s="102">
        <f t="shared" si="127"/>
        <v>0</v>
      </c>
      <c r="BD101" s="102">
        <f t="shared" si="128"/>
        <v>0</v>
      </c>
      <c r="BE101" s="413" t="s">
        <v>69</v>
      </c>
    </row>
    <row r="102" spans="1:57" s="65" customFormat="1" ht="12" customHeight="1" x14ac:dyDescent="0.2">
      <c r="A102" s="43">
        <v>87</v>
      </c>
      <c r="B102" s="166"/>
      <c r="C102" s="166"/>
      <c r="D102" s="166"/>
      <c r="E102" s="162"/>
      <c r="F102" s="166"/>
      <c r="G102" s="162"/>
      <c r="H102" s="162"/>
      <c r="I102" s="189">
        <f t="shared" si="107"/>
        <v>0</v>
      </c>
      <c r="J102" s="195"/>
      <c r="K102" s="162"/>
      <c r="L102" s="168"/>
      <c r="M102" s="75">
        <f>_xlfn.XLOOKUP(L102,list_vat[Страна],list_vat[Ставка НДС %],0,0)</f>
        <v>0</v>
      </c>
      <c r="N102" s="162">
        <f t="shared" si="108"/>
        <v>0</v>
      </c>
      <c r="O102" s="169"/>
      <c r="P102" s="74">
        <f t="shared" si="129"/>
        <v>0</v>
      </c>
      <c r="Q102" s="162"/>
      <c r="R102" s="162" t="str">
        <f t="shared" si="109"/>
        <v>введи курс</v>
      </c>
      <c r="S102" s="196">
        <f t="shared" si="110"/>
        <v>0</v>
      </c>
      <c r="T102" s="192">
        <f t="shared" si="111"/>
        <v>0</v>
      </c>
      <c r="U102" s="76">
        <f t="shared" si="112"/>
        <v>0</v>
      </c>
      <c r="V102" s="123">
        <f t="shared" si="113"/>
        <v>0</v>
      </c>
      <c r="W102" s="191"/>
      <c r="X102" s="170"/>
      <c r="Y102" s="74">
        <f t="shared" si="99"/>
        <v>0</v>
      </c>
      <c r="Z102" s="188"/>
      <c r="AA102" s="130">
        <f t="shared" si="114"/>
        <v>0</v>
      </c>
      <c r="AB102" s="74">
        <f t="shared" si="115"/>
        <v>0</v>
      </c>
      <c r="AC102" s="356"/>
      <c r="AD102" s="130" cm="1">
        <f t="array" ref="AD102">IFERROR(ROUND((_xlfn.IFS(offer_sale_type="поставка",AB102,offer_sale_type="транзит",S102)*(1+AC102))/E102,2),0)</f>
        <v>0</v>
      </c>
      <c r="AE102" s="74">
        <f t="shared" si="116"/>
        <v>0</v>
      </c>
      <c r="AF102" s="123" cm="1">
        <f t="array" ref="AF102">IFERROR(ROUND(_xlfn.IFS(offer_sale_type="поставка",AB102,offer_sale_type="транзит",S102)*AC102,2),0)</f>
        <v>0</v>
      </c>
      <c r="AG102" s="130">
        <f t="shared" si="62"/>
        <v>0</v>
      </c>
      <c r="AH102" s="74">
        <f t="shared" si="100"/>
        <v>0</v>
      </c>
      <c r="AI102" s="123">
        <f t="shared" si="101"/>
        <v>0</v>
      </c>
      <c r="AJ102" s="118">
        <f t="shared" si="117"/>
        <v>0</v>
      </c>
      <c r="AK102" s="74">
        <f t="shared" si="118"/>
        <v>0</v>
      </c>
      <c r="AL102" s="174">
        <f t="shared" si="119"/>
        <v>0</v>
      </c>
      <c r="AM102" s="175">
        <f t="shared" si="102"/>
        <v>0</v>
      </c>
      <c r="AN102" s="130">
        <f t="shared" si="120"/>
        <v>0</v>
      </c>
      <c r="AO102" s="74">
        <f t="shared" si="103"/>
        <v>0</v>
      </c>
      <c r="AP102" s="123">
        <f t="shared" si="121"/>
        <v>0</v>
      </c>
      <c r="AQ102" s="118">
        <f t="shared" si="104"/>
        <v>0</v>
      </c>
      <c r="AR102" s="82" t="str">
        <f t="shared" si="122"/>
        <v>https://www.alta.ru/tnved/code//</v>
      </c>
      <c r="AS102" s="157"/>
      <c r="AT102" s="162"/>
      <c r="AU102" s="74">
        <f t="shared" si="105"/>
        <v>0</v>
      </c>
      <c r="AV102" s="157"/>
      <c r="AW102" s="75">
        <f>_xlfn.IFNA(VLOOKUP(L102,list_vat[],3,FALSE),0)</f>
        <v>0</v>
      </c>
      <c r="AX102" s="74">
        <f t="shared" si="123"/>
        <v>0</v>
      </c>
      <c r="AY102" s="74">
        <f t="shared" si="124"/>
        <v>0</v>
      </c>
      <c r="AZ102" s="130">
        <f t="shared" si="125"/>
        <v>0</v>
      </c>
      <c r="BA102" s="74">
        <f t="shared" si="106"/>
        <v>0</v>
      </c>
      <c r="BB102" s="193">
        <f t="shared" si="126"/>
        <v>0</v>
      </c>
      <c r="BC102" s="102">
        <f t="shared" si="127"/>
        <v>0</v>
      </c>
      <c r="BD102" s="102">
        <f t="shared" si="128"/>
        <v>0</v>
      </c>
      <c r="BE102" s="413" t="s">
        <v>69</v>
      </c>
    </row>
    <row r="103" spans="1:57" s="65" customFormat="1" ht="12" customHeight="1" x14ac:dyDescent="0.2">
      <c r="A103" s="43">
        <v>88</v>
      </c>
      <c r="B103" s="166"/>
      <c r="C103" s="166"/>
      <c r="D103" s="166"/>
      <c r="E103" s="162"/>
      <c r="F103" s="166"/>
      <c r="G103" s="162"/>
      <c r="H103" s="162"/>
      <c r="I103" s="189">
        <f t="shared" si="107"/>
        <v>0</v>
      </c>
      <c r="J103" s="195"/>
      <c r="K103" s="162"/>
      <c r="L103" s="168"/>
      <c r="M103" s="75">
        <f>_xlfn.XLOOKUP(L103,list_vat[Страна],list_vat[Ставка НДС %],0,0)</f>
        <v>0</v>
      </c>
      <c r="N103" s="162">
        <f t="shared" si="108"/>
        <v>0</v>
      </c>
      <c r="O103" s="169"/>
      <c r="P103" s="74">
        <f t="shared" si="129"/>
        <v>0</v>
      </c>
      <c r="Q103" s="162"/>
      <c r="R103" s="162" t="str">
        <f t="shared" si="109"/>
        <v>введи курс</v>
      </c>
      <c r="S103" s="196">
        <f t="shared" si="110"/>
        <v>0</v>
      </c>
      <c r="T103" s="192">
        <f t="shared" si="111"/>
        <v>0</v>
      </c>
      <c r="U103" s="76">
        <f t="shared" si="112"/>
        <v>0</v>
      </c>
      <c r="V103" s="123">
        <f t="shared" si="113"/>
        <v>0</v>
      </c>
      <c r="W103" s="191"/>
      <c r="X103" s="170"/>
      <c r="Y103" s="74">
        <f t="shared" si="99"/>
        <v>0</v>
      </c>
      <c r="Z103" s="188"/>
      <c r="AA103" s="130">
        <f t="shared" si="114"/>
        <v>0</v>
      </c>
      <c r="AB103" s="74">
        <f t="shared" si="115"/>
        <v>0</v>
      </c>
      <c r="AC103" s="356"/>
      <c r="AD103" s="130" cm="1">
        <f t="array" ref="AD103">IFERROR(ROUND((_xlfn.IFS(offer_sale_type="поставка",AB103,offer_sale_type="транзит",S103)*(1+AC103))/E103,2),0)</f>
        <v>0</v>
      </c>
      <c r="AE103" s="74">
        <f t="shared" si="116"/>
        <v>0</v>
      </c>
      <c r="AF103" s="123" cm="1">
        <f t="array" ref="AF103">IFERROR(ROUND(_xlfn.IFS(offer_sale_type="поставка",AB103,offer_sale_type="транзит",S103)*AC103,2),0)</f>
        <v>0</v>
      </c>
      <c r="AG103" s="130">
        <f t="shared" si="62"/>
        <v>0</v>
      </c>
      <c r="AH103" s="74">
        <f t="shared" si="100"/>
        <v>0</v>
      </c>
      <c r="AI103" s="123">
        <f t="shared" si="101"/>
        <v>0</v>
      </c>
      <c r="AJ103" s="118">
        <f t="shared" si="117"/>
        <v>0</v>
      </c>
      <c r="AK103" s="74">
        <f t="shared" si="118"/>
        <v>0</v>
      </c>
      <c r="AL103" s="174">
        <f t="shared" si="119"/>
        <v>0</v>
      </c>
      <c r="AM103" s="175">
        <f t="shared" si="102"/>
        <v>0</v>
      </c>
      <c r="AN103" s="130">
        <f t="shared" si="120"/>
        <v>0</v>
      </c>
      <c r="AO103" s="74">
        <f t="shared" si="103"/>
        <v>0</v>
      </c>
      <c r="AP103" s="123">
        <f t="shared" si="121"/>
        <v>0</v>
      </c>
      <c r="AQ103" s="118">
        <f t="shared" si="104"/>
        <v>0</v>
      </c>
      <c r="AR103" s="82" t="str">
        <f t="shared" si="122"/>
        <v>https://www.alta.ru/tnved/code//</v>
      </c>
      <c r="AS103" s="157"/>
      <c r="AT103" s="162"/>
      <c r="AU103" s="74">
        <f t="shared" si="105"/>
        <v>0</v>
      </c>
      <c r="AV103" s="157"/>
      <c r="AW103" s="75">
        <f>_xlfn.IFNA(VLOOKUP(L103,list_vat[],3,FALSE),0)</f>
        <v>0</v>
      </c>
      <c r="AX103" s="74">
        <f t="shared" si="123"/>
        <v>0</v>
      </c>
      <c r="AY103" s="74">
        <f t="shared" si="124"/>
        <v>0</v>
      </c>
      <c r="AZ103" s="130">
        <f t="shared" si="125"/>
        <v>0</v>
      </c>
      <c r="BA103" s="74">
        <f t="shared" si="106"/>
        <v>0</v>
      </c>
      <c r="BB103" s="193">
        <f t="shared" si="126"/>
        <v>0</v>
      </c>
      <c r="BC103" s="102">
        <f t="shared" si="127"/>
        <v>0</v>
      </c>
      <c r="BD103" s="102">
        <f t="shared" si="128"/>
        <v>0</v>
      </c>
      <c r="BE103" s="413" t="s">
        <v>69</v>
      </c>
    </row>
    <row r="104" spans="1:57" s="65" customFormat="1" ht="12" customHeight="1" x14ac:dyDescent="0.2">
      <c r="A104" s="43">
        <v>89</v>
      </c>
      <c r="B104" s="166"/>
      <c r="C104" s="166"/>
      <c r="D104" s="166"/>
      <c r="E104" s="162"/>
      <c r="F104" s="166"/>
      <c r="G104" s="162"/>
      <c r="H104" s="162"/>
      <c r="I104" s="189">
        <f t="shared" si="107"/>
        <v>0</v>
      </c>
      <c r="J104" s="195"/>
      <c r="K104" s="162"/>
      <c r="L104" s="168"/>
      <c r="M104" s="75">
        <f>_xlfn.XLOOKUP(L104,list_vat[Страна],list_vat[Ставка НДС %],0,0)</f>
        <v>0</v>
      </c>
      <c r="N104" s="162">
        <f t="shared" si="108"/>
        <v>0</v>
      </c>
      <c r="O104" s="169"/>
      <c r="P104" s="74">
        <f t="shared" si="129"/>
        <v>0</v>
      </c>
      <c r="Q104" s="162"/>
      <c r="R104" s="162" t="str">
        <f t="shared" si="109"/>
        <v>введи курс</v>
      </c>
      <c r="S104" s="196">
        <f t="shared" si="110"/>
        <v>0</v>
      </c>
      <c r="T104" s="192">
        <f t="shared" si="111"/>
        <v>0</v>
      </c>
      <c r="U104" s="76">
        <f t="shared" si="112"/>
        <v>0</v>
      </c>
      <c r="V104" s="123">
        <f t="shared" si="113"/>
        <v>0</v>
      </c>
      <c r="W104" s="191"/>
      <c r="X104" s="170"/>
      <c r="Y104" s="74">
        <f t="shared" si="99"/>
        <v>0</v>
      </c>
      <c r="Z104" s="188"/>
      <c r="AA104" s="130">
        <f t="shared" si="114"/>
        <v>0</v>
      </c>
      <c r="AB104" s="74">
        <f t="shared" si="115"/>
        <v>0</v>
      </c>
      <c r="AC104" s="356"/>
      <c r="AD104" s="130" cm="1">
        <f t="array" ref="AD104">IFERROR(ROUND((_xlfn.IFS(offer_sale_type="поставка",AB104,offer_sale_type="транзит",S104)*(1+AC104))/E104,2),0)</f>
        <v>0</v>
      </c>
      <c r="AE104" s="74">
        <f t="shared" si="116"/>
        <v>0</v>
      </c>
      <c r="AF104" s="123" cm="1">
        <f t="array" ref="AF104">IFERROR(ROUND(_xlfn.IFS(offer_sale_type="поставка",AB104,offer_sale_type="транзит",S104)*AC104,2),0)</f>
        <v>0</v>
      </c>
      <c r="AG104" s="130">
        <f t="shared" si="62"/>
        <v>0</v>
      </c>
      <c r="AH104" s="74">
        <f t="shared" si="100"/>
        <v>0</v>
      </c>
      <c r="AI104" s="123">
        <f t="shared" si="101"/>
        <v>0</v>
      </c>
      <c r="AJ104" s="118">
        <f t="shared" si="117"/>
        <v>0</v>
      </c>
      <c r="AK104" s="74">
        <f t="shared" si="118"/>
        <v>0</v>
      </c>
      <c r="AL104" s="174">
        <f t="shared" si="119"/>
        <v>0</v>
      </c>
      <c r="AM104" s="175">
        <f t="shared" si="102"/>
        <v>0</v>
      </c>
      <c r="AN104" s="130">
        <f t="shared" si="120"/>
        <v>0</v>
      </c>
      <c r="AO104" s="74">
        <f t="shared" si="103"/>
        <v>0</v>
      </c>
      <c r="AP104" s="123">
        <f t="shared" si="121"/>
        <v>0</v>
      </c>
      <c r="AQ104" s="118">
        <f t="shared" si="104"/>
        <v>0</v>
      </c>
      <c r="AR104" s="82" t="str">
        <f t="shared" si="122"/>
        <v>https://www.alta.ru/tnved/code//</v>
      </c>
      <c r="AS104" s="157"/>
      <c r="AT104" s="162"/>
      <c r="AU104" s="74">
        <f t="shared" si="105"/>
        <v>0</v>
      </c>
      <c r="AV104" s="157"/>
      <c r="AW104" s="75">
        <f>_xlfn.IFNA(VLOOKUP(L104,list_vat[],3,FALSE),0)</f>
        <v>0</v>
      </c>
      <c r="AX104" s="74">
        <f t="shared" si="123"/>
        <v>0</v>
      </c>
      <c r="AY104" s="74">
        <f t="shared" si="124"/>
        <v>0</v>
      </c>
      <c r="AZ104" s="130">
        <f t="shared" si="125"/>
        <v>0</v>
      </c>
      <c r="BA104" s="74">
        <f t="shared" si="106"/>
        <v>0</v>
      </c>
      <c r="BB104" s="193">
        <f t="shared" si="126"/>
        <v>0</v>
      </c>
      <c r="BC104" s="102">
        <f t="shared" si="127"/>
        <v>0</v>
      </c>
      <c r="BD104" s="102">
        <f t="shared" si="128"/>
        <v>0</v>
      </c>
      <c r="BE104" s="413" t="s">
        <v>69</v>
      </c>
    </row>
    <row r="105" spans="1:57" s="65" customFormat="1" ht="12" customHeight="1" x14ac:dyDescent="0.2">
      <c r="A105" s="43">
        <v>90</v>
      </c>
      <c r="B105" s="166"/>
      <c r="C105" s="166"/>
      <c r="D105" s="166"/>
      <c r="E105" s="162"/>
      <c r="F105" s="166"/>
      <c r="G105" s="162"/>
      <c r="H105" s="162"/>
      <c r="I105" s="189">
        <f t="shared" si="107"/>
        <v>0</v>
      </c>
      <c r="J105" s="195"/>
      <c r="K105" s="162"/>
      <c r="L105" s="168"/>
      <c r="M105" s="75">
        <f>_xlfn.XLOOKUP(L105,list_vat[Страна],list_vat[Ставка НДС %],0,0)</f>
        <v>0</v>
      </c>
      <c r="N105" s="162">
        <f t="shared" si="108"/>
        <v>0</v>
      </c>
      <c r="O105" s="169"/>
      <c r="P105" s="74">
        <f t="shared" si="129"/>
        <v>0</v>
      </c>
      <c r="Q105" s="162"/>
      <c r="R105" s="162" t="str">
        <f t="shared" si="109"/>
        <v>введи курс</v>
      </c>
      <c r="S105" s="196">
        <f t="shared" si="110"/>
        <v>0</v>
      </c>
      <c r="T105" s="192">
        <f t="shared" si="111"/>
        <v>0</v>
      </c>
      <c r="U105" s="76">
        <f t="shared" si="112"/>
        <v>0</v>
      </c>
      <c r="V105" s="123">
        <f t="shared" si="113"/>
        <v>0</v>
      </c>
      <c r="W105" s="191"/>
      <c r="X105" s="170"/>
      <c r="Y105" s="74">
        <f t="shared" si="99"/>
        <v>0</v>
      </c>
      <c r="Z105" s="188"/>
      <c r="AA105" s="130">
        <f t="shared" si="114"/>
        <v>0</v>
      </c>
      <c r="AB105" s="74">
        <f t="shared" si="115"/>
        <v>0</v>
      </c>
      <c r="AC105" s="356"/>
      <c r="AD105" s="130" cm="1">
        <f t="array" ref="AD105">IFERROR(ROUND((_xlfn.IFS(offer_sale_type="поставка",AB105,offer_sale_type="транзит",S105)*(1+AC105))/E105,2),0)</f>
        <v>0</v>
      </c>
      <c r="AE105" s="74">
        <f t="shared" si="116"/>
        <v>0</v>
      </c>
      <c r="AF105" s="123" cm="1">
        <f t="array" ref="AF105">IFERROR(ROUND(_xlfn.IFS(offer_sale_type="поставка",AB105,offer_sale_type="транзит",S105)*AC105,2),0)</f>
        <v>0</v>
      </c>
      <c r="AG105" s="130">
        <f t="shared" si="62"/>
        <v>0</v>
      </c>
      <c r="AH105" s="74">
        <f t="shared" si="100"/>
        <v>0</v>
      </c>
      <c r="AI105" s="123">
        <f t="shared" si="101"/>
        <v>0</v>
      </c>
      <c r="AJ105" s="118">
        <f t="shared" si="117"/>
        <v>0</v>
      </c>
      <c r="AK105" s="74">
        <f t="shared" si="118"/>
        <v>0</v>
      </c>
      <c r="AL105" s="174">
        <f t="shared" si="119"/>
        <v>0</v>
      </c>
      <c r="AM105" s="175">
        <f t="shared" si="102"/>
        <v>0</v>
      </c>
      <c r="AN105" s="130">
        <f t="shared" si="120"/>
        <v>0</v>
      </c>
      <c r="AO105" s="74">
        <f t="shared" si="103"/>
        <v>0</v>
      </c>
      <c r="AP105" s="123">
        <f t="shared" si="121"/>
        <v>0</v>
      </c>
      <c r="AQ105" s="118">
        <f t="shared" si="104"/>
        <v>0</v>
      </c>
      <c r="AR105" s="82" t="str">
        <f t="shared" si="122"/>
        <v>https://www.alta.ru/tnved/code//</v>
      </c>
      <c r="AS105" s="157"/>
      <c r="AT105" s="162"/>
      <c r="AU105" s="74">
        <f t="shared" si="105"/>
        <v>0</v>
      </c>
      <c r="AV105" s="157"/>
      <c r="AW105" s="75">
        <f>_xlfn.IFNA(VLOOKUP(L105,list_vat[],3,FALSE),0)</f>
        <v>0</v>
      </c>
      <c r="AX105" s="74">
        <f t="shared" si="123"/>
        <v>0</v>
      </c>
      <c r="AY105" s="74">
        <f t="shared" si="124"/>
        <v>0</v>
      </c>
      <c r="AZ105" s="130">
        <f t="shared" si="125"/>
        <v>0</v>
      </c>
      <c r="BA105" s="74">
        <f t="shared" si="106"/>
        <v>0</v>
      </c>
      <c r="BB105" s="193">
        <f t="shared" si="126"/>
        <v>0</v>
      </c>
      <c r="BC105" s="102">
        <f t="shared" si="127"/>
        <v>0</v>
      </c>
      <c r="BD105" s="102">
        <f t="shared" si="128"/>
        <v>0</v>
      </c>
      <c r="BE105" s="413" t="s">
        <v>69</v>
      </c>
    </row>
    <row r="106" spans="1:57" s="65" customFormat="1" ht="12" customHeight="1" x14ac:dyDescent="0.2">
      <c r="A106" s="43">
        <v>91</v>
      </c>
      <c r="B106" s="166"/>
      <c r="C106" s="166"/>
      <c r="D106" s="166"/>
      <c r="E106" s="162"/>
      <c r="F106" s="166"/>
      <c r="G106" s="162"/>
      <c r="H106" s="162"/>
      <c r="I106" s="189">
        <f t="shared" si="107"/>
        <v>0</v>
      </c>
      <c r="J106" s="195"/>
      <c r="K106" s="162"/>
      <c r="L106" s="168"/>
      <c r="M106" s="75">
        <f>_xlfn.XLOOKUP(L106,list_vat[Страна],list_vat[Ставка НДС %],0,0)</f>
        <v>0</v>
      </c>
      <c r="N106" s="162">
        <f t="shared" si="108"/>
        <v>0</v>
      </c>
      <c r="O106" s="169"/>
      <c r="P106" s="74">
        <f t="shared" si="129"/>
        <v>0</v>
      </c>
      <c r="Q106" s="162"/>
      <c r="R106" s="162" t="str">
        <f t="shared" si="109"/>
        <v>введи курс</v>
      </c>
      <c r="S106" s="196">
        <f t="shared" si="110"/>
        <v>0</v>
      </c>
      <c r="T106" s="192">
        <f t="shared" si="111"/>
        <v>0</v>
      </c>
      <c r="U106" s="76">
        <f t="shared" si="112"/>
        <v>0</v>
      </c>
      <c r="V106" s="123">
        <f t="shared" si="113"/>
        <v>0</v>
      </c>
      <c r="W106" s="191"/>
      <c r="X106" s="170"/>
      <c r="Y106" s="74">
        <f t="shared" si="99"/>
        <v>0</v>
      </c>
      <c r="Z106" s="188"/>
      <c r="AA106" s="130">
        <f t="shared" si="114"/>
        <v>0</v>
      </c>
      <c r="AB106" s="74">
        <f t="shared" si="115"/>
        <v>0</v>
      </c>
      <c r="AC106" s="356"/>
      <c r="AD106" s="130" cm="1">
        <f t="array" ref="AD106">IFERROR(ROUND((_xlfn.IFS(offer_sale_type="поставка",AB106,offer_sale_type="транзит",S106)*(1+AC106))/E106,2),0)</f>
        <v>0</v>
      </c>
      <c r="AE106" s="74">
        <f t="shared" si="116"/>
        <v>0</v>
      </c>
      <c r="AF106" s="123" cm="1">
        <f t="array" ref="AF106">IFERROR(ROUND(_xlfn.IFS(offer_sale_type="поставка",AB106,offer_sale_type="транзит",S106)*AC106,2),0)</f>
        <v>0</v>
      </c>
      <c r="AG106" s="130">
        <f t="shared" si="62"/>
        <v>0</v>
      </c>
      <c r="AH106" s="74">
        <f t="shared" si="100"/>
        <v>0</v>
      </c>
      <c r="AI106" s="123">
        <f t="shared" si="101"/>
        <v>0</v>
      </c>
      <c r="AJ106" s="118">
        <f t="shared" si="117"/>
        <v>0</v>
      </c>
      <c r="AK106" s="74">
        <f t="shared" si="118"/>
        <v>0</v>
      </c>
      <c r="AL106" s="174">
        <f t="shared" si="119"/>
        <v>0</v>
      </c>
      <c r="AM106" s="175">
        <f t="shared" si="102"/>
        <v>0</v>
      </c>
      <c r="AN106" s="130">
        <f t="shared" si="120"/>
        <v>0</v>
      </c>
      <c r="AO106" s="74">
        <f t="shared" si="103"/>
        <v>0</v>
      </c>
      <c r="AP106" s="123">
        <f t="shared" si="121"/>
        <v>0</v>
      </c>
      <c r="AQ106" s="118">
        <f t="shared" si="104"/>
        <v>0</v>
      </c>
      <c r="AR106" s="82" t="str">
        <f t="shared" si="122"/>
        <v>https://www.alta.ru/tnved/code//</v>
      </c>
      <c r="AS106" s="157"/>
      <c r="AT106" s="162"/>
      <c r="AU106" s="74">
        <f t="shared" si="105"/>
        <v>0</v>
      </c>
      <c r="AV106" s="157"/>
      <c r="AW106" s="75">
        <f>_xlfn.IFNA(VLOOKUP(L106,list_vat[],3,FALSE),0)</f>
        <v>0</v>
      </c>
      <c r="AX106" s="74">
        <f t="shared" si="123"/>
        <v>0</v>
      </c>
      <c r="AY106" s="74">
        <f t="shared" si="124"/>
        <v>0</v>
      </c>
      <c r="AZ106" s="130">
        <f t="shared" si="125"/>
        <v>0</v>
      </c>
      <c r="BA106" s="74">
        <f t="shared" si="106"/>
        <v>0</v>
      </c>
      <c r="BB106" s="193">
        <f t="shared" si="126"/>
        <v>0</v>
      </c>
      <c r="BC106" s="102">
        <f t="shared" si="127"/>
        <v>0</v>
      </c>
      <c r="BD106" s="102">
        <f t="shared" si="128"/>
        <v>0</v>
      </c>
      <c r="BE106" s="413" t="s">
        <v>69</v>
      </c>
    </row>
    <row r="107" spans="1:57" s="65" customFormat="1" ht="12" customHeight="1" x14ac:dyDescent="0.2">
      <c r="A107" s="43">
        <v>92</v>
      </c>
      <c r="B107" s="166"/>
      <c r="C107" s="166"/>
      <c r="D107" s="166"/>
      <c r="E107" s="162"/>
      <c r="F107" s="166"/>
      <c r="G107" s="162"/>
      <c r="H107" s="162"/>
      <c r="I107" s="189">
        <f t="shared" si="107"/>
        <v>0</v>
      </c>
      <c r="J107" s="195"/>
      <c r="K107" s="162"/>
      <c r="L107" s="168"/>
      <c r="M107" s="75">
        <f>_xlfn.XLOOKUP(L107,list_vat[Страна],list_vat[Ставка НДС %],0,0)</f>
        <v>0</v>
      </c>
      <c r="N107" s="162">
        <f t="shared" si="108"/>
        <v>0</v>
      </c>
      <c r="O107" s="169"/>
      <c r="P107" s="74">
        <f t="shared" si="129"/>
        <v>0</v>
      </c>
      <c r="Q107" s="162"/>
      <c r="R107" s="162" t="str">
        <f t="shared" si="109"/>
        <v>введи курс</v>
      </c>
      <c r="S107" s="196">
        <f t="shared" si="110"/>
        <v>0</v>
      </c>
      <c r="T107" s="192">
        <f t="shared" si="111"/>
        <v>0</v>
      </c>
      <c r="U107" s="76">
        <f t="shared" si="112"/>
        <v>0</v>
      </c>
      <c r="V107" s="123">
        <f t="shared" si="113"/>
        <v>0</v>
      </c>
      <c r="W107" s="191"/>
      <c r="X107" s="170"/>
      <c r="Y107" s="74">
        <f t="shared" si="99"/>
        <v>0</v>
      </c>
      <c r="Z107" s="188"/>
      <c r="AA107" s="130">
        <f t="shared" si="114"/>
        <v>0</v>
      </c>
      <c r="AB107" s="74">
        <f t="shared" si="115"/>
        <v>0</v>
      </c>
      <c r="AC107" s="356"/>
      <c r="AD107" s="130" cm="1">
        <f t="array" ref="AD107">IFERROR(ROUND((_xlfn.IFS(offer_sale_type="поставка",AB107,offer_sale_type="транзит",S107)*(1+AC107))/E107,2),0)</f>
        <v>0</v>
      </c>
      <c r="AE107" s="74">
        <f t="shared" si="116"/>
        <v>0</v>
      </c>
      <c r="AF107" s="123" cm="1">
        <f t="array" ref="AF107">IFERROR(ROUND(_xlfn.IFS(offer_sale_type="поставка",AB107,offer_sale_type="транзит",S107)*AC107,2),0)</f>
        <v>0</v>
      </c>
      <c r="AG107" s="130">
        <f t="shared" si="62"/>
        <v>0</v>
      </c>
      <c r="AH107" s="74">
        <f t="shared" si="100"/>
        <v>0</v>
      </c>
      <c r="AI107" s="123">
        <f t="shared" si="101"/>
        <v>0</v>
      </c>
      <c r="AJ107" s="118">
        <f t="shared" si="117"/>
        <v>0</v>
      </c>
      <c r="AK107" s="74">
        <f t="shared" si="118"/>
        <v>0</v>
      </c>
      <c r="AL107" s="174">
        <f t="shared" si="119"/>
        <v>0</v>
      </c>
      <c r="AM107" s="175">
        <f t="shared" si="102"/>
        <v>0</v>
      </c>
      <c r="AN107" s="130">
        <f t="shared" si="120"/>
        <v>0</v>
      </c>
      <c r="AO107" s="74">
        <f t="shared" si="103"/>
        <v>0</v>
      </c>
      <c r="AP107" s="123">
        <f t="shared" si="121"/>
        <v>0</v>
      </c>
      <c r="AQ107" s="118">
        <f t="shared" si="104"/>
        <v>0</v>
      </c>
      <c r="AR107" s="82" t="str">
        <f t="shared" si="122"/>
        <v>https://www.alta.ru/tnved/code//</v>
      </c>
      <c r="AS107" s="157"/>
      <c r="AT107" s="162"/>
      <c r="AU107" s="74">
        <f t="shared" si="105"/>
        <v>0</v>
      </c>
      <c r="AV107" s="157"/>
      <c r="AW107" s="75">
        <f>_xlfn.IFNA(VLOOKUP(L107,list_vat[],3,FALSE),0)</f>
        <v>0</v>
      </c>
      <c r="AX107" s="74">
        <f t="shared" si="123"/>
        <v>0</v>
      </c>
      <c r="AY107" s="74">
        <f t="shared" si="124"/>
        <v>0</v>
      </c>
      <c r="AZ107" s="130">
        <f t="shared" si="125"/>
        <v>0</v>
      </c>
      <c r="BA107" s="74">
        <f t="shared" si="106"/>
        <v>0</v>
      </c>
      <c r="BB107" s="193">
        <f t="shared" si="126"/>
        <v>0</v>
      </c>
      <c r="BC107" s="102">
        <f t="shared" si="127"/>
        <v>0</v>
      </c>
      <c r="BD107" s="102">
        <f t="shared" si="128"/>
        <v>0</v>
      </c>
      <c r="BE107" s="413" t="s">
        <v>69</v>
      </c>
    </row>
    <row r="108" spans="1:57" s="65" customFormat="1" ht="12" customHeight="1" x14ac:dyDescent="0.2">
      <c r="A108" s="43">
        <v>93</v>
      </c>
      <c r="B108" s="166"/>
      <c r="C108" s="166"/>
      <c r="D108" s="166"/>
      <c r="E108" s="162"/>
      <c r="F108" s="166"/>
      <c r="G108" s="162"/>
      <c r="H108" s="162"/>
      <c r="I108" s="189">
        <f t="shared" si="107"/>
        <v>0</v>
      </c>
      <c r="J108" s="195"/>
      <c r="K108" s="162"/>
      <c r="L108" s="168"/>
      <c r="M108" s="75">
        <f>_xlfn.XLOOKUP(L108,list_vat[Страна],list_vat[Ставка НДС %],0,0)</f>
        <v>0</v>
      </c>
      <c r="N108" s="162">
        <f t="shared" si="108"/>
        <v>0</v>
      </c>
      <c r="O108" s="169"/>
      <c r="P108" s="74">
        <f t="shared" si="129"/>
        <v>0</v>
      </c>
      <c r="Q108" s="162"/>
      <c r="R108" s="162" t="str">
        <f t="shared" si="109"/>
        <v>введи курс</v>
      </c>
      <c r="S108" s="196">
        <f t="shared" si="110"/>
        <v>0</v>
      </c>
      <c r="T108" s="192">
        <f t="shared" si="111"/>
        <v>0</v>
      </c>
      <c r="U108" s="76">
        <f t="shared" si="112"/>
        <v>0</v>
      </c>
      <c r="V108" s="123">
        <f t="shared" si="113"/>
        <v>0</v>
      </c>
      <c r="W108" s="191"/>
      <c r="X108" s="170"/>
      <c r="Y108" s="74">
        <f t="shared" si="99"/>
        <v>0</v>
      </c>
      <c r="Z108" s="188"/>
      <c r="AA108" s="130">
        <f t="shared" si="114"/>
        <v>0</v>
      </c>
      <c r="AB108" s="74">
        <f t="shared" si="115"/>
        <v>0</v>
      </c>
      <c r="AC108" s="356"/>
      <c r="AD108" s="130" cm="1">
        <f t="array" ref="AD108">IFERROR(ROUND((_xlfn.IFS(offer_sale_type="поставка",AB108,offer_sale_type="транзит",S108)*(1+AC108))/E108,2),0)</f>
        <v>0</v>
      </c>
      <c r="AE108" s="74">
        <f t="shared" si="116"/>
        <v>0</v>
      </c>
      <c r="AF108" s="123" cm="1">
        <f t="array" ref="AF108">IFERROR(ROUND(_xlfn.IFS(offer_sale_type="поставка",AB108,offer_sale_type="транзит",S108)*AC108,2),0)</f>
        <v>0</v>
      </c>
      <c r="AG108" s="130">
        <f t="shared" si="62"/>
        <v>0</v>
      </c>
      <c r="AH108" s="74">
        <f t="shared" si="100"/>
        <v>0</v>
      </c>
      <c r="AI108" s="123">
        <f t="shared" si="101"/>
        <v>0</v>
      </c>
      <c r="AJ108" s="118">
        <f t="shared" si="117"/>
        <v>0</v>
      </c>
      <c r="AK108" s="74">
        <f t="shared" si="118"/>
        <v>0</v>
      </c>
      <c r="AL108" s="174">
        <f t="shared" si="119"/>
        <v>0</v>
      </c>
      <c r="AM108" s="175">
        <f t="shared" si="102"/>
        <v>0</v>
      </c>
      <c r="AN108" s="130">
        <f t="shared" si="120"/>
        <v>0</v>
      </c>
      <c r="AO108" s="74">
        <f t="shared" si="103"/>
        <v>0</v>
      </c>
      <c r="AP108" s="123">
        <f t="shared" si="121"/>
        <v>0</v>
      </c>
      <c r="AQ108" s="118">
        <f t="shared" si="104"/>
        <v>0</v>
      </c>
      <c r="AR108" s="82" t="str">
        <f t="shared" si="122"/>
        <v>https://www.alta.ru/tnved/code//</v>
      </c>
      <c r="AS108" s="157"/>
      <c r="AT108" s="162"/>
      <c r="AU108" s="74">
        <f t="shared" si="105"/>
        <v>0</v>
      </c>
      <c r="AV108" s="157"/>
      <c r="AW108" s="75">
        <f>_xlfn.IFNA(VLOOKUP(L108,list_vat[],3,FALSE),0)</f>
        <v>0</v>
      </c>
      <c r="AX108" s="74">
        <f t="shared" si="123"/>
        <v>0</v>
      </c>
      <c r="AY108" s="74">
        <f t="shared" si="124"/>
        <v>0</v>
      </c>
      <c r="AZ108" s="130">
        <f t="shared" si="125"/>
        <v>0</v>
      </c>
      <c r="BA108" s="74">
        <f t="shared" si="106"/>
        <v>0</v>
      </c>
      <c r="BB108" s="193">
        <f t="shared" si="126"/>
        <v>0</v>
      </c>
      <c r="BC108" s="102">
        <f t="shared" si="127"/>
        <v>0</v>
      </c>
      <c r="BD108" s="102">
        <f t="shared" si="128"/>
        <v>0</v>
      </c>
      <c r="BE108" s="413" t="s">
        <v>69</v>
      </c>
    </row>
    <row r="109" spans="1:57" s="65" customFormat="1" ht="12" customHeight="1" x14ac:dyDescent="0.2">
      <c r="A109" s="43">
        <v>94</v>
      </c>
      <c r="B109" s="166"/>
      <c r="C109" s="166"/>
      <c r="D109" s="166"/>
      <c r="E109" s="162"/>
      <c r="F109" s="166"/>
      <c r="G109" s="162"/>
      <c r="H109" s="162"/>
      <c r="I109" s="189">
        <f t="shared" si="107"/>
        <v>0</v>
      </c>
      <c r="J109" s="195"/>
      <c r="K109" s="162"/>
      <c r="L109" s="168"/>
      <c r="M109" s="75">
        <f>_xlfn.XLOOKUP(L109,list_vat[Страна],list_vat[Ставка НДС %],0,0)</f>
        <v>0</v>
      </c>
      <c r="N109" s="162">
        <f t="shared" si="108"/>
        <v>0</v>
      </c>
      <c r="O109" s="169"/>
      <c r="P109" s="74">
        <f t="shared" si="129"/>
        <v>0</v>
      </c>
      <c r="Q109" s="162"/>
      <c r="R109" s="162" t="str">
        <f t="shared" si="109"/>
        <v>введи курс</v>
      </c>
      <c r="S109" s="196">
        <f t="shared" si="110"/>
        <v>0</v>
      </c>
      <c r="T109" s="192">
        <f t="shared" si="111"/>
        <v>0</v>
      </c>
      <c r="U109" s="76">
        <f t="shared" si="112"/>
        <v>0</v>
      </c>
      <c r="V109" s="123">
        <f t="shared" si="113"/>
        <v>0</v>
      </c>
      <c r="W109" s="191"/>
      <c r="X109" s="170"/>
      <c r="Y109" s="74">
        <f t="shared" si="99"/>
        <v>0</v>
      </c>
      <c r="Z109" s="188"/>
      <c r="AA109" s="130">
        <f t="shared" si="114"/>
        <v>0</v>
      </c>
      <c r="AB109" s="74">
        <f t="shared" si="115"/>
        <v>0</v>
      </c>
      <c r="AC109" s="356"/>
      <c r="AD109" s="130" cm="1">
        <f t="array" ref="AD109">IFERROR(ROUND((_xlfn.IFS(offer_sale_type="поставка",AB109,offer_sale_type="транзит",S109)*(1+AC109))/E109,2),0)</f>
        <v>0</v>
      </c>
      <c r="AE109" s="74">
        <f t="shared" si="116"/>
        <v>0</v>
      </c>
      <c r="AF109" s="123" cm="1">
        <f t="array" ref="AF109">IFERROR(ROUND(_xlfn.IFS(offer_sale_type="поставка",AB109,offer_sale_type="транзит",S109)*AC109,2),0)</f>
        <v>0</v>
      </c>
      <c r="AG109" s="130">
        <f t="shared" si="62"/>
        <v>0</v>
      </c>
      <c r="AH109" s="74">
        <f t="shared" si="100"/>
        <v>0</v>
      </c>
      <c r="AI109" s="123">
        <f t="shared" si="101"/>
        <v>0</v>
      </c>
      <c r="AJ109" s="118">
        <f t="shared" si="117"/>
        <v>0</v>
      </c>
      <c r="AK109" s="74">
        <f t="shared" si="118"/>
        <v>0</v>
      </c>
      <c r="AL109" s="174">
        <f t="shared" si="119"/>
        <v>0</v>
      </c>
      <c r="AM109" s="175">
        <f t="shared" si="102"/>
        <v>0</v>
      </c>
      <c r="AN109" s="130">
        <f t="shared" si="120"/>
        <v>0</v>
      </c>
      <c r="AO109" s="74">
        <f t="shared" si="103"/>
        <v>0</v>
      </c>
      <c r="AP109" s="123">
        <f t="shared" si="121"/>
        <v>0</v>
      </c>
      <c r="AQ109" s="118">
        <f t="shared" si="104"/>
        <v>0</v>
      </c>
      <c r="AR109" s="82" t="str">
        <f t="shared" si="122"/>
        <v>https://www.alta.ru/tnved/code//</v>
      </c>
      <c r="AS109" s="157"/>
      <c r="AT109" s="162"/>
      <c r="AU109" s="74">
        <f t="shared" si="105"/>
        <v>0</v>
      </c>
      <c r="AV109" s="157"/>
      <c r="AW109" s="75">
        <f>_xlfn.IFNA(VLOOKUP(L109,list_vat[],3,FALSE),0)</f>
        <v>0</v>
      </c>
      <c r="AX109" s="74">
        <f t="shared" si="123"/>
        <v>0</v>
      </c>
      <c r="AY109" s="74">
        <f t="shared" si="124"/>
        <v>0</v>
      </c>
      <c r="AZ109" s="130">
        <f t="shared" si="125"/>
        <v>0</v>
      </c>
      <c r="BA109" s="74">
        <f t="shared" si="106"/>
        <v>0</v>
      </c>
      <c r="BB109" s="193">
        <f t="shared" si="126"/>
        <v>0</v>
      </c>
      <c r="BC109" s="102">
        <f t="shared" si="127"/>
        <v>0</v>
      </c>
      <c r="BD109" s="102">
        <f t="shared" si="128"/>
        <v>0</v>
      </c>
      <c r="BE109" s="413" t="s">
        <v>69</v>
      </c>
    </row>
    <row r="110" spans="1:57" s="65" customFormat="1" ht="12" customHeight="1" x14ac:dyDescent="0.2">
      <c r="A110" s="43">
        <v>95</v>
      </c>
      <c r="B110" s="166"/>
      <c r="C110" s="166"/>
      <c r="D110" s="166"/>
      <c r="E110" s="162"/>
      <c r="F110" s="166"/>
      <c r="G110" s="162"/>
      <c r="H110" s="162"/>
      <c r="I110" s="189">
        <f t="shared" si="107"/>
        <v>0</v>
      </c>
      <c r="J110" s="195"/>
      <c r="K110" s="162"/>
      <c r="L110" s="168"/>
      <c r="M110" s="75">
        <f>_xlfn.XLOOKUP(L110,list_vat[Страна],list_vat[Ставка НДС %],0,0)</f>
        <v>0</v>
      </c>
      <c r="N110" s="162">
        <f t="shared" si="108"/>
        <v>0</v>
      </c>
      <c r="O110" s="169"/>
      <c r="P110" s="74">
        <f t="shared" si="129"/>
        <v>0</v>
      </c>
      <c r="Q110" s="162"/>
      <c r="R110" s="162" t="str">
        <f t="shared" si="109"/>
        <v>введи курс</v>
      </c>
      <c r="S110" s="196">
        <f t="shared" si="110"/>
        <v>0</v>
      </c>
      <c r="T110" s="192">
        <f t="shared" si="111"/>
        <v>0</v>
      </c>
      <c r="U110" s="76">
        <f t="shared" si="112"/>
        <v>0</v>
      </c>
      <c r="V110" s="123">
        <f t="shared" si="113"/>
        <v>0</v>
      </c>
      <c r="W110" s="191"/>
      <c r="X110" s="170"/>
      <c r="Y110" s="74">
        <f t="shared" si="99"/>
        <v>0</v>
      </c>
      <c r="Z110" s="188"/>
      <c r="AA110" s="130">
        <f t="shared" si="114"/>
        <v>0</v>
      </c>
      <c r="AB110" s="74">
        <f t="shared" si="115"/>
        <v>0</v>
      </c>
      <c r="AC110" s="356"/>
      <c r="AD110" s="130" cm="1">
        <f t="array" ref="AD110">IFERROR(ROUND((_xlfn.IFS(offer_sale_type="поставка",AB110,offer_sale_type="транзит",S110)*(1+AC110))/E110,2),0)</f>
        <v>0</v>
      </c>
      <c r="AE110" s="74">
        <f t="shared" si="116"/>
        <v>0</v>
      </c>
      <c r="AF110" s="123" cm="1">
        <f t="array" ref="AF110">IFERROR(ROUND(_xlfn.IFS(offer_sale_type="поставка",AB110,offer_sale_type="транзит",S110)*AC110,2),0)</f>
        <v>0</v>
      </c>
      <c r="AG110" s="130">
        <f t="shared" si="62"/>
        <v>0</v>
      </c>
      <c r="AH110" s="74">
        <f t="shared" si="100"/>
        <v>0</v>
      </c>
      <c r="AI110" s="123">
        <f t="shared" si="101"/>
        <v>0</v>
      </c>
      <c r="AJ110" s="118">
        <f t="shared" si="117"/>
        <v>0</v>
      </c>
      <c r="AK110" s="74">
        <f t="shared" si="118"/>
        <v>0</v>
      </c>
      <c r="AL110" s="174">
        <f t="shared" si="119"/>
        <v>0</v>
      </c>
      <c r="AM110" s="175">
        <f t="shared" si="102"/>
        <v>0</v>
      </c>
      <c r="AN110" s="130">
        <f t="shared" si="120"/>
        <v>0</v>
      </c>
      <c r="AO110" s="74">
        <f t="shared" si="103"/>
        <v>0</v>
      </c>
      <c r="AP110" s="123">
        <f t="shared" si="121"/>
        <v>0</v>
      </c>
      <c r="AQ110" s="118">
        <f t="shared" si="104"/>
        <v>0</v>
      </c>
      <c r="AR110" s="82" t="str">
        <f t="shared" si="122"/>
        <v>https://www.alta.ru/tnved/code//</v>
      </c>
      <c r="AS110" s="157"/>
      <c r="AT110" s="162"/>
      <c r="AU110" s="74">
        <f t="shared" si="105"/>
        <v>0</v>
      </c>
      <c r="AV110" s="157"/>
      <c r="AW110" s="75">
        <f>_xlfn.IFNA(VLOOKUP(L110,list_vat[],3,FALSE),0)</f>
        <v>0</v>
      </c>
      <c r="AX110" s="74">
        <f t="shared" si="123"/>
        <v>0</v>
      </c>
      <c r="AY110" s="74">
        <f t="shared" si="124"/>
        <v>0</v>
      </c>
      <c r="AZ110" s="130">
        <f t="shared" si="125"/>
        <v>0</v>
      </c>
      <c r="BA110" s="74">
        <f t="shared" si="106"/>
        <v>0</v>
      </c>
      <c r="BB110" s="193">
        <f t="shared" si="126"/>
        <v>0</v>
      </c>
      <c r="BC110" s="102">
        <f t="shared" si="127"/>
        <v>0</v>
      </c>
      <c r="BD110" s="102">
        <f t="shared" si="128"/>
        <v>0</v>
      </c>
      <c r="BE110" s="413" t="s">
        <v>69</v>
      </c>
    </row>
    <row r="111" spans="1:57" s="65" customFormat="1" ht="12" customHeight="1" x14ac:dyDescent="0.2">
      <c r="A111" s="43">
        <v>96</v>
      </c>
      <c r="B111" s="166"/>
      <c r="C111" s="166"/>
      <c r="D111" s="166"/>
      <c r="E111" s="162"/>
      <c r="F111" s="166"/>
      <c r="G111" s="162"/>
      <c r="H111" s="162"/>
      <c r="I111" s="189">
        <f t="shared" si="107"/>
        <v>0</v>
      </c>
      <c r="J111" s="195"/>
      <c r="K111" s="162"/>
      <c r="L111" s="168"/>
      <c r="M111" s="75">
        <f>_xlfn.XLOOKUP(L111,list_vat[Страна],list_vat[Ставка НДС %],0,0)</f>
        <v>0</v>
      </c>
      <c r="N111" s="162">
        <f t="shared" si="108"/>
        <v>0</v>
      </c>
      <c r="O111" s="169"/>
      <c r="P111" s="74">
        <f t="shared" si="129"/>
        <v>0</v>
      </c>
      <c r="Q111" s="162"/>
      <c r="R111" s="162" t="str">
        <f t="shared" si="109"/>
        <v>введи курс</v>
      </c>
      <c r="S111" s="196">
        <f t="shared" si="110"/>
        <v>0</v>
      </c>
      <c r="T111" s="192">
        <f t="shared" si="111"/>
        <v>0</v>
      </c>
      <c r="U111" s="76">
        <f t="shared" si="112"/>
        <v>0</v>
      </c>
      <c r="V111" s="123">
        <f t="shared" si="113"/>
        <v>0</v>
      </c>
      <c r="W111" s="191"/>
      <c r="X111" s="170"/>
      <c r="Y111" s="74">
        <f t="shared" si="99"/>
        <v>0</v>
      </c>
      <c r="Z111" s="188"/>
      <c r="AA111" s="130">
        <f t="shared" si="114"/>
        <v>0</v>
      </c>
      <c r="AB111" s="74">
        <f t="shared" si="115"/>
        <v>0</v>
      </c>
      <c r="AC111" s="356"/>
      <c r="AD111" s="130" cm="1">
        <f t="array" ref="AD111">IFERROR(ROUND((_xlfn.IFS(offer_sale_type="поставка",AB111,offer_sale_type="транзит",S111)*(1+AC111))/E111,2),0)</f>
        <v>0</v>
      </c>
      <c r="AE111" s="74">
        <f t="shared" si="116"/>
        <v>0</v>
      </c>
      <c r="AF111" s="123" cm="1">
        <f t="array" ref="AF111">IFERROR(ROUND(_xlfn.IFS(offer_sale_type="поставка",AB111,offer_sale_type="транзит",S111)*AC111,2),0)</f>
        <v>0</v>
      </c>
      <c r="AG111" s="130">
        <f t="shared" si="62"/>
        <v>0</v>
      </c>
      <c r="AH111" s="74">
        <f t="shared" si="100"/>
        <v>0</v>
      </c>
      <c r="AI111" s="123">
        <f t="shared" si="101"/>
        <v>0</v>
      </c>
      <c r="AJ111" s="118">
        <f t="shared" si="117"/>
        <v>0</v>
      </c>
      <c r="AK111" s="74">
        <f t="shared" si="118"/>
        <v>0</v>
      </c>
      <c r="AL111" s="174">
        <f t="shared" si="119"/>
        <v>0</v>
      </c>
      <c r="AM111" s="175">
        <f t="shared" si="102"/>
        <v>0</v>
      </c>
      <c r="AN111" s="130">
        <f t="shared" si="120"/>
        <v>0</v>
      </c>
      <c r="AO111" s="74">
        <f t="shared" si="103"/>
        <v>0</v>
      </c>
      <c r="AP111" s="123">
        <f t="shared" si="121"/>
        <v>0</v>
      </c>
      <c r="AQ111" s="118">
        <f t="shared" si="104"/>
        <v>0</v>
      </c>
      <c r="AR111" s="82" t="str">
        <f t="shared" si="122"/>
        <v>https://www.alta.ru/tnved/code//</v>
      </c>
      <c r="AS111" s="157"/>
      <c r="AT111" s="162"/>
      <c r="AU111" s="74">
        <f t="shared" si="105"/>
        <v>0</v>
      </c>
      <c r="AV111" s="157"/>
      <c r="AW111" s="75">
        <f>_xlfn.IFNA(VLOOKUP(L111,list_vat[],3,FALSE),0)</f>
        <v>0</v>
      </c>
      <c r="AX111" s="74">
        <f t="shared" si="123"/>
        <v>0</v>
      </c>
      <c r="AY111" s="74">
        <f t="shared" si="124"/>
        <v>0</v>
      </c>
      <c r="AZ111" s="130">
        <f t="shared" si="125"/>
        <v>0</v>
      </c>
      <c r="BA111" s="74">
        <f t="shared" si="106"/>
        <v>0</v>
      </c>
      <c r="BB111" s="193">
        <f t="shared" si="126"/>
        <v>0</v>
      </c>
      <c r="BC111" s="102">
        <f t="shared" si="127"/>
        <v>0</v>
      </c>
      <c r="BD111" s="102">
        <f t="shared" si="128"/>
        <v>0</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2"/>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2"/>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2"/>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2"/>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2"/>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2"/>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2"/>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2"/>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2"/>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2"/>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2"/>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2"/>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2"/>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2"/>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2"/>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2"/>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2"/>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2"/>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2"/>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2"/>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2"/>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2"/>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2"/>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2"/>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2"/>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2"/>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2"/>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2"/>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2"/>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2"/>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2"/>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2"/>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2"/>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2"/>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2"/>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2"/>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2"/>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2"/>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2"/>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2"/>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2"/>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2"/>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2"/>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2"/>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2"/>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2"/>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2"/>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2"/>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2"/>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2"/>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2"/>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2"/>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2"/>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2"/>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2"/>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2"/>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2"/>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2"/>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2"/>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2"/>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2"/>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2"/>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2"/>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2"/>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192"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2"/>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2"/>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2"/>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2"/>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2"/>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2"/>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2"/>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2"/>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2"/>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2"/>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2"/>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2"/>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2"/>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2"/>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2"/>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2"/>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2"/>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2"/>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2"/>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2"/>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2"/>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2"/>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2"/>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2"/>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2"/>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2"/>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2"/>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2"/>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2"/>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2"/>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2"/>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2"/>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6" t="str">
        <f>+UPPER("Коммерческое предложение")</f>
        <v>КОММЕРЧЕСКОЕ ПРЕДЛОЖЕНИЕ</v>
      </c>
      <c r="C2" s="666"/>
      <c r="D2" s="666"/>
      <c r="E2" s="666"/>
      <c r="F2" s="666"/>
      <c r="G2" s="666"/>
      <c r="H2" s="666"/>
      <c r="I2" s="666"/>
      <c r="J2" s="666"/>
      <c r="K2" s="666"/>
      <c r="L2" s="666"/>
      <c r="M2" s="666"/>
      <c r="N2" s="666"/>
      <c r="O2" s="666"/>
      <c r="P2" s="666"/>
      <c r="Q2" s="666"/>
      <c r="R2" s="666"/>
      <c r="S2" s="666"/>
      <c r="T2" s="666"/>
    </row>
    <row r="3" spans="2:24" ht="20.65" customHeight="1" x14ac:dyDescent="0.4">
      <c r="B3" s="667"/>
      <c r="C3" s="667"/>
      <c r="D3" s="667"/>
      <c r="E3" s="667"/>
      <c r="F3" s="667"/>
      <c r="G3" s="667"/>
      <c r="H3" s="667"/>
      <c r="I3" s="667"/>
      <c r="J3" s="667"/>
      <c r="K3" s="667"/>
      <c r="L3" s="667"/>
      <c r="M3" s="667"/>
      <c r="N3" s="667"/>
      <c r="O3" s="667"/>
      <c r="P3" s="667"/>
      <c r="Q3" s="667"/>
      <c r="R3" s="667"/>
      <c r="S3" s="667"/>
      <c r="T3" s="667"/>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70" t="s">
        <v>163</v>
      </c>
      <c r="C5" s="671"/>
      <c r="D5" s="281" t="s">
        <v>238</v>
      </c>
      <c r="E5" s="49"/>
      <c r="F5" s="49"/>
      <c r="G5" s="49"/>
      <c r="H5" s="49"/>
      <c r="I5" s="49"/>
      <c r="J5" s="49"/>
      <c r="K5" s="49"/>
      <c r="L5" s="49"/>
      <c r="M5" s="49"/>
      <c r="N5" s="49"/>
      <c r="O5" s="674"/>
      <c r="P5" s="675"/>
      <c r="Q5" s="138"/>
      <c r="R5" s="668"/>
      <c r="S5" s="669"/>
      <c r="T5" s="45"/>
      <c r="V5" s="48" t="s">
        <v>164</v>
      </c>
    </row>
    <row r="6" spans="2:24" ht="15.75" customHeight="1" x14ac:dyDescent="0.25">
      <c r="B6" s="682" t="s">
        <v>165</v>
      </c>
      <c r="C6" s="683"/>
      <c r="D6" s="282" t="s">
        <v>238</v>
      </c>
      <c r="E6" s="49"/>
      <c r="F6" s="49"/>
      <c r="G6" s="49"/>
      <c r="H6" s="49"/>
      <c r="I6" s="49"/>
      <c r="J6" s="49"/>
      <c r="K6" s="49"/>
      <c r="L6" s="49"/>
      <c r="M6" s="49"/>
      <c r="N6" s="50"/>
      <c r="O6" s="672" t="s">
        <v>166</v>
      </c>
      <c r="P6" s="673"/>
      <c r="Q6" s="678" t="s">
        <v>238</v>
      </c>
      <c r="R6" s="678"/>
      <c r="S6" s="679"/>
      <c r="T6" s="45"/>
    </row>
    <row r="7" spans="2:24" ht="15.75" customHeight="1" x14ac:dyDescent="0.25">
      <c r="B7" s="682" t="s">
        <v>167</v>
      </c>
      <c r="C7" s="683"/>
      <c r="D7" s="282" t="s">
        <v>238</v>
      </c>
      <c r="E7" s="49"/>
      <c r="F7" s="49"/>
      <c r="G7" s="49"/>
      <c r="H7" s="49"/>
      <c r="I7" s="49"/>
      <c r="J7" s="49"/>
      <c r="K7" s="49"/>
      <c r="L7" s="49"/>
      <c r="M7" s="49"/>
      <c r="N7" s="50"/>
      <c r="O7" s="672" t="s">
        <v>241</v>
      </c>
      <c r="P7" s="673"/>
      <c r="Q7" s="678" t="s">
        <v>238</v>
      </c>
      <c r="R7" s="678"/>
      <c r="S7" s="679"/>
      <c r="T7" s="45"/>
      <c r="V7" s="287" t="s">
        <v>144</v>
      </c>
      <c r="W7" s="51"/>
      <c r="X7" s="52" t="str">
        <f>offer_currency</f>
        <v>EUR</v>
      </c>
    </row>
    <row r="8" spans="2:24" ht="15.75" customHeight="1" x14ac:dyDescent="0.25">
      <c r="B8" s="684" t="s">
        <v>168</v>
      </c>
      <c r="C8" s="685"/>
      <c r="D8" s="283" t="s">
        <v>238</v>
      </c>
      <c r="E8" s="49"/>
      <c r="F8" s="49"/>
      <c r="G8" s="49"/>
      <c r="H8" s="49"/>
      <c r="I8" s="49"/>
      <c r="J8" s="49"/>
      <c r="K8" s="49"/>
      <c r="L8" s="49"/>
      <c r="M8" s="49"/>
      <c r="N8" s="50"/>
      <c r="O8" s="672" t="s">
        <v>169</v>
      </c>
      <c r="P8" s="673"/>
      <c r="Q8" s="676" t="str">
        <f>offer_incoterms</f>
        <v>DDP</v>
      </c>
      <c r="R8" s="676"/>
      <c r="S8" s="677"/>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2" t="s">
        <v>170</v>
      </c>
      <c r="P9" s="673"/>
      <c r="Q9" s="700" t="str">
        <f>offer_pmt_terms</f>
        <v>частичная оплата: 50%-аванс в течении  календарных дней с даты подписания спецификации</v>
      </c>
      <c r="R9" s="700"/>
      <c r="S9" s="701"/>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70" t="s">
        <v>172</v>
      </c>
      <c r="C10" s="671"/>
      <c r="D10" s="284" t="str">
        <f>seller_company</f>
        <v>МАСТЕР БЭРИНГ ООО (ИНН 0242013464)</v>
      </c>
      <c r="E10" s="49"/>
      <c r="F10" s="49"/>
      <c r="G10" s="49"/>
      <c r="H10" s="49"/>
      <c r="I10" s="49"/>
      <c r="J10" s="49"/>
      <c r="K10" s="49"/>
      <c r="L10" s="49"/>
      <c r="M10" s="49"/>
      <c r="N10" s="50"/>
      <c r="O10" s="672" t="s">
        <v>173</v>
      </c>
      <c r="P10" s="673"/>
      <c r="Q10" s="698" t="s">
        <v>238</v>
      </c>
      <c r="R10" s="698"/>
      <c r="S10" s="699"/>
      <c r="T10" s="45"/>
      <c r="V10" s="287" t="s">
        <v>264</v>
      </c>
      <c r="W10" s="51"/>
      <c r="X10" s="140">
        <f>offer_turnaround_time</f>
        <v>30</v>
      </c>
    </row>
    <row r="11" spans="2:24" ht="30.6" customHeight="1" x14ac:dyDescent="0.25">
      <c r="B11" s="686" t="s">
        <v>202</v>
      </c>
      <c r="C11" s="687"/>
      <c r="D11" s="285" t="s">
        <v>238</v>
      </c>
      <c r="E11" s="49"/>
      <c r="F11" s="49"/>
      <c r="G11" s="49"/>
      <c r="H11" s="49"/>
      <c r="I11" s="49"/>
      <c r="J11" s="49"/>
      <c r="K11" s="49"/>
      <c r="L11" s="150"/>
      <c r="M11" s="49"/>
      <c r="N11" s="49"/>
      <c r="O11" s="672" t="s">
        <v>174</v>
      </c>
      <c r="P11" s="673"/>
      <c r="Q11" s="696" t="str">
        <f>offer_turnaround_time&amp;" "&amp;расчет!L5</f>
        <v>30 календарных дней с даты зачисления аванса</v>
      </c>
      <c r="R11" s="696"/>
      <c r="S11" s="697"/>
      <c r="T11" s="45"/>
      <c r="V11" s="55"/>
    </row>
    <row r="12" spans="2:24" ht="15.75" customHeight="1" x14ac:dyDescent="0.25">
      <c r="B12" s="682" t="s">
        <v>167</v>
      </c>
      <c r="C12" s="683"/>
      <c r="D12" s="282" t="s">
        <v>238</v>
      </c>
      <c r="E12" s="49"/>
      <c r="F12" s="49"/>
      <c r="G12" s="49"/>
      <c r="H12" s="49"/>
      <c r="I12" s="49"/>
      <c r="J12" s="49"/>
      <c r="K12" s="49"/>
      <c r="L12" s="49"/>
      <c r="M12" s="49"/>
      <c r="N12" s="50"/>
      <c r="O12" s="690" t="s">
        <v>175</v>
      </c>
      <c r="P12" s="691"/>
      <c r="Q12" s="694" t="str">
        <f>TEXT(S2017,"# ##0,00")&amp;" "&amp;$X$7&amp;" (в т.ч. НДС "&amp;TEXT(R2017,"# ##0,00")&amp;" "&amp;$X$7&amp;")"</f>
        <v xml:space="preserve"> 000 EUR (в т.ч. НДС  000 EUR)</v>
      </c>
      <c r="R12" s="694"/>
      <c r="S12" s="695"/>
      <c r="T12" s="45"/>
    </row>
    <row r="13" spans="2:24" ht="32.450000000000003" customHeight="1" x14ac:dyDescent="0.25">
      <c r="B13" s="684" t="s">
        <v>168</v>
      </c>
      <c r="C13" s="685"/>
      <c r="D13" s="286" t="s">
        <v>238</v>
      </c>
      <c r="E13" s="49"/>
      <c r="F13" s="49"/>
      <c r="G13" s="49"/>
      <c r="H13" s="49"/>
      <c r="I13" s="49"/>
      <c r="J13" s="49"/>
      <c r="K13" s="49"/>
      <c r="L13" s="49"/>
      <c r="M13" s="49"/>
      <c r="N13" s="50"/>
      <c r="O13" s="688" t="s">
        <v>176</v>
      </c>
      <c r="P13" s="689"/>
      <c r="Q13" s="692" t="str">
        <f>'КП open book'!X9</f>
        <v>НДС, страховку, таможенную очистку и доставку товара до склада.</v>
      </c>
      <c r="R13" s="692"/>
      <c r="S13" s="693"/>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"НДС "&amp;TEXT(IF(AND(offer_incoterms="DDP",seller_region="RU"),rate_vatRu,0),"0%")&amp;" ("&amp;offer_currency&amp;")"</f>
        <v>НДС 20% (EUR)</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0" t="s">
        <v>179</v>
      </c>
      <c r="C2017" s="681"/>
      <c r="D2017" s="68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21.42578125" style="47" bestFit="1" customWidth="1"/>
    <col min="12" max="12" width="19.28515625" style="47" bestFit="1" customWidth="1"/>
    <col min="13" max="13" width="18.5703125" style="47" bestFit="1" customWidth="1"/>
    <col min="14" max="14" width="24.85546875"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3" t="str">
        <f>+UPPER("Коммерческое предложение")</f>
        <v>КОММЕРЧЕСКОЕ ПРЕДЛОЖЕНИЕ</v>
      </c>
      <c r="C2" s="713"/>
      <c r="D2" s="713"/>
      <c r="E2" s="713"/>
      <c r="F2" s="713"/>
      <c r="G2" s="713"/>
      <c r="H2" s="713"/>
      <c r="I2" s="713"/>
      <c r="J2" s="713"/>
      <c r="K2" s="713"/>
      <c r="L2" s="713"/>
      <c r="M2" s="713"/>
      <c r="N2" s="713"/>
      <c r="O2" s="713"/>
      <c r="S2" s="176"/>
    </row>
    <row r="3" spans="2:19" ht="20.65" customHeight="1" x14ac:dyDescent="0.4">
      <c r="B3" s="667"/>
      <c r="C3" s="667"/>
      <c r="D3" s="667"/>
      <c r="E3" s="667"/>
      <c r="F3" s="667"/>
      <c r="G3" s="667"/>
      <c r="H3" s="667"/>
      <c r="I3" s="667"/>
      <c r="J3" s="667"/>
      <c r="K3" s="667"/>
      <c r="L3" s="667"/>
      <c r="M3" s="667"/>
      <c r="N3" s="667"/>
      <c r="O3" s="667"/>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70" t="s">
        <v>163</v>
      </c>
      <c r="C5" s="671"/>
      <c r="D5" s="714" t="s">
        <v>238</v>
      </c>
      <c r="E5" s="715"/>
      <c r="F5" s="49"/>
      <c r="G5" s="49"/>
      <c r="H5" s="49"/>
      <c r="I5" s="674"/>
      <c r="J5" s="675"/>
      <c r="K5" s="138"/>
      <c r="L5" s="668"/>
      <c r="M5" s="668"/>
      <c r="N5" s="669"/>
      <c r="O5" s="45"/>
      <c r="Q5" s="48" t="s">
        <v>164</v>
      </c>
    </row>
    <row r="6" spans="2:19" ht="15.75" customHeight="1" x14ac:dyDescent="0.25">
      <c r="B6" s="682" t="s">
        <v>165</v>
      </c>
      <c r="C6" s="683"/>
      <c r="D6" s="702" t="s">
        <v>238</v>
      </c>
      <c r="E6" s="703"/>
      <c r="F6" s="49"/>
      <c r="G6" s="49"/>
      <c r="H6" s="50"/>
      <c r="I6" s="672" t="s">
        <v>166</v>
      </c>
      <c r="J6" s="673"/>
      <c r="K6" s="678" t="s">
        <v>238</v>
      </c>
      <c r="L6" s="678"/>
      <c r="M6" s="678"/>
      <c r="N6" s="679"/>
      <c r="O6" s="45"/>
    </row>
    <row r="7" spans="2:19" ht="15.75" customHeight="1" x14ac:dyDescent="0.25">
      <c r="B7" s="682" t="s">
        <v>167</v>
      </c>
      <c r="C7" s="683"/>
      <c r="D7" s="702" t="s">
        <v>238</v>
      </c>
      <c r="E7" s="703"/>
      <c r="F7" s="49"/>
      <c r="G7" s="49"/>
      <c r="H7" s="50"/>
      <c r="I7" s="672" t="s">
        <v>241</v>
      </c>
      <c r="J7" s="673"/>
      <c r="K7" s="678" t="s">
        <v>238</v>
      </c>
      <c r="L7" s="678"/>
      <c r="M7" s="678"/>
      <c r="N7" s="679"/>
      <c r="O7" s="45"/>
      <c r="Q7" s="287" t="s">
        <v>144</v>
      </c>
      <c r="R7" s="51"/>
      <c r="S7" s="52" t="str">
        <f>offer_currency</f>
        <v>EUR</v>
      </c>
    </row>
    <row r="8" spans="2:19" ht="15.75" customHeight="1" x14ac:dyDescent="0.25">
      <c r="B8" s="684" t="s">
        <v>168</v>
      </c>
      <c r="C8" s="685"/>
      <c r="D8" s="711" t="s">
        <v>238</v>
      </c>
      <c r="E8" s="712"/>
      <c r="F8" s="49"/>
      <c r="G8" s="49"/>
      <c r="H8" s="50"/>
      <c r="I8" s="672" t="s">
        <v>169</v>
      </c>
      <c r="J8" s="673"/>
      <c r="K8" s="676" t="str">
        <f>offer_incoterms</f>
        <v>DDP</v>
      </c>
      <c r="L8" s="676"/>
      <c r="M8" s="676"/>
      <c r="N8" s="677"/>
      <c r="O8" s="45"/>
      <c r="Q8" s="287" t="s">
        <v>169</v>
      </c>
      <c r="R8" s="51"/>
      <c r="S8" s="53" t="str">
        <f>offer_incoterms</f>
        <v>DDP</v>
      </c>
    </row>
    <row r="9" spans="2:19" ht="60.6" customHeight="1" x14ac:dyDescent="0.25">
      <c r="B9" s="139"/>
      <c r="C9" s="50"/>
      <c r="D9" s="78"/>
      <c r="E9" s="79"/>
      <c r="F9" s="49"/>
      <c r="G9" s="49"/>
      <c r="H9" s="50"/>
      <c r="I9" s="672" t="s">
        <v>170</v>
      </c>
      <c r="J9" s="673"/>
      <c r="K9" s="700" t="str">
        <f>offer_pmt_terms</f>
        <v>частичная оплата: 50%-аванс в течении  календарных дней с даты подписания спецификации</v>
      </c>
      <c r="L9" s="700"/>
      <c r="M9" s="700"/>
      <c r="N9" s="701"/>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70" t="s">
        <v>172</v>
      </c>
      <c r="C10" s="671"/>
      <c r="D10" s="707" t="str">
        <f>seller_company</f>
        <v>МАСТЕР БЭРИНГ ООО (ИНН 0242013464)</v>
      </c>
      <c r="E10" s="708"/>
      <c r="F10" s="49"/>
      <c r="G10" s="49"/>
      <c r="H10" s="50"/>
      <c r="I10" s="672" t="s">
        <v>173</v>
      </c>
      <c r="J10" s="673"/>
      <c r="K10" s="698" t="s">
        <v>238</v>
      </c>
      <c r="L10" s="698"/>
      <c r="M10" s="698"/>
      <c r="N10" s="699"/>
      <c r="O10" s="45"/>
      <c r="Q10" s="287" t="s">
        <v>264</v>
      </c>
      <c r="R10" s="51"/>
      <c r="S10" s="140">
        <f>offer_turnaround_time</f>
        <v>30</v>
      </c>
    </row>
    <row r="11" spans="2:19" ht="30.6" customHeight="1" x14ac:dyDescent="0.25">
      <c r="B11" s="686" t="s">
        <v>202</v>
      </c>
      <c r="C11" s="687"/>
      <c r="D11" s="709" t="s">
        <v>238</v>
      </c>
      <c r="E11" s="710"/>
      <c r="F11" s="49"/>
      <c r="G11" s="49"/>
      <c r="H11" s="49"/>
      <c r="I11" s="672" t="s">
        <v>174</v>
      </c>
      <c r="J11" s="673"/>
      <c r="K11" s="696" t="str">
        <f>offer_turnaround_time&amp;" "&amp;расчет!L5</f>
        <v>30 календарных дней с даты зачисления аванса</v>
      </c>
      <c r="L11" s="696"/>
      <c r="M11" s="696"/>
      <c r="N11" s="697"/>
      <c r="O11" s="45"/>
      <c r="Q11" s="55"/>
    </row>
    <row r="12" spans="2:19" ht="15.75" customHeight="1" x14ac:dyDescent="0.25">
      <c r="B12" s="682" t="s">
        <v>167</v>
      </c>
      <c r="C12" s="683"/>
      <c r="D12" s="702" t="s">
        <v>238</v>
      </c>
      <c r="E12" s="703"/>
      <c r="F12" s="49"/>
      <c r="G12" s="49"/>
      <c r="H12" s="50"/>
      <c r="I12" s="690" t="s">
        <v>175</v>
      </c>
      <c r="J12" s="691"/>
      <c r="K12" s="694" t="str">
        <f>TEXT(N2017,"# ##0,00")&amp;" "&amp;$S$7&amp;" (в т.ч. НДС "&amp;TEXT(L2017,"# ##0,00")&amp;" "&amp;$S$7&amp;")"</f>
        <v xml:space="preserve"> 8,197 EUR (в т.ч. НДС  1,366 EUR)</v>
      </c>
      <c r="L12" s="694"/>
      <c r="M12" s="694"/>
      <c r="N12" s="695"/>
      <c r="O12" s="45"/>
    </row>
    <row r="13" spans="2:19" ht="34.15" customHeight="1" x14ac:dyDescent="0.25">
      <c r="B13" s="684" t="s">
        <v>168</v>
      </c>
      <c r="C13" s="685"/>
      <c r="D13" s="705" t="s">
        <v>238</v>
      </c>
      <c r="E13" s="706"/>
      <c r="F13" s="49"/>
      <c r="G13" s="49"/>
      <c r="H13" s="50"/>
      <c r="I13" s="688" t="s">
        <v>176</v>
      </c>
      <c r="J13" s="689"/>
      <c r="K13" s="692" t="str">
        <f>'КП price'!S9</f>
        <v>НДС, страховку, таможенную очистку и доставку товара до склада.</v>
      </c>
      <c r="L13" s="692"/>
      <c r="M13" s="692"/>
      <c r="N13" s="693"/>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983.12</v>
      </c>
      <c r="K17" s="136">
        <f t="shared" si="0"/>
        <v>983.12</v>
      </c>
      <c r="L17" s="136">
        <f t="shared" si="0"/>
        <v>196.62</v>
      </c>
      <c r="M17" s="177">
        <f t="shared" si="0"/>
        <v>1179.74</v>
      </c>
      <c r="N17" s="137">
        <f t="shared" si="0"/>
        <v>1179.74</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807.61</v>
      </c>
      <c r="K18" s="136">
        <f t="shared" si="0"/>
        <v>807.61</v>
      </c>
      <c r="L18" s="136">
        <f t="shared" si="0"/>
        <v>161.51999999999998</v>
      </c>
      <c r="M18" s="177">
        <f t="shared" si="0"/>
        <v>969.13</v>
      </c>
      <c r="N18" s="137">
        <f t="shared" si="0"/>
        <v>969.13</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4181.6000000000004</v>
      </c>
      <c r="K19" s="136">
        <f t="shared" si="0"/>
        <v>4181.6000000000004</v>
      </c>
      <c r="L19" s="136">
        <f t="shared" si="0"/>
        <v>836.31999999999971</v>
      </c>
      <c r="M19" s="177">
        <f t="shared" si="0"/>
        <v>5017.92</v>
      </c>
      <c r="N19" s="137">
        <f t="shared" si="0"/>
        <v>5017.92</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807.77</v>
      </c>
      <c r="K20" s="136">
        <f t="shared" si="0"/>
        <v>807.77</v>
      </c>
      <c r="L20" s="136">
        <f t="shared" si="0"/>
        <v>161.55000000000007</v>
      </c>
      <c r="M20" s="177">
        <f t="shared" si="0"/>
        <v>969.32</v>
      </c>
      <c r="N20" s="137">
        <f t="shared" si="0"/>
        <v>969.32</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51</v>
      </c>
      <c r="K21" s="136">
        <f t="shared" si="0"/>
        <v>51</v>
      </c>
      <c r="L21" s="136">
        <f t="shared" si="0"/>
        <v>10.200000000000003</v>
      </c>
      <c r="M21" s="177">
        <f t="shared" si="0"/>
        <v>61.2</v>
      </c>
      <c r="N21" s="137">
        <f t="shared" si="0"/>
        <v>61.2</v>
      </c>
      <c r="O21" s="45"/>
      <c r="Q21" s="57" t="str">
        <f t="shared" si="1"/>
        <v>показать</v>
      </c>
    </row>
    <row r="22" spans="2:21" ht="15.75" hidden="1" customHeight="1" x14ac:dyDescent="0.25">
      <c r="B22" s="182">
        <v>6</v>
      </c>
      <c r="C22" s="182">
        <f t="shared" si="0"/>
        <v>0</v>
      </c>
      <c r="D22" s="182">
        <f t="shared" si="0"/>
        <v>0</v>
      </c>
      <c r="E22" s="183">
        <f t="shared" si="0"/>
        <v>0</v>
      </c>
      <c r="F22" s="182">
        <f t="shared" si="0"/>
        <v>0</v>
      </c>
      <c r="G22" s="141">
        <f t="shared" si="0"/>
        <v>0</v>
      </c>
      <c r="H22" s="141">
        <f t="shared" si="0"/>
        <v>0</v>
      </c>
      <c r="I22" s="142">
        <f t="shared" si="0"/>
        <v>0</v>
      </c>
      <c r="J22" s="136">
        <f t="shared" si="0"/>
        <v>0</v>
      </c>
      <c r="K22" s="136">
        <f t="shared" si="0"/>
        <v>0</v>
      </c>
      <c r="L22" s="136">
        <f t="shared" si="0"/>
        <v>0</v>
      </c>
      <c r="M22" s="177">
        <f t="shared" si="0"/>
        <v>0</v>
      </c>
      <c r="N22" s="137">
        <f t="shared" si="0"/>
        <v>0</v>
      </c>
      <c r="O22" s="45"/>
      <c r="Q22" s="57" t="str">
        <f t="shared" si="1"/>
        <v>скрыть</v>
      </c>
    </row>
    <row r="23" spans="2:21" ht="15.75" hidden="1" customHeight="1" x14ac:dyDescent="0.25">
      <c r="B23" s="182">
        <v>7</v>
      </c>
      <c r="C23" s="182">
        <f t="shared" si="0"/>
        <v>0</v>
      </c>
      <c r="D23" s="182">
        <f t="shared" si="0"/>
        <v>0</v>
      </c>
      <c r="E23" s="183">
        <f t="shared" si="0"/>
        <v>0</v>
      </c>
      <c r="F23" s="182">
        <f t="shared" si="0"/>
        <v>0</v>
      </c>
      <c r="G23" s="141">
        <f t="shared" si="0"/>
        <v>0</v>
      </c>
      <c r="H23" s="141">
        <f t="shared" si="0"/>
        <v>0</v>
      </c>
      <c r="I23" s="142">
        <f t="shared" si="0"/>
        <v>0</v>
      </c>
      <c r="J23" s="136">
        <f t="shared" si="0"/>
        <v>0</v>
      </c>
      <c r="K23" s="136">
        <f t="shared" si="0"/>
        <v>0</v>
      </c>
      <c r="L23" s="136">
        <f t="shared" si="0"/>
        <v>0</v>
      </c>
      <c r="M23" s="177">
        <f t="shared" si="0"/>
        <v>0</v>
      </c>
      <c r="N23" s="137">
        <f t="shared" si="0"/>
        <v>0</v>
      </c>
      <c r="O23" s="45"/>
      <c r="Q23" s="57" t="str">
        <f t="shared" si="1"/>
        <v>скрыть</v>
      </c>
    </row>
    <row r="24" spans="2:21" ht="15.75" hidden="1" customHeight="1" x14ac:dyDescent="0.25">
      <c r="B24" s="182">
        <v>8</v>
      </c>
      <c r="C24" s="182">
        <f t="shared" si="0"/>
        <v>0</v>
      </c>
      <c r="D24" s="182">
        <f t="shared" si="0"/>
        <v>0</v>
      </c>
      <c r="E24" s="183">
        <f t="shared" si="0"/>
        <v>0</v>
      </c>
      <c r="F24" s="182">
        <f t="shared" si="0"/>
        <v>0</v>
      </c>
      <c r="G24" s="141">
        <f t="shared" si="0"/>
        <v>0</v>
      </c>
      <c r="H24" s="141">
        <f t="shared" si="0"/>
        <v>0</v>
      </c>
      <c r="I24" s="142">
        <f t="shared" si="0"/>
        <v>0</v>
      </c>
      <c r="J24" s="136">
        <f t="shared" si="0"/>
        <v>0</v>
      </c>
      <c r="K24" s="136">
        <f t="shared" si="0"/>
        <v>0</v>
      </c>
      <c r="L24" s="136">
        <f t="shared" si="0"/>
        <v>0</v>
      </c>
      <c r="M24" s="177">
        <f t="shared" si="0"/>
        <v>0</v>
      </c>
      <c r="N24" s="137">
        <f t="shared" si="0"/>
        <v>0</v>
      </c>
      <c r="O24" s="45"/>
      <c r="Q24" s="57" t="str">
        <f t="shared" si="1"/>
        <v>скрыть</v>
      </c>
    </row>
    <row r="25" spans="2:21" ht="15.75" hidden="1" customHeight="1" x14ac:dyDescent="0.25">
      <c r="B25" s="182">
        <v>9</v>
      </c>
      <c r="C25" s="182">
        <f t="shared" si="0"/>
        <v>0</v>
      </c>
      <c r="D25" s="182">
        <f t="shared" si="0"/>
        <v>0</v>
      </c>
      <c r="E25" s="183">
        <f t="shared" si="0"/>
        <v>0</v>
      </c>
      <c r="F25" s="182">
        <f t="shared" si="0"/>
        <v>0</v>
      </c>
      <c r="G25" s="141">
        <f t="shared" si="0"/>
        <v>0</v>
      </c>
      <c r="H25" s="141">
        <f t="shared" si="0"/>
        <v>0</v>
      </c>
      <c r="I25" s="142">
        <f t="shared" si="0"/>
        <v>0</v>
      </c>
      <c r="J25" s="136">
        <f t="shared" si="0"/>
        <v>0</v>
      </c>
      <c r="K25" s="136">
        <f t="shared" si="0"/>
        <v>0</v>
      </c>
      <c r="L25" s="136">
        <f t="shared" si="0"/>
        <v>0</v>
      </c>
      <c r="M25" s="177">
        <f t="shared" si="0"/>
        <v>0</v>
      </c>
      <c r="N25" s="137">
        <f t="shared" si="0"/>
        <v>0</v>
      </c>
      <c r="O25" s="45"/>
      <c r="Q25" s="57" t="str">
        <f t="shared" si="1"/>
        <v>скрыть</v>
      </c>
    </row>
    <row r="26" spans="2:21" ht="15.75" hidden="1" customHeight="1" x14ac:dyDescent="0.25">
      <c r="B26" s="182">
        <v>10</v>
      </c>
      <c r="C26" s="182">
        <f t="shared" si="0"/>
        <v>0</v>
      </c>
      <c r="D26" s="182">
        <f t="shared" si="0"/>
        <v>0</v>
      </c>
      <c r="E26" s="183">
        <f t="shared" si="0"/>
        <v>0</v>
      </c>
      <c r="F26" s="182">
        <f t="shared" si="0"/>
        <v>0</v>
      </c>
      <c r="G26" s="141">
        <f t="shared" si="0"/>
        <v>0</v>
      </c>
      <c r="H26" s="141">
        <f t="shared" si="0"/>
        <v>0</v>
      </c>
      <c r="I26" s="142">
        <f t="shared" si="0"/>
        <v>0</v>
      </c>
      <c r="J26" s="136">
        <f t="shared" si="0"/>
        <v>0</v>
      </c>
      <c r="K26" s="136">
        <f t="shared" si="0"/>
        <v>0</v>
      </c>
      <c r="L26" s="136">
        <f t="shared" si="0"/>
        <v>0</v>
      </c>
      <c r="M26" s="177">
        <f t="shared" si="0"/>
        <v>0</v>
      </c>
      <c r="N26" s="137">
        <f t="shared" si="0"/>
        <v>0</v>
      </c>
      <c r="O26" s="45"/>
      <c r="Q26" s="57" t="str">
        <f t="shared" si="1"/>
        <v>скрыть</v>
      </c>
    </row>
    <row r="27" spans="2:21" ht="15.75" hidden="1" customHeight="1" x14ac:dyDescent="0.25">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si="2"/>
        <v>0</v>
      </c>
      <c r="K27" s="136">
        <f t="shared" si="2"/>
        <v>0</v>
      </c>
      <c r="L27" s="136">
        <f t="shared" si="2"/>
        <v>0</v>
      </c>
      <c r="M27" s="177">
        <f t="shared" si="2"/>
        <v>0</v>
      </c>
      <c r="N27" s="137">
        <f t="shared" si="2"/>
        <v>0</v>
      </c>
      <c r="O27" s="45"/>
      <c r="Q27" s="57" t="str">
        <f t="shared" si="1"/>
        <v>скрыть</v>
      </c>
    </row>
    <row r="28" spans="2:21" ht="15.75" hidden="1" customHeight="1" x14ac:dyDescent="0.25">
      <c r="B28" s="182">
        <v>12</v>
      </c>
      <c r="C28" s="182">
        <f t="shared" si="2"/>
        <v>0</v>
      </c>
      <c r="D28" s="182">
        <f t="shared" si="2"/>
        <v>0</v>
      </c>
      <c r="E28" s="183">
        <f t="shared" si="2"/>
        <v>0</v>
      </c>
      <c r="F28" s="182">
        <f t="shared" si="2"/>
        <v>0</v>
      </c>
      <c r="G28" s="141">
        <f t="shared" si="2"/>
        <v>0</v>
      </c>
      <c r="H28" s="141">
        <f t="shared" si="2"/>
        <v>0</v>
      </c>
      <c r="I28" s="142">
        <f t="shared" si="2"/>
        <v>0</v>
      </c>
      <c r="J28" s="136">
        <f t="shared" si="2"/>
        <v>0</v>
      </c>
      <c r="K28" s="136">
        <f t="shared" si="2"/>
        <v>0</v>
      </c>
      <c r="L28" s="136">
        <f t="shared" si="2"/>
        <v>0</v>
      </c>
      <c r="M28" s="177">
        <f t="shared" si="2"/>
        <v>0</v>
      </c>
      <c r="N28" s="137">
        <f t="shared" si="2"/>
        <v>0</v>
      </c>
      <c r="O28" s="45"/>
      <c r="Q28" s="57" t="str">
        <f t="shared" si="1"/>
        <v>скрыть</v>
      </c>
    </row>
    <row r="29" spans="2:21" ht="15.75" hidden="1" customHeight="1" x14ac:dyDescent="0.25">
      <c r="B29" s="182">
        <v>13</v>
      </c>
      <c r="C29" s="182">
        <f t="shared" si="2"/>
        <v>0</v>
      </c>
      <c r="D29" s="182">
        <f t="shared" si="2"/>
        <v>0</v>
      </c>
      <c r="E29" s="183">
        <f t="shared" si="2"/>
        <v>0</v>
      </c>
      <c r="F29" s="182">
        <f t="shared" si="2"/>
        <v>0</v>
      </c>
      <c r="G29" s="141">
        <f t="shared" si="2"/>
        <v>0</v>
      </c>
      <c r="H29" s="141">
        <f t="shared" si="2"/>
        <v>0</v>
      </c>
      <c r="I29" s="142">
        <f t="shared" si="2"/>
        <v>0</v>
      </c>
      <c r="J29" s="136">
        <f t="shared" si="2"/>
        <v>0</v>
      </c>
      <c r="K29" s="136">
        <f t="shared" si="2"/>
        <v>0</v>
      </c>
      <c r="L29" s="136">
        <f t="shared" si="2"/>
        <v>0</v>
      </c>
      <c r="M29" s="177">
        <f t="shared" si="2"/>
        <v>0</v>
      </c>
      <c r="N29" s="137">
        <f t="shared" si="2"/>
        <v>0</v>
      </c>
      <c r="O29" s="45"/>
      <c r="Q29" s="57" t="str">
        <f t="shared" si="1"/>
        <v>скрыть</v>
      </c>
    </row>
    <row r="30" spans="2:21" ht="15.75" hidden="1" customHeight="1" x14ac:dyDescent="0.25">
      <c r="B30" s="182">
        <v>14</v>
      </c>
      <c r="C30" s="182">
        <f t="shared" si="2"/>
        <v>0</v>
      </c>
      <c r="D30" s="182">
        <f t="shared" si="2"/>
        <v>0</v>
      </c>
      <c r="E30" s="183">
        <f t="shared" si="2"/>
        <v>0</v>
      </c>
      <c r="F30" s="182">
        <f t="shared" si="2"/>
        <v>0</v>
      </c>
      <c r="G30" s="141">
        <f t="shared" si="2"/>
        <v>0</v>
      </c>
      <c r="H30" s="141">
        <f t="shared" si="2"/>
        <v>0</v>
      </c>
      <c r="I30" s="142">
        <f t="shared" si="2"/>
        <v>0</v>
      </c>
      <c r="J30" s="136">
        <f t="shared" si="2"/>
        <v>0</v>
      </c>
      <c r="K30" s="136">
        <f t="shared" si="2"/>
        <v>0</v>
      </c>
      <c r="L30" s="136">
        <f t="shared" si="2"/>
        <v>0</v>
      </c>
      <c r="M30" s="177">
        <f t="shared" si="2"/>
        <v>0</v>
      </c>
      <c r="N30" s="137">
        <f t="shared" si="2"/>
        <v>0</v>
      </c>
      <c r="O30" s="45"/>
      <c r="Q30" s="57" t="str">
        <f t="shared" si="1"/>
        <v>скрыть</v>
      </c>
    </row>
    <row r="31" spans="2:21" ht="15.75" hidden="1" customHeight="1" x14ac:dyDescent="0.25">
      <c r="B31" s="182">
        <v>15</v>
      </c>
      <c r="C31" s="182">
        <f t="shared" si="2"/>
        <v>0</v>
      </c>
      <c r="D31" s="182">
        <f t="shared" si="2"/>
        <v>0</v>
      </c>
      <c r="E31" s="183">
        <f t="shared" si="2"/>
        <v>0</v>
      </c>
      <c r="F31" s="182">
        <f t="shared" si="2"/>
        <v>0</v>
      </c>
      <c r="G31" s="141">
        <f t="shared" si="2"/>
        <v>0</v>
      </c>
      <c r="H31" s="141">
        <f t="shared" si="2"/>
        <v>0</v>
      </c>
      <c r="I31" s="142">
        <f t="shared" si="2"/>
        <v>0</v>
      </c>
      <c r="J31" s="136">
        <f t="shared" si="2"/>
        <v>0</v>
      </c>
      <c r="K31" s="136">
        <f t="shared" si="2"/>
        <v>0</v>
      </c>
      <c r="L31" s="136">
        <f t="shared" si="2"/>
        <v>0</v>
      </c>
      <c r="M31" s="177">
        <f t="shared" si="2"/>
        <v>0</v>
      </c>
      <c r="N31" s="137">
        <f t="shared" si="2"/>
        <v>0</v>
      </c>
      <c r="O31" s="45"/>
      <c r="Q31" s="57" t="str">
        <f t="shared" si="1"/>
        <v>скрыть</v>
      </c>
    </row>
    <row r="32" spans="2:21" ht="15.75" hidden="1" customHeight="1" x14ac:dyDescent="0.25">
      <c r="B32" s="182">
        <v>16</v>
      </c>
      <c r="C32" s="182">
        <f t="shared" si="2"/>
        <v>0</v>
      </c>
      <c r="D32" s="182">
        <f t="shared" si="2"/>
        <v>0</v>
      </c>
      <c r="E32" s="183">
        <f t="shared" si="2"/>
        <v>0</v>
      </c>
      <c r="F32" s="182">
        <f t="shared" si="2"/>
        <v>0</v>
      </c>
      <c r="G32" s="141">
        <f t="shared" si="2"/>
        <v>0</v>
      </c>
      <c r="H32" s="141">
        <f t="shared" si="2"/>
        <v>0</v>
      </c>
      <c r="I32" s="142">
        <f t="shared" si="2"/>
        <v>0</v>
      </c>
      <c r="J32" s="136">
        <f t="shared" si="2"/>
        <v>0</v>
      </c>
      <c r="K32" s="136">
        <f t="shared" si="2"/>
        <v>0</v>
      </c>
      <c r="L32" s="136">
        <f t="shared" si="2"/>
        <v>0</v>
      </c>
      <c r="M32" s="177">
        <f t="shared" si="2"/>
        <v>0</v>
      </c>
      <c r="N32" s="137">
        <f t="shared" si="2"/>
        <v>0</v>
      </c>
      <c r="O32" s="45"/>
      <c r="Q32" s="57" t="str">
        <f t="shared" si="1"/>
        <v>скрыть</v>
      </c>
    </row>
    <row r="33" spans="2:17" ht="15.75" hidden="1" customHeight="1" x14ac:dyDescent="0.25">
      <c r="B33" s="182">
        <v>17</v>
      </c>
      <c r="C33" s="182">
        <f t="shared" si="2"/>
        <v>0</v>
      </c>
      <c r="D33" s="182">
        <f t="shared" si="2"/>
        <v>0</v>
      </c>
      <c r="E33" s="183">
        <f t="shared" si="2"/>
        <v>0</v>
      </c>
      <c r="F33" s="182">
        <f t="shared" si="2"/>
        <v>0</v>
      </c>
      <c r="G33" s="141">
        <f t="shared" si="2"/>
        <v>0</v>
      </c>
      <c r="H33" s="141">
        <f t="shared" si="2"/>
        <v>0</v>
      </c>
      <c r="I33" s="142">
        <f t="shared" si="2"/>
        <v>0</v>
      </c>
      <c r="J33" s="136">
        <f t="shared" si="2"/>
        <v>0</v>
      </c>
      <c r="K33" s="136">
        <f t="shared" si="2"/>
        <v>0</v>
      </c>
      <c r="L33" s="136">
        <f t="shared" si="2"/>
        <v>0</v>
      </c>
      <c r="M33" s="177">
        <f t="shared" si="2"/>
        <v>0</v>
      </c>
      <c r="N33" s="137">
        <f t="shared" si="2"/>
        <v>0</v>
      </c>
      <c r="O33" s="45"/>
      <c r="Q33" s="57" t="str">
        <f t="shared" si="1"/>
        <v>скрыть</v>
      </c>
    </row>
    <row r="34" spans="2:17" ht="15.75" hidden="1" customHeight="1" x14ac:dyDescent="0.25">
      <c r="B34" s="182">
        <v>18</v>
      </c>
      <c r="C34" s="182">
        <f t="shared" si="2"/>
        <v>0</v>
      </c>
      <c r="D34" s="182">
        <f t="shared" si="2"/>
        <v>0</v>
      </c>
      <c r="E34" s="183">
        <f t="shared" si="2"/>
        <v>0</v>
      </c>
      <c r="F34" s="182">
        <f t="shared" si="2"/>
        <v>0</v>
      </c>
      <c r="G34" s="141">
        <f t="shared" si="2"/>
        <v>0</v>
      </c>
      <c r="H34" s="141">
        <f t="shared" si="2"/>
        <v>0</v>
      </c>
      <c r="I34" s="142">
        <f t="shared" si="2"/>
        <v>0</v>
      </c>
      <c r="J34" s="136">
        <f t="shared" si="2"/>
        <v>0</v>
      </c>
      <c r="K34" s="136">
        <f t="shared" si="2"/>
        <v>0</v>
      </c>
      <c r="L34" s="136">
        <f t="shared" si="2"/>
        <v>0</v>
      </c>
      <c r="M34" s="177">
        <f t="shared" si="2"/>
        <v>0</v>
      </c>
      <c r="N34" s="137">
        <f t="shared" si="2"/>
        <v>0</v>
      </c>
      <c r="O34" s="45"/>
      <c r="Q34" s="57" t="str">
        <f t="shared" si="1"/>
        <v>скрыть</v>
      </c>
    </row>
    <row r="35" spans="2:17" ht="15.75" hidden="1" customHeight="1" x14ac:dyDescent="0.25">
      <c r="B35" s="182">
        <v>19</v>
      </c>
      <c r="C35" s="182">
        <f t="shared" si="2"/>
        <v>0</v>
      </c>
      <c r="D35" s="182">
        <f t="shared" si="2"/>
        <v>0</v>
      </c>
      <c r="E35" s="183">
        <f t="shared" si="2"/>
        <v>0</v>
      </c>
      <c r="F35" s="182">
        <f t="shared" si="2"/>
        <v>0</v>
      </c>
      <c r="G35" s="141">
        <f t="shared" si="2"/>
        <v>0</v>
      </c>
      <c r="H35" s="141">
        <f t="shared" si="2"/>
        <v>0</v>
      </c>
      <c r="I35" s="142">
        <f t="shared" si="2"/>
        <v>0</v>
      </c>
      <c r="J35" s="136">
        <f t="shared" si="2"/>
        <v>0</v>
      </c>
      <c r="K35" s="136">
        <f t="shared" si="2"/>
        <v>0</v>
      </c>
      <c r="L35" s="136">
        <f t="shared" si="2"/>
        <v>0</v>
      </c>
      <c r="M35" s="177">
        <f t="shared" si="2"/>
        <v>0</v>
      </c>
      <c r="N35" s="137">
        <f t="shared" si="2"/>
        <v>0</v>
      </c>
      <c r="O35" s="45"/>
      <c r="Q35" s="57" t="str">
        <f t="shared" si="1"/>
        <v>скрыть</v>
      </c>
    </row>
    <row r="36" spans="2:17" ht="15.75" hidden="1" customHeight="1" x14ac:dyDescent="0.25">
      <c r="B36" s="182">
        <v>20</v>
      </c>
      <c r="C36" s="182">
        <f t="shared" si="2"/>
        <v>0</v>
      </c>
      <c r="D36" s="182">
        <f t="shared" si="2"/>
        <v>0</v>
      </c>
      <c r="E36" s="183">
        <f t="shared" si="2"/>
        <v>0</v>
      </c>
      <c r="F36" s="182">
        <f t="shared" si="2"/>
        <v>0</v>
      </c>
      <c r="G36" s="141">
        <f t="shared" si="2"/>
        <v>0</v>
      </c>
      <c r="H36" s="141">
        <f t="shared" si="2"/>
        <v>0</v>
      </c>
      <c r="I36" s="142">
        <f t="shared" si="2"/>
        <v>0</v>
      </c>
      <c r="J36" s="136">
        <f t="shared" si="2"/>
        <v>0</v>
      </c>
      <c r="K36" s="136">
        <f t="shared" si="2"/>
        <v>0</v>
      </c>
      <c r="L36" s="136">
        <f t="shared" si="2"/>
        <v>0</v>
      </c>
      <c r="M36" s="177">
        <f t="shared" si="2"/>
        <v>0</v>
      </c>
      <c r="N36" s="137">
        <f t="shared" si="2"/>
        <v>0</v>
      </c>
      <c r="O36" s="45"/>
      <c r="Q36" s="57" t="str">
        <f t="shared" si="1"/>
        <v>скрыть</v>
      </c>
    </row>
    <row r="37" spans="2:17" ht="15.75" hidden="1" customHeight="1" x14ac:dyDescent="0.25">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si="3"/>
        <v>0</v>
      </c>
      <c r="K37" s="136">
        <f t="shared" si="3"/>
        <v>0</v>
      </c>
      <c r="L37" s="136">
        <f t="shared" si="3"/>
        <v>0</v>
      </c>
      <c r="M37" s="177">
        <f t="shared" si="3"/>
        <v>0</v>
      </c>
      <c r="N37" s="137">
        <f t="shared" si="3"/>
        <v>0</v>
      </c>
      <c r="O37" s="45"/>
      <c r="Q37" s="57" t="str">
        <f t="shared" si="1"/>
        <v>скрыть</v>
      </c>
    </row>
    <row r="38" spans="2:17" ht="15.75" hidden="1" customHeight="1" x14ac:dyDescent="0.25">
      <c r="B38" s="182">
        <v>22</v>
      </c>
      <c r="C38" s="182">
        <f t="shared" si="3"/>
        <v>0</v>
      </c>
      <c r="D38" s="182">
        <f t="shared" si="3"/>
        <v>0</v>
      </c>
      <c r="E38" s="183">
        <f t="shared" si="3"/>
        <v>0</v>
      </c>
      <c r="F38" s="182">
        <f t="shared" si="3"/>
        <v>0</v>
      </c>
      <c r="G38" s="141">
        <f t="shared" si="3"/>
        <v>0</v>
      </c>
      <c r="H38" s="141">
        <f t="shared" si="3"/>
        <v>0</v>
      </c>
      <c r="I38" s="142">
        <f t="shared" si="3"/>
        <v>0</v>
      </c>
      <c r="J38" s="136">
        <f t="shared" si="3"/>
        <v>0</v>
      </c>
      <c r="K38" s="136">
        <f t="shared" si="3"/>
        <v>0</v>
      </c>
      <c r="L38" s="136">
        <f t="shared" si="3"/>
        <v>0</v>
      </c>
      <c r="M38" s="177">
        <f t="shared" si="3"/>
        <v>0</v>
      </c>
      <c r="N38" s="137">
        <f t="shared" si="3"/>
        <v>0</v>
      </c>
      <c r="O38" s="45"/>
      <c r="Q38" s="57" t="str">
        <f t="shared" si="1"/>
        <v>скрыть</v>
      </c>
    </row>
    <row r="39" spans="2:17" ht="15.75" hidden="1" customHeight="1" x14ac:dyDescent="0.25">
      <c r="B39" s="182">
        <v>23</v>
      </c>
      <c r="C39" s="182">
        <f t="shared" si="3"/>
        <v>0</v>
      </c>
      <c r="D39" s="182">
        <f t="shared" si="3"/>
        <v>0</v>
      </c>
      <c r="E39" s="183">
        <f t="shared" si="3"/>
        <v>0</v>
      </c>
      <c r="F39" s="182">
        <f t="shared" si="3"/>
        <v>0</v>
      </c>
      <c r="G39" s="141">
        <f t="shared" si="3"/>
        <v>0</v>
      </c>
      <c r="H39" s="141">
        <f t="shared" si="3"/>
        <v>0</v>
      </c>
      <c r="I39" s="142">
        <f t="shared" si="3"/>
        <v>0</v>
      </c>
      <c r="J39" s="136">
        <f t="shared" si="3"/>
        <v>0</v>
      </c>
      <c r="K39" s="136">
        <f t="shared" si="3"/>
        <v>0</v>
      </c>
      <c r="L39" s="136">
        <f t="shared" si="3"/>
        <v>0</v>
      </c>
      <c r="M39" s="177">
        <f t="shared" si="3"/>
        <v>0</v>
      </c>
      <c r="N39" s="137">
        <f t="shared" si="3"/>
        <v>0</v>
      </c>
      <c r="O39" s="45"/>
      <c r="Q39" s="57" t="str">
        <f t="shared" si="1"/>
        <v>скрыть</v>
      </c>
    </row>
    <row r="40" spans="2:17" ht="15.75" hidden="1" customHeight="1" x14ac:dyDescent="0.25">
      <c r="B40" s="182">
        <v>24</v>
      </c>
      <c r="C40" s="182">
        <f t="shared" si="3"/>
        <v>0</v>
      </c>
      <c r="D40" s="182">
        <f t="shared" si="3"/>
        <v>0</v>
      </c>
      <c r="E40" s="183">
        <f t="shared" si="3"/>
        <v>0</v>
      </c>
      <c r="F40" s="182">
        <f t="shared" si="3"/>
        <v>0</v>
      </c>
      <c r="G40" s="141">
        <f t="shared" si="3"/>
        <v>0</v>
      </c>
      <c r="H40" s="141">
        <f t="shared" si="3"/>
        <v>0</v>
      </c>
      <c r="I40" s="142">
        <f t="shared" si="3"/>
        <v>0</v>
      </c>
      <c r="J40" s="136">
        <f t="shared" si="3"/>
        <v>0</v>
      </c>
      <c r="K40" s="136">
        <f t="shared" si="3"/>
        <v>0</v>
      </c>
      <c r="L40" s="136">
        <f t="shared" si="3"/>
        <v>0</v>
      </c>
      <c r="M40" s="177">
        <f t="shared" si="3"/>
        <v>0</v>
      </c>
      <c r="N40" s="137">
        <f t="shared" si="3"/>
        <v>0</v>
      </c>
      <c r="O40" s="45"/>
      <c r="Q40" s="57" t="str">
        <f t="shared" si="1"/>
        <v>скрыть</v>
      </c>
    </row>
    <row r="41" spans="2:17" ht="15.75" hidden="1" customHeight="1" x14ac:dyDescent="0.25">
      <c r="B41" s="182">
        <v>25</v>
      </c>
      <c r="C41" s="182">
        <f t="shared" si="3"/>
        <v>0</v>
      </c>
      <c r="D41" s="182">
        <f t="shared" si="3"/>
        <v>0</v>
      </c>
      <c r="E41" s="183">
        <f t="shared" si="3"/>
        <v>0</v>
      </c>
      <c r="F41" s="182">
        <f t="shared" si="3"/>
        <v>0</v>
      </c>
      <c r="G41" s="141">
        <f t="shared" si="3"/>
        <v>0</v>
      </c>
      <c r="H41" s="141">
        <f t="shared" si="3"/>
        <v>0</v>
      </c>
      <c r="I41" s="142">
        <f t="shared" si="3"/>
        <v>0</v>
      </c>
      <c r="J41" s="136">
        <f t="shared" si="3"/>
        <v>0</v>
      </c>
      <c r="K41" s="136">
        <f t="shared" si="3"/>
        <v>0</v>
      </c>
      <c r="L41" s="136">
        <f t="shared" si="3"/>
        <v>0</v>
      </c>
      <c r="M41" s="177">
        <f t="shared" si="3"/>
        <v>0</v>
      </c>
      <c r="N41" s="137">
        <f t="shared" si="3"/>
        <v>0</v>
      </c>
      <c r="O41" s="45"/>
      <c r="Q41" s="57" t="str">
        <f t="shared" si="1"/>
        <v>скрыть</v>
      </c>
    </row>
    <row r="42" spans="2:17" ht="15.75" hidden="1" customHeight="1" x14ac:dyDescent="0.25">
      <c r="B42" s="182">
        <v>26</v>
      </c>
      <c r="C42" s="182">
        <f t="shared" si="3"/>
        <v>0</v>
      </c>
      <c r="D42" s="182">
        <f t="shared" si="3"/>
        <v>0</v>
      </c>
      <c r="E42" s="183">
        <f t="shared" si="3"/>
        <v>0</v>
      </c>
      <c r="F42" s="182">
        <f t="shared" si="3"/>
        <v>0</v>
      </c>
      <c r="G42" s="141">
        <f t="shared" si="3"/>
        <v>0</v>
      </c>
      <c r="H42" s="141">
        <f t="shared" si="3"/>
        <v>0</v>
      </c>
      <c r="I42" s="142">
        <f t="shared" si="3"/>
        <v>0</v>
      </c>
      <c r="J42" s="136">
        <f t="shared" si="3"/>
        <v>0</v>
      </c>
      <c r="K42" s="136">
        <f t="shared" si="3"/>
        <v>0</v>
      </c>
      <c r="L42" s="136">
        <f t="shared" si="3"/>
        <v>0</v>
      </c>
      <c r="M42" s="177">
        <f t="shared" si="3"/>
        <v>0</v>
      </c>
      <c r="N42" s="137">
        <f t="shared" si="3"/>
        <v>0</v>
      </c>
      <c r="O42" s="45"/>
      <c r="Q42" s="57" t="str">
        <f t="shared" si="1"/>
        <v>скрыть</v>
      </c>
    </row>
    <row r="43" spans="2:17" ht="15.75" hidden="1" customHeight="1" x14ac:dyDescent="0.25">
      <c r="B43" s="182">
        <v>27</v>
      </c>
      <c r="C43" s="182">
        <f t="shared" si="3"/>
        <v>0</v>
      </c>
      <c r="D43" s="182">
        <f t="shared" si="3"/>
        <v>0</v>
      </c>
      <c r="E43" s="183">
        <f t="shared" si="3"/>
        <v>0</v>
      </c>
      <c r="F43" s="182">
        <f t="shared" si="3"/>
        <v>0</v>
      </c>
      <c r="G43" s="141">
        <f t="shared" si="3"/>
        <v>0</v>
      </c>
      <c r="H43" s="141">
        <f t="shared" si="3"/>
        <v>0</v>
      </c>
      <c r="I43" s="142">
        <f t="shared" si="3"/>
        <v>0</v>
      </c>
      <c r="J43" s="136">
        <f t="shared" si="3"/>
        <v>0</v>
      </c>
      <c r="K43" s="136">
        <f t="shared" si="3"/>
        <v>0</v>
      </c>
      <c r="L43" s="136">
        <f t="shared" si="3"/>
        <v>0</v>
      </c>
      <c r="M43" s="177">
        <f t="shared" si="3"/>
        <v>0</v>
      </c>
      <c r="N43" s="137">
        <f t="shared" si="3"/>
        <v>0</v>
      </c>
      <c r="O43" s="45"/>
      <c r="Q43" s="57" t="str">
        <f t="shared" si="1"/>
        <v>скрыть</v>
      </c>
    </row>
    <row r="44" spans="2:17" ht="15.75" hidden="1" customHeight="1" x14ac:dyDescent="0.25">
      <c r="B44" s="182">
        <v>28</v>
      </c>
      <c r="C44" s="182">
        <f t="shared" si="3"/>
        <v>0</v>
      </c>
      <c r="D44" s="182">
        <f t="shared" si="3"/>
        <v>0</v>
      </c>
      <c r="E44" s="183">
        <f t="shared" si="3"/>
        <v>0</v>
      </c>
      <c r="F44" s="182">
        <f t="shared" si="3"/>
        <v>0</v>
      </c>
      <c r="G44" s="141">
        <f t="shared" si="3"/>
        <v>0</v>
      </c>
      <c r="H44" s="141">
        <f t="shared" si="3"/>
        <v>0</v>
      </c>
      <c r="I44" s="142">
        <f t="shared" si="3"/>
        <v>0</v>
      </c>
      <c r="J44" s="136">
        <f t="shared" si="3"/>
        <v>0</v>
      </c>
      <c r="K44" s="136">
        <f t="shared" si="3"/>
        <v>0</v>
      </c>
      <c r="L44" s="136">
        <f t="shared" si="3"/>
        <v>0</v>
      </c>
      <c r="M44" s="177">
        <f t="shared" si="3"/>
        <v>0</v>
      </c>
      <c r="N44" s="137">
        <f t="shared" si="3"/>
        <v>0</v>
      </c>
      <c r="O44" s="45"/>
      <c r="Q44" s="57" t="str">
        <f t="shared" si="1"/>
        <v>скрыть</v>
      </c>
    </row>
    <row r="45" spans="2:17" ht="15.75" hidden="1" customHeight="1" x14ac:dyDescent="0.25">
      <c r="B45" s="182">
        <v>29</v>
      </c>
      <c r="C45" s="182">
        <f t="shared" si="3"/>
        <v>0</v>
      </c>
      <c r="D45" s="182">
        <f t="shared" si="3"/>
        <v>0</v>
      </c>
      <c r="E45" s="183">
        <f t="shared" si="3"/>
        <v>0</v>
      </c>
      <c r="F45" s="182">
        <f t="shared" si="3"/>
        <v>0</v>
      </c>
      <c r="G45" s="141">
        <f t="shared" si="3"/>
        <v>0</v>
      </c>
      <c r="H45" s="141">
        <f t="shared" si="3"/>
        <v>0</v>
      </c>
      <c r="I45" s="142">
        <f t="shared" si="3"/>
        <v>0</v>
      </c>
      <c r="J45" s="136">
        <f t="shared" si="3"/>
        <v>0</v>
      </c>
      <c r="K45" s="136">
        <f t="shared" si="3"/>
        <v>0</v>
      </c>
      <c r="L45" s="136">
        <f t="shared" si="3"/>
        <v>0</v>
      </c>
      <c r="M45" s="177">
        <f t="shared" si="3"/>
        <v>0</v>
      </c>
      <c r="N45" s="137">
        <f t="shared" si="3"/>
        <v>0</v>
      </c>
      <c r="O45" s="45"/>
      <c r="Q45" s="57" t="str">
        <f t="shared" si="1"/>
        <v>скрыть</v>
      </c>
    </row>
    <row r="46" spans="2:17" ht="15.75" hidden="1" customHeight="1" x14ac:dyDescent="0.25">
      <c r="B46" s="182">
        <v>30</v>
      </c>
      <c r="C46" s="182">
        <f t="shared" si="3"/>
        <v>0</v>
      </c>
      <c r="D46" s="182">
        <f t="shared" si="3"/>
        <v>0</v>
      </c>
      <c r="E46" s="183">
        <f t="shared" si="3"/>
        <v>0</v>
      </c>
      <c r="F46" s="182">
        <f t="shared" si="3"/>
        <v>0</v>
      </c>
      <c r="G46" s="141">
        <f t="shared" si="3"/>
        <v>0</v>
      </c>
      <c r="H46" s="141">
        <f t="shared" si="3"/>
        <v>0</v>
      </c>
      <c r="I46" s="142">
        <f t="shared" si="3"/>
        <v>0</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f t="shared" si="4"/>
        <v>0</v>
      </c>
      <c r="D48" s="182">
        <f t="shared" si="4"/>
        <v>0</v>
      </c>
      <c r="E48" s="183">
        <f t="shared" si="4"/>
        <v>0</v>
      </c>
      <c r="F48" s="182">
        <f t="shared" si="4"/>
        <v>0</v>
      </c>
      <c r="G48" s="141">
        <f t="shared" si="4"/>
        <v>0</v>
      </c>
      <c r="H48" s="141">
        <f t="shared" si="4"/>
        <v>0</v>
      </c>
      <c r="I48" s="142">
        <f t="shared" si="4"/>
        <v>0</v>
      </c>
      <c r="J48" s="136">
        <f t="shared" si="4"/>
        <v>0</v>
      </c>
      <c r="K48" s="136">
        <f t="shared" si="4"/>
        <v>0</v>
      </c>
      <c r="L48" s="136">
        <f t="shared" si="4"/>
        <v>0</v>
      </c>
      <c r="M48" s="177">
        <f t="shared" si="4"/>
        <v>0</v>
      </c>
      <c r="N48" s="137">
        <f t="shared" si="4"/>
        <v>0</v>
      </c>
      <c r="O48" s="45"/>
      <c r="Q48" s="57" t="str">
        <f t="shared" si="1"/>
        <v>скрыть</v>
      </c>
    </row>
    <row r="49" spans="2:17" ht="15.75" hidden="1" customHeight="1" x14ac:dyDescent="0.25">
      <c r="B49" s="182">
        <v>33</v>
      </c>
      <c r="C49" s="182">
        <f t="shared" si="4"/>
        <v>0</v>
      </c>
      <c r="D49" s="182">
        <f t="shared" si="4"/>
        <v>0</v>
      </c>
      <c r="E49" s="183">
        <f t="shared" si="4"/>
        <v>0</v>
      </c>
      <c r="F49" s="182">
        <f t="shared" si="4"/>
        <v>0</v>
      </c>
      <c r="G49" s="141">
        <f t="shared" si="4"/>
        <v>0</v>
      </c>
      <c r="H49" s="141">
        <f t="shared" si="4"/>
        <v>0</v>
      </c>
      <c r="I49" s="142">
        <f t="shared" si="4"/>
        <v>0</v>
      </c>
      <c r="J49" s="136">
        <f t="shared" si="4"/>
        <v>0</v>
      </c>
      <c r="K49" s="136">
        <f t="shared" si="4"/>
        <v>0</v>
      </c>
      <c r="L49" s="136">
        <f t="shared" si="4"/>
        <v>0</v>
      </c>
      <c r="M49" s="177">
        <f t="shared" si="4"/>
        <v>0</v>
      </c>
      <c r="N49" s="137">
        <f t="shared" si="4"/>
        <v>0</v>
      </c>
      <c r="O49" s="45"/>
      <c r="Q49" s="57" t="str">
        <f t="shared" si="1"/>
        <v>скрыть</v>
      </c>
    </row>
    <row r="50" spans="2:17" ht="15.75" hidden="1" customHeight="1" x14ac:dyDescent="0.25">
      <c r="B50" s="182">
        <v>34</v>
      </c>
      <c r="C50" s="182">
        <f t="shared" si="4"/>
        <v>0</v>
      </c>
      <c r="D50" s="182">
        <f t="shared" si="4"/>
        <v>0</v>
      </c>
      <c r="E50" s="183">
        <f t="shared" si="4"/>
        <v>0</v>
      </c>
      <c r="F50" s="182">
        <f t="shared" si="4"/>
        <v>0</v>
      </c>
      <c r="G50" s="141">
        <f t="shared" si="4"/>
        <v>0</v>
      </c>
      <c r="H50" s="141">
        <f t="shared" si="4"/>
        <v>0</v>
      </c>
      <c r="I50" s="142">
        <f t="shared" si="4"/>
        <v>0</v>
      </c>
      <c r="J50" s="136">
        <f t="shared" si="4"/>
        <v>0</v>
      </c>
      <c r="K50" s="136">
        <f t="shared" si="4"/>
        <v>0</v>
      </c>
      <c r="L50" s="136">
        <f t="shared" si="4"/>
        <v>0</v>
      </c>
      <c r="M50" s="177">
        <f t="shared" si="4"/>
        <v>0</v>
      </c>
      <c r="N50" s="137">
        <f t="shared" si="4"/>
        <v>0</v>
      </c>
      <c r="O50" s="45"/>
      <c r="Q50" s="57" t="str">
        <f t="shared" si="1"/>
        <v>скрыть</v>
      </c>
    </row>
    <row r="51" spans="2:17" ht="15.75" hidden="1" customHeight="1" x14ac:dyDescent="0.25">
      <c r="B51" s="182">
        <v>35</v>
      </c>
      <c r="C51" s="182">
        <f t="shared" si="4"/>
        <v>0</v>
      </c>
      <c r="D51" s="182">
        <f t="shared" si="4"/>
        <v>0</v>
      </c>
      <c r="E51" s="183">
        <f t="shared" si="4"/>
        <v>0</v>
      </c>
      <c r="F51" s="182">
        <f t="shared" si="4"/>
        <v>0</v>
      </c>
      <c r="G51" s="141">
        <f t="shared" si="4"/>
        <v>0</v>
      </c>
      <c r="H51" s="141">
        <f t="shared" si="4"/>
        <v>0</v>
      </c>
      <c r="I51" s="142">
        <f t="shared" si="4"/>
        <v>0</v>
      </c>
      <c r="J51" s="136">
        <f t="shared" si="4"/>
        <v>0</v>
      </c>
      <c r="K51" s="136">
        <f t="shared" si="4"/>
        <v>0</v>
      </c>
      <c r="L51" s="136">
        <f t="shared" si="4"/>
        <v>0</v>
      </c>
      <c r="M51" s="177">
        <f t="shared" si="4"/>
        <v>0</v>
      </c>
      <c r="N51" s="137">
        <f t="shared" si="4"/>
        <v>0</v>
      </c>
      <c r="O51" s="45"/>
      <c r="Q51" s="57" t="str">
        <f t="shared" si="1"/>
        <v>скрыть</v>
      </c>
    </row>
    <row r="52" spans="2:17" ht="15.75" hidden="1" customHeight="1" x14ac:dyDescent="0.25">
      <c r="B52" s="182">
        <v>36</v>
      </c>
      <c r="C52" s="182">
        <f t="shared" si="4"/>
        <v>0</v>
      </c>
      <c r="D52" s="182">
        <f t="shared" si="4"/>
        <v>0</v>
      </c>
      <c r="E52" s="183">
        <f t="shared" si="4"/>
        <v>0</v>
      </c>
      <c r="F52" s="182">
        <f t="shared" si="4"/>
        <v>0</v>
      </c>
      <c r="G52" s="141">
        <f t="shared" si="4"/>
        <v>0</v>
      </c>
      <c r="H52" s="141">
        <f t="shared" si="4"/>
        <v>0</v>
      </c>
      <c r="I52" s="142">
        <f t="shared" si="4"/>
        <v>0</v>
      </c>
      <c r="J52" s="136">
        <f t="shared" si="4"/>
        <v>0</v>
      </c>
      <c r="K52" s="136">
        <f t="shared" si="4"/>
        <v>0</v>
      </c>
      <c r="L52" s="136">
        <f t="shared" si="4"/>
        <v>0</v>
      </c>
      <c r="M52" s="177">
        <f t="shared" si="4"/>
        <v>0</v>
      </c>
      <c r="N52" s="137">
        <f t="shared" si="4"/>
        <v>0</v>
      </c>
      <c r="O52" s="45"/>
      <c r="Q52" s="57" t="str">
        <f t="shared" si="1"/>
        <v>скрыть</v>
      </c>
    </row>
    <row r="53" spans="2:17" ht="15.75" hidden="1" customHeight="1" x14ac:dyDescent="0.25">
      <c r="B53" s="182">
        <v>37</v>
      </c>
      <c r="C53" s="182">
        <f t="shared" si="4"/>
        <v>0</v>
      </c>
      <c r="D53" s="182">
        <f t="shared" si="4"/>
        <v>0</v>
      </c>
      <c r="E53" s="183">
        <f t="shared" si="4"/>
        <v>0</v>
      </c>
      <c r="F53" s="182">
        <f t="shared" si="4"/>
        <v>0</v>
      </c>
      <c r="G53" s="141">
        <f t="shared" si="4"/>
        <v>0</v>
      </c>
      <c r="H53" s="141">
        <f t="shared" si="4"/>
        <v>0</v>
      </c>
      <c r="I53" s="142">
        <f t="shared" si="4"/>
        <v>0</v>
      </c>
      <c r="J53" s="136">
        <f t="shared" si="4"/>
        <v>0</v>
      </c>
      <c r="K53" s="136">
        <f t="shared" si="4"/>
        <v>0</v>
      </c>
      <c r="L53" s="136">
        <f t="shared" si="4"/>
        <v>0</v>
      </c>
      <c r="M53" s="177">
        <f t="shared" si="4"/>
        <v>0</v>
      </c>
      <c r="N53" s="137">
        <f t="shared" si="4"/>
        <v>0</v>
      </c>
      <c r="O53" s="45"/>
      <c r="Q53" s="57" t="str">
        <f t="shared" si="1"/>
        <v>скрыть</v>
      </c>
    </row>
    <row r="54" spans="2:17" ht="15.75" hidden="1" customHeight="1" x14ac:dyDescent="0.25">
      <c r="B54" s="182">
        <v>38</v>
      </c>
      <c r="C54" s="182">
        <f t="shared" si="4"/>
        <v>0</v>
      </c>
      <c r="D54" s="182">
        <f t="shared" si="4"/>
        <v>0</v>
      </c>
      <c r="E54" s="183">
        <f t="shared" si="4"/>
        <v>0</v>
      </c>
      <c r="F54" s="182">
        <f t="shared" si="4"/>
        <v>0</v>
      </c>
      <c r="G54" s="141">
        <f t="shared" si="4"/>
        <v>0</v>
      </c>
      <c r="H54" s="141">
        <f t="shared" si="4"/>
        <v>0</v>
      </c>
      <c r="I54" s="142">
        <f t="shared" si="4"/>
        <v>0</v>
      </c>
      <c r="J54" s="136">
        <f t="shared" si="4"/>
        <v>0</v>
      </c>
      <c r="K54" s="136">
        <f t="shared" si="4"/>
        <v>0</v>
      </c>
      <c r="L54" s="136">
        <f t="shared" si="4"/>
        <v>0</v>
      </c>
      <c r="M54" s="177">
        <f t="shared" si="4"/>
        <v>0</v>
      </c>
      <c r="N54" s="137">
        <f t="shared" si="4"/>
        <v>0</v>
      </c>
      <c r="O54" s="45"/>
      <c r="Q54" s="57" t="str">
        <f t="shared" si="1"/>
        <v>скрыть</v>
      </c>
    </row>
    <row r="55" spans="2:17" ht="15.75" hidden="1" customHeight="1" x14ac:dyDescent="0.25">
      <c r="B55" s="182">
        <v>39</v>
      </c>
      <c r="C55" s="182">
        <f t="shared" si="4"/>
        <v>0</v>
      </c>
      <c r="D55" s="182">
        <f t="shared" si="4"/>
        <v>0</v>
      </c>
      <c r="E55" s="183">
        <f t="shared" si="4"/>
        <v>0</v>
      </c>
      <c r="F55" s="182">
        <f t="shared" si="4"/>
        <v>0</v>
      </c>
      <c r="G55" s="141">
        <f t="shared" si="4"/>
        <v>0</v>
      </c>
      <c r="H55" s="141">
        <f t="shared" si="4"/>
        <v>0</v>
      </c>
      <c r="I55" s="142">
        <f t="shared" si="4"/>
        <v>0</v>
      </c>
      <c r="J55" s="136">
        <f t="shared" si="4"/>
        <v>0</v>
      </c>
      <c r="K55" s="136">
        <f t="shared" si="4"/>
        <v>0</v>
      </c>
      <c r="L55" s="136">
        <f t="shared" si="4"/>
        <v>0</v>
      </c>
      <c r="M55" s="177">
        <f t="shared" si="4"/>
        <v>0</v>
      </c>
      <c r="N55" s="137">
        <f t="shared" si="4"/>
        <v>0</v>
      </c>
      <c r="O55" s="45"/>
      <c r="Q55" s="57" t="str">
        <f t="shared" si="1"/>
        <v>скрыть</v>
      </c>
    </row>
    <row r="56" spans="2:17" ht="15.75" hidden="1" customHeight="1" x14ac:dyDescent="0.25">
      <c r="B56" s="182">
        <v>40</v>
      </c>
      <c r="C56" s="182">
        <f t="shared" si="4"/>
        <v>0</v>
      </c>
      <c r="D56" s="182">
        <f t="shared" si="4"/>
        <v>0</v>
      </c>
      <c r="E56" s="183">
        <f t="shared" si="4"/>
        <v>0</v>
      </c>
      <c r="F56" s="182">
        <f t="shared" si="4"/>
        <v>0</v>
      </c>
      <c r="G56" s="141">
        <f t="shared" si="4"/>
        <v>0</v>
      </c>
      <c r="H56" s="141">
        <f t="shared" si="4"/>
        <v>0</v>
      </c>
      <c r="I56" s="142">
        <f t="shared" si="4"/>
        <v>0</v>
      </c>
      <c r="J56" s="136">
        <f t="shared" si="4"/>
        <v>0</v>
      </c>
      <c r="K56" s="136">
        <f t="shared" si="4"/>
        <v>0</v>
      </c>
      <c r="L56" s="136">
        <f t="shared" si="4"/>
        <v>0</v>
      </c>
      <c r="M56" s="177">
        <f t="shared" si="4"/>
        <v>0</v>
      </c>
      <c r="N56" s="137">
        <f t="shared" si="4"/>
        <v>0</v>
      </c>
      <c r="O56" s="45"/>
      <c r="Q56" s="57" t="str">
        <f t="shared" si="1"/>
        <v>скрыть</v>
      </c>
    </row>
    <row r="57" spans="2:17" ht="15.75" hidden="1" customHeight="1" x14ac:dyDescent="0.25">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si="5"/>
        <v>0</v>
      </c>
      <c r="K57" s="136">
        <f t="shared" si="5"/>
        <v>0</v>
      </c>
      <c r="L57" s="136">
        <f t="shared" si="5"/>
        <v>0</v>
      </c>
      <c r="M57" s="177">
        <f t="shared" si="5"/>
        <v>0</v>
      </c>
      <c r="N57" s="137">
        <f t="shared" si="5"/>
        <v>0</v>
      </c>
      <c r="O57" s="45"/>
      <c r="Q57" s="57" t="str">
        <f t="shared" si="1"/>
        <v>скрыть</v>
      </c>
    </row>
    <row r="58" spans="2:17" ht="15.75" hidden="1" customHeight="1" x14ac:dyDescent="0.25">
      <c r="B58" s="182">
        <v>42</v>
      </c>
      <c r="C58" s="182">
        <f t="shared" si="5"/>
        <v>0</v>
      </c>
      <c r="D58" s="182">
        <f t="shared" si="5"/>
        <v>0</v>
      </c>
      <c r="E58" s="183">
        <f t="shared" si="5"/>
        <v>0</v>
      </c>
      <c r="F58" s="182">
        <f t="shared" si="5"/>
        <v>0</v>
      </c>
      <c r="G58" s="141">
        <f t="shared" si="5"/>
        <v>0</v>
      </c>
      <c r="H58" s="141">
        <f t="shared" si="5"/>
        <v>0</v>
      </c>
      <c r="I58" s="142">
        <f t="shared" si="5"/>
        <v>0</v>
      </c>
      <c r="J58" s="136">
        <f t="shared" si="5"/>
        <v>0</v>
      </c>
      <c r="K58" s="136">
        <f t="shared" si="5"/>
        <v>0</v>
      </c>
      <c r="L58" s="136">
        <f t="shared" si="5"/>
        <v>0</v>
      </c>
      <c r="M58" s="177">
        <f t="shared" si="5"/>
        <v>0</v>
      </c>
      <c r="N58" s="137">
        <f t="shared" si="5"/>
        <v>0</v>
      </c>
      <c r="O58" s="45"/>
      <c r="Q58" s="57" t="str">
        <f t="shared" si="1"/>
        <v>скрыть</v>
      </c>
    </row>
    <row r="59" spans="2:17" ht="15.75" hidden="1" customHeight="1" x14ac:dyDescent="0.25">
      <c r="B59" s="182">
        <v>43</v>
      </c>
      <c r="C59" s="182">
        <f t="shared" si="5"/>
        <v>0</v>
      </c>
      <c r="D59" s="182">
        <f t="shared" si="5"/>
        <v>0</v>
      </c>
      <c r="E59" s="183">
        <f t="shared" si="5"/>
        <v>0</v>
      </c>
      <c r="F59" s="182">
        <f t="shared" si="5"/>
        <v>0</v>
      </c>
      <c r="G59" s="141">
        <f t="shared" si="5"/>
        <v>0</v>
      </c>
      <c r="H59" s="141">
        <f t="shared" si="5"/>
        <v>0</v>
      </c>
      <c r="I59" s="142">
        <f t="shared" si="5"/>
        <v>0</v>
      </c>
      <c r="J59" s="136">
        <f t="shared" si="5"/>
        <v>0</v>
      </c>
      <c r="K59" s="136">
        <f t="shared" si="5"/>
        <v>0</v>
      </c>
      <c r="L59" s="136">
        <f t="shared" si="5"/>
        <v>0</v>
      </c>
      <c r="M59" s="177">
        <f t="shared" si="5"/>
        <v>0</v>
      </c>
      <c r="N59" s="137">
        <f t="shared" si="5"/>
        <v>0</v>
      </c>
      <c r="O59" s="45"/>
      <c r="Q59" s="57" t="str">
        <f t="shared" si="1"/>
        <v>скрыть</v>
      </c>
    </row>
    <row r="60" spans="2:17" ht="15.75" hidden="1" customHeight="1" x14ac:dyDescent="0.25">
      <c r="B60" s="182">
        <v>44</v>
      </c>
      <c r="C60" s="182">
        <f t="shared" si="5"/>
        <v>0</v>
      </c>
      <c r="D60" s="182">
        <f t="shared" si="5"/>
        <v>0</v>
      </c>
      <c r="E60" s="183">
        <f t="shared" si="5"/>
        <v>0</v>
      </c>
      <c r="F60" s="182">
        <f t="shared" si="5"/>
        <v>0</v>
      </c>
      <c r="G60" s="141">
        <f t="shared" si="5"/>
        <v>0</v>
      </c>
      <c r="H60" s="141">
        <f t="shared" si="5"/>
        <v>0</v>
      </c>
      <c r="I60" s="142">
        <f t="shared" si="5"/>
        <v>0</v>
      </c>
      <c r="J60" s="136">
        <f t="shared" si="5"/>
        <v>0</v>
      </c>
      <c r="K60" s="136">
        <f t="shared" si="5"/>
        <v>0</v>
      </c>
      <c r="L60" s="136">
        <f t="shared" si="5"/>
        <v>0</v>
      </c>
      <c r="M60" s="177">
        <f t="shared" si="5"/>
        <v>0</v>
      </c>
      <c r="N60" s="137">
        <f t="shared" si="5"/>
        <v>0</v>
      </c>
      <c r="O60" s="45"/>
      <c r="Q60" s="57" t="str">
        <f t="shared" si="1"/>
        <v>скрыть</v>
      </c>
    </row>
    <row r="61" spans="2:17" ht="15.75" hidden="1" customHeight="1" x14ac:dyDescent="0.25">
      <c r="B61" s="182">
        <v>45</v>
      </c>
      <c r="C61" s="182">
        <f t="shared" si="5"/>
        <v>0</v>
      </c>
      <c r="D61" s="182">
        <f t="shared" si="5"/>
        <v>0</v>
      </c>
      <c r="E61" s="183">
        <f t="shared" si="5"/>
        <v>0</v>
      </c>
      <c r="F61" s="182">
        <f t="shared" si="5"/>
        <v>0</v>
      </c>
      <c r="G61" s="141">
        <f t="shared" si="5"/>
        <v>0</v>
      </c>
      <c r="H61" s="141">
        <f t="shared" si="5"/>
        <v>0</v>
      </c>
      <c r="I61" s="142">
        <f t="shared" si="5"/>
        <v>0</v>
      </c>
      <c r="J61" s="136">
        <f t="shared" si="5"/>
        <v>0</v>
      </c>
      <c r="K61" s="136">
        <f t="shared" si="5"/>
        <v>0</v>
      </c>
      <c r="L61" s="136">
        <f t="shared" si="5"/>
        <v>0</v>
      </c>
      <c r="M61" s="177">
        <f t="shared" si="5"/>
        <v>0</v>
      </c>
      <c r="N61" s="137">
        <f t="shared" si="5"/>
        <v>0</v>
      </c>
      <c r="O61" s="45"/>
      <c r="Q61" s="57" t="str">
        <f t="shared" si="1"/>
        <v>скрыть</v>
      </c>
    </row>
    <row r="62" spans="2:17" ht="15.75" hidden="1" customHeight="1" x14ac:dyDescent="0.25">
      <c r="B62" s="182">
        <v>46</v>
      </c>
      <c r="C62" s="182">
        <f t="shared" si="5"/>
        <v>0</v>
      </c>
      <c r="D62" s="182">
        <f t="shared" si="5"/>
        <v>0</v>
      </c>
      <c r="E62" s="183">
        <f t="shared" si="5"/>
        <v>0</v>
      </c>
      <c r="F62" s="182">
        <f t="shared" si="5"/>
        <v>0</v>
      </c>
      <c r="G62" s="141">
        <f t="shared" si="5"/>
        <v>0</v>
      </c>
      <c r="H62" s="141">
        <f t="shared" si="5"/>
        <v>0</v>
      </c>
      <c r="I62" s="142">
        <f t="shared" si="5"/>
        <v>0</v>
      </c>
      <c r="J62" s="136">
        <f t="shared" si="5"/>
        <v>0</v>
      </c>
      <c r="K62" s="136">
        <f t="shared" si="5"/>
        <v>0</v>
      </c>
      <c r="L62" s="136">
        <f t="shared" si="5"/>
        <v>0</v>
      </c>
      <c r="M62" s="177">
        <f t="shared" si="5"/>
        <v>0</v>
      </c>
      <c r="N62" s="137">
        <f t="shared" si="5"/>
        <v>0</v>
      </c>
      <c r="O62" s="45"/>
      <c r="Q62" s="57" t="str">
        <f t="shared" si="1"/>
        <v>скрыть</v>
      </c>
    </row>
    <row r="63" spans="2:17" ht="15.75" hidden="1" customHeight="1" x14ac:dyDescent="0.25">
      <c r="B63" s="182">
        <v>47</v>
      </c>
      <c r="C63" s="182">
        <f t="shared" si="5"/>
        <v>0</v>
      </c>
      <c r="D63" s="182">
        <f t="shared" si="5"/>
        <v>0</v>
      </c>
      <c r="E63" s="183">
        <f t="shared" si="5"/>
        <v>0</v>
      </c>
      <c r="F63" s="182">
        <f t="shared" si="5"/>
        <v>0</v>
      </c>
      <c r="G63" s="141">
        <f t="shared" si="5"/>
        <v>0</v>
      </c>
      <c r="H63" s="141">
        <f t="shared" si="5"/>
        <v>0</v>
      </c>
      <c r="I63" s="142">
        <f t="shared" si="5"/>
        <v>0</v>
      </c>
      <c r="J63" s="136">
        <f t="shared" si="5"/>
        <v>0</v>
      </c>
      <c r="K63" s="136">
        <f t="shared" si="5"/>
        <v>0</v>
      </c>
      <c r="L63" s="136">
        <f t="shared" si="5"/>
        <v>0</v>
      </c>
      <c r="M63" s="177">
        <f t="shared" si="5"/>
        <v>0</v>
      </c>
      <c r="N63" s="137">
        <f t="shared" si="5"/>
        <v>0</v>
      </c>
      <c r="O63" s="45"/>
      <c r="Q63" s="57" t="str">
        <f t="shared" si="1"/>
        <v>скрыть</v>
      </c>
    </row>
    <row r="64" spans="2:17" ht="15.75" hidden="1" customHeight="1" x14ac:dyDescent="0.25">
      <c r="B64" s="182">
        <v>48</v>
      </c>
      <c r="C64" s="182">
        <f t="shared" si="5"/>
        <v>0</v>
      </c>
      <c r="D64" s="182">
        <f t="shared" si="5"/>
        <v>0</v>
      </c>
      <c r="E64" s="183">
        <f t="shared" si="5"/>
        <v>0</v>
      </c>
      <c r="F64" s="182">
        <f t="shared" si="5"/>
        <v>0</v>
      </c>
      <c r="G64" s="141">
        <f t="shared" si="5"/>
        <v>0</v>
      </c>
      <c r="H64" s="141">
        <f t="shared" si="5"/>
        <v>0</v>
      </c>
      <c r="I64" s="142">
        <f t="shared" si="5"/>
        <v>0</v>
      </c>
      <c r="J64" s="136">
        <f t="shared" si="5"/>
        <v>0</v>
      </c>
      <c r="K64" s="136">
        <f t="shared" si="5"/>
        <v>0</v>
      </c>
      <c r="L64" s="136">
        <f t="shared" si="5"/>
        <v>0</v>
      </c>
      <c r="M64" s="177">
        <f t="shared" si="5"/>
        <v>0</v>
      </c>
      <c r="N64" s="137">
        <f t="shared" si="5"/>
        <v>0</v>
      </c>
      <c r="O64" s="45"/>
      <c r="Q64" s="57" t="str">
        <f t="shared" si="1"/>
        <v>скрыть</v>
      </c>
    </row>
    <row r="65" spans="2:17" ht="15.75" hidden="1" customHeight="1" x14ac:dyDescent="0.25">
      <c r="B65" s="182">
        <v>49</v>
      </c>
      <c r="C65" s="182">
        <f t="shared" si="5"/>
        <v>0</v>
      </c>
      <c r="D65" s="182">
        <f t="shared" si="5"/>
        <v>0</v>
      </c>
      <c r="E65" s="183">
        <f t="shared" si="5"/>
        <v>0</v>
      </c>
      <c r="F65" s="182">
        <f t="shared" si="5"/>
        <v>0</v>
      </c>
      <c r="G65" s="141">
        <f t="shared" si="5"/>
        <v>0</v>
      </c>
      <c r="H65" s="141">
        <f t="shared" si="5"/>
        <v>0</v>
      </c>
      <c r="I65" s="142">
        <f t="shared" si="5"/>
        <v>0</v>
      </c>
      <c r="J65" s="136">
        <f t="shared" si="5"/>
        <v>0</v>
      </c>
      <c r="K65" s="136">
        <f t="shared" si="5"/>
        <v>0</v>
      </c>
      <c r="L65" s="136">
        <f t="shared" si="5"/>
        <v>0</v>
      </c>
      <c r="M65" s="177">
        <f t="shared" si="5"/>
        <v>0</v>
      </c>
      <c r="N65" s="137">
        <f t="shared" si="5"/>
        <v>0</v>
      </c>
      <c r="O65" s="45"/>
      <c r="Q65" s="57" t="str">
        <f t="shared" si="1"/>
        <v>скрыть</v>
      </c>
    </row>
    <row r="66" spans="2:17" ht="15.75" hidden="1" customHeight="1" x14ac:dyDescent="0.25">
      <c r="B66" s="182">
        <v>50</v>
      </c>
      <c r="C66" s="182">
        <f t="shared" si="5"/>
        <v>0</v>
      </c>
      <c r="D66" s="182">
        <f t="shared" si="5"/>
        <v>0</v>
      </c>
      <c r="E66" s="183">
        <f t="shared" si="5"/>
        <v>0</v>
      </c>
      <c r="F66" s="182">
        <f t="shared" si="5"/>
        <v>0</v>
      </c>
      <c r="G66" s="141">
        <f t="shared" si="5"/>
        <v>0</v>
      </c>
      <c r="H66" s="141">
        <f t="shared" si="5"/>
        <v>0</v>
      </c>
      <c r="I66" s="142">
        <f t="shared" si="5"/>
        <v>0</v>
      </c>
      <c r="J66" s="136">
        <f t="shared" si="5"/>
        <v>0</v>
      </c>
      <c r="K66" s="136">
        <f t="shared" si="5"/>
        <v>0</v>
      </c>
      <c r="L66" s="136">
        <f t="shared" si="5"/>
        <v>0</v>
      </c>
      <c r="M66" s="177">
        <f t="shared" si="5"/>
        <v>0</v>
      </c>
      <c r="N66" s="137">
        <f t="shared" si="5"/>
        <v>0</v>
      </c>
      <c r="O66" s="45"/>
      <c r="Q66" s="57" t="str">
        <f t="shared" si="1"/>
        <v>скрыть</v>
      </c>
    </row>
    <row r="67" spans="2:17" ht="15.75" hidden="1" customHeight="1" x14ac:dyDescent="0.25">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si="6"/>
        <v>0</v>
      </c>
      <c r="K67" s="136">
        <f t="shared" si="6"/>
        <v>0</v>
      </c>
      <c r="L67" s="136">
        <f t="shared" si="6"/>
        <v>0</v>
      </c>
      <c r="M67" s="177">
        <f t="shared" si="6"/>
        <v>0</v>
      </c>
      <c r="N67" s="137">
        <f t="shared" si="6"/>
        <v>0</v>
      </c>
      <c r="O67" s="45"/>
      <c r="Q67" s="57" t="str">
        <f t="shared" si="1"/>
        <v>скрыть</v>
      </c>
    </row>
    <row r="68" spans="2:17" ht="15.75" hidden="1" customHeight="1" x14ac:dyDescent="0.25">
      <c r="B68" s="182">
        <v>52</v>
      </c>
      <c r="C68" s="182">
        <f t="shared" si="6"/>
        <v>0</v>
      </c>
      <c r="D68" s="182">
        <f t="shared" si="6"/>
        <v>0</v>
      </c>
      <c r="E68" s="183">
        <f t="shared" si="6"/>
        <v>0</v>
      </c>
      <c r="F68" s="182">
        <f t="shared" si="6"/>
        <v>0</v>
      </c>
      <c r="G68" s="141">
        <f t="shared" si="6"/>
        <v>0</v>
      </c>
      <c r="H68" s="141">
        <f t="shared" si="6"/>
        <v>0</v>
      </c>
      <c r="I68" s="142">
        <f t="shared" si="6"/>
        <v>0</v>
      </c>
      <c r="J68" s="136">
        <f t="shared" si="6"/>
        <v>0</v>
      </c>
      <c r="K68" s="136">
        <f t="shared" si="6"/>
        <v>0</v>
      </c>
      <c r="L68" s="136">
        <f t="shared" si="6"/>
        <v>0</v>
      </c>
      <c r="M68" s="177">
        <f t="shared" si="6"/>
        <v>0</v>
      </c>
      <c r="N68" s="137">
        <f t="shared" si="6"/>
        <v>0</v>
      </c>
      <c r="O68" s="45"/>
      <c r="Q68" s="57" t="str">
        <f t="shared" si="1"/>
        <v>скрыть</v>
      </c>
    </row>
    <row r="69" spans="2:17" ht="15.75" hidden="1" customHeight="1" x14ac:dyDescent="0.25">
      <c r="B69" s="182">
        <v>53</v>
      </c>
      <c r="C69" s="182">
        <f t="shared" si="6"/>
        <v>0</v>
      </c>
      <c r="D69" s="182">
        <f t="shared" si="6"/>
        <v>0</v>
      </c>
      <c r="E69" s="183">
        <f t="shared" si="6"/>
        <v>0</v>
      </c>
      <c r="F69" s="182">
        <f t="shared" si="6"/>
        <v>0</v>
      </c>
      <c r="G69" s="141">
        <f t="shared" si="6"/>
        <v>0</v>
      </c>
      <c r="H69" s="141">
        <f t="shared" si="6"/>
        <v>0</v>
      </c>
      <c r="I69" s="142">
        <f t="shared" si="6"/>
        <v>0</v>
      </c>
      <c r="J69" s="136">
        <f t="shared" si="6"/>
        <v>0</v>
      </c>
      <c r="K69" s="136">
        <f t="shared" si="6"/>
        <v>0</v>
      </c>
      <c r="L69" s="136">
        <f t="shared" si="6"/>
        <v>0</v>
      </c>
      <c r="M69" s="177">
        <f t="shared" si="6"/>
        <v>0</v>
      </c>
      <c r="N69" s="137">
        <f t="shared" si="6"/>
        <v>0</v>
      </c>
      <c r="O69" s="45"/>
      <c r="Q69" s="57" t="str">
        <f t="shared" si="1"/>
        <v>скрыть</v>
      </c>
    </row>
    <row r="70" spans="2:17" ht="15.75" hidden="1" customHeight="1" x14ac:dyDescent="0.25">
      <c r="B70" s="182">
        <v>54</v>
      </c>
      <c r="C70" s="182">
        <f t="shared" si="6"/>
        <v>0</v>
      </c>
      <c r="D70" s="182">
        <f t="shared" si="6"/>
        <v>0</v>
      </c>
      <c r="E70" s="183">
        <f t="shared" si="6"/>
        <v>0</v>
      </c>
      <c r="F70" s="182">
        <f t="shared" si="6"/>
        <v>0</v>
      </c>
      <c r="G70" s="141">
        <f t="shared" si="6"/>
        <v>0</v>
      </c>
      <c r="H70" s="141">
        <f t="shared" si="6"/>
        <v>0</v>
      </c>
      <c r="I70" s="142">
        <f t="shared" si="6"/>
        <v>0</v>
      </c>
      <c r="J70" s="136">
        <f t="shared" si="6"/>
        <v>0</v>
      </c>
      <c r="K70" s="136">
        <f t="shared" si="6"/>
        <v>0</v>
      </c>
      <c r="L70" s="136">
        <f t="shared" si="6"/>
        <v>0</v>
      </c>
      <c r="M70" s="177">
        <f t="shared" si="6"/>
        <v>0</v>
      </c>
      <c r="N70" s="137">
        <f t="shared" si="6"/>
        <v>0</v>
      </c>
      <c r="O70" s="45"/>
      <c r="Q70" s="57" t="str">
        <f t="shared" si="1"/>
        <v>скрыть</v>
      </c>
    </row>
    <row r="71" spans="2:17" ht="15.75" hidden="1" customHeight="1" x14ac:dyDescent="0.25">
      <c r="B71" s="182">
        <v>55</v>
      </c>
      <c r="C71" s="182">
        <f t="shared" si="6"/>
        <v>0</v>
      </c>
      <c r="D71" s="182">
        <f t="shared" si="6"/>
        <v>0</v>
      </c>
      <c r="E71" s="183">
        <f t="shared" si="6"/>
        <v>0</v>
      </c>
      <c r="F71" s="182">
        <f t="shared" si="6"/>
        <v>0</v>
      </c>
      <c r="G71" s="141">
        <f t="shared" si="6"/>
        <v>0</v>
      </c>
      <c r="H71" s="141">
        <f t="shared" si="6"/>
        <v>0</v>
      </c>
      <c r="I71" s="142">
        <f t="shared" si="6"/>
        <v>0</v>
      </c>
      <c r="J71" s="136">
        <f t="shared" si="6"/>
        <v>0</v>
      </c>
      <c r="K71" s="136">
        <f t="shared" si="6"/>
        <v>0</v>
      </c>
      <c r="L71" s="136">
        <f t="shared" si="6"/>
        <v>0</v>
      </c>
      <c r="M71" s="177">
        <f t="shared" si="6"/>
        <v>0</v>
      </c>
      <c r="N71" s="137">
        <f t="shared" si="6"/>
        <v>0</v>
      </c>
      <c r="O71" s="45"/>
      <c r="Q71" s="57" t="str">
        <f t="shared" si="1"/>
        <v>скрыть</v>
      </c>
    </row>
    <row r="72" spans="2:17" ht="15.75" hidden="1" customHeight="1" x14ac:dyDescent="0.25">
      <c r="B72" s="182">
        <v>56</v>
      </c>
      <c r="C72" s="182">
        <f t="shared" si="6"/>
        <v>0</v>
      </c>
      <c r="D72" s="182">
        <f t="shared" si="6"/>
        <v>0</v>
      </c>
      <c r="E72" s="183">
        <f t="shared" si="6"/>
        <v>0</v>
      </c>
      <c r="F72" s="182">
        <f t="shared" si="6"/>
        <v>0</v>
      </c>
      <c r="G72" s="141">
        <f t="shared" si="6"/>
        <v>0</v>
      </c>
      <c r="H72" s="141">
        <f t="shared" si="6"/>
        <v>0</v>
      </c>
      <c r="I72" s="142">
        <f t="shared" si="6"/>
        <v>0</v>
      </c>
      <c r="J72" s="136">
        <f t="shared" si="6"/>
        <v>0</v>
      </c>
      <c r="K72" s="136">
        <f t="shared" si="6"/>
        <v>0</v>
      </c>
      <c r="L72" s="136">
        <f t="shared" si="6"/>
        <v>0</v>
      </c>
      <c r="M72" s="177">
        <f t="shared" si="6"/>
        <v>0</v>
      </c>
      <c r="N72" s="137">
        <f t="shared" si="6"/>
        <v>0</v>
      </c>
      <c r="O72" s="45"/>
      <c r="Q72" s="57" t="str">
        <f t="shared" si="1"/>
        <v>скрыть</v>
      </c>
    </row>
    <row r="73" spans="2:17" ht="15.75" hidden="1" customHeight="1" x14ac:dyDescent="0.25">
      <c r="B73" s="182">
        <v>57</v>
      </c>
      <c r="C73" s="182">
        <f t="shared" si="6"/>
        <v>0</v>
      </c>
      <c r="D73" s="182">
        <f t="shared" si="6"/>
        <v>0</v>
      </c>
      <c r="E73" s="183">
        <f t="shared" si="6"/>
        <v>0</v>
      </c>
      <c r="F73" s="182">
        <f t="shared" si="6"/>
        <v>0</v>
      </c>
      <c r="G73" s="141">
        <f t="shared" si="6"/>
        <v>0</v>
      </c>
      <c r="H73" s="141">
        <f t="shared" si="6"/>
        <v>0</v>
      </c>
      <c r="I73" s="142">
        <f t="shared" si="6"/>
        <v>0</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f t="shared" si="6"/>
        <v>0</v>
      </c>
      <c r="D74" s="182">
        <f t="shared" si="6"/>
        <v>0</v>
      </c>
      <c r="E74" s="183">
        <f t="shared" si="6"/>
        <v>0</v>
      </c>
      <c r="F74" s="182">
        <f t="shared" si="6"/>
        <v>0</v>
      </c>
      <c r="G74" s="141">
        <f t="shared" si="6"/>
        <v>0</v>
      </c>
      <c r="H74" s="141">
        <f t="shared" si="6"/>
        <v>0</v>
      </c>
      <c r="I74" s="142">
        <f t="shared" si="6"/>
        <v>0</v>
      </c>
      <c r="J74" s="136">
        <f t="shared" si="6"/>
        <v>0</v>
      </c>
      <c r="K74" s="136">
        <f t="shared" si="6"/>
        <v>0</v>
      </c>
      <c r="L74" s="136">
        <f t="shared" si="6"/>
        <v>0</v>
      </c>
      <c r="M74" s="177">
        <f t="shared" si="6"/>
        <v>0</v>
      </c>
      <c r="N74" s="137">
        <f t="shared" si="6"/>
        <v>0</v>
      </c>
      <c r="O74" s="45"/>
      <c r="Q74" s="57" t="str">
        <f t="shared" si="1"/>
        <v>скрыть</v>
      </c>
    </row>
    <row r="75" spans="2:17" ht="15.75" hidden="1" customHeight="1" x14ac:dyDescent="0.25">
      <c r="B75" s="182">
        <v>59</v>
      </c>
      <c r="C75" s="182">
        <f t="shared" si="6"/>
        <v>0</v>
      </c>
      <c r="D75" s="182">
        <f t="shared" si="6"/>
        <v>0</v>
      </c>
      <c r="E75" s="183">
        <f t="shared" si="6"/>
        <v>0</v>
      </c>
      <c r="F75" s="182">
        <f t="shared" si="6"/>
        <v>0</v>
      </c>
      <c r="G75" s="141">
        <f t="shared" si="6"/>
        <v>0</v>
      </c>
      <c r="H75" s="141">
        <f t="shared" si="6"/>
        <v>0</v>
      </c>
      <c r="I75" s="142">
        <f t="shared" si="6"/>
        <v>0</v>
      </c>
      <c r="J75" s="136">
        <f t="shared" si="6"/>
        <v>0</v>
      </c>
      <c r="K75" s="136">
        <f t="shared" si="6"/>
        <v>0</v>
      </c>
      <c r="L75" s="136">
        <f t="shared" si="6"/>
        <v>0</v>
      </c>
      <c r="M75" s="177">
        <f t="shared" si="6"/>
        <v>0</v>
      </c>
      <c r="N75" s="137">
        <f t="shared" si="6"/>
        <v>0</v>
      </c>
      <c r="O75" s="45"/>
      <c r="Q75" s="57" t="str">
        <f t="shared" si="1"/>
        <v>скрыть</v>
      </c>
    </row>
    <row r="76" spans="2:17" ht="15.75" hidden="1" customHeight="1" x14ac:dyDescent="0.25">
      <c r="B76" s="182">
        <v>60</v>
      </c>
      <c r="C76" s="182">
        <f t="shared" si="6"/>
        <v>0</v>
      </c>
      <c r="D76" s="182">
        <f t="shared" si="6"/>
        <v>0</v>
      </c>
      <c r="E76" s="183">
        <f t="shared" si="6"/>
        <v>0</v>
      </c>
      <c r="F76" s="182">
        <f t="shared" si="6"/>
        <v>0</v>
      </c>
      <c r="G76" s="141">
        <f t="shared" si="6"/>
        <v>0</v>
      </c>
      <c r="H76" s="141">
        <f t="shared" si="6"/>
        <v>0</v>
      </c>
      <c r="I76" s="142">
        <f t="shared" si="6"/>
        <v>0</v>
      </c>
      <c r="J76" s="136">
        <f t="shared" si="6"/>
        <v>0</v>
      </c>
      <c r="K76" s="136">
        <f t="shared" si="6"/>
        <v>0</v>
      </c>
      <c r="L76" s="136">
        <f t="shared" si="6"/>
        <v>0</v>
      </c>
      <c r="M76" s="177">
        <f t="shared" si="6"/>
        <v>0</v>
      </c>
      <c r="N76" s="137">
        <f t="shared" si="6"/>
        <v>0</v>
      </c>
      <c r="O76" s="45"/>
      <c r="Q76" s="57" t="str">
        <f t="shared" si="1"/>
        <v>скрыть</v>
      </c>
    </row>
    <row r="77" spans="2:17" ht="15.75" hidden="1" customHeight="1" x14ac:dyDescent="0.25">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si="7"/>
        <v>0</v>
      </c>
      <c r="K77" s="136">
        <f t="shared" si="7"/>
        <v>0</v>
      </c>
      <c r="L77" s="136">
        <f t="shared" si="7"/>
        <v>0</v>
      </c>
      <c r="M77" s="177">
        <f t="shared" si="7"/>
        <v>0</v>
      </c>
      <c r="N77" s="137">
        <f t="shared" si="7"/>
        <v>0</v>
      </c>
      <c r="O77" s="45"/>
      <c r="Q77" s="57" t="str">
        <f t="shared" si="1"/>
        <v>скрыть</v>
      </c>
    </row>
    <row r="78" spans="2:17" ht="15.75" hidden="1" customHeight="1" x14ac:dyDescent="0.25">
      <c r="B78" s="182">
        <v>62</v>
      </c>
      <c r="C78" s="182">
        <f t="shared" si="7"/>
        <v>0</v>
      </c>
      <c r="D78" s="182">
        <f t="shared" si="7"/>
        <v>0</v>
      </c>
      <c r="E78" s="183">
        <f t="shared" si="7"/>
        <v>0</v>
      </c>
      <c r="F78" s="182">
        <f t="shared" si="7"/>
        <v>0</v>
      </c>
      <c r="G78" s="141">
        <f t="shared" si="7"/>
        <v>0</v>
      </c>
      <c r="H78" s="141">
        <f t="shared" si="7"/>
        <v>0</v>
      </c>
      <c r="I78" s="142">
        <f t="shared" si="7"/>
        <v>0</v>
      </c>
      <c r="J78" s="136">
        <f t="shared" si="7"/>
        <v>0</v>
      </c>
      <c r="K78" s="136">
        <f t="shared" si="7"/>
        <v>0</v>
      </c>
      <c r="L78" s="136">
        <f t="shared" si="7"/>
        <v>0</v>
      </c>
      <c r="M78" s="177">
        <f t="shared" si="7"/>
        <v>0</v>
      </c>
      <c r="N78" s="137">
        <f t="shared" si="7"/>
        <v>0</v>
      </c>
      <c r="O78" s="45"/>
      <c r="Q78" s="57" t="str">
        <f t="shared" si="1"/>
        <v>скрыть</v>
      </c>
    </row>
    <row r="79" spans="2:17" ht="15.75" hidden="1" customHeight="1" x14ac:dyDescent="0.25">
      <c r="B79" s="182">
        <v>63</v>
      </c>
      <c r="C79" s="182">
        <f t="shared" si="7"/>
        <v>0</v>
      </c>
      <c r="D79" s="182">
        <f t="shared" si="7"/>
        <v>0</v>
      </c>
      <c r="E79" s="183">
        <f t="shared" si="7"/>
        <v>0</v>
      </c>
      <c r="F79" s="182">
        <f t="shared" si="7"/>
        <v>0</v>
      </c>
      <c r="G79" s="141">
        <f t="shared" si="7"/>
        <v>0</v>
      </c>
      <c r="H79" s="141">
        <f t="shared" si="7"/>
        <v>0</v>
      </c>
      <c r="I79" s="142">
        <f t="shared" si="7"/>
        <v>0</v>
      </c>
      <c r="J79" s="136">
        <f t="shared" si="7"/>
        <v>0</v>
      </c>
      <c r="K79" s="136">
        <f t="shared" si="7"/>
        <v>0</v>
      </c>
      <c r="L79" s="136">
        <f t="shared" si="7"/>
        <v>0</v>
      </c>
      <c r="M79" s="177">
        <f t="shared" si="7"/>
        <v>0</v>
      </c>
      <c r="N79" s="137">
        <f t="shared" si="7"/>
        <v>0</v>
      </c>
      <c r="O79" s="45"/>
      <c r="Q79" s="57" t="str">
        <f t="shared" si="1"/>
        <v>скрыть</v>
      </c>
    </row>
    <row r="80" spans="2:17" ht="15.75" hidden="1" customHeight="1" x14ac:dyDescent="0.25">
      <c r="B80" s="182">
        <v>64</v>
      </c>
      <c r="C80" s="182">
        <f t="shared" si="7"/>
        <v>0</v>
      </c>
      <c r="D80" s="182">
        <f t="shared" si="7"/>
        <v>0</v>
      </c>
      <c r="E80" s="183">
        <f t="shared" si="7"/>
        <v>0</v>
      </c>
      <c r="F80" s="182">
        <f t="shared" si="7"/>
        <v>0</v>
      </c>
      <c r="G80" s="141">
        <f t="shared" si="7"/>
        <v>0</v>
      </c>
      <c r="H80" s="141">
        <f t="shared" si="7"/>
        <v>0</v>
      </c>
      <c r="I80" s="142">
        <f t="shared" si="7"/>
        <v>0</v>
      </c>
      <c r="J80" s="136">
        <f t="shared" si="7"/>
        <v>0</v>
      </c>
      <c r="K80" s="136">
        <f t="shared" si="7"/>
        <v>0</v>
      </c>
      <c r="L80" s="136">
        <f t="shared" si="7"/>
        <v>0</v>
      </c>
      <c r="M80" s="177">
        <f t="shared" si="7"/>
        <v>0</v>
      </c>
      <c r="N80" s="137">
        <f t="shared" si="7"/>
        <v>0</v>
      </c>
      <c r="O80" s="45"/>
      <c r="Q80" s="57" t="str">
        <f t="shared" si="1"/>
        <v>скрыть</v>
      </c>
    </row>
    <row r="81" spans="2:17" ht="15.75" hidden="1" customHeight="1" x14ac:dyDescent="0.25">
      <c r="B81" s="182">
        <v>65</v>
      </c>
      <c r="C81" s="182">
        <f t="shared" si="7"/>
        <v>0</v>
      </c>
      <c r="D81" s="182">
        <f t="shared" si="7"/>
        <v>0</v>
      </c>
      <c r="E81" s="183">
        <f t="shared" si="7"/>
        <v>0</v>
      </c>
      <c r="F81" s="182">
        <f t="shared" si="7"/>
        <v>0</v>
      </c>
      <c r="G81" s="141">
        <f t="shared" si="7"/>
        <v>0</v>
      </c>
      <c r="H81" s="141">
        <f t="shared" si="7"/>
        <v>0</v>
      </c>
      <c r="I81" s="142">
        <f t="shared" si="7"/>
        <v>0</v>
      </c>
      <c r="J81" s="136">
        <f t="shared" si="7"/>
        <v>0</v>
      </c>
      <c r="K81" s="136">
        <f t="shared" si="7"/>
        <v>0</v>
      </c>
      <c r="L81" s="136">
        <f t="shared" si="7"/>
        <v>0</v>
      </c>
      <c r="M81" s="177">
        <f t="shared" si="7"/>
        <v>0</v>
      </c>
      <c r="N81" s="137">
        <f t="shared" si="7"/>
        <v>0</v>
      </c>
      <c r="O81" s="45"/>
      <c r="Q81" s="57" t="str">
        <f t="shared" ref="Q81:Q144" si="8">IF(K81&gt;0,"показать","скрыть")</f>
        <v>скрыть</v>
      </c>
    </row>
    <row r="82" spans="2:17" ht="15.75" hidden="1" customHeight="1" x14ac:dyDescent="0.25">
      <c r="B82" s="182">
        <v>66</v>
      </c>
      <c r="C82" s="182">
        <f t="shared" si="7"/>
        <v>0</v>
      </c>
      <c r="D82" s="182">
        <f t="shared" si="7"/>
        <v>0</v>
      </c>
      <c r="E82" s="183">
        <f t="shared" si="7"/>
        <v>0</v>
      </c>
      <c r="F82" s="182">
        <f t="shared" si="7"/>
        <v>0</v>
      </c>
      <c r="G82" s="141">
        <f t="shared" si="7"/>
        <v>0</v>
      </c>
      <c r="H82" s="141">
        <f t="shared" si="7"/>
        <v>0</v>
      </c>
      <c r="I82" s="142">
        <f t="shared" si="7"/>
        <v>0</v>
      </c>
      <c r="J82" s="136">
        <f t="shared" si="7"/>
        <v>0</v>
      </c>
      <c r="K82" s="136">
        <f t="shared" si="7"/>
        <v>0</v>
      </c>
      <c r="L82" s="136">
        <f t="shared" si="7"/>
        <v>0</v>
      </c>
      <c r="M82" s="177">
        <f t="shared" si="7"/>
        <v>0</v>
      </c>
      <c r="N82" s="137">
        <f t="shared" si="7"/>
        <v>0</v>
      </c>
      <c r="O82" s="45"/>
      <c r="Q82" s="57" t="str">
        <f t="shared" si="8"/>
        <v>скрыть</v>
      </c>
    </row>
    <row r="83" spans="2:17" ht="15.75" hidden="1" customHeight="1" x14ac:dyDescent="0.25">
      <c r="B83" s="182">
        <v>67</v>
      </c>
      <c r="C83" s="182">
        <f t="shared" si="7"/>
        <v>0</v>
      </c>
      <c r="D83" s="182">
        <f t="shared" si="7"/>
        <v>0</v>
      </c>
      <c r="E83" s="183">
        <f t="shared" si="7"/>
        <v>0</v>
      </c>
      <c r="F83" s="182">
        <f t="shared" si="7"/>
        <v>0</v>
      </c>
      <c r="G83" s="141">
        <f t="shared" si="7"/>
        <v>0</v>
      </c>
      <c r="H83" s="141">
        <f t="shared" si="7"/>
        <v>0</v>
      </c>
      <c r="I83" s="142">
        <f t="shared" si="7"/>
        <v>0</v>
      </c>
      <c r="J83" s="136">
        <f t="shared" si="7"/>
        <v>0</v>
      </c>
      <c r="K83" s="136">
        <f t="shared" si="7"/>
        <v>0</v>
      </c>
      <c r="L83" s="136">
        <f t="shared" si="7"/>
        <v>0</v>
      </c>
      <c r="M83" s="177">
        <f t="shared" si="7"/>
        <v>0</v>
      </c>
      <c r="N83" s="137">
        <f t="shared" si="7"/>
        <v>0</v>
      </c>
      <c r="O83" s="45"/>
      <c r="Q83" s="57" t="str">
        <f t="shared" si="8"/>
        <v>скрыть</v>
      </c>
    </row>
    <row r="84" spans="2:17" ht="15.75" hidden="1" customHeight="1" x14ac:dyDescent="0.25">
      <c r="B84" s="182">
        <v>68</v>
      </c>
      <c r="C84" s="182">
        <f t="shared" si="7"/>
        <v>0</v>
      </c>
      <c r="D84" s="182">
        <f t="shared" si="7"/>
        <v>0</v>
      </c>
      <c r="E84" s="183">
        <f t="shared" si="7"/>
        <v>0</v>
      </c>
      <c r="F84" s="182">
        <f t="shared" si="7"/>
        <v>0</v>
      </c>
      <c r="G84" s="141">
        <f t="shared" si="7"/>
        <v>0</v>
      </c>
      <c r="H84" s="141">
        <f t="shared" si="7"/>
        <v>0</v>
      </c>
      <c r="I84" s="142">
        <f t="shared" si="7"/>
        <v>0</v>
      </c>
      <c r="J84" s="136">
        <f t="shared" si="7"/>
        <v>0</v>
      </c>
      <c r="K84" s="136">
        <f t="shared" si="7"/>
        <v>0</v>
      </c>
      <c r="L84" s="136">
        <f t="shared" si="7"/>
        <v>0</v>
      </c>
      <c r="M84" s="177">
        <f t="shared" si="7"/>
        <v>0</v>
      </c>
      <c r="N84" s="137">
        <f t="shared" si="7"/>
        <v>0</v>
      </c>
      <c r="O84" s="45"/>
      <c r="Q84" s="57" t="str">
        <f t="shared" si="8"/>
        <v>скрыть</v>
      </c>
    </row>
    <row r="85" spans="2:17" ht="15.75" hidden="1" customHeight="1" x14ac:dyDescent="0.25">
      <c r="B85" s="182">
        <v>69</v>
      </c>
      <c r="C85" s="182">
        <f t="shared" si="7"/>
        <v>0</v>
      </c>
      <c r="D85" s="182">
        <f t="shared" si="7"/>
        <v>0</v>
      </c>
      <c r="E85" s="183">
        <f t="shared" si="7"/>
        <v>0</v>
      </c>
      <c r="F85" s="182">
        <f t="shared" si="7"/>
        <v>0</v>
      </c>
      <c r="G85" s="141">
        <f t="shared" si="7"/>
        <v>0</v>
      </c>
      <c r="H85" s="141">
        <f t="shared" si="7"/>
        <v>0</v>
      </c>
      <c r="I85" s="142">
        <f t="shared" si="7"/>
        <v>0</v>
      </c>
      <c r="J85" s="136">
        <f t="shared" si="7"/>
        <v>0</v>
      </c>
      <c r="K85" s="136">
        <f t="shared" si="7"/>
        <v>0</v>
      </c>
      <c r="L85" s="136">
        <f t="shared" si="7"/>
        <v>0</v>
      </c>
      <c r="M85" s="177">
        <f t="shared" si="7"/>
        <v>0</v>
      </c>
      <c r="N85" s="137">
        <f t="shared" si="7"/>
        <v>0</v>
      </c>
      <c r="O85" s="45"/>
      <c r="Q85" s="57" t="str">
        <f t="shared" si="8"/>
        <v>скрыть</v>
      </c>
    </row>
    <row r="86" spans="2:17" ht="15.75" hidden="1" customHeight="1" x14ac:dyDescent="0.25">
      <c r="B86" s="182">
        <v>70</v>
      </c>
      <c r="C86" s="182">
        <f t="shared" si="7"/>
        <v>0</v>
      </c>
      <c r="D86" s="182">
        <f t="shared" si="7"/>
        <v>0</v>
      </c>
      <c r="E86" s="183">
        <f t="shared" si="7"/>
        <v>0</v>
      </c>
      <c r="F86" s="182">
        <f t="shared" si="7"/>
        <v>0</v>
      </c>
      <c r="G86" s="141">
        <f t="shared" si="7"/>
        <v>0</v>
      </c>
      <c r="H86" s="141">
        <f t="shared" si="7"/>
        <v>0</v>
      </c>
      <c r="I86" s="142">
        <f t="shared" si="7"/>
        <v>0</v>
      </c>
      <c r="J86" s="136">
        <f t="shared" si="7"/>
        <v>0</v>
      </c>
      <c r="K86" s="136">
        <f t="shared" si="7"/>
        <v>0</v>
      </c>
      <c r="L86" s="136">
        <f t="shared" si="7"/>
        <v>0</v>
      </c>
      <c r="M86" s="177">
        <f t="shared" si="7"/>
        <v>0</v>
      </c>
      <c r="N86" s="137">
        <f t="shared" si="7"/>
        <v>0</v>
      </c>
      <c r="O86" s="45"/>
      <c r="Q86" s="57" t="str">
        <f t="shared" si="8"/>
        <v>скрыть</v>
      </c>
    </row>
    <row r="87" spans="2:17" ht="15.75" hidden="1" customHeight="1" x14ac:dyDescent="0.25">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si="9"/>
        <v>0</v>
      </c>
      <c r="K87" s="136">
        <f t="shared" si="9"/>
        <v>0</v>
      </c>
      <c r="L87" s="136">
        <f t="shared" si="9"/>
        <v>0</v>
      </c>
      <c r="M87" s="177">
        <f t="shared" si="9"/>
        <v>0</v>
      </c>
      <c r="N87" s="137">
        <f t="shared" si="9"/>
        <v>0</v>
      </c>
      <c r="O87" s="45"/>
      <c r="Q87" s="57" t="str">
        <f t="shared" si="8"/>
        <v>скрыть</v>
      </c>
    </row>
    <row r="88" spans="2:17" ht="15.75" hidden="1" customHeight="1" x14ac:dyDescent="0.25">
      <c r="B88" s="182">
        <v>72</v>
      </c>
      <c r="C88" s="182">
        <f t="shared" si="9"/>
        <v>0</v>
      </c>
      <c r="D88" s="182">
        <f t="shared" si="9"/>
        <v>0</v>
      </c>
      <c r="E88" s="183">
        <f t="shared" si="9"/>
        <v>0</v>
      </c>
      <c r="F88" s="182">
        <f t="shared" si="9"/>
        <v>0</v>
      </c>
      <c r="G88" s="141">
        <f t="shared" si="9"/>
        <v>0</v>
      </c>
      <c r="H88" s="141">
        <f t="shared" si="9"/>
        <v>0</v>
      </c>
      <c r="I88" s="142">
        <f t="shared" si="9"/>
        <v>0</v>
      </c>
      <c r="J88" s="136">
        <f t="shared" si="9"/>
        <v>0</v>
      </c>
      <c r="K88" s="136">
        <f t="shared" si="9"/>
        <v>0</v>
      </c>
      <c r="L88" s="136">
        <f t="shared" si="9"/>
        <v>0</v>
      </c>
      <c r="M88" s="177">
        <f t="shared" si="9"/>
        <v>0</v>
      </c>
      <c r="N88" s="137">
        <f t="shared" si="9"/>
        <v>0</v>
      </c>
      <c r="O88" s="45"/>
      <c r="Q88" s="57" t="str">
        <f t="shared" si="8"/>
        <v>скрыть</v>
      </c>
    </row>
    <row r="89" spans="2:17" ht="15.75" hidden="1" customHeight="1" x14ac:dyDescent="0.25">
      <c r="B89" s="182">
        <v>73</v>
      </c>
      <c r="C89" s="182">
        <f t="shared" si="9"/>
        <v>0</v>
      </c>
      <c r="D89" s="182">
        <f t="shared" si="9"/>
        <v>0</v>
      </c>
      <c r="E89" s="183">
        <f t="shared" si="9"/>
        <v>0</v>
      </c>
      <c r="F89" s="182">
        <f t="shared" si="9"/>
        <v>0</v>
      </c>
      <c r="G89" s="141">
        <f t="shared" si="9"/>
        <v>0</v>
      </c>
      <c r="H89" s="141">
        <f t="shared" si="9"/>
        <v>0</v>
      </c>
      <c r="I89" s="142">
        <f t="shared" si="9"/>
        <v>0</v>
      </c>
      <c r="J89" s="136">
        <f t="shared" si="9"/>
        <v>0</v>
      </c>
      <c r="K89" s="136">
        <f t="shared" si="9"/>
        <v>0</v>
      </c>
      <c r="L89" s="136">
        <f t="shared" si="9"/>
        <v>0</v>
      </c>
      <c r="M89" s="177">
        <f t="shared" si="9"/>
        <v>0</v>
      </c>
      <c r="N89" s="137">
        <f t="shared" si="9"/>
        <v>0</v>
      </c>
      <c r="O89" s="45"/>
      <c r="Q89" s="57" t="str">
        <f t="shared" si="8"/>
        <v>скрыть</v>
      </c>
    </row>
    <row r="90" spans="2:17" ht="15.75" hidden="1" customHeight="1" x14ac:dyDescent="0.25">
      <c r="B90" s="182">
        <v>74</v>
      </c>
      <c r="C90" s="182">
        <f t="shared" si="9"/>
        <v>0</v>
      </c>
      <c r="D90" s="182">
        <f t="shared" si="9"/>
        <v>0</v>
      </c>
      <c r="E90" s="183">
        <f t="shared" si="9"/>
        <v>0</v>
      </c>
      <c r="F90" s="182">
        <f t="shared" si="9"/>
        <v>0</v>
      </c>
      <c r="G90" s="141">
        <f t="shared" si="9"/>
        <v>0</v>
      </c>
      <c r="H90" s="141">
        <f t="shared" si="9"/>
        <v>0</v>
      </c>
      <c r="I90" s="142">
        <f t="shared" si="9"/>
        <v>0</v>
      </c>
      <c r="J90" s="136">
        <f t="shared" si="9"/>
        <v>0</v>
      </c>
      <c r="K90" s="136">
        <f t="shared" si="9"/>
        <v>0</v>
      </c>
      <c r="L90" s="136">
        <f t="shared" si="9"/>
        <v>0</v>
      </c>
      <c r="M90" s="177">
        <f t="shared" si="9"/>
        <v>0</v>
      </c>
      <c r="N90" s="137">
        <f t="shared" si="9"/>
        <v>0</v>
      </c>
      <c r="O90" s="45"/>
      <c r="Q90" s="57" t="str">
        <f t="shared" si="8"/>
        <v>скрыть</v>
      </c>
    </row>
    <row r="91" spans="2:17" ht="15.75" hidden="1" customHeight="1" x14ac:dyDescent="0.25">
      <c r="B91" s="182">
        <v>75</v>
      </c>
      <c r="C91" s="182">
        <f t="shared" si="9"/>
        <v>0</v>
      </c>
      <c r="D91" s="182">
        <f t="shared" si="9"/>
        <v>0</v>
      </c>
      <c r="E91" s="183">
        <f t="shared" si="9"/>
        <v>0</v>
      </c>
      <c r="F91" s="182">
        <f t="shared" si="9"/>
        <v>0</v>
      </c>
      <c r="G91" s="141">
        <f t="shared" si="9"/>
        <v>0</v>
      </c>
      <c r="H91" s="141">
        <f t="shared" si="9"/>
        <v>0</v>
      </c>
      <c r="I91" s="142">
        <f t="shared" si="9"/>
        <v>0</v>
      </c>
      <c r="J91" s="136">
        <f t="shared" si="9"/>
        <v>0</v>
      </c>
      <c r="K91" s="136">
        <f t="shared" si="9"/>
        <v>0</v>
      </c>
      <c r="L91" s="136">
        <f t="shared" si="9"/>
        <v>0</v>
      </c>
      <c r="M91" s="177">
        <f t="shared" si="9"/>
        <v>0</v>
      </c>
      <c r="N91" s="137">
        <f t="shared" si="9"/>
        <v>0</v>
      </c>
      <c r="O91" s="45"/>
      <c r="Q91" s="57" t="str">
        <f t="shared" si="8"/>
        <v>скрыть</v>
      </c>
    </row>
    <row r="92" spans="2:17" ht="15.75" hidden="1" customHeight="1" x14ac:dyDescent="0.25">
      <c r="B92" s="182">
        <v>76</v>
      </c>
      <c r="C92" s="182">
        <f t="shared" si="9"/>
        <v>0</v>
      </c>
      <c r="D92" s="182">
        <f t="shared" si="9"/>
        <v>0</v>
      </c>
      <c r="E92" s="183">
        <f t="shared" si="9"/>
        <v>0</v>
      </c>
      <c r="F92" s="182">
        <f t="shared" si="9"/>
        <v>0</v>
      </c>
      <c r="G92" s="141">
        <f t="shared" si="9"/>
        <v>0</v>
      </c>
      <c r="H92" s="141">
        <f t="shared" si="9"/>
        <v>0</v>
      </c>
      <c r="I92" s="142">
        <f t="shared" si="9"/>
        <v>0</v>
      </c>
      <c r="J92" s="136">
        <f t="shared" si="9"/>
        <v>0</v>
      </c>
      <c r="K92" s="136">
        <f t="shared" si="9"/>
        <v>0</v>
      </c>
      <c r="L92" s="136">
        <f t="shared" si="9"/>
        <v>0</v>
      </c>
      <c r="M92" s="177">
        <f t="shared" si="9"/>
        <v>0</v>
      </c>
      <c r="N92" s="137">
        <f t="shared" si="9"/>
        <v>0</v>
      </c>
      <c r="O92" s="45"/>
      <c r="Q92" s="57" t="str">
        <f t="shared" si="8"/>
        <v>скрыть</v>
      </c>
    </row>
    <row r="93" spans="2:17" ht="15.75" hidden="1" customHeight="1" x14ac:dyDescent="0.25">
      <c r="B93" s="182">
        <v>77</v>
      </c>
      <c r="C93" s="182">
        <f t="shared" si="9"/>
        <v>0</v>
      </c>
      <c r="D93" s="182">
        <f t="shared" si="9"/>
        <v>0</v>
      </c>
      <c r="E93" s="183">
        <f t="shared" si="9"/>
        <v>0</v>
      </c>
      <c r="F93" s="182">
        <f t="shared" si="9"/>
        <v>0</v>
      </c>
      <c r="G93" s="141">
        <f t="shared" si="9"/>
        <v>0</v>
      </c>
      <c r="H93" s="141">
        <f t="shared" si="9"/>
        <v>0</v>
      </c>
      <c r="I93" s="142">
        <f t="shared" si="9"/>
        <v>0</v>
      </c>
      <c r="J93" s="136">
        <f t="shared" si="9"/>
        <v>0</v>
      </c>
      <c r="K93" s="136">
        <f t="shared" si="9"/>
        <v>0</v>
      </c>
      <c r="L93" s="136">
        <f t="shared" si="9"/>
        <v>0</v>
      </c>
      <c r="M93" s="177">
        <f t="shared" si="9"/>
        <v>0</v>
      </c>
      <c r="N93" s="137">
        <f t="shared" si="9"/>
        <v>0</v>
      </c>
      <c r="O93" s="45"/>
      <c r="Q93" s="57" t="str">
        <f t="shared" si="8"/>
        <v>скрыть</v>
      </c>
    </row>
    <row r="94" spans="2:17" ht="15.75" hidden="1" customHeight="1" x14ac:dyDescent="0.25">
      <c r="B94" s="182">
        <v>78</v>
      </c>
      <c r="C94" s="182">
        <f t="shared" si="9"/>
        <v>0</v>
      </c>
      <c r="D94" s="182">
        <f t="shared" si="9"/>
        <v>0</v>
      </c>
      <c r="E94" s="183">
        <f t="shared" si="9"/>
        <v>0</v>
      </c>
      <c r="F94" s="182">
        <f t="shared" si="9"/>
        <v>0</v>
      </c>
      <c r="G94" s="141">
        <f t="shared" si="9"/>
        <v>0</v>
      </c>
      <c r="H94" s="141">
        <f t="shared" si="9"/>
        <v>0</v>
      </c>
      <c r="I94" s="142">
        <f t="shared" si="9"/>
        <v>0</v>
      </c>
      <c r="J94" s="136">
        <f t="shared" si="9"/>
        <v>0</v>
      </c>
      <c r="K94" s="136">
        <f t="shared" si="9"/>
        <v>0</v>
      </c>
      <c r="L94" s="136">
        <f t="shared" si="9"/>
        <v>0</v>
      </c>
      <c r="M94" s="177">
        <f t="shared" si="9"/>
        <v>0</v>
      </c>
      <c r="N94" s="137">
        <f t="shared" si="9"/>
        <v>0</v>
      </c>
      <c r="O94" s="45"/>
      <c r="Q94" s="57" t="str">
        <f t="shared" si="8"/>
        <v>скрыть</v>
      </c>
    </row>
    <row r="95" spans="2:17" ht="15.75" hidden="1" customHeight="1" x14ac:dyDescent="0.25">
      <c r="B95" s="182">
        <v>79</v>
      </c>
      <c r="C95" s="182">
        <f t="shared" si="9"/>
        <v>0</v>
      </c>
      <c r="D95" s="182">
        <f t="shared" si="9"/>
        <v>0</v>
      </c>
      <c r="E95" s="183">
        <f t="shared" si="9"/>
        <v>0</v>
      </c>
      <c r="F95" s="182">
        <f t="shared" si="9"/>
        <v>0</v>
      </c>
      <c r="G95" s="141">
        <f t="shared" si="9"/>
        <v>0</v>
      </c>
      <c r="H95" s="141">
        <f t="shared" si="9"/>
        <v>0</v>
      </c>
      <c r="I95" s="142">
        <f t="shared" si="9"/>
        <v>0</v>
      </c>
      <c r="J95" s="136">
        <f t="shared" si="9"/>
        <v>0</v>
      </c>
      <c r="K95" s="136">
        <f t="shared" si="9"/>
        <v>0</v>
      </c>
      <c r="L95" s="136">
        <f t="shared" si="9"/>
        <v>0</v>
      </c>
      <c r="M95" s="177">
        <f t="shared" si="9"/>
        <v>0</v>
      </c>
      <c r="N95" s="137">
        <f t="shared" si="9"/>
        <v>0</v>
      </c>
      <c r="O95" s="45"/>
      <c r="Q95" s="57" t="str">
        <f t="shared" si="8"/>
        <v>скрыть</v>
      </c>
    </row>
    <row r="96" spans="2:17" ht="15.75" hidden="1" customHeight="1" x14ac:dyDescent="0.25">
      <c r="B96" s="182">
        <v>80</v>
      </c>
      <c r="C96" s="182">
        <f t="shared" si="9"/>
        <v>0</v>
      </c>
      <c r="D96" s="182">
        <f t="shared" si="9"/>
        <v>0</v>
      </c>
      <c r="E96" s="183">
        <f t="shared" si="9"/>
        <v>0</v>
      </c>
      <c r="F96" s="182">
        <f t="shared" si="9"/>
        <v>0</v>
      </c>
      <c r="G96" s="141">
        <f t="shared" si="9"/>
        <v>0</v>
      </c>
      <c r="H96" s="141">
        <f t="shared" si="9"/>
        <v>0</v>
      </c>
      <c r="I96" s="142">
        <f t="shared" si="9"/>
        <v>0</v>
      </c>
      <c r="J96" s="136">
        <f t="shared" si="9"/>
        <v>0</v>
      </c>
      <c r="K96" s="136">
        <f t="shared" si="9"/>
        <v>0</v>
      </c>
      <c r="L96" s="136">
        <f t="shared" si="9"/>
        <v>0</v>
      </c>
      <c r="M96" s="177">
        <f t="shared" si="9"/>
        <v>0</v>
      </c>
      <c r="N96" s="137">
        <f t="shared" si="9"/>
        <v>0</v>
      </c>
      <c r="O96" s="45"/>
      <c r="Q96" s="57" t="str">
        <f t="shared" si="8"/>
        <v>скрыть</v>
      </c>
    </row>
    <row r="97" spans="2:17" ht="15.75" hidden="1" customHeight="1" x14ac:dyDescent="0.25">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si="10"/>
        <v>0</v>
      </c>
      <c r="K97" s="136">
        <f t="shared" si="10"/>
        <v>0</v>
      </c>
      <c r="L97" s="136">
        <f t="shared" si="10"/>
        <v>0</v>
      </c>
      <c r="M97" s="177">
        <f t="shared" si="10"/>
        <v>0</v>
      </c>
      <c r="N97" s="137">
        <f t="shared" si="10"/>
        <v>0</v>
      </c>
      <c r="O97" s="45"/>
      <c r="Q97" s="57" t="str">
        <f t="shared" si="8"/>
        <v>скрыть</v>
      </c>
    </row>
    <row r="98" spans="2:17" ht="15.75" hidden="1" customHeight="1" x14ac:dyDescent="0.25">
      <c r="B98" s="182">
        <v>82</v>
      </c>
      <c r="C98" s="182">
        <f t="shared" si="10"/>
        <v>0</v>
      </c>
      <c r="D98" s="182">
        <f t="shared" si="10"/>
        <v>0</v>
      </c>
      <c r="E98" s="183">
        <f t="shared" si="10"/>
        <v>0</v>
      </c>
      <c r="F98" s="182">
        <f t="shared" si="10"/>
        <v>0</v>
      </c>
      <c r="G98" s="141">
        <f t="shared" si="10"/>
        <v>0</v>
      </c>
      <c r="H98" s="141">
        <f t="shared" si="10"/>
        <v>0</v>
      </c>
      <c r="I98" s="142">
        <f t="shared" si="10"/>
        <v>0</v>
      </c>
      <c r="J98" s="136">
        <f t="shared" si="10"/>
        <v>0</v>
      </c>
      <c r="K98" s="136">
        <f t="shared" si="10"/>
        <v>0</v>
      </c>
      <c r="L98" s="136">
        <f t="shared" si="10"/>
        <v>0</v>
      </c>
      <c r="M98" s="177">
        <f t="shared" si="10"/>
        <v>0</v>
      </c>
      <c r="N98" s="137">
        <f t="shared" si="10"/>
        <v>0</v>
      </c>
      <c r="O98" s="45"/>
      <c r="Q98" s="57" t="str">
        <f t="shared" si="8"/>
        <v>скрыть</v>
      </c>
    </row>
    <row r="99" spans="2:17" ht="15.75" hidden="1" customHeight="1" x14ac:dyDescent="0.25">
      <c r="B99" s="182">
        <v>83</v>
      </c>
      <c r="C99" s="182">
        <f t="shared" si="10"/>
        <v>0</v>
      </c>
      <c r="D99" s="182">
        <f t="shared" si="10"/>
        <v>0</v>
      </c>
      <c r="E99" s="183">
        <f t="shared" si="10"/>
        <v>0</v>
      </c>
      <c r="F99" s="182">
        <f t="shared" si="10"/>
        <v>0</v>
      </c>
      <c r="G99" s="141">
        <f t="shared" si="10"/>
        <v>0</v>
      </c>
      <c r="H99" s="141">
        <f t="shared" si="10"/>
        <v>0</v>
      </c>
      <c r="I99" s="142">
        <f t="shared" si="10"/>
        <v>0</v>
      </c>
      <c r="J99" s="136">
        <f t="shared" si="10"/>
        <v>0</v>
      </c>
      <c r="K99" s="136">
        <f t="shared" si="10"/>
        <v>0</v>
      </c>
      <c r="L99" s="136">
        <f t="shared" si="10"/>
        <v>0</v>
      </c>
      <c r="M99" s="177">
        <f t="shared" si="10"/>
        <v>0</v>
      </c>
      <c r="N99" s="137">
        <f t="shared" si="10"/>
        <v>0</v>
      </c>
      <c r="O99" s="45"/>
      <c r="Q99" s="57" t="str">
        <f t="shared" si="8"/>
        <v>скрыть</v>
      </c>
    </row>
    <row r="100" spans="2:17" ht="15.75" hidden="1" customHeight="1" x14ac:dyDescent="0.25">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si="10"/>
        <v>0</v>
      </c>
      <c r="K100" s="136">
        <f t="shared" si="10"/>
        <v>0</v>
      </c>
      <c r="L100" s="136">
        <f t="shared" si="10"/>
        <v>0</v>
      </c>
      <c r="M100" s="177">
        <f t="shared" si="10"/>
        <v>0</v>
      </c>
      <c r="N100" s="137">
        <f t="shared" si="10"/>
        <v>0</v>
      </c>
      <c r="O100" s="45"/>
      <c r="Q100" s="57" t="str">
        <f t="shared" si="8"/>
        <v>скрыть</v>
      </c>
    </row>
    <row r="101" spans="2:17" ht="15.75" hidden="1" customHeight="1" x14ac:dyDescent="0.25">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si="10"/>
        <v>0</v>
      </c>
      <c r="K101" s="136">
        <f t="shared" si="10"/>
        <v>0</v>
      </c>
      <c r="L101" s="136">
        <f t="shared" si="10"/>
        <v>0</v>
      </c>
      <c r="M101" s="177">
        <f t="shared" si="10"/>
        <v>0</v>
      </c>
      <c r="N101" s="137">
        <f t="shared" si="10"/>
        <v>0</v>
      </c>
      <c r="O101" s="45"/>
      <c r="Q101" s="57" t="str">
        <f t="shared" si="8"/>
        <v>скрыть</v>
      </c>
    </row>
    <row r="102" spans="2:17" ht="15.75" hidden="1" customHeight="1" x14ac:dyDescent="0.25">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si="10"/>
        <v>0</v>
      </c>
      <c r="K102" s="136">
        <f t="shared" si="10"/>
        <v>0</v>
      </c>
      <c r="L102" s="136">
        <f t="shared" si="10"/>
        <v>0</v>
      </c>
      <c r="M102" s="177">
        <f t="shared" si="10"/>
        <v>0</v>
      </c>
      <c r="N102" s="137">
        <f t="shared" si="10"/>
        <v>0</v>
      </c>
      <c r="O102" s="45"/>
      <c r="Q102" s="57" t="str">
        <f t="shared" si="8"/>
        <v>скрыть</v>
      </c>
    </row>
    <row r="103" spans="2:17" ht="15.75" hidden="1" customHeight="1" x14ac:dyDescent="0.25">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si="10"/>
        <v>0</v>
      </c>
      <c r="K103" s="136">
        <f t="shared" si="10"/>
        <v>0</v>
      </c>
      <c r="L103" s="136">
        <f t="shared" si="10"/>
        <v>0</v>
      </c>
      <c r="M103" s="177">
        <f t="shared" si="10"/>
        <v>0</v>
      </c>
      <c r="N103" s="137">
        <f t="shared" si="10"/>
        <v>0</v>
      </c>
      <c r="O103" s="45"/>
      <c r="Q103" s="57" t="str">
        <f t="shared" si="8"/>
        <v>скрыть</v>
      </c>
    </row>
    <row r="104" spans="2:17" ht="15.75" hidden="1" customHeight="1" x14ac:dyDescent="0.25">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si="10"/>
        <v>0</v>
      </c>
      <c r="K104" s="136">
        <f t="shared" si="10"/>
        <v>0</v>
      </c>
      <c r="L104" s="136">
        <f t="shared" si="10"/>
        <v>0</v>
      </c>
      <c r="M104" s="177">
        <f t="shared" si="10"/>
        <v>0</v>
      </c>
      <c r="N104" s="137">
        <f t="shared" si="10"/>
        <v>0</v>
      </c>
      <c r="O104" s="45"/>
      <c r="Q104" s="57" t="str">
        <f t="shared" si="8"/>
        <v>скрыть</v>
      </c>
    </row>
    <row r="105" spans="2:17" ht="15.75" hidden="1" customHeight="1" x14ac:dyDescent="0.25">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si="10"/>
        <v>0</v>
      </c>
      <c r="K105" s="136">
        <f t="shared" si="10"/>
        <v>0</v>
      </c>
      <c r="L105" s="136">
        <f t="shared" si="10"/>
        <v>0</v>
      </c>
      <c r="M105" s="177">
        <f t="shared" si="10"/>
        <v>0</v>
      </c>
      <c r="N105" s="137">
        <f t="shared" si="10"/>
        <v>0</v>
      </c>
      <c r="O105" s="45"/>
      <c r="Q105" s="57" t="str">
        <f t="shared" si="8"/>
        <v>скрыть</v>
      </c>
    </row>
    <row r="106" spans="2:17" ht="15.75" hidden="1" customHeight="1" x14ac:dyDescent="0.25">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si="10"/>
        <v>0</v>
      </c>
      <c r="K106" s="136">
        <f t="shared" si="10"/>
        <v>0</v>
      </c>
      <c r="L106" s="136">
        <f t="shared" si="10"/>
        <v>0</v>
      </c>
      <c r="M106" s="177">
        <f t="shared" si="10"/>
        <v>0</v>
      </c>
      <c r="N106" s="137">
        <f t="shared" si="10"/>
        <v>0</v>
      </c>
      <c r="O106" s="45"/>
      <c r="Q106" s="57" t="str">
        <f t="shared" si="8"/>
        <v>скрыть</v>
      </c>
    </row>
    <row r="107" spans="2:17" ht="15.75" hidden="1" customHeight="1" x14ac:dyDescent="0.25">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si="11"/>
        <v>0</v>
      </c>
      <c r="K107" s="136">
        <f t="shared" si="11"/>
        <v>0</v>
      </c>
      <c r="L107" s="136">
        <f t="shared" si="11"/>
        <v>0</v>
      </c>
      <c r="M107" s="177">
        <f t="shared" si="11"/>
        <v>0</v>
      </c>
      <c r="N107" s="137">
        <f t="shared" si="11"/>
        <v>0</v>
      </c>
      <c r="O107" s="45"/>
      <c r="Q107" s="57" t="str">
        <f t="shared" si="8"/>
        <v>скрыть</v>
      </c>
    </row>
    <row r="108" spans="2:17" ht="15.75" hidden="1" customHeight="1" x14ac:dyDescent="0.25">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si="11"/>
        <v>0</v>
      </c>
      <c r="K108" s="136">
        <f t="shared" si="11"/>
        <v>0</v>
      </c>
      <c r="L108" s="136">
        <f t="shared" si="11"/>
        <v>0</v>
      </c>
      <c r="M108" s="177">
        <f t="shared" si="11"/>
        <v>0</v>
      </c>
      <c r="N108" s="137">
        <f t="shared" si="11"/>
        <v>0</v>
      </c>
      <c r="O108" s="45"/>
      <c r="Q108" s="57" t="str">
        <f t="shared" si="8"/>
        <v>скрыть</v>
      </c>
    </row>
    <row r="109" spans="2:17" ht="15.75" hidden="1" customHeight="1" x14ac:dyDescent="0.25">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si="11"/>
        <v>0</v>
      </c>
      <c r="K109" s="136">
        <f t="shared" si="11"/>
        <v>0</v>
      </c>
      <c r="L109" s="136">
        <f t="shared" si="11"/>
        <v>0</v>
      </c>
      <c r="M109" s="177">
        <f t="shared" si="11"/>
        <v>0</v>
      </c>
      <c r="N109" s="137">
        <f t="shared" si="11"/>
        <v>0</v>
      </c>
      <c r="O109" s="45"/>
      <c r="Q109" s="57" t="str">
        <f t="shared" si="8"/>
        <v>скрыть</v>
      </c>
    </row>
    <row r="110" spans="2:17" ht="15.75" hidden="1" customHeight="1" x14ac:dyDescent="0.25">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si="11"/>
        <v>0</v>
      </c>
      <c r="K110" s="136">
        <f t="shared" si="11"/>
        <v>0</v>
      </c>
      <c r="L110" s="136">
        <f t="shared" si="11"/>
        <v>0</v>
      </c>
      <c r="M110" s="177">
        <f t="shared" si="11"/>
        <v>0</v>
      </c>
      <c r="N110" s="137">
        <f t="shared" si="11"/>
        <v>0</v>
      </c>
      <c r="O110" s="45"/>
      <c r="Q110" s="57" t="str">
        <f t="shared" si="8"/>
        <v>скрыть</v>
      </c>
    </row>
    <row r="111" spans="2:17" ht="15.75" hidden="1" customHeight="1" x14ac:dyDescent="0.25">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si="11"/>
        <v>0</v>
      </c>
      <c r="K111" s="136">
        <f t="shared" si="11"/>
        <v>0</v>
      </c>
      <c r="L111" s="136">
        <f t="shared" si="11"/>
        <v>0</v>
      </c>
      <c r="M111" s="177">
        <f t="shared" si="11"/>
        <v>0</v>
      </c>
      <c r="N111" s="137">
        <f t="shared" si="11"/>
        <v>0</v>
      </c>
      <c r="O111" s="45"/>
      <c r="Q111" s="57" t="str">
        <f t="shared" si="8"/>
        <v>скрыть</v>
      </c>
    </row>
    <row r="112" spans="2:17" ht="15.75" hidden="1" customHeight="1" x14ac:dyDescent="0.25">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si="11"/>
        <v>0</v>
      </c>
      <c r="K112" s="136">
        <f t="shared" si="11"/>
        <v>0</v>
      </c>
      <c r="L112" s="136">
        <f t="shared" si="11"/>
        <v>0</v>
      </c>
      <c r="M112" s="177">
        <f t="shared" si="11"/>
        <v>0</v>
      </c>
      <c r="N112" s="137">
        <f t="shared" si="11"/>
        <v>0</v>
      </c>
      <c r="O112" s="45"/>
      <c r="Q112" s="57" t="str">
        <f t="shared" si="8"/>
        <v>скрыть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4" t="s">
        <v>179</v>
      </c>
      <c r="C2017" s="704"/>
      <c r="D2017" s="704"/>
      <c r="E2017" s="704"/>
      <c r="F2017" s="704"/>
      <c r="G2017" s="143">
        <f>SUM(G17:G2016)</f>
        <v>0</v>
      </c>
      <c r="H2017" s="149"/>
      <c r="I2017" s="149"/>
      <c r="J2017" s="149"/>
      <c r="K2017" s="148">
        <f>SUM(K17:K2016)</f>
        <v>6831.1</v>
      </c>
      <c r="L2017" s="148">
        <f>SUM(L17:L2016)</f>
        <v>1366.2099999999998</v>
      </c>
      <c r="M2017" s="148"/>
      <c r="N2017" s="148">
        <f>SUM(N17:N2016)</f>
        <v>8197.31</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4"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EUR</v>
      </c>
      <c r="L3" s="248">
        <f>_xlfn.XLOOKUP(L2,расчет!14:14,расчет!13:13,0,0)</f>
        <v>8197.31</v>
      </c>
      <c r="M3" s="248">
        <f>_xlfn.XLOOKUP(M2,расчет!14:14,расчет!13:13,0,0)</f>
        <v>6831.1</v>
      </c>
      <c r="N3" s="248">
        <f>_xlfn.XLOOKUP(N2,расчет!14:14,расчет!13:13,0,0)</f>
        <v>854.0200000000001</v>
      </c>
      <c r="O3" s="246" t="str">
        <f>VLOOKUP(O$2,расчет!$B$5:$D$12,3,FALSE)</f>
        <v>DDP</v>
      </c>
      <c r="P3" s="246">
        <f>VLOOKUP(P$2,расчет!$B$5:$D$12,3,FALSE)</f>
        <v>30</v>
      </c>
      <c r="Q3" s="246">
        <f>offer_post_pmt_due</f>
        <v>0</v>
      </c>
      <c r="R3" s="246" t="str">
        <f>VLOOKUP(R$2,расчет!$B$5:$D$12,3,FALSE)</f>
        <v>частичная оплата</v>
      </c>
      <c r="S3" s="249">
        <f>расчет!J5</f>
        <v>0.5</v>
      </c>
      <c r="T3" s="246">
        <f>VLOOKUP(T$2,расчет!$B$5:$D$12,3,FALSE)</f>
        <v>1</v>
      </c>
      <c r="U3" s="248">
        <f>_xlfn.XLOOKUP(U2,расчет!14:14,расчет!13:13,0,0)</f>
        <v>0</v>
      </c>
      <c r="V3" s="248">
        <f>_xlfn.XLOOKUP(V2,расчет!14:14,расчет!13:13,0,0)</f>
        <v>5</v>
      </c>
      <c r="W3" s="248">
        <f>_xlfn.XLOOKUP(W2,расчет!14:14,расчет!13:13,0,0)</f>
        <v>0</v>
      </c>
      <c r="X3" s="248">
        <f>_xlfn.XLOOKUP(X2,расчет!14:14,расчет!13:13,0,0)</f>
        <v>1184.3260696771029</v>
      </c>
      <c r="Y3" s="248">
        <f>_xlfn.XLOOKUP(Y2,расчет!14:14,расчет!13:13,0,0)</f>
        <v>1383.3761575621031</v>
      </c>
      <c r="Z3" s="248">
        <f>_xlfn.XLOOKUP(Z2,расчет!14:14,расчет!13:13,0,0)</f>
        <v>8.8201650916571452</v>
      </c>
      <c r="AA3" s="248">
        <f>_xlfn.XLOOKUP(AA2,расчет!14:14,расчет!13:13,0,0)</f>
        <v>0</v>
      </c>
      <c r="AB3" s="248">
        <f>_xlfn.XLOOKUP(AB2,расчет!14:14,расчет!13:13,0,0)</f>
        <v>2800.6000000000004</v>
      </c>
      <c r="AC3" s="248">
        <f>_xlfn.XLOOKUP(AC2,расчет!14:14,расчет!13:13,0,0)</f>
        <v>1500.0000000000005</v>
      </c>
      <c r="AD3" s="248">
        <f>_xlfn.XLOOKUP(AD2,расчет!14:14,расчет!13:13,0,0)</f>
        <v>4300.6000000000013</v>
      </c>
      <c r="AE3" s="248">
        <f>_xlfn.XLOOKUP(AE2,расчет!14:14,расчет!13:13,0,0)</f>
        <v>199.73999999999998</v>
      </c>
      <c r="AF3" s="248">
        <f>_xlfn.XLOOKUP(AF2,расчет!14:14,расчет!13:13,0,0)</f>
        <v>0</v>
      </c>
      <c r="AG3" s="248">
        <f>_xlfn.XLOOKUP(AG2,расчет!14:14,расчет!13:13,0,0)</f>
        <v>5693.48</v>
      </c>
      <c r="AH3" s="247">
        <f>_xlfn.XLOOKUP(AH2,расчет!14:14,расчет!13:13,0,0)</f>
        <v>0.14999964872099314</v>
      </c>
      <c r="AI3" s="248">
        <f>_xlfn.XLOOKUP(AI2,расчет!14:14,расчет!13:13,0,0)</f>
        <v>0</v>
      </c>
      <c r="AJ3" s="248">
        <f>_xlfn.XLOOKUP(AJ2,расчет!14:14,расчет!13:13,0,0)</f>
        <v>198.96396975168639</v>
      </c>
      <c r="AK3" s="248">
        <f>_xlfn.XLOOKUP(AK2,расчет!14:14,расчет!13:13,0,0)</f>
        <v>84.632325056213162</v>
      </c>
      <c r="AL3" s="248">
        <f>_xlfn.XLOOKUP(AL2,расчет!14:14,расчет!13:13,0,0)</f>
        <v>1366.2099999999998</v>
      </c>
      <c r="AM3" s="248">
        <f>_xlfn.XLOOKUP(AM2,расчет!14:14,расчет!13:13,0,0)</f>
        <v>845.0920000000001</v>
      </c>
      <c r="AN3" s="248">
        <f>_xlfn.XLOOKUP(AN2,расчет!14:14,расчет!13:13,0,0)</f>
        <v>521.11799999999971</v>
      </c>
      <c r="AO3" s="248">
        <f>_xlfn.XLOOKUP(AO2,расчет!14:14,расчет!13:13,0,0)</f>
        <v>0</v>
      </c>
      <c r="AP3" s="247">
        <f>_xlfn.XLOOKUP(AP2,расчет!14:14,расчет!13:13,0,0)</f>
        <v>3.4444847046235738E-2</v>
      </c>
      <c r="AQ3" s="248">
        <f>_xlfn.XLOOKUP(AQ2,расчет!14:14,расчет!13:13,0,0)</f>
        <v>1225.1200000000001</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EUR</v>
      </c>
      <c r="L5" s="425" t="b">
        <f>H5=M5</f>
        <v>1</v>
      </c>
      <c r="M5" s="306" t="s">
        <v>75</v>
      </c>
    </row>
    <row r="6" spans="2:15" x14ac:dyDescent="0.25">
      <c r="G6" s="303" t="str">
        <f>расчет!B9</f>
        <v>срок поставки (дни)</v>
      </c>
      <c r="H6" s="303">
        <f>offer_turnaround_time</f>
        <v>30</v>
      </c>
    </row>
    <row r="7" spans="2:15" x14ac:dyDescent="0.25">
      <c r="G7" s="303" t="s">
        <v>117</v>
      </c>
      <c r="H7" s="307">
        <f>H12/(H12-H35)-1</f>
        <v>0.14288199404933222</v>
      </c>
    </row>
    <row r="8" spans="2:15" x14ac:dyDescent="0.25">
      <c r="B8" t="str" cm="1">
        <f t="array" ref="B8:C66">TRANSPOSE(расчет!A14:BG15)</f>
        <v>№п.п.</v>
      </c>
      <c r="C8">
        <v>0</v>
      </c>
      <c r="D8" s="85" cm="1">
        <f t="array" ref="D8:D66">TRANSPOSE(расчет!A13:BG13)</f>
        <v>0</v>
      </c>
      <c r="G8" s="310" t="s">
        <v>119</v>
      </c>
      <c r="H8" s="308">
        <f>H12/H13</f>
        <v>5.7679216686182091</v>
      </c>
    </row>
    <row r="9" spans="2:15" x14ac:dyDescent="0.25">
      <c r="B9" t="str">
        <v>Бренд</v>
      </c>
      <c r="C9">
        <v>1</v>
      </c>
      <c r="D9">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5</v>
      </c>
      <c r="G12" s="178" t="s">
        <v>192</v>
      </c>
      <c r="H12" s="229">
        <f>VLOOKUP(G12,B:D,3,FALSE)</f>
        <v>6831.1</v>
      </c>
      <c r="I12" s="230">
        <f t="shared" ref="I12:I35" si="0">H12/H$12</f>
        <v>1</v>
      </c>
      <c r="J12" s="231">
        <f>расчет!AL13</f>
        <v>8197.31</v>
      </c>
      <c r="K12" s="232">
        <f>J12-H12</f>
        <v>1366.2099999999991</v>
      </c>
      <c r="L12" s="427">
        <f>H12-M12</f>
        <v>6831.1</v>
      </c>
      <c r="M12" s="229">
        <f>N12-O12</f>
        <v>0</v>
      </c>
    </row>
    <row r="13" spans="2:15" x14ac:dyDescent="0.25">
      <c r="B13" t="str">
        <v>ед. изм</v>
      </c>
      <c r="C13">
        <v>5</v>
      </c>
      <c r="D13">
        <v>0</v>
      </c>
      <c r="G13" s="83" t="str">
        <f>расчет!S14</f>
        <v>Сумма закупки в валюте КП без НДС</v>
      </c>
      <c r="H13" s="85">
        <f>VLOOKUP(G13,B:D,3,FALSE)</f>
        <v>1184.3260696771029</v>
      </c>
      <c r="I13" s="87">
        <f t="shared" si="0"/>
        <v>0.17337267346065829</v>
      </c>
      <c r="J13" s="88">
        <v>0</v>
      </c>
      <c r="K13" s="88">
        <f>J13-H13</f>
        <v>-1184.3260696771029</v>
      </c>
      <c r="L13" s="428">
        <f t="shared" ref="L13:L35" si="1">H13-M13</f>
        <v>1184.3260696771029</v>
      </c>
      <c r="M13" s="470"/>
    </row>
    <row r="14" spans="2:15" ht="15.75" thickBot="1" x14ac:dyDescent="0.3">
      <c r="B14" t="str">
        <v>Вес шт</v>
      </c>
      <c r="C14">
        <v>6</v>
      </c>
      <c r="D14">
        <v>0</v>
      </c>
      <c r="G14" s="216" t="s">
        <v>219</v>
      </c>
      <c r="H14" s="217">
        <f>H12-H13</f>
        <v>5646.7739303228973</v>
      </c>
      <c r="I14" s="218">
        <f t="shared" si="0"/>
        <v>0.82662732653934168</v>
      </c>
      <c r="J14" s="219"/>
      <c r="K14" s="88">
        <f>J14-H14</f>
        <v>-5646.7739303228973</v>
      </c>
      <c r="L14" s="429">
        <f t="shared" si="1"/>
        <v>5646.7739303228973</v>
      </c>
      <c r="M14" s="217">
        <f>+M12-M13</f>
        <v>0</v>
      </c>
    </row>
    <row r="15" spans="2:15" ht="15.75" thickTop="1" x14ac:dyDescent="0.25">
      <c r="B15" t="str">
        <v>Фасовка</v>
      </c>
      <c r="C15">
        <v>7</v>
      </c>
      <c r="D15">
        <v>0</v>
      </c>
      <c r="G15" s="214" t="str">
        <f>расчет!V2</f>
        <v>"ОТКУДА" - Стамбул</v>
      </c>
      <c r="H15" s="215">
        <f>расчет!W2</f>
        <v>1500</v>
      </c>
      <c r="I15" s="87">
        <f t="shared" si="0"/>
        <v>0.21958396158744564</v>
      </c>
      <c r="L15" s="430">
        <f t="shared" si="1"/>
        <v>0</v>
      </c>
      <c r="M15" s="431">
        <f>H15</f>
        <v>1500</v>
      </c>
    </row>
    <row r="16" spans="2:15" x14ac:dyDescent="0.25">
      <c r="B16" t="str">
        <v>Общий вес</v>
      </c>
      <c r="C16">
        <v>8</v>
      </c>
      <c r="D16">
        <v>0</v>
      </c>
      <c r="G16" s="214" t="str">
        <f>расчет!V3</f>
        <v>ТР - РФ (граница)</v>
      </c>
      <c r="H16" s="215">
        <f>расчет!W3</f>
        <v>800</v>
      </c>
      <c r="I16" s="432">
        <f t="shared" si="0"/>
        <v>0.117111446179971</v>
      </c>
      <c r="J16" s="433"/>
      <c r="K16" s="433"/>
      <c r="L16" s="434">
        <f t="shared" si="1"/>
        <v>0</v>
      </c>
      <c r="M16" s="431">
        <f>H16</f>
        <v>800</v>
      </c>
    </row>
    <row r="17" spans="2:15" x14ac:dyDescent="0.25">
      <c r="B17" t="str">
        <v>Валюта закупки</v>
      </c>
      <c r="C17">
        <v>9</v>
      </c>
      <c r="D17">
        <v>0</v>
      </c>
      <c r="G17" s="214" t="str">
        <f>расчет!V4</f>
        <v>РФ (граница)  - "КУДА"</v>
      </c>
      <c r="H17" s="215">
        <f>расчет!W4</f>
        <v>500</v>
      </c>
      <c r="I17" s="432">
        <f t="shared" si="0"/>
        <v>7.3194653862481876E-2</v>
      </c>
      <c r="J17" s="433"/>
      <c r="K17" s="433"/>
      <c r="L17" s="434">
        <f t="shared" si="1"/>
        <v>0</v>
      </c>
      <c r="M17" s="431">
        <f t="shared" ref="M17:M22" si="2">H17</f>
        <v>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1.4638930772496376E-2</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2.9277861544992751E-2</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4.3916792317489128E-2</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5.8555723089985502E-2</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7.3194653862481876E-2</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0.6</v>
      </c>
      <c r="I23" s="87">
        <f t="shared" si="0"/>
        <v>8.7833584634978257E-5</v>
      </c>
      <c r="L23" s="430">
        <f t="shared" si="1"/>
        <v>0</v>
      </c>
      <c r="M23" s="215">
        <f>H23</f>
        <v>0.6</v>
      </c>
    </row>
    <row r="24" spans="2:15" x14ac:dyDescent="0.25">
      <c r="B24" t="str">
        <v>Курс валют к валюте КП</v>
      </c>
      <c r="C24">
        <v>16</v>
      </c>
      <c r="D24">
        <v>0</v>
      </c>
      <c r="G24" s="178" t="s">
        <v>129</v>
      </c>
      <c r="H24" s="435">
        <f>VLOOKUP(G24,B:D,3,FALSE)</f>
        <v>4300.6000000000013</v>
      </c>
      <c r="I24" s="436">
        <f t="shared" si="0"/>
        <v>0.62956185680197929</v>
      </c>
      <c r="J24" s="178" t="b">
        <f>H24=SUM(H15:H23)</f>
        <v>1</v>
      </c>
      <c r="K24" s="178"/>
      <c r="L24" s="430">
        <f>H24-M24</f>
        <v>0</v>
      </c>
      <c r="M24" s="435">
        <f>+SUM(M15:M23)</f>
        <v>4300.6000000000004</v>
      </c>
    </row>
    <row r="25" spans="2:15" x14ac:dyDescent="0.25">
      <c r="B25" t="str">
        <v>Цена Закупки в валюте КП без НДС за шт.</v>
      </c>
      <c r="C25">
        <v>17</v>
      </c>
      <c r="D25">
        <v>0</v>
      </c>
      <c r="G25" s="83" t="s">
        <v>58</v>
      </c>
      <c r="H25" s="435">
        <f t="shared" ref="H25:H26" si="3">VLOOKUP(G25,B:D,3,FALSE)</f>
        <v>199.73999999999998</v>
      </c>
      <c r="I25" s="87">
        <f t="shared" si="0"/>
        <v>2.9239800324984258E-2</v>
      </c>
      <c r="K25" s="437">
        <f>H25/H13</f>
        <v>0.16865287788054645</v>
      </c>
      <c r="L25" s="430">
        <f t="shared" si="1"/>
        <v>0</v>
      </c>
      <c r="M25" s="85">
        <f>H25</f>
        <v>199.73999999999998</v>
      </c>
    </row>
    <row r="26" spans="2:15" x14ac:dyDescent="0.25">
      <c r="B26" t="str">
        <v>Сумма закупки в валюте КП без НДС</v>
      </c>
      <c r="C26">
        <v>18</v>
      </c>
      <c r="D26">
        <v>1184.3260696771029</v>
      </c>
      <c r="G26" s="83" t="s">
        <v>59</v>
      </c>
      <c r="H26" s="435">
        <f t="shared" si="3"/>
        <v>0</v>
      </c>
      <c r="I26" s="87">
        <f t="shared" si="0"/>
        <v>0</v>
      </c>
      <c r="L26" s="428">
        <f t="shared" si="1"/>
        <v>0</v>
      </c>
      <c r="M26" s="85">
        <f>H26</f>
        <v>0</v>
      </c>
    </row>
    <row r="27" spans="2:15" x14ac:dyDescent="0.25">
      <c r="B27" t="str">
        <v>Логистика ЕС+ТР</v>
      </c>
      <c r="C27">
        <v>19</v>
      </c>
      <c r="D27">
        <v>2800.6000000000004</v>
      </c>
      <c r="G27" s="223" t="s">
        <v>236</v>
      </c>
      <c r="H27" s="582">
        <f>+SUM(H13,H24:H26)</f>
        <v>5684.6660696771041</v>
      </c>
      <c r="I27" s="225">
        <f t="shared" si="0"/>
        <v>0.83217433058762191</v>
      </c>
      <c r="L27" s="438">
        <f t="shared" si="1"/>
        <v>1184.157416799223</v>
      </c>
      <c r="M27" s="224">
        <f>M13+M24+K25+M25+M26</f>
        <v>4500.5086528778811</v>
      </c>
    </row>
    <row r="28" spans="2:15" ht="15.75" thickBot="1" x14ac:dyDescent="0.3">
      <c r="B28" t="str">
        <v>Логистика РФ</v>
      </c>
      <c r="C28">
        <v>20</v>
      </c>
      <c r="D28">
        <v>1500.0000000000005</v>
      </c>
      <c r="G28" s="216" t="s">
        <v>220</v>
      </c>
      <c r="H28" s="217">
        <f>H14-SUM(H24,H25:H26)</f>
        <v>1146.4339303228962</v>
      </c>
      <c r="I28" s="218">
        <f t="shared" si="0"/>
        <v>0.16782566941237811</v>
      </c>
      <c r="J28" s="226">
        <f>H12-H27</f>
        <v>1146.4339303228962</v>
      </c>
      <c r="L28" s="429">
        <f t="shared" si="1"/>
        <v>5646.7739303228964</v>
      </c>
      <c r="M28" s="217">
        <f>M14-M24-M25-M26</f>
        <v>-4500.34</v>
      </c>
    </row>
    <row r="29" spans="2:15" ht="15.75" thickTop="1" x14ac:dyDescent="0.25">
      <c r="B29" t="str">
        <v>Итого Логистика</v>
      </c>
      <c r="C29">
        <v>21</v>
      </c>
      <c r="D29">
        <v>4300.6000000000013</v>
      </c>
      <c r="G29" s="83" t="s">
        <v>183</v>
      </c>
      <c r="H29" s="85">
        <f>VLOOKUP(G29,B:D,3,FALSE)</f>
        <v>84.632325056213162</v>
      </c>
      <c r="I29" s="87">
        <f t="shared" si="0"/>
        <v>1.2389267476133149E-2</v>
      </c>
      <c r="J29" s="97">
        <v>0</v>
      </c>
      <c r="K29" s="439">
        <v>0.04</v>
      </c>
      <c r="L29" s="428">
        <f t="shared" si="1"/>
        <v>0</v>
      </c>
      <c r="M29" s="85">
        <f>H29</f>
        <v>84.632325056213162</v>
      </c>
      <c r="N29" s="473">
        <f>H29/0.02</f>
        <v>4231.6162528106579</v>
      </c>
      <c r="O29" s="473">
        <f>N29-H13</f>
        <v>3047.2901831335548</v>
      </c>
    </row>
    <row r="30" spans="2:15" x14ac:dyDescent="0.25">
      <c r="B30" t="str">
        <v>Код ТН ВЭД</v>
      </c>
      <c r="C30">
        <v>22</v>
      </c>
      <c r="D30">
        <v>0</v>
      </c>
      <c r="G30" s="83" t="s">
        <v>265</v>
      </c>
      <c r="H30" s="85">
        <f>VLOOKUP(G30,B:D,3,FALSE)</f>
        <v>198.96396975168639</v>
      </c>
      <c r="I30" s="87">
        <f t="shared" si="0"/>
        <v>2.9126197794160001E-2</v>
      </c>
      <c r="J30" s="97">
        <v>0</v>
      </c>
      <c r="K30" s="97"/>
      <c r="L30" s="428">
        <f t="shared" si="1"/>
        <v>0</v>
      </c>
      <c r="M30" s="85">
        <f>H30</f>
        <v>198.96396975168639</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199.73999999999998</v>
      </c>
      <c r="G32" s="83" t="s">
        <v>240</v>
      </c>
      <c r="H32" s="85">
        <f>VLOOKUP(G32,B:D,3,FALSE)</f>
        <v>8.8201650916571452</v>
      </c>
      <c r="I32" s="87">
        <f t="shared" si="0"/>
        <v>1.2911778617875811E-3</v>
      </c>
      <c r="L32" s="428">
        <f t="shared" si="1"/>
        <v>0</v>
      </c>
      <c r="M32" s="85">
        <f t="shared" si="4"/>
        <v>8.8201650916571452</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292.41645989955668</v>
      </c>
      <c r="I34" s="222">
        <f t="shared" si="0"/>
        <v>4.2806643132080727E-2</v>
      </c>
      <c r="L34" s="440">
        <f t="shared" si="1"/>
        <v>0</v>
      </c>
      <c r="M34" s="221">
        <f>SUM(M29:M33)</f>
        <v>292.41645989955668</v>
      </c>
    </row>
    <row r="35" spans="2:15" x14ac:dyDescent="0.25">
      <c r="B35" t="str">
        <v>Итого Себестоимость товара (без НДС)</v>
      </c>
      <c r="C35">
        <v>27</v>
      </c>
      <c r="D35">
        <v>5693.48</v>
      </c>
      <c r="F35" t="str">
        <f>расчет!AF14</f>
        <v>Профит чистый (без НДС и фин. расходов и отката)</v>
      </c>
      <c r="G35" s="441" t="s">
        <v>221</v>
      </c>
      <c r="H35" s="442">
        <f>H28-H34</f>
        <v>854.01747042333955</v>
      </c>
      <c r="I35" s="443">
        <f t="shared" si="0"/>
        <v>0.1250190262802974</v>
      </c>
      <c r="J35" s="444">
        <f>VLOOKUP(F35,B:D,3,FALSE)</f>
        <v>854.0200000000001</v>
      </c>
      <c r="K35" s="351">
        <f>ROUND(J35,1)-ROUND(H35,1)</f>
        <v>0</v>
      </c>
      <c r="L35" s="445">
        <f t="shared" si="1"/>
        <v>5646.7739303228964</v>
      </c>
      <c r="M35" s="442">
        <f>+M28-M34</f>
        <v>-4792.7564598995568</v>
      </c>
    </row>
    <row r="36" spans="2:15" ht="21" x14ac:dyDescent="0.35">
      <c r="B36" t="str">
        <v>Наценка Общая в %</v>
      </c>
      <c r="C36">
        <v>28</v>
      </c>
      <c r="D36">
        <v>0.14999964872099314</v>
      </c>
      <c r="G36" s="716" t="s">
        <v>312</v>
      </c>
      <c r="H36" s="717"/>
      <c r="I36" s="717"/>
      <c r="J36" s="446">
        <v>0.5</v>
      </c>
      <c r="K36" s="447">
        <v>0.25</v>
      </c>
      <c r="L36" s="448" t="s">
        <v>313</v>
      </c>
      <c r="M36" s="583">
        <f>(M$35*$J36)*$K36</f>
        <v>-599.0945574874446</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-599.0945574874446</v>
      </c>
      <c r="N37" s="459" t="s">
        <v>322</v>
      </c>
    </row>
    <row r="38" spans="2:15" ht="15.75" thickBot="1" x14ac:dyDescent="0.3">
      <c r="B38" t="str">
        <v>Себестоимость + Маржа (без НДС)</v>
      </c>
      <c r="C38">
        <v>30</v>
      </c>
      <c r="D38">
        <v>6547.5</v>
      </c>
      <c r="G38" s="454" t="s">
        <v>68</v>
      </c>
      <c r="H38" s="450">
        <f>H39*(1+H40)</f>
        <v>1302.7586766448132</v>
      </c>
      <c r="I38" s="451"/>
      <c r="J38" s="455"/>
      <c r="K38" s="455"/>
      <c r="L38" s="456" t="s">
        <v>315</v>
      </c>
      <c r="M38" s="457">
        <f>+M36+M37</f>
        <v>-1198.1891149748892</v>
      </c>
      <c r="O38" s="587"/>
    </row>
    <row r="39" spans="2:15" ht="15.75" thickTop="1" x14ac:dyDescent="0.25">
      <c r="B39" t="str">
        <v>Профит чистый (без НДС и фин. расходов и отката)</v>
      </c>
      <c r="C39">
        <v>31</v>
      </c>
      <c r="D39">
        <v>854.0200000000001</v>
      </c>
      <c r="G39" s="454" t="s">
        <v>103</v>
      </c>
      <c r="H39" s="458">
        <f>H13</f>
        <v>1184.3260696771029</v>
      </c>
      <c r="I39" s="451"/>
      <c r="J39" s="455"/>
      <c r="K39" s="459"/>
      <c r="L39" s="460" t="s">
        <v>316</v>
      </c>
      <c r="M39" s="585">
        <f>M35-M38</f>
        <v>-3594.5673449246679</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86.012000000000015</v>
      </c>
      <c r="N40" s="459" t="s">
        <v>324</v>
      </c>
      <c r="O40" s="459"/>
    </row>
    <row r="41" spans="2:15" x14ac:dyDescent="0.25">
      <c r="B41" t="str">
        <v>Резерв на отриц. курсовую разницу (3% в договоре)</v>
      </c>
      <c r="C41">
        <v>33</v>
      </c>
      <c r="D41">
        <v>198.96396975168639</v>
      </c>
      <c r="G41" s="454"/>
      <c r="H41" s="450"/>
      <c r="I41" s="451"/>
      <c r="J41" s="718" t="s">
        <v>318</v>
      </c>
      <c r="K41" s="718"/>
      <c r="L41" s="718"/>
      <c r="M41" s="586">
        <f>M39-M40</f>
        <v>-3680.579344924668</v>
      </c>
    </row>
    <row r="42" spans="2:15" x14ac:dyDescent="0.25">
      <c r="B42" t="str">
        <v>Комиссия фин/агента (% затрат вне РФ)</v>
      </c>
      <c r="C42">
        <v>34</v>
      </c>
      <c r="D42">
        <v>84.632325056213162</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6831.1</v>
      </c>
      <c r="G44" s="465"/>
      <c r="H44" s="466"/>
      <c r="I44" s="466"/>
      <c r="J44" s="466"/>
      <c r="K44" s="466"/>
      <c r="L44" s="467"/>
      <c r="M44" s="466"/>
    </row>
    <row r="45" spans="2:15" x14ac:dyDescent="0.25">
      <c r="B45" t="str">
        <v>Итого Сумма Продажи с НДС</v>
      </c>
      <c r="C45">
        <v>37</v>
      </c>
      <c r="D45">
        <v>8197.31</v>
      </c>
    </row>
    <row r="46" spans="2:15" ht="15.75" thickBot="1" x14ac:dyDescent="0.3">
      <c r="B46" t="str">
        <v>Цена продажи c НДС</v>
      </c>
      <c r="C46">
        <v>38</v>
      </c>
      <c r="D46">
        <v>0</v>
      </c>
    </row>
    <row r="47" spans="2:15" x14ac:dyDescent="0.25">
      <c r="B47" t="str">
        <v>НДС с продаж</v>
      </c>
      <c r="C47">
        <v>39</v>
      </c>
      <c r="D47">
        <v>1366.2099999999998</v>
      </c>
      <c r="K47" s="719" t="s">
        <v>119</v>
      </c>
      <c r="L47"/>
      <c r="M47"/>
    </row>
    <row r="48" spans="2:15" ht="15.75" thickBot="1" x14ac:dyDescent="0.3">
      <c r="B48" t="str">
        <v>НДС (при импорте в РФ)</v>
      </c>
      <c r="C48">
        <v>40</v>
      </c>
      <c r="D48">
        <v>845.0920000000001</v>
      </c>
      <c r="K48" s="720"/>
      <c r="L48"/>
      <c r="M48"/>
    </row>
    <row r="49" spans="2:13" ht="17.25" thickBot="1" x14ac:dyDescent="0.4">
      <c r="B49" t="str">
        <v>НДС к уплате за вычетом импортного НДС</v>
      </c>
      <c r="C49">
        <v>41</v>
      </c>
      <c r="D49">
        <v>521.11799999999971</v>
      </c>
      <c r="K49" s="468">
        <f>H8</f>
        <v>5.7679216686182091</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3.4444847046235738E-2</v>
      </c>
    </row>
    <row r="57" spans="2:13" x14ac:dyDescent="0.25">
      <c r="B57" t="str">
        <v>Цена за ед.</v>
      </c>
      <c r="C57">
        <v>49</v>
      </c>
      <c r="D57">
        <v>0</v>
      </c>
    </row>
    <row r="58" spans="2:13" x14ac:dyDescent="0.25">
      <c r="B58" t="str">
        <v>Сумма валютной спецификации</v>
      </c>
      <c r="C58">
        <v>50</v>
      </c>
      <c r="D58">
        <v>1225.1200000000001</v>
      </c>
    </row>
    <row r="59" spans="2:13" x14ac:dyDescent="0.25">
      <c r="B59" t="str">
        <v>Сумма закупки в валюте КП с учетом НДС</v>
      </c>
      <c r="C59">
        <v>51</v>
      </c>
      <c r="D59">
        <v>1383.3761575621031</v>
      </c>
    </row>
    <row r="60" spans="2:13" x14ac:dyDescent="0.25">
      <c r="B60" t="str">
        <v>Итого Стоимость финансирования</v>
      </c>
      <c r="C60">
        <v>52</v>
      </c>
      <c r="D60">
        <v>8.8201650916571452</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1" t="s">
        <v>376</v>
      </c>
      <c r="C1" s="721"/>
    </row>
    <row r="2" spans="1:3" x14ac:dyDescent="0.25">
      <c r="B2" s="722" t="s">
        <v>377</v>
      </c>
      <c r="C2" s="722"/>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50%-аванс в течении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30 календарных дней с даты зачисления аванса</v>
      </c>
      <c r="C16" s="507" t="s">
        <v>390</v>
      </c>
    </row>
    <row r="17" spans="1:3" x14ac:dyDescent="0.25">
      <c r="A17" s="513" t="s">
        <v>395</v>
      </c>
      <c r="B17" s="524" t="str">
        <f>offer_currency</f>
        <v>EUR</v>
      </c>
      <c r="C17" s="519" t="s">
        <v>386</v>
      </c>
    </row>
    <row r="18" spans="1:3" x14ac:dyDescent="0.25">
      <c r="A18" s="513" t="s">
        <v>396</v>
      </c>
      <c r="B18" s="524" t="str">
        <f>currency_1</f>
        <v>EUR</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4" t="str">
        <f>"СПЕЦИФИКАЦИЯ №"&amp;spec_num_IN</f>
        <v>СПЕЦИФИКАЦИЯ №9909</v>
      </c>
      <c r="C5" s="724"/>
      <c r="D5" s="724"/>
      <c r="E5" s="724"/>
      <c r="F5" s="724"/>
    </row>
    <row r="6" spans="1:11" ht="15.75" x14ac:dyDescent="0.25">
      <c r="B6" s="724" t="str">
        <f>"к договору поставки № "&amp;contract_num_IN&amp;" от "&amp;TEXT(contract_date_IN,"ДД.ММ.ГГГГ")</f>
        <v>к договору поставки № 13 от ДД45679.ММ.ГГГГ</v>
      </c>
      <c r="C6" s="724"/>
      <c r="D6" s="724"/>
      <c r="E6" s="724"/>
      <c r="F6" s="724"/>
      <c r="H6" s="544" t="s">
        <v>416</v>
      </c>
    </row>
    <row r="7" spans="1:11" x14ac:dyDescent="0.25">
      <c r="B7" s="725" t="str">
        <f>"между "&amp;seller_1&amp;" и "&amp;buyer__1</f>
        <v xml:space="preserve">между ООО «Рад Ресурс» и </v>
      </c>
      <c r="C7" s="725"/>
      <c r="D7" s="725"/>
      <c r="E7" s="725"/>
      <c r="F7" s="725"/>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EUR</v>
      </c>
      <c r="F10" s="553" t="str">
        <f>"Общая стоимость , в т.ч. НДС (20%) в "&amp;currency_1</f>
        <v>Общая стоимость , в т.ч. НДС (20%) в EUR</v>
      </c>
      <c r="H10" s="554" t="s">
        <v>177</v>
      </c>
      <c r="I10" s="546" t="s">
        <v>178</v>
      </c>
    </row>
    <row r="11" spans="1:11" ht="15.75" thickBot="1" x14ac:dyDescent="0.3">
      <c r="A11" s="508">
        <v>1</v>
      </c>
      <c r="B11" s="555" t="str">
        <f>'КП price'!D17</f>
        <v>195-03-51110</v>
      </c>
      <c r="C11" s="556" t="str">
        <f>'КП price'!C17</f>
        <v>Komatsu</v>
      </c>
      <c r="D11" s="556">
        <f>'КП price'!I17</f>
        <v>1</v>
      </c>
      <c r="E11" s="557">
        <f>'КП price'!M17</f>
        <v>1179.74</v>
      </c>
      <c r="F11" s="557">
        <f>D11*E11</f>
        <v>1179.74</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969.13</v>
      </c>
      <c r="F12" s="557">
        <f t="shared" ref="F12:F75" si="0">E12-D12</f>
        <v>968.13</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5017.92</v>
      </c>
      <c r="F13" s="557">
        <f t="shared" si="0"/>
        <v>5016.92</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969.32</v>
      </c>
      <c r="F14" s="557">
        <f t="shared" si="0"/>
        <v>968.32</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61.2</v>
      </c>
      <c r="F15" s="557">
        <f t="shared" si="0"/>
        <v>60.2</v>
      </c>
      <c r="H15" s="542" t="str">
        <f t="shared" si="1"/>
        <v>показать</v>
      </c>
    </row>
    <row r="16" spans="1:11" ht="15.75" hidden="1" thickBot="1" x14ac:dyDescent="0.3">
      <c r="A16" s="508">
        <v>6</v>
      </c>
      <c r="B16" s="555">
        <f>'КП price'!D22</f>
        <v>0</v>
      </c>
      <c r="C16" s="556">
        <f>'КП price'!C22</f>
        <v>0</v>
      </c>
      <c r="D16" s="556">
        <f>'КП price'!I22</f>
        <v>0</v>
      </c>
      <c r="E16" s="557">
        <f>'КП price'!M22</f>
        <v>0</v>
      </c>
      <c r="F16" s="557">
        <f t="shared" si="0"/>
        <v>0</v>
      </c>
      <c r="H16" s="542" t="str">
        <f t="shared" si="1"/>
        <v>скрыть</v>
      </c>
    </row>
    <row r="17" spans="1:8" ht="15.75" hidden="1" thickBot="1" x14ac:dyDescent="0.3">
      <c r="A17" s="508">
        <v>7</v>
      </c>
      <c r="B17" s="555">
        <f>'КП price'!D23</f>
        <v>0</v>
      </c>
      <c r="C17" s="556">
        <f>'КП price'!C23</f>
        <v>0</v>
      </c>
      <c r="D17" s="556">
        <f>'КП price'!I23</f>
        <v>0</v>
      </c>
      <c r="E17" s="557">
        <f>'КП price'!M23</f>
        <v>0</v>
      </c>
      <c r="F17" s="557">
        <f t="shared" si="0"/>
        <v>0</v>
      </c>
      <c r="H17" s="542" t="str">
        <f t="shared" si="1"/>
        <v>скрыть</v>
      </c>
    </row>
    <row r="18" spans="1:8" ht="15.75" hidden="1" thickBot="1" x14ac:dyDescent="0.3">
      <c r="A18" s="508">
        <v>8</v>
      </c>
      <c r="B18" s="555">
        <f>'КП price'!D24</f>
        <v>0</v>
      </c>
      <c r="C18" s="556">
        <f>'КП price'!C24</f>
        <v>0</v>
      </c>
      <c r="D18" s="556">
        <f>'КП price'!I24</f>
        <v>0</v>
      </c>
      <c r="E18" s="557">
        <f>'КП price'!M24</f>
        <v>0</v>
      </c>
      <c r="F18" s="557">
        <f t="shared" si="0"/>
        <v>0</v>
      </c>
      <c r="H18" s="542" t="str">
        <f t="shared" si="1"/>
        <v>скрыть</v>
      </c>
    </row>
    <row r="19" spans="1:8" ht="15.75" hidden="1" thickBot="1" x14ac:dyDescent="0.3">
      <c r="A19" s="508">
        <v>9</v>
      </c>
      <c r="B19" s="555">
        <f>'КП price'!D25</f>
        <v>0</v>
      </c>
      <c r="C19" s="556">
        <f>'КП price'!C25</f>
        <v>0</v>
      </c>
      <c r="D19" s="556">
        <f>'КП price'!I25</f>
        <v>0</v>
      </c>
      <c r="E19" s="557">
        <f>'КП price'!M25</f>
        <v>0</v>
      </c>
      <c r="F19" s="557">
        <f t="shared" si="0"/>
        <v>0</v>
      </c>
      <c r="H19" s="542" t="str">
        <f t="shared" si="1"/>
        <v>скрыть</v>
      </c>
    </row>
    <row r="20" spans="1:8" ht="15.75" hidden="1" thickBot="1" x14ac:dyDescent="0.3">
      <c r="A20" s="508">
        <v>10</v>
      </c>
      <c r="B20" s="555">
        <f>'КП price'!D26</f>
        <v>0</v>
      </c>
      <c r="C20" s="556">
        <f>'КП price'!C26</f>
        <v>0</v>
      </c>
      <c r="D20" s="556">
        <f>'КП price'!I26</f>
        <v>0</v>
      </c>
      <c r="E20" s="557">
        <f>'КП price'!M26</f>
        <v>0</v>
      </c>
      <c r="F20" s="557">
        <f t="shared" si="0"/>
        <v>0</v>
      </c>
      <c r="H20" s="542" t="str">
        <f t="shared" si="1"/>
        <v>скрыть</v>
      </c>
    </row>
    <row r="21" spans="1:8" ht="15.75" hidden="1" thickBot="1" x14ac:dyDescent="0.3">
      <c r="A21" s="508">
        <v>11</v>
      </c>
      <c r="B21" s="555">
        <f>'КП price'!D27</f>
        <v>0</v>
      </c>
      <c r="C21" s="556">
        <f>'КП price'!C27</f>
        <v>0</v>
      </c>
      <c r="D21" s="556">
        <f>'КП price'!I27</f>
        <v>0</v>
      </c>
      <c r="E21" s="557">
        <f>'КП price'!M27</f>
        <v>0</v>
      </c>
      <c r="F21" s="557">
        <f t="shared" si="0"/>
        <v>0</v>
      </c>
      <c r="H21" s="542" t="str">
        <f t="shared" si="1"/>
        <v>скрыть</v>
      </c>
    </row>
    <row r="22" spans="1:8" ht="15.75" hidden="1" thickBot="1" x14ac:dyDescent="0.3">
      <c r="A22" s="508">
        <v>12</v>
      </c>
      <c r="B22" s="555">
        <f>'КП price'!D28</f>
        <v>0</v>
      </c>
      <c r="C22" s="556">
        <f>'КП price'!C28</f>
        <v>0</v>
      </c>
      <c r="D22" s="556">
        <f>'КП price'!I28</f>
        <v>0</v>
      </c>
      <c r="E22" s="557">
        <f>'КП price'!M28</f>
        <v>0</v>
      </c>
      <c r="F22" s="557">
        <f t="shared" si="0"/>
        <v>0</v>
      </c>
      <c r="H22" s="542" t="str">
        <f t="shared" si="1"/>
        <v>скрыть</v>
      </c>
    </row>
    <row r="23" spans="1:8" ht="15.75" hidden="1" thickBot="1" x14ac:dyDescent="0.3">
      <c r="A23" s="508">
        <v>13</v>
      </c>
      <c r="B23" s="555">
        <f>'КП price'!D29</f>
        <v>0</v>
      </c>
      <c r="C23" s="556">
        <f>'КП price'!C29</f>
        <v>0</v>
      </c>
      <c r="D23" s="556">
        <f>'КП price'!I29</f>
        <v>0</v>
      </c>
      <c r="E23" s="557">
        <f>'КП price'!M29</f>
        <v>0</v>
      </c>
      <c r="F23" s="557">
        <f t="shared" si="0"/>
        <v>0</v>
      </c>
      <c r="H23" s="542" t="str">
        <f t="shared" si="1"/>
        <v>скрыть</v>
      </c>
    </row>
    <row r="24" spans="1:8" ht="15.75" hidden="1" thickBot="1" x14ac:dyDescent="0.3">
      <c r="A24" s="508">
        <v>14</v>
      </c>
      <c r="B24" s="555">
        <f>'КП price'!D30</f>
        <v>0</v>
      </c>
      <c r="C24" s="556">
        <f>'КП price'!C30</f>
        <v>0</v>
      </c>
      <c r="D24" s="556">
        <f>'КП price'!I30</f>
        <v>0</v>
      </c>
      <c r="E24" s="557">
        <f>'КП price'!M30</f>
        <v>0</v>
      </c>
      <c r="F24" s="557">
        <f t="shared" si="0"/>
        <v>0</v>
      </c>
      <c r="H24" s="542" t="str">
        <f t="shared" si="1"/>
        <v>скрыть</v>
      </c>
    </row>
    <row r="25" spans="1:8" ht="15.75" hidden="1" thickBot="1" x14ac:dyDescent="0.3">
      <c r="A25" s="508">
        <v>15</v>
      </c>
      <c r="B25" s="555">
        <f>'КП price'!D31</f>
        <v>0</v>
      </c>
      <c r="C25" s="556">
        <f>'КП price'!C31</f>
        <v>0</v>
      </c>
      <c r="D25" s="556">
        <f>'КП price'!I31</f>
        <v>0</v>
      </c>
      <c r="E25" s="557">
        <f>'КП price'!M31</f>
        <v>0</v>
      </c>
      <c r="F25" s="557">
        <f t="shared" si="0"/>
        <v>0</v>
      </c>
      <c r="H25" s="542" t="str">
        <f t="shared" si="1"/>
        <v>скрыть</v>
      </c>
    </row>
    <row r="26" spans="1:8" ht="15.75" hidden="1" thickBot="1" x14ac:dyDescent="0.3">
      <c r="A26" s="508">
        <v>16</v>
      </c>
      <c r="B26" s="555">
        <f>'КП price'!D32</f>
        <v>0</v>
      </c>
      <c r="C26" s="556">
        <f>'КП price'!C32</f>
        <v>0</v>
      </c>
      <c r="D26" s="556">
        <f>'КП price'!I32</f>
        <v>0</v>
      </c>
      <c r="E26" s="557">
        <f>'КП price'!M32</f>
        <v>0</v>
      </c>
      <c r="F26" s="557">
        <f t="shared" si="0"/>
        <v>0</v>
      </c>
      <c r="H26" s="542" t="str">
        <f t="shared" si="1"/>
        <v>скрыть</v>
      </c>
    </row>
    <row r="27" spans="1:8" ht="15.75" hidden="1" thickBot="1" x14ac:dyDescent="0.3">
      <c r="A27" s="508">
        <v>17</v>
      </c>
      <c r="B27" s="555">
        <f>'КП price'!D33</f>
        <v>0</v>
      </c>
      <c r="C27" s="556">
        <f>'КП price'!C33</f>
        <v>0</v>
      </c>
      <c r="D27" s="556">
        <f>'КП price'!I33</f>
        <v>0</v>
      </c>
      <c r="E27" s="557">
        <f>'КП price'!M33</f>
        <v>0</v>
      </c>
      <c r="F27" s="557">
        <f t="shared" si="0"/>
        <v>0</v>
      </c>
      <c r="H27" s="542" t="str">
        <f t="shared" si="1"/>
        <v>скрыть</v>
      </c>
    </row>
    <row r="28" spans="1:8" ht="15.75" hidden="1" thickBot="1" x14ac:dyDescent="0.3">
      <c r="A28" s="508">
        <v>18</v>
      </c>
      <c r="B28" s="555">
        <f>'КП price'!D34</f>
        <v>0</v>
      </c>
      <c r="C28" s="556">
        <f>'КП price'!C34</f>
        <v>0</v>
      </c>
      <c r="D28" s="556">
        <f>'КП price'!I34</f>
        <v>0</v>
      </c>
      <c r="E28" s="557">
        <f>'КП price'!M34</f>
        <v>0</v>
      </c>
      <c r="F28" s="557">
        <f t="shared" si="0"/>
        <v>0</v>
      </c>
      <c r="H28" s="542" t="str">
        <f t="shared" si="1"/>
        <v>скрыть</v>
      </c>
    </row>
    <row r="29" spans="1:8" ht="15.75" hidden="1" thickBot="1" x14ac:dyDescent="0.3">
      <c r="A29" s="508">
        <v>19</v>
      </c>
      <c r="B29" s="555">
        <f>'КП price'!D35</f>
        <v>0</v>
      </c>
      <c r="C29" s="556">
        <f>'КП price'!C35</f>
        <v>0</v>
      </c>
      <c r="D29" s="556">
        <f>'КП price'!I35</f>
        <v>0</v>
      </c>
      <c r="E29" s="557">
        <f>'КП price'!M35</f>
        <v>0</v>
      </c>
      <c r="F29" s="557">
        <f t="shared" si="0"/>
        <v>0</v>
      </c>
      <c r="H29" s="542" t="str">
        <f t="shared" si="1"/>
        <v>скрыть</v>
      </c>
    </row>
    <row r="30" spans="1:8" ht="15.75" hidden="1" thickBot="1" x14ac:dyDescent="0.3">
      <c r="A30" s="508">
        <v>20</v>
      </c>
      <c r="B30" s="555">
        <f>'КП price'!D36</f>
        <v>0</v>
      </c>
      <c r="C30" s="556">
        <f>'КП price'!C36</f>
        <v>0</v>
      </c>
      <c r="D30" s="556">
        <f>'КП price'!I36</f>
        <v>0</v>
      </c>
      <c r="E30" s="557">
        <f>'КП price'!M36</f>
        <v>0</v>
      </c>
      <c r="F30" s="557">
        <f t="shared" si="0"/>
        <v>0</v>
      </c>
      <c r="H30" s="542" t="str">
        <f t="shared" si="1"/>
        <v>скрыть</v>
      </c>
    </row>
    <row r="31" spans="1:8" ht="15.75" hidden="1" thickBot="1" x14ac:dyDescent="0.3">
      <c r="A31" s="508">
        <v>21</v>
      </c>
      <c r="B31" s="555">
        <f>'КП price'!D37</f>
        <v>0</v>
      </c>
      <c r="C31" s="556">
        <f>'КП price'!C37</f>
        <v>0</v>
      </c>
      <c r="D31" s="556">
        <f>'КП price'!I37</f>
        <v>0</v>
      </c>
      <c r="E31" s="557">
        <f>'КП price'!M37</f>
        <v>0</v>
      </c>
      <c r="F31" s="557">
        <f t="shared" si="0"/>
        <v>0</v>
      </c>
      <c r="H31" s="542" t="str">
        <f t="shared" si="1"/>
        <v>скрыть</v>
      </c>
    </row>
    <row r="32" spans="1:8" ht="15.75" hidden="1" thickBot="1" x14ac:dyDescent="0.3">
      <c r="A32" s="508">
        <v>22</v>
      </c>
      <c r="B32" s="555">
        <f>'КП price'!D38</f>
        <v>0</v>
      </c>
      <c r="C32" s="556">
        <f>'КП price'!C38</f>
        <v>0</v>
      </c>
      <c r="D32" s="556">
        <f>'КП price'!I38</f>
        <v>0</v>
      </c>
      <c r="E32" s="557">
        <f>'КП price'!M38</f>
        <v>0</v>
      </c>
      <c r="F32" s="557">
        <f t="shared" si="0"/>
        <v>0</v>
      </c>
      <c r="H32" s="542" t="str">
        <f t="shared" si="1"/>
        <v>скрыть</v>
      </c>
    </row>
    <row r="33" spans="1:8" ht="15.75" hidden="1" thickBot="1" x14ac:dyDescent="0.3">
      <c r="A33" s="508">
        <v>23</v>
      </c>
      <c r="B33" s="555">
        <f>'КП price'!D39</f>
        <v>0</v>
      </c>
      <c r="C33" s="556">
        <f>'КП price'!C39</f>
        <v>0</v>
      </c>
      <c r="D33" s="556">
        <f>'КП price'!I39</f>
        <v>0</v>
      </c>
      <c r="E33" s="557">
        <f>'КП price'!M39</f>
        <v>0</v>
      </c>
      <c r="F33" s="557">
        <f t="shared" si="0"/>
        <v>0</v>
      </c>
      <c r="H33" s="542" t="str">
        <f t="shared" si="1"/>
        <v>скрыть</v>
      </c>
    </row>
    <row r="34" spans="1:8" ht="15.75" hidden="1" thickBot="1" x14ac:dyDescent="0.3">
      <c r="A34" s="508">
        <v>24</v>
      </c>
      <c r="B34" s="555">
        <f>'КП price'!D40</f>
        <v>0</v>
      </c>
      <c r="C34" s="556">
        <f>'КП price'!C40</f>
        <v>0</v>
      </c>
      <c r="D34" s="556">
        <f>'КП price'!I40</f>
        <v>0</v>
      </c>
      <c r="E34" s="557">
        <f>'КП price'!M40</f>
        <v>0</v>
      </c>
      <c r="F34" s="557">
        <f t="shared" si="0"/>
        <v>0</v>
      </c>
      <c r="H34" s="542" t="str">
        <f t="shared" si="1"/>
        <v>скрыть</v>
      </c>
    </row>
    <row r="35" spans="1:8" ht="15.75" hidden="1" thickBot="1" x14ac:dyDescent="0.3">
      <c r="A35" s="508">
        <v>25</v>
      </c>
      <c r="B35" s="555">
        <f>'КП price'!D41</f>
        <v>0</v>
      </c>
      <c r="C35" s="556">
        <f>'КП price'!C41</f>
        <v>0</v>
      </c>
      <c r="D35" s="556">
        <f>'КП price'!I41</f>
        <v>0</v>
      </c>
      <c r="E35" s="557">
        <f>'КП price'!M41</f>
        <v>0</v>
      </c>
      <c r="F35" s="557">
        <f t="shared" si="0"/>
        <v>0</v>
      </c>
      <c r="H35" s="542" t="str">
        <f t="shared" si="1"/>
        <v>скрыть</v>
      </c>
    </row>
    <row r="36" spans="1:8" ht="15.75" hidden="1" thickBot="1" x14ac:dyDescent="0.3">
      <c r="A36" s="508">
        <v>26</v>
      </c>
      <c r="B36" s="555">
        <f>'КП price'!D42</f>
        <v>0</v>
      </c>
      <c r="C36" s="556">
        <f>'КП price'!C42</f>
        <v>0</v>
      </c>
      <c r="D36" s="556">
        <f>'КП price'!I42</f>
        <v>0</v>
      </c>
      <c r="E36" s="557">
        <f>'КП price'!M42</f>
        <v>0</v>
      </c>
      <c r="F36" s="557">
        <f t="shared" si="0"/>
        <v>0</v>
      </c>
      <c r="H36" s="542" t="str">
        <f t="shared" si="1"/>
        <v>скрыть</v>
      </c>
    </row>
    <row r="37" spans="1:8" ht="15.75" hidden="1" thickBot="1" x14ac:dyDescent="0.3">
      <c r="A37" s="508">
        <v>27</v>
      </c>
      <c r="B37" s="555">
        <f>'КП price'!D43</f>
        <v>0</v>
      </c>
      <c r="C37" s="556">
        <f>'КП price'!C43</f>
        <v>0</v>
      </c>
      <c r="D37" s="556">
        <f>'КП price'!I43</f>
        <v>0</v>
      </c>
      <c r="E37" s="557">
        <f>'КП price'!M43</f>
        <v>0</v>
      </c>
      <c r="F37" s="557">
        <f t="shared" si="0"/>
        <v>0</v>
      </c>
      <c r="H37" s="542" t="str">
        <f t="shared" si="1"/>
        <v>скрыть</v>
      </c>
    </row>
    <row r="38" spans="1:8" ht="15.75" hidden="1" thickBot="1" x14ac:dyDescent="0.3">
      <c r="A38" s="508">
        <v>28</v>
      </c>
      <c r="B38" s="555">
        <f>'КП price'!D44</f>
        <v>0</v>
      </c>
      <c r="C38" s="556">
        <f>'КП price'!C44</f>
        <v>0</v>
      </c>
      <c r="D38" s="556">
        <f>'КП price'!I44</f>
        <v>0</v>
      </c>
      <c r="E38" s="557">
        <f>'КП price'!M44</f>
        <v>0</v>
      </c>
      <c r="F38" s="557">
        <f t="shared" si="0"/>
        <v>0</v>
      </c>
      <c r="H38" s="542" t="str">
        <f t="shared" si="1"/>
        <v>скрыть</v>
      </c>
    </row>
    <row r="39" spans="1:8" ht="15.75" hidden="1" thickBot="1" x14ac:dyDescent="0.3">
      <c r="A39" s="508">
        <v>29</v>
      </c>
      <c r="B39" s="555">
        <f>'КП price'!D45</f>
        <v>0</v>
      </c>
      <c r="C39" s="556">
        <f>'КП price'!C45</f>
        <v>0</v>
      </c>
      <c r="D39" s="556">
        <f>'КП price'!I45</f>
        <v>0</v>
      </c>
      <c r="E39" s="557">
        <f>'КП price'!M45</f>
        <v>0</v>
      </c>
      <c r="F39" s="557">
        <f t="shared" si="0"/>
        <v>0</v>
      </c>
      <c r="H39" s="542" t="str">
        <f t="shared" si="1"/>
        <v>скрыть</v>
      </c>
    </row>
    <row r="40" spans="1:8" ht="15.75" hidden="1" thickBot="1" x14ac:dyDescent="0.3">
      <c r="A40" s="508">
        <v>30</v>
      </c>
      <c r="B40" s="555">
        <f>'КП price'!D46</f>
        <v>0</v>
      </c>
      <c r="C40" s="556">
        <f>'КП price'!C46</f>
        <v>0</v>
      </c>
      <c r="D40" s="556">
        <f>'КП price'!I46</f>
        <v>0</v>
      </c>
      <c r="E40" s="557">
        <f>'КП price'!M46</f>
        <v>0</v>
      </c>
      <c r="F40" s="557">
        <f t="shared" si="0"/>
        <v>0</v>
      </c>
      <c r="H40" s="542" t="str">
        <f t="shared" si="1"/>
        <v>скрыть</v>
      </c>
    </row>
    <row r="41" spans="1:8" ht="15.75" hidden="1" thickBot="1" x14ac:dyDescent="0.3">
      <c r="A41" s="508">
        <v>31</v>
      </c>
      <c r="B41" s="555">
        <f>'КП price'!D47</f>
        <v>0</v>
      </c>
      <c r="C41" s="556">
        <f>'КП price'!C47</f>
        <v>0</v>
      </c>
      <c r="D41" s="556">
        <f>'КП price'!I47</f>
        <v>0</v>
      </c>
      <c r="E41" s="557">
        <f>'КП price'!M47</f>
        <v>0</v>
      </c>
      <c r="F41" s="557">
        <f t="shared" si="0"/>
        <v>0</v>
      </c>
      <c r="H41" s="542" t="str">
        <f t="shared" si="1"/>
        <v>скрыть</v>
      </c>
    </row>
    <row r="42" spans="1:8" ht="15.75" hidden="1" thickBot="1" x14ac:dyDescent="0.3">
      <c r="A42" s="508">
        <v>32</v>
      </c>
      <c r="B42" s="555">
        <f>'КП price'!D48</f>
        <v>0</v>
      </c>
      <c r="C42" s="556">
        <f>'КП price'!C48</f>
        <v>0</v>
      </c>
      <c r="D42" s="556">
        <f>'КП price'!I48</f>
        <v>0</v>
      </c>
      <c r="E42" s="557">
        <f>'КП price'!M48</f>
        <v>0</v>
      </c>
      <c r="F42" s="557">
        <f t="shared" si="0"/>
        <v>0</v>
      </c>
      <c r="H42" s="542" t="str">
        <f t="shared" si="1"/>
        <v>скрыть</v>
      </c>
    </row>
    <row r="43" spans="1:8" ht="15.75" hidden="1" thickBot="1" x14ac:dyDescent="0.3">
      <c r="A43" s="508">
        <v>33</v>
      </c>
      <c r="B43" s="555">
        <f>'КП price'!D49</f>
        <v>0</v>
      </c>
      <c r="C43" s="556">
        <f>'КП price'!C49</f>
        <v>0</v>
      </c>
      <c r="D43" s="556">
        <f>'КП price'!I49</f>
        <v>0</v>
      </c>
      <c r="E43" s="557">
        <f>'КП price'!M49</f>
        <v>0</v>
      </c>
      <c r="F43" s="557">
        <f t="shared" si="0"/>
        <v>0</v>
      </c>
      <c r="H43" s="542" t="str">
        <f t="shared" si="1"/>
        <v>скрыть</v>
      </c>
    </row>
    <row r="44" spans="1:8" ht="15.75" hidden="1" thickBot="1" x14ac:dyDescent="0.3">
      <c r="A44" s="508">
        <v>34</v>
      </c>
      <c r="B44" s="555">
        <f>'КП price'!D50</f>
        <v>0</v>
      </c>
      <c r="C44" s="556">
        <f>'КП price'!C50</f>
        <v>0</v>
      </c>
      <c r="D44" s="556">
        <f>'КП price'!I50</f>
        <v>0</v>
      </c>
      <c r="E44" s="557">
        <f>'КП price'!M50</f>
        <v>0</v>
      </c>
      <c r="F44" s="557">
        <f t="shared" si="0"/>
        <v>0</v>
      </c>
      <c r="H44" s="542" t="str">
        <f t="shared" si="1"/>
        <v>скрыть</v>
      </c>
    </row>
    <row r="45" spans="1:8" ht="15.75" hidden="1" thickBot="1" x14ac:dyDescent="0.3">
      <c r="A45" s="508">
        <v>35</v>
      </c>
      <c r="B45" s="555">
        <f>'КП price'!D51</f>
        <v>0</v>
      </c>
      <c r="C45" s="556">
        <f>'КП price'!C51</f>
        <v>0</v>
      </c>
      <c r="D45" s="556">
        <f>'КП price'!I51</f>
        <v>0</v>
      </c>
      <c r="E45" s="557">
        <f>'КП price'!M51</f>
        <v>0</v>
      </c>
      <c r="F45" s="557">
        <f t="shared" si="0"/>
        <v>0</v>
      </c>
      <c r="H45" s="542" t="str">
        <f t="shared" si="1"/>
        <v>скрыть</v>
      </c>
    </row>
    <row r="46" spans="1:8" ht="15.75" hidden="1" thickBot="1" x14ac:dyDescent="0.3">
      <c r="A46" s="508">
        <v>36</v>
      </c>
      <c r="B46" s="555">
        <f>'КП price'!D52</f>
        <v>0</v>
      </c>
      <c r="C46" s="556">
        <f>'КП price'!C52</f>
        <v>0</v>
      </c>
      <c r="D46" s="556">
        <f>'КП price'!I52</f>
        <v>0</v>
      </c>
      <c r="E46" s="557">
        <f>'КП price'!M52</f>
        <v>0</v>
      </c>
      <c r="F46" s="557">
        <f t="shared" si="0"/>
        <v>0</v>
      </c>
      <c r="H46" s="542" t="str">
        <f t="shared" si="1"/>
        <v>скрыть</v>
      </c>
    </row>
    <row r="47" spans="1:8" ht="15.75" hidden="1" thickBot="1" x14ac:dyDescent="0.3">
      <c r="A47" s="508">
        <v>37</v>
      </c>
      <c r="B47" s="555">
        <f>'КП price'!D53</f>
        <v>0</v>
      </c>
      <c r="C47" s="556">
        <f>'КП price'!C53</f>
        <v>0</v>
      </c>
      <c r="D47" s="556">
        <f>'КП price'!I53</f>
        <v>0</v>
      </c>
      <c r="E47" s="557">
        <f>'КП price'!M53</f>
        <v>0</v>
      </c>
      <c r="F47" s="557">
        <f t="shared" si="0"/>
        <v>0</v>
      </c>
      <c r="H47" s="542" t="str">
        <f t="shared" si="1"/>
        <v>скрыть</v>
      </c>
    </row>
    <row r="48" spans="1:8" ht="15.75" hidden="1" thickBot="1" x14ac:dyDescent="0.3">
      <c r="A48" s="508">
        <v>38</v>
      </c>
      <c r="B48" s="555">
        <f>'КП price'!D54</f>
        <v>0</v>
      </c>
      <c r="C48" s="556">
        <f>'КП price'!C54</f>
        <v>0</v>
      </c>
      <c r="D48" s="556">
        <f>'КП price'!I54</f>
        <v>0</v>
      </c>
      <c r="E48" s="557">
        <f>'КП price'!M54</f>
        <v>0</v>
      </c>
      <c r="F48" s="557">
        <f t="shared" si="0"/>
        <v>0</v>
      </c>
      <c r="H48" s="542" t="str">
        <f t="shared" si="1"/>
        <v>скрыть</v>
      </c>
    </row>
    <row r="49" spans="1:8" ht="15.75" hidden="1" thickBot="1" x14ac:dyDescent="0.3">
      <c r="A49" s="508">
        <v>39</v>
      </c>
      <c r="B49" s="555">
        <f>'КП price'!D55</f>
        <v>0</v>
      </c>
      <c r="C49" s="556">
        <f>'КП price'!C55</f>
        <v>0</v>
      </c>
      <c r="D49" s="556">
        <f>'КП price'!I55</f>
        <v>0</v>
      </c>
      <c r="E49" s="557">
        <f>'КП price'!M55</f>
        <v>0</v>
      </c>
      <c r="F49" s="557">
        <f t="shared" si="0"/>
        <v>0</v>
      </c>
      <c r="H49" s="542" t="str">
        <f t="shared" si="1"/>
        <v>скрыть</v>
      </c>
    </row>
    <row r="50" spans="1:8" ht="15.75" hidden="1" thickBot="1" x14ac:dyDescent="0.3">
      <c r="A50" s="508">
        <v>40</v>
      </c>
      <c r="B50" s="555">
        <f>'КП price'!D56</f>
        <v>0</v>
      </c>
      <c r="C50" s="556">
        <f>'КП price'!C56</f>
        <v>0</v>
      </c>
      <c r="D50" s="556">
        <f>'КП price'!I56</f>
        <v>0</v>
      </c>
      <c r="E50" s="557">
        <f>'КП price'!M56</f>
        <v>0</v>
      </c>
      <c r="F50" s="557">
        <f t="shared" si="0"/>
        <v>0</v>
      </c>
      <c r="H50" s="542" t="str">
        <f t="shared" si="1"/>
        <v>скрыть</v>
      </c>
    </row>
    <row r="51" spans="1:8" ht="15.75" hidden="1" thickBot="1" x14ac:dyDescent="0.3">
      <c r="A51" s="508">
        <v>41</v>
      </c>
      <c r="B51" s="555">
        <f>'КП price'!D57</f>
        <v>0</v>
      </c>
      <c r="C51" s="556">
        <f>'КП price'!C57</f>
        <v>0</v>
      </c>
      <c r="D51" s="556">
        <f>'КП price'!I57</f>
        <v>0</v>
      </c>
      <c r="E51" s="557">
        <f>'КП price'!M57</f>
        <v>0</v>
      </c>
      <c r="F51" s="557">
        <f t="shared" si="0"/>
        <v>0</v>
      </c>
      <c r="H51" s="542" t="str">
        <f t="shared" si="1"/>
        <v>скрыть</v>
      </c>
    </row>
    <row r="52" spans="1:8" ht="15.75" hidden="1" thickBot="1" x14ac:dyDescent="0.3">
      <c r="A52" s="508">
        <v>42</v>
      </c>
      <c r="B52" s="555">
        <f>'КП price'!D58</f>
        <v>0</v>
      </c>
      <c r="C52" s="556">
        <f>'КП price'!C58</f>
        <v>0</v>
      </c>
      <c r="D52" s="556">
        <f>'КП price'!I58</f>
        <v>0</v>
      </c>
      <c r="E52" s="557">
        <f>'КП price'!M58</f>
        <v>0</v>
      </c>
      <c r="F52" s="557">
        <f t="shared" si="0"/>
        <v>0</v>
      </c>
      <c r="H52" s="542" t="str">
        <f t="shared" si="1"/>
        <v>скрыть</v>
      </c>
    </row>
    <row r="53" spans="1:8" ht="15.75" hidden="1" thickBot="1" x14ac:dyDescent="0.3">
      <c r="A53" s="508">
        <v>43</v>
      </c>
      <c r="B53" s="555">
        <f>'КП price'!D59</f>
        <v>0</v>
      </c>
      <c r="C53" s="556">
        <f>'КП price'!C59</f>
        <v>0</v>
      </c>
      <c r="D53" s="556">
        <f>'КП price'!I59</f>
        <v>0</v>
      </c>
      <c r="E53" s="557">
        <f>'КП price'!M59</f>
        <v>0</v>
      </c>
      <c r="F53" s="557">
        <f t="shared" si="0"/>
        <v>0</v>
      </c>
      <c r="H53" s="542" t="str">
        <f t="shared" si="1"/>
        <v>скрыть</v>
      </c>
    </row>
    <row r="54" spans="1:8" ht="15.75" hidden="1" thickBot="1" x14ac:dyDescent="0.3">
      <c r="A54" s="508">
        <v>44</v>
      </c>
      <c r="B54" s="555">
        <f>'КП price'!D60</f>
        <v>0</v>
      </c>
      <c r="C54" s="556">
        <f>'КП price'!C60</f>
        <v>0</v>
      </c>
      <c r="D54" s="556">
        <f>'КП price'!I60</f>
        <v>0</v>
      </c>
      <c r="E54" s="557">
        <f>'КП price'!M60</f>
        <v>0</v>
      </c>
      <c r="F54" s="557">
        <f t="shared" si="0"/>
        <v>0</v>
      </c>
      <c r="H54" s="542" t="str">
        <f t="shared" si="1"/>
        <v>скрыть</v>
      </c>
    </row>
    <row r="55" spans="1:8" ht="15.75" hidden="1" thickBot="1" x14ac:dyDescent="0.3">
      <c r="A55" s="508">
        <v>45</v>
      </c>
      <c r="B55" s="555">
        <f>'КП price'!D61</f>
        <v>0</v>
      </c>
      <c r="C55" s="556">
        <f>'КП price'!C61</f>
        <v>0</v>
      </c>
      <c r="D55" s="556">
        <f>'КП price'!I61</f>
        <v>0</v>
      </c>
      <c r="E55" s="557">
        <f>'КП price'!M61</f>
        <v>0</v>
      </c>
      <c r="F55" s="557">
        <f t="shared" si="0"/>
        <v>0</v>
      </c>
      <c r="H55" s="542" t="str">
        <f t="shared" si="1"/>
        <v>скрыть</v>
      </c>
    </row>
    <row r="56" spans="1:8" ht="15.75" hidden="1" thickBot="1" x14ac:dyDescent="0.3">
      <c r="A56" s="508">
        <v>46</v>
      </c>
      <c r="B56" s="555">
        <f>'КП price'!D62</f>
        <v>0</v>
      </c>
      <c r="C56" s="556">
        <f>'КП price'!C62</f>
        <v>0</v>
      </c>
      <c r="D56" s="556">
        <f>'КП price'!I62</f>
        <v>0</v>
      </c>
      <c r="E56" s="557">
        <f>'КП price'!M62</f>
        <v>0</v>
      </c>
      <c r="F56" s="557">
        <f t="shared" si="0"/>
        <v>0</v>
      </c>
      <c r="H56" s="542" t="str">
        <f t="shared" si="1"/>
        <v>скрыть</v>
      </c>
    </row>
    <row r="57" spans="1:8" ht="15.75" hidden="1" thickBot="1" x14ac:dyDescent="0.3">
      <c r="A57" s="508">
        <v>47</v>
      </c>
      <c r="B57" s="555">
        <f>'КП price'!D63</f>
        <v>0</v>
      </c>
      <c r="C57" s="556">
        <f>'КП price'!C63</f>
        <v>0</v>
      </c>
      <c r="D57" s="556">
        <f>'КП price'!I63</f>
        <v>0</v>
      </c>
      <c r="E57" s="557">
        <f>'КП price'!M63</f>
        <v>0</v>
      </c>
      <c r="F57" s="557">
        <f t="shared" si="0"/>
        <v>0</v>
      </c>
      <c r="H57" s="542" t="str">
        <f t="shared" si="1"/>
        <v>скрыть</v>
      </c>
    </row>
    <row r="58" spans="1:8" ht="15.75" hidden="1" thickBot="1" x14ac:dyDescent="0.3">
      <c r="A58" s="508">
        <v>48</v>
      </c>
      <c r="B58" s="555">
        <f>'КП price'!D64</f>
        <v>0</v>
      </c>
      <c r="C58" s="556">
        <f>'КП price'!C64</f>
        <v>0</v>
      </c>
      <c r="D58" s="556">
        <f>'КП price'!I64</f>
        <v>0</v>
      </c>
      <c r="E58" s="557">
        <f>'КП price'!M64</f>
        <v>0</v>
      </c>
      <c r="F58" s="557">
        <f t="shared" si="0"/>
        <v>0</v>
      </c>
      <c r="H58" s="542" t="str">
        <f t="shared" si="1"/>
        <v>скрыть</v>
      </c>
    </row>
    <row r="59" spans="1:8" ht="15.75" hidden="1" thickBot="1" x14ac:dyDescent="0.3">
      <c r="A59" s="508">
        <v>49</v>
      </c>
      <c r="B59" s="555">
        <f>'КП price'!D65</f>
        <v>0</v>
      </c>
      <c r="C59" s="556">
        <f>'КП price'!C65</f>
        <v>0</v>
      </c>
      <c r="D59" s="556">
        <f>'КП price'!I65</f>
        <v>0</v>
      </c>
      <c r="E59" s="557">
        <f>'КП price'!M65</f>
        <v>0</v>
      </c>
      <c r="F59" s="557">
        <f t="shared" si="0"/>
        <v>0</v>
      </c>
      <c r="H59" s="542" t="str">
        <f t="shared" si="1"/>
        <v>скрыть</v>
      </c>
    </row>
    <row r="60" spans="1:8" ht="15.75" hidden="1" thickBot="1" x14ac:dyDescent="0.3">
      <c r="A60" s="508">
        <v>50</v>
      </c>
      <c r="B60" s="555">
        <f>'КП price'!D66</f>
        <v>0</v>
      </c>
      <c r="C60" s="556">
        <f>'КП price'!C66</f>
        <v>0</v>
      </c>
      <c r="D60" s="556">
        <f>'КП price'!I66</f>
        <v>0</v>
      </c>
      <c r="E60" s="557">
        <f>'КП price'!M66</f>
        <v>0</v>
      </c>
      <c r="F60" s="557">
        <f t="shared" si="0"/>
        <v>0</v>
      </c>
      <c r="H60" s="542" t="str">
        <f t="shared" si="1"/>
        <v>скрыть</v>
      </c>
    </row>
    <row r="61" spans="1:8" ht="15.75" hidden="1" thickBot="1" x14ac:dyDescent="0.3">
      <c r="A61" s="508">
        <v>51</v>
      </c>
      <c r="B61" s="555">
        <f>'КП price'!D67</f>
        <v>0</v>
      </c>
      <c r="C61" s="556">
        <f>'КП price'!C67</f>
        <v>0</v>
      </c>
      <c r="D61" s="556">
        <f>'КП price'!I67</f>
        <v>0</v>
      </c>
      <c r="E61" s="557">
        <f>'КП price'!M67</f>
        <v>0</v>
      </c>
      <c r="F61" s="557">
        <f t="shared" si="0"/>
        <v>0</v>
      </c>
      <c r="H61" s="542" t="str">
        <f t="shared" si="1"/>
        <v>скрыть</v>
      </c>
    </row>
    <row r="62" spans="1:8" ht="15.75" hidden="1" thickBot="1" x14ac:dyDescent="0.3">
      <c r="A62" s="508">
        <v>52</v>
      </c>
      <c r="B62" s="555">
        <f>'КП price'!D68</f>
        <v>0</v>
      </c>
      <c r="C62" s="556">
        <f>'КП price'!C68</f>
        <v>0</v>
      </c>
      <c r="D62" s="556">
        <f>'КП price'!I68</f>
        <v>0</v>
      </c>
      <c r="E62" s="557">
        <f>'КП price'!M68</f>
        <v>0</v>
      </c>
      <c r="F62" s="557">
        <f t="shared" si="0"/>
        <v>0</v>
      </c>
      <c r="H62" s="542" t="str">
        <f t="shared" si="1"/>
        <v>скрыть</v>
      </c>
    </row>
    <row r="63" spans="1:8" ht="15.75" hidden="1" thickBot="1" x14ac:dyDescent="0.3">
      <c r="A63" s="508">
        <v>53</v>
      </c>
      <c r="B63" s="555">
        <f>'КП price'!D69</f>
        <v>0</v>
      </c>
      <c r="C63" s="556">
        <f>'КП price'!C69</f>
        <v>0</v>
      </c>
      <c r="D63" s="556">
        <f>'КП price'!I69</f>
        <v>0</v>
      </c>
      <c r="E63" s="557">
        <f>'КП price'!M69</f>
        <v>0</v>
      </c>
      <c r="F63" s="557">
        <f t="shared" si="0"/>
        <v>0</v>
      </c>
      <c r="H63" s="542" t="str">
        <f t="shared" si="1"/>
        <v>скрыть</v>
      </c>
    </row>
    <row r="64" spans="1:8" ht="15.75" hidden="1" thickBot="1" x14ac:dyDescent="0.3">
      <c r="A64" s="508">
        <v>54</v>
      </c>
      <c r="B64" s="555">
        <f>'КП price'!D70</f>
        <v>0</v>
      </c>
      <c r="C64" s="556">
        <f>'КП price'!C70</f>
        <v>0</v>
      </c>
      <c r="D64" s="556">
        <f>'КП price'!I70</f>
        <v>0</v>
      </c>
      <c r="E64" s="557">
        <f>'КП price'!M70</f>
        <v>0</v>
      </c>
      <c r="F64" s="557">
        <f t="shared" si="0"/>
        <v>0</v>
      </c>
      <c r="H64" s="542" t="str">
        <f t="shared" si="1"/>
        <v>скрыть</v>
      </c>
    </row>
    <row r="65" spans="1:8" ht="15.75" hidden="1" thickBot="1" x14ac:dyDescent="0.3">
      <c r="A65" s="508">
        <v>55</v>
      </c>
      <c r="B65" s="555">
        <f>'КП price'!D71</f>
        <v>0</v>
      </c>
      <c r="C65" s="556">
        <f>'КП price'!C71</f>
        <v>0</v>
      </c>
      <c r="D65" s="556">
        <f>'КП price'!I71</f>
        <v>0</v>
      </c>
      <c r="E65" s="557">
        <f>'КП price'!M71</f>
        <v>0</v>
      </c>
      <c r="F65" s="557">
        <f t="shared" si="0"/>
        <v>0</v>
      </c>
      <c r="H65" s="542" t="str">
        <f t="shared" si="1"/>
        <v>скрыть</v>
      </c>
    </row>
    <row r="66" spans="1:8" ht="15.75" hidden="1" thickBot="1" x14ac:dyDescent="0.3">
      <c r="A66" s="508">
        <v>56</v>
      </c>
      <c r="B66" s="555">
        <f>'КП price'!D72</f>
        <v>0</v>
      </c>
      <c r="C66" s="556">
        <f>'КП price'!C72</f>
        <v>0</v>
      </c>
      <c r="D66" s="556">
        <f>'КП price'!I72</f>
        <v>0</v>
      </c>
      <c r="E66" s="557">
        <f>'КП price'!M72</f>
        <v>0</v>
      </c>
      <c r="F66" s="557">
        <f t="shared" si="0"/>
        <v>0</v>
      </c>
      <c r="H66" s="542" t="str">
        <f t="shared" si="1"/>
        <v>скрыть</v>
      </c>
    </row>
    <row r="67" spans="1:8" ht="15.75" hidden="1" thickBot="1" x14ac:dyDescent="0.3">
      <c r="A67" s="508">
        <v>57</v>
      </c>
      <c r="B67" s="555">
        <f>'КП price'!D73</f>
        <v>0</v>
      </c>
      <c r="C67" s="556">
        <f>'КП price'!C73</f>
        <v>0</v>
      </c>
      <c r="D67" s="556">
        <f>'КП price'!I73</f>
        <v>0</v>
      </c>
      <c r="E67" s="557">
        <f>'КП price'!M73</f>
        <v>0</v>
      </c>
      <c r="F67" s="557">
        <f t="shared" si="0"/>
        <v>0</v>
      </c>
      <c r="H67" s="542" t="str">
        <f t="shared" si="1"/>
        <v>скрыть</v>
      </c>
    </row>
    <row r="68" spans="1:8" ht="15.75" hidden="1" thickBot="1" x14ac:dyDescent="0.3">
      <c r="A68" s="508">
        <v>58</v>
      </c>
      <c r="B68" s="555">
        <f>'КП price'!D74</f>
        <v>0</v>
      </c>
      <c r="C68" s="556">
        <f>'КП price'!C74</f>
        <v>0</v>
      </c>
      <c r="D68" s="556">
        <f>'КП price'!I74</f>
        <v>0</v>
      </c>
      <c r="E68" s="557">
        <f>'КП price'!M74</f>
        <v>0</v>
      </c>
      <c r="F68" s="557">
        <f t="shared" si="0"/>
        <v>0</v>
      </c>
      <c r="H68" s="542" t="str">
        <f t="shared" si="1"/>
        <v>скрыть</v>
      </c>
    </row>
    <row r="69" spans="1:8" ht="15.75" hidden="1" thickBot="1" x14ac:dyDescent="0.3">
      <c r="A69" s="508">
        <v>59</v>
      </c>
      <c r="B69" s="555">
        <f>'КП price'!D75</f>
        <v>0</v>
      </c>
      <c r="C69" s="556">
        <f>'КП price'!C75</f>
        <v>0</v>
      </c>
      <c r="D69" s="556">
        <f>'КП price'!I75</f>
        <v>0</v>
      </c>
      <c r="E69" s="557">
        <f>'КП price'!M75</f>
        <v>0</v>
      </c>
      <c r="F69" s="557">
        <f t="shared" si="0"/>
        <v>0</v>
      </c>
      <c r="H69" s="542" t="str">
        <f t="shared" si="1"/>
        <v>скрыть</v>
      </c>
    </row>
    <row r="70" spans="1:8" ht="15.75" hidden="1" thickBot="1" x14ac:dyDescent="0.3">
      <c r="A70" s="508">
        <v>60</v>
      </c>
      <c r="B70" s="555">
        <f>'КП price'!D76</f>
        <v>0</v>
      </c>
      <c r="C70" s="556">
        <f>'КП price'!C76</f>
        <v>0</v>
      </c>
      <c r="D70" s="556">
        <f>'КП price'!I76</f>
        <v>0</v>
      </c>
      <c r="E70" s="557">
        <f>'КП price'!M76</f>
        <v>0</v>
      </c>
      <c r="F70" s="557">
        <f t="shared" si="0"/>
        <v>0</v>
      </c>
      <c r="H70" s="542" t="str">
        <f t="shared" si="1"/>
        <v>скрыть</v>
      </c>
    </row>
    <row r="71" spans="1:8" ht="15.75" hidden="1" thickBot="1" x14ac:dyDescent="0.3">
      <c r="A71" s="508">
        <v>61</v>
      </c>
      <c r="B71" s="555">
        <f>'КП price'!D77</f>
        <v>0</v>
      </c>
      <c r="C71" s="556">
        <f>'КП price'!C77</f>
        <v>0</v>
      </c>
      <c r="D71" s="556">
        <f>'КП price'!I77</f>
        <v>0</v>
      </c>
      <c r="E71" s="557">
        <f>'КП price'!M77</f>
        <v>0</v>
      </c>
      <c r="F71" s="557">
        <f t="shared" si="0"/>
        <v>0</v>
      </c>
      <c r="H71" s="542" t="str">
        <f t="shared" si="1"/>
        <v>скрыть</v>
      </c>
    </row>
    <row r="72" spans="1:8" ht="15.75" hidden="1" thickBot="1" x14ac:dyDescent="0.3">
      <c r="A72" s="508">
        <v>62</v>
      </c>
      <c r="B72" s="555">
        <f>'КП price'!D78</f>
        <v>0</v>
      </c>
      <c r="C72" s="556">
        <f>'КП price'!C78</f>
        <v>0</v>
      </c>
      <c r="D72" s="556">
        <f>'КП price'!I78</f>
        <v>0</v>
      </c>
      <c r="E72" s="557">
        <f>'КП price'!M78</f>
        <v>0</v>
      </c>
      <c r="F72" s="557">
        <f t="shared" si="0"/>
        <v>0</v>
      </c>
      <c r="H72" s="542" t="str">
        <f t="shared" si="1"/>
        <v>скрыть</v>
      </c>
    </row>
    <row r="73" spans="1:8" ht="15.75" hidden="1" thickBot="1" x14ac:dyDescent="0.3">
      <c r="A73" s="508">
        <v>63</v>
      </c>
      <c r="B73" s="555">
        <f>'КП price'!D79</f>
        <v>0</v>
      </c>
      <c r="C73" s="556">
        <f>'КП price'!C79</f>
        <v>0</v>
      </c>
      <c r="D73" s="556">
        <f>'КП price'!I79</f>
        <v>0</v>
      </c>
      <c r="E73" s="557">
        <f>'КП price'!M79</f>
        <v>0</v>
      </c>
      <c r="F73" s="557">
        <f t="shared" si="0"/>
        <v>0</v>
      </c>
      <c r="H73" s="542" t="str">
        <f t="shared" si="1"/>
        <v>скрыть</v>
      </c>
    </row>
    <row r="74" spans="1:8" ht="15.75" hidden="1" thickBot="1" x14ac:dyDescent="0.3">
      <c r="A74" s="508">
        <v>64</v>
      </c>
      <c r="B74" s="555">
        <f>'КП price'!D80</f>
        <v>0</v>
      </c>
      <c r="C74" s="556">
        <f>'КП price'!C80</f>
        <v>0</v>
      </c>
      <c r="D74" s="556">
        <f>'КП price'!I80</f>
        <v>0</v>
      </c>
      <c r="E74" s="557">
        <f>'КП price'!M80</f>
        <v>0</v>
      </c>
      <c r="F74" s="557">
        <f t="shared" si="0"/>
        <v>0</v>
      </c>
      <c r="H74" s="542" t="str">
        <f t="shared" si="1"/>
        <v>скрыть</v>
      </c>
    </row>
    <row r="75" spans="1:8" ht="15.75" hidden="1" thickBot="1" x14ac:dyDescent="0.3">
      <c r="A75" s="508">
        <v>65</v>
      </c>
      <c r="B75" s="555">
        <f>'КП price'!D81</f>
        <v>0</v>
      </c>
      <c r="C75" s="556">
        <f>'КП price'!C81</f>
        <v>0</v>
      </c>
      <c r="D75" s="556">
        <f>'КП price'!I81</f>
        <v>0</v>
      </c>
      <c r="E75" s="557">
        <f>'КП price'!M81</f>
        <v>0</v>
      </c>
      <c r="F75" s="557">
        <f t="shared" si="0"/>
        <v>0</v>
      </c>
      <c r="H75" s="542" t="str">
        <f t="shared" si="1"/>
        <v>скрыть</v>
      </c>
    </row>
    <row r="76" spans="1:8" ht="15.75" hidden="1" thickBot="1" x14ac:dyDescent="0.3">
      <c r="A76" s="508">
        <v>66</v>
      </c>
      <c r="B76" s="555">
        <f>'КП price'!D82</f>
        <v>0</v>
      </c>
      <c r="C76" s="556">
        <f>'КП price'!C82</f>
        <v>0</v>
      </c>
      <c r="D76" s="556">
        <f>'КП price'!I82</f>
        <v>0</v>
      </c>
      <c r="E76" s="557">
        <f>'КП price'!M82</f>
        <v>0</v>
      </c>
      <c r="F76" s="557">
        <f t="shared" ref="F76:F110" si="2">E76-D76</f>
        <v>0</v>
      </c>
      <c r="H76" s="542" t="str">
        <f t="shared" ref="H76:H110" si="3">IF(F76&gt;0,"показать","скрыть")</f>
        <v>скрыть</v>
      </c>
    </row>
    <row r="77" spans="1:8" ht="15.75" hidden="1" thickBot="1" x14ac:dyDescent="0.3">
      <c r="A77" s="508">
        <v>67</v>
      </c>
      <c r="B77" s="555">
        <f>'КП price'!D83</f>
        <v>0</v>
      </c>
      <c r="C77" s="556">
        <f>'КП price'!C83</f>
        <v>0</v>
      </c>
      <c r="D77" s="556">
        <f>'КП price'!I83</f>
        <v>0</v>
      </c>
      <c r="E77" s="557">
        <f>'КП price'!M83</f>
        <v>0</v>
      </c>
      <c r="F77" s="557">
        <f t="shared" si="2"/>
        <v>0</v>
      </c>
      <c r="H77" s="542" t="str">
        <f t="shared" si="3"/>
        <v>скрыть</v>
      </c>
    </row>
    <row r="78" spans="1:8" ht="15.75" hidden="1" thickBot="1" x14ac:dyDescent="0.3">
      <c r="A78" s="508">
        <v>68</v>
      </c>
      <c r="B78" s="555">
        <f>'КП price'!D84</f>
        <v>0</v>
      </c>
      <c r="C78" s="556">
        <f>'КП price'!C84</f>
        <v>0</v>
      </c>
      <c r="D78" s="556">
        <f>'КП price'!I84</f>
        <v>0</v>
      </c>
      <c r="E78" s="557">
        <f>'КП price'!M84</f>
        <v>0</v>
      </c>
      <c r="F78" s="557">
        <f t="shared" si="2"/>
        <v>0</v>
      </c>
      <c r="H78" s="542" t="str">
        <f t="shared" si="3"/>
        <v>скрыть</v>
      </c>
    </row>
    <row r="79" spans="1:8" ht="15.75" hidden="1" thickBot="1" x14ac:dyDescent="0.3">
      <c r="A79" s="508">
        <v>69</v>
      </c>
      <c r="B79" s="555">
        <f>'КП price'!D85</f>
        <v>0</v>
      </c>
      <c r="C79" s="556">
        <f>'КП price'!C85</f>
        <v>0</v>
      </c>
      <c r="D79" s="556">
        <f>'КП price'!I85</f>
        <v>0</v>
      </c>
      <c r="E79" s="557">
        <f>'КП price'!M85</f>
        <v>0</v>
      </c>
      <c r="F79" s="557">
        <f t="shared" si="2"/>
        <v>0</v>
      </c>
      <c r="H79" s="542" t="str">
        <f t="shared" si="3"/>
        <v>скрыть</v>
      </c>
    </row>
    <row r="80" spans="1:8" ht="15.75" hidden="1" thickBot="1" x14ac:dyDescent="0.3">
      <c r="A80" s="508">
        <v>70</v>
      </c>
      <c r="B80" s="555">
        <f>'КП price'!D86</f>
        <v>0</v>
      </c>
      <c r="C80" s="556">
        <f>'КП price'!C86</f>
        <v>0</v>
      </c>
      <c r="D80" s="556">
        <f>'КП price'!I86</f>
        <v>0</v>
      </c>
      <c r="E80" s="557">
        <f>'КП price'!M86</f>
        <v>0</v>
      </c>
      <c r="F80" s="557">
        <f t="shared" si="2"/>
        <v>0</v>
      </c>
      <c r="H80" s="542" t="str">
        <f t="shared" si="3"/>
        <v>скрыть</v>
      </c>
    </row>
    <row r="81" spans="1:8" ht="15.75" hidden="1" thickBot="1" x14ac:dyDescent="0.3">
      <c r="A81" s="508">
        <v>71</v>
      </c>
      <c r="B81" s="555">
        <f>'КП price'!D87</f>
        <v>0</v>
      </c>
      <c r="C81" s="556">
        <f>'КП price'!C87</f>
        <v>0</v>
      </c>
      <c r="D81" s="556">
        <f>'КП price'!I87</f>
        <v>0</v>
      </c>
      <c r="E81" s="557">
        <f>'КП price'!M87</f>
        <v>0</v>
      </c>
      <c r="F81" s="557">
        <f t="shared" si="2"/>
        <v>0</v>
      </c>
      <c r="H81" s="542" t="str">
        <f t="shared" si="3"/>
        <v>скрыть</v>
      </c>
    </row>
    <row r="82" spans="1:8" ht="15.75" hidden="1" thickBot="1" x14ac:dyDescent="0.3">
      <c r="A82" s="508">
        <v>72</v>
      </c>
      <c r="B82" s="555">
        <f>'КП price'!D88</f>
        <v>0</v>
      </c>
      <c r="C82" s="556">
        <f>'КП price'!C88</f>
        <v>0</v>
      </c>
      <c r="D82" s="556">
        <f>'КП price'!I88</f>
        <v>0</v>
      </c>
      <c r="E82" s="557">
        <f>'КП price'!M88</f>
        <v>0</v>
      </c>
      <c r="F82" s="557">
        <f t="shared" si="2"/>
        <v>0</v>
      </c>
      <c r="H82" s="542" t="str">
        <f t="shared" si="3"/>
        <v>скрыть</v>
      </c>
    </row>
    <row r="83" spans="1:8" ht="15.75" hidden="1" thickBot="1" x14ac:dyDescent="0.3">
      <c r="A83" s="508">
        <v>73</v>
      </c>
      <c r="B83" s="555">
        <f>'КП price'!D89</f>
        <v>0</v>
      </c>
      <c r="C83" s="556">
        <f>'КП price'!C89</f>
        <v>0</v>
      </c>
      <c r="D83" s="556">
        <f>'КП price'!I89</f>
        <v>0</v>
      </c>
      <c r="E83" s="557">
        <f>'КП price'!M89</f>
        <v>0</v>
      </c>
      <c r="F83" s="557">
        <f t="shared" si="2"/>
        <v>0</v>
      </c>
      <c r="H83" s="542" t="str">
        <f t="shared" si="3"/>
        <v>скрыть</v>
      </c>
    </row>
    <row r="84" spans="1:8" ht="15.75" hidden="1" thickBot="1" x14ac:dyDescent="0.3">
      <c r="A84" s="508">
        <v>74</v>
      </c>
      <c r="B84" s="555">
        <f>'КП price'!D90</f>
        <v>0</v>
      </c>
      <c r="C84" s="556">
        <f>'КП price'!C90</f>
        <v>0</v>
      </c>
      <c r="D84" s="556">
        <f>'КП price'!I90</f>
        <v>0</v>
      </c>
      <c r="E84" s="557">
        <f>'КП price'!M90</f>
        <v>0</v>
      </c>
      <c r="F84" s="557">
        <f t="shared" si="2"/>
        <v>0</v>
      </c>
      <c r="H84" s="542" t="str">
        <f t="shared" si="3"/>
        <v>скрыть</v>
      </c>
    </row>
    <row r="85" spans="1:8" ht="15.75" hidden="1" thickBot="1" x14ac:dyDescent="0.3">
      <c r="A85" s="508">
        <v>75</v>
      </c>
      <c r="B85" s="555">
        <f>'КП price'!D91</f>
        <v>0</v>
      </c>
      <c r="C85" s="556">
        <f>'КП price'!C91</f>
        <v>0</v>
      </c>
      <c r="D85" s="556">
        <f>'КП price'!I91</f>
        <v>0</v>
      </c>
      <c r="E85" s="557">
        <f>'КП price'!M91</f>
        <v>0</v>
      </c>
      <c r="F85" s="557">
        <f t="shared" si="2"/>
        <v>0</v>
      </c>
      <c r="H85" s="542" t="str">
        <f t="shared" si="3"/>
        <v>скрыть</v>
      </c>
    </row>
    <row r="86" spans="1:8" ht="15.75" hidden="1" thickBot="1" x14ac:dyDescent="0.3">
      <c r="A86" s="508">
        <v>76</v>
      </c>
      <c r="B86" s="555">
        <f>'КП price'!D92</f>
        <v>0</v>
      </c>
      <c r="C86" s="556">
        <f>'КП price'!C92</f>
        <v>0</v>
      </c>
      <c r="D86" s="556">
        <f>'КП price'!I92</f>
        <v>0</v>
      </c>
      <c r="E86" s="557">
        <f>'КП price'!M92</f>
        <v>0</v>
      </c>
      <c r="F86" s="557">
        <f t="shared" si="2"/>
        <v>0</v>
      </c>
      <c r="H86" s="542" t="str">
        <f t="shared" si="3"/>
        <v>скрыть</v>
      </c>
    </row>
    <row r="87" spans="1:8" ht="15.75" hidden="1" thickBot="1" x14ac:dyDescent="0.3">
      <c r="A87" s="508">
        <v>77</v>
      </c>
      <c r="B87" s="555">
        <f>'КП price'!D93</f>
        <v>0</v>
      </c>
      <c r="C87" s="556">
        <f>'КП price'!C93</f>
        <v>0</v>
      </c>
      <c r="D87" s="556">
        <f>'КП price'!I93</f>
        <v>0</v>
      </c>
      <c r="E87" s="557">
        <f>'КП price'!M93</f>
        <v>0</v>
      </c>
      <c r="F87" s="557">
        <f t="shared" si="2"/>
        <v>0</v>
      </c>
      <c r="H87" s="542" t="str">
        <f t="shared" si="3"/>
        <v>скрыть</v>
      </c>
    </row>
    <row r="88" spans="1:8" ht="15.75" hidden="1" thickBot="1" x14ac:dyDescent="0.3">
      <c r="A88" s="508">
        <v>78</v>
      </c>
      <c r="B88" s="555">
        <f>'КП price'!D94</f>
        <v>0</v>
      </c>
      <c r="C88" s="556">
        <f>'КП price'!C94</f>
        <v>0</v>
      </c>
      <c r="D88" s="556">
        <f>'КП price'!I94</f>
        <v>0</v>
      </c>
      <c r="E88" s="557">
        <f>'КП price'!M94</f>
        <v>0</v>
      </c>
      <c r="F88" s="557">
        <f t="shared" si="2"/>
        <v>0</v>
      </c>
      <c r="H88" s="542" t="str">
        <f t="shared" si="3"/>
        <v>скрыть</v>
      </c>
    </row>
    <row r="89" spans="1:8" ht="15.75" hidden="1" thickBot="1" x14ac:dyDescent="0.3">
      <c r="A89" s="508">
        <v>79</v>
      </c>
      <c r="B89" s="555">
        <f>'КП price'!D95</f>
        <v>0</v>
      </c>
      <c r="C89" s="556">
        <f>'КП price'!C95</f>
        <v>0</v>
      </c>
      <c r="D89" s="556">
        <f>'КП price'!I95</f>
        <v>0</v>
      </c>
      <c r="E89" s="557">
        <f>'КП price'!M95</f>
        <v>0</v>
      </c>
      <c r="F89" s="557">
        <f t="shared" si="2"/>
        <v>0</v>
      </c>
      <c r="H89" s="542" t="str">
        <f t="shared" si="3"/>
        <v>скрыть</v>
      </c>
    </row>
    <row r="90" spans="1:8" ht="15.75" hidden="1" thickBot="1" x14ac:dyDescent="0.3">
      <c r="A90" s="508">
        <v>80</v>
      </c>
      <c r="B90" s="555">
        <f>'КП price'!D96</f>
        <v>0</v>
      </c>
      <c r="C90" s="556">
        <f>'КП price'!C96</f>
        <v>0</v>
      </c>
      <c r="D90" s="556">
        <f>'КП price'!I96</f>
        <v>0</v>
      </c>
      <c r="E90" s="557">
        <f>'КП price'!M96</f>
        <v>0</v>
      </c>
      <c r="F90" s="557">
        <f t="shared" si="2"/>
        <v>0</v>
      </c>
      <c r="H90" s="542" t="str">
        <f t="shared" si="3"/>
        <v>скрыть</v>
      </c>
    </row>
    <row r="91" spans="1:8" ht="15.75" hidden="1" thickBot="1" x14ac:dyDescent="0.3">
      <c r="A91" s="508">
        <v>81</v>
      </c>
      <c r="B91" s="555">
        <f>'КП price'!D97</f>
        <v>0</v>
      </c>
      <c r="C91" s="556">
        <f>'КП price'!C97</f>
        <v>0</v>
      </c>
      <c r="D91" s="556">
        <f>'КП price'!I97</f>
        <v>0</v>
      </c>
      <c r="E91" s="557">
        <f>'КП price'!M97</f>
        <v>0</v>
      </c>
      <c r="F91" s="557">
        <f t="shared" si="2"/>
        <v>0</v>
      </c>
      <c r="H91" s="542" t="str">
        <f t="shared" si="3"/>
        <v>скрыть</v>
      </c>
    </row>
    <row r="92" spans="1:8" ht="15.75" hidden="1" thickBot="1" x14ac:dyDescent="0.3">
      <c r="A92" s="508">
        <v>82</v>
      </c>
      <c r="B92" s="555">
        <f>'КП price'!D98</f>
        <v>0</v>
      </c>
      <c r="C92" s="556">
        <f>'КП price'!C98</f>
        <v>0</v>
      </c>
      <c r="D92" s="556">
        <f>'КП price'!I98</f>
        <v>0</v>
      </c>
      <c r="E92" s="557">
        <f>'КП price'!M98</f>
        <v>0</v>
      </c>
      <c r="F92" s="557">
        <f t="shared" si="2"/>
        <v>0</v>
      </c>
      <c r="H92" s="542" t="str">
        <f t="shared" si="3"/>
        <v>скрыть</v>
      </c>
    </row>
    <row r="93" spans="1:8" ht="15.75" hidden="1" thickBot="1" x14ac:dyDescent="0.3">
      <c r="A93" s="508">
        <v>83</v>
      </c>
      <c r="B93" s="555">
        <f>'КП price'!D99</f>
        <v>0</v>
      </c>
      <c r="C93" s="556">
        <f>'КП price'!C99</f>
        <v>0</v>
      </c>
      <c r="D93" s="556">
        <f>'КП price'!I99</f>
        <v>0</v>
      </c>
      <c r="E93" s="557">
        <f>'КП price'!M99</f>
        <v>0</v>
      </c>
      <c r="F93" s="557">
        <f t="shared" si="2"/>
        <v>0</v>
      </c>
      <c r="H93" s="542" t="str">
        <f t="shared" si="3"/>
        <v>скрыть</v>
      </c>
    </row>
    <row r="94" spans="1:8" ht="15.75" hidden="1" thickBot="1" x14ac:dyDescent="0.3">
      <c r="A94" s="508">
        <v>84</v>
      </c>
      <c r="B94" s="555">
        <f>'КП price'!D100</f>
        <v>0</v>
      </c>
      <c r="C94" s="556">
        <f>'КП price'!C100</f>
        <v>0</v>
      </c>
      <c r="D94" s="556">
        <f>'КП price'!I100</f>
        <v>0</v>
      </c>
      <c r="E94" s="557">
        <f>'КП price'!M100</f>
        <v>0</v>
      </c>
      <c r="F94" s="557">
        <f t="shared" si="2"/>
        <v>0</v>
      </c>
      <c r="H94" s="542" t="str">
        <f t="shared" si="3"/>
        <v>скрыть</v>
      </c>
    </row>
    <row r="95" spans="1:8" ht="15.75" hidden="1" thickBot="1" x14ac:dyDescent="0.3">
      <c r="A95" s="508">
        <v>85</v>
      </c>
      <c r="B95" s="555">
        <f>'КП price'!D101</f>
        <v>0</v>
      </c>
      <c r="C95" s="556">
        <f>'КП price'!C101</f>
        <v>0</v>
      </c>
      <c r="D95" s="556">
        <f>'КП price'!I101</f>
        <v>0</v>
      </c>
      <c r="E95" s="557">
        <f>'КП price'!M101</f>
        <v>0</v>
      </c>
      <c r="F95" s="557">
        <f t="shared" si="2"/>
        <v>0</v>
      </c>
      <c r="H95" s="542" t="str">
        <f t="shared" si="3"/>
        <v>скрыть</v>
      </c>
    </row>
    <row r="96" spans="1:8" ht="15.75" hidden="1" thickBot="1" x14ac:dyDescent="0.3">
      <c r="A96" s="508">
        <v>86</v>
      </c>
      <c r="B96" s="555">
        <f>'КП price'!D102</f>
        <v>0</v>
      </c>
      <c r="C96" s="556">
        <f>'КП price'!C102</f>
        <v>0</v>
      </c>
      <c r="D96" s="556">
        <f>'КП price'!I102</f>
        <v>0</v>
      </c>
      <c r="E96" s="557">
        <f>'КП price'!M102</f>
        <v>0</v>
      </c>
      <c r="F96" s="557">
        <f t="shared" si="2"/>
        <v>0</v>
      </c>
      <c r="H96" s="542" t="str">
        <f t="shared" si="3"/>
        <v>скрыть</v>
      </c>
    </row>
    <row r="97" spans="1:8" ht="15.75" hidden="1" thickBot="1" x14ac:dyDescent="0.3">
      <c r="A97" s="508">
        <v>87</v>
      </c>
      <c r="B97" s="555">
        <f>'КП price'!D103</f>
        <v>0</v>
      </c>
      <c r="C97" s="556">
        <f>'КП price'!C103</f>
        <v>0</v>
      </c>
      <c r="D97" s="556">
        <f>'КП price'!I103</f>
        <v>0</v>
      </c>
      <c r="E97" s="557">
        <f>'КП price'!M103</f>
        <v>0</v>
      </c>
      <c r="F97" s="557">
        <f t="shared" si="2"/>
        <v>0</v>
      </c>
      <c r="H97" s="542" t="str">
        <f t="shared" si="3"/>
        <v>скрыть</v>
      </c>
    </row>
    <row r="98" spans="1:8" ht="15.75" hidden="1" thickBot="1" x14ac:dyDescent="0.3">
      <c r="A98" s="508">
        <v>88</v>
      </c>
      <c r="B98" s="555">
        <f>'КП price'!D104</f>
        <v>0</v>
      </c>
      <c r="C98" s="556">
        <f>'КП price'!C104</f>
        <v>0</v>
      </c>
      <c r="D98" s="556">
        <f>'КП price'!I104</f>
        <v>0</v>
      </c>
      <c r="E98" s="557">
        <f>'КП price'!M104</f>
        <v>0</v>
      </c>
      <c r="F98" s="557">
        <f t="shared" si="2"/>
        <v>0</v>
      </c>
      <c r="H98" s="542" t="str">
        <f t="shared" si="3"/>
        <v>скрыть</v>
      </c>
    </row>
    <row r="99" spans="1:8" ht="15.75" hidden="1" thickBot="1" x14ac:dyDescent="0.3">
      <c r="A99" s="508">
        <v>89</v>
      </c>
      <c r="B99" s="555">
        <f>'КП price'!D105</f>
        <v>0</v>
      </c>
      <c r="C99" s="556">
        <f>'КП price'!C105</f>
        <v>0</v>
      </c>
      <c r="D99" s="556">
        <f>'КП price'!I105</f>
        <v>0</v>
      </c>
      <c r="E99" s="557">
        <f>'КП price'!M105</f>
        <v>0</v>
      </c>
      <c r="F99" s="557">
        <f t="shared" si="2"/>
        <v>0</v>
      </c>
      <c r="H99" s="542" t="str">
        <f t="shared" si="3"/>
        <v>скрыть</v>
      </c>
    </row>
    <row r="100" spans="1:8" ht="15.75" hidden="1" thickBot="1" x14ac:dyDescent="0.3">
      <c r="A100" s="508">
        <v>90</v>
      </c>
      <c r="B100" s="555">
        <f>'КП price'!D106</f>
        <v>0</v>
      </c>
      <c r="C100" s="556">
        <f>'КП price'!C106</f>
        <v>0</v>
      </c>
      <c r="D100" s="556">
        <f>'КП price'!I106</f>
        <v>0</v>
      </c>
      <c r="E100" s="557">
        <f>'КП price'!M106</f>
        <v>0</v>
      </c>
      <c r="F100" s="557">
        <f t="shared" si="2"/>
        <v>0</v>
      </c>
      <c r="H100" s="542" t="str">
        <f t="shared" si="3"/>
        <v>скрыть</v>
      </c>
    </row>
    <row r="101" spans="1:8" ht="15.75" hidden="1" thickBot="1" x14ac:dyDescent="0.3">
      <c r="A101" s="508">
        <v>91</v>
      </c>
      <c r="B101" s="555">
        <f>'КП price'!D107</f>
        <v>0</v>
      </c>
      <c r="C101" s="556">
        <f>'КП price'!C107</f>
        <v>0</v>
      </c>
      <c r="D101" s="556">
        <f>'КП price'!I107</f>
        <v>0</v>
      </c>
      <c r="E101" s="557">
        <f>'КП price'!M107</f>
        <v>0</v>
      </c>
      <c r="F101" s="557">
        <f t="shared" si="2"/>
        <v>0</v>
      </c>
      <c r="H101" s="542" t="str">
        <f t="shared" si="3"/>
        <v>скрыть</v>
      </c>
    </row>
    <row r="102" spans="1:8" ht="15.75" hidden="1" thickBot="1" x14ac:dyDescent="0.3">
      <c r="A102" s="508">
        <v>92</v>
      </c>
      <c r="B102" s="555">
        <f>'КП price'!D108</f>
        <v>0</v>
      </c>
      <c r="C102" s="556">
        <f>'КП price'!C108</f>
        <v>0</v>
      </c>
      <c r="D102" s="556">
        <f>'КП price'!I108</f>
        <v>0</v>
      </c>
      <c r="E102" s="557">
        <f>'КП price'!M108</f>
        <v>0</v>
      </c>
      <c r="F102" s="557">
        <f t="shared" si="2"/>
        <v>0</v>
      </c>
      <c r="H102" s="542" t="str">
        <f t="shared" si="3"/>
        <v>скрыть</v>
      </c>
    </row>
    <row r="103" spans="1:8" ht="15.75" hidden="1" thickBot="1" x14ac:dyDescent="0.3">
      <c r="A103" s="508">
        <v>93</v>
      </c>
      <c r="B103" s="555">
        <f>'КП price'!D109</f>
        <v>0</v>
      </c>
      <c r="C103" s="556">
        <f>'КП price'!C109</f>
        <v>0</v>
      </c>
      <c r="D103" s="556">
        <f>'КП price'!I109</f>
        <v>0</v>
      </c>
      <c r="E103" s="557">
        <f>'КП price'!M109</f>
        <v>0</v>
      </c>
      <c r="F103" s="557">
        <f t="shared" si="2"/>
        <v>0</v>
      </c>
      <c r="H103" s="542" t="str">
        <f t="shared" si="3"/>
        <v>скрыть</v>
      </c>
    </row>
    <row r="104" spans="1:8" ht="15.75" hidden="1" thickBot="1" x14ac:dyDescent="0.3">
      <c r="A104" s="508">
        <v>94</v>
      </c>
      <c r="B104" s="555">
        <f>'КП price'!D110</f>
        <v>0</v>
      </c>
      <c r="C104" s="556">
        <f>'КП price'!C110</f>
        <v>0</v>
      </c>
      <c r="D104" s="556">
        <f>'КП price'!I110</f>
        <v>0</v>
      </c>
      <c r="E104" s="557">
        <f>'КП price'!M110</f>
        <v>0</v>
      </c>
      <c r="F104" s="557">
        <f t="shared" si="2"/>
        <v>0</v>
      </c>
      <c r="H104" s="542" t="str">
        <f t="shared" si="3"/>
        <v>скрыть</v>
      </c>
    </row>
    <row r="105" spans="1:8" ht="15.75" hidden="1" thickBot="1" x14ac:dyDescent="0.3">
      <c r="A105" s="508">
        <v>95</v>
      </c>
      <c r="B105" s="555">
        <f>'КП price'!D111</f>
        <v>0</v>
      </c>
      <c r="C105" s="556">
        <f>'КП price'!C111</f>
        <v>0</v>
      </c>
      <c r="D105" s="556">
        <f>'КП price'!I111</f>
        <v>0</v>
      </c>
      <c r="E105" s="557">
        <f>'КП price'!M111</f>
        <v>0</v>
      </c>
      <c r="F105" s="557">
        <f t="shared" si="2"/>
        <v>0</v>
      </c>
      <c r="H105" s="542" t="str">
        <f t="shared" si="3"/>
        <v>скрыть</v>
      </c>
    </row>
    <row r="106" spans="1:8" ht="15.75" hidden="1" thickBot="1" x14ac:dyDescent="0.3">
      <c r="A106" s="508">
        <v>96</v>
      </c>
      <c r="B106" s="555">
        <f>'КП price'!D112</f>
        <v>0</v>
      </c>
      <c r="C106" s="556">
        <f>'КП price'!C112</f>
        <v>0</v>
      </c>
      <c r="D106" s="556">
        <f>'КП price'!I112</f>
        <v>0</v>
      </c>
      <c r="E106" s="557">
        <f>'КП price'!M112</f>
        <v>0</v>
      </c>
      <c r="F106" s="557">
        <f t="shared" si="2"/>
        <v>0</v>
      </c>
      <c r="H106" s="542" t="str">
        <f t="shared" si="3"/>
        <v>скрыть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5</v>
      </c>
      <c r="E111" s="560"/>
      <c r="F111" s="557">
        <f>SUM(F11:F110)</f>
        <v>8193.31</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66"/>
      <c r="J115" s="565"/>
    </row>
    <row r="116" spans="2:10" ht="45" customHeight="1" x14ac:dyDescent="0.25">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3"/>
      <c r="D119" s="723"/>
      <c r="E119" s="723"/>
      <c r="F119" s="723"/>
      <c r="G119" s="569"/>
    </row>
    <row r="120" spans="2:10" x14ac:dyDescent="0.25">
      <c r="B120" s="723" t="s">
        <v>426</v>
      </c>
      <c r="C120" s="723"/>
      <c r="D120" s="723"/>
      <c r="E120" s="723"/>
      <c r="F120" s="723"/>
      <c r="G120" s="569"/>
    </row>
    <row r="121" spans="2:10" ht="31.5" customHeight="1" x14ac:dyDescent="0.25">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23"/>
      <c r="D121" s="723"/>
      <c r="E121" s="723"/>
      <c r="F121" s="723"/>
      <c r="G121" s="569"/>
    </row>
    <row r="122" spans="2:10" ht="42.75" customHeight="1" x14ac:dyDescent="0.25">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3"/>
      <c r="D122" s="723"/>
      <c r="E122" s="723"/>
      <c r="F122" s="723"/>
      <c r="G122" s="568"/>
    </row>
    <row r="123" spans="2:10" ht="87.75" customHeight="1" x14ac:dyDescent="0.25">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частичная оплата: 50%-аванс в течении  календарных дней с даты подписания спецификации</v>
      </c>
      <c r="C123" s="723"/>
      <c r="D123" s="723"/>
      <c r="E123" s="723"/>
      <c r="F123" s="723"/>
      <c r="G123" s="568"/>
    </row>
    <row r="124" spans="2:10" ht="29.25" customHeight="1" x14ac:dyDescent="0.25">
      <c r="B124" s="723" t="s">
        <v>427</v>
      </c>
      <c r="C124" s="723"/>
      <c r="D124" s="723"/>
      <c r="E124" s="723"/>
      <c r="F124" s="723"/>
      <c r="G124" s="568"/>
    </row>
    <row r="125" spans="2:10" x14ac:dyDescent="0.25">
      <c r="B125" s="723" t="s">
        <v>428</v>
      </c>
      <c r="C125" s="723"/>
      <c r="D125" s="723"/>
      <c r="E125" s="723"/>
      <c r="F125" s="723"/>
      <c r="G125" s="568"/>
    </row>
    <row r="126" spans="2:10" x14ac:dyDescent="0.25">
      <c r="B126" s="723" t="s">
        <v>429</v>
      </c>
      <c r="C126" s="723"/>
      <c r="D126" s="723"/>
      <c r="E126" s="723"/>
      <c r="F126" s="723"/>
      <c r="G126" s="568"/>
    </row>
    <row r="127" spans="2:10" ht="30" customHeight="1" x14ac:dyDescent="0.25">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68"/>
    </row>
    <row r="128" spans="2:10" ht="28.5" customHeight="1" x14ac:dyDescent="0.25">
      <c r="B128" s="723" t="str">
        <f>"10.  Срок поставки Продукции "&amp;shipping_time_1</f>
        <v>10.  Срок поставки Продукции 30 календарных дней с даты зачисления аванса</v>
      </c>
      <c r="C128" s="723"/>
      <c r="D128" s="723"/>
      <c r="E128" s="723"/>
      <c r="F128" s="723"/>
      <c r="G128" s="568"/>
    </row>
    <row r="129" spans="2:7" x14ac:dyDescent="0.25">
      <c r="B129" s="723" t="str">
        <f>"11. Грузополучатель – "&amp;buyer__1&amp;":"</f>
        <v>11. Грузополучатель – :</v>
      </c>
      <c r="C129" s="723"/>
      <c r="D129" s="723"/>
      <c r="E129" s="723"/>
      <c r="F129" s="723"/>
      <c r="G129" s="568"/>
    </row>
    <row r="130" spans="2:7" ht="30.75" customHeight="1" x14ac:dyDescent="0.25">
      <c r="B130" s="723" t="str">
        <f>"- адрес регистрации: "&amp;buyers_address_1</f>
        <v xml:space="preserve">- адрес регистрации: </v>
      </c>
      <c r="C130" s="723"/>
      <c r="D130" s="723"/>
      <c r="E130" s="723"/>
      <c r="F130" s="723"/>
      <c r="G130" s="568"/>
    </row>
    <row r="131" spans="2:7" ht="28.5" customHeight="1" x14ac:dyDescent="0.25">
      <c r="B131" s="723" t="str">
        <f>"- адрес поставки (адрес склада Покупателя) –  "&amp;shipping_address_IN</f>
        <v xml:space="preserve">- адрес поставки (адрес склада Покупателя) –  </v>
      </c>
      <c r="C131" s="723"/>
      <c r="D131" s="723"/>
      <c r="E131" s="723"/>
      <c r="F131" s="723"/>
      <c r="G131" s="568"/>
    </row>
    <row r="132" spans="2:7" x14ac:dyDescent="0.25">
      <c r="B132" s="723" t="str">
        <f>"12.  Иные согласованные условия поставки: "&amp;Вводные!B15</f>
        <v>12.  Иные согласованные условия поставки: DDP</v>
      </c>
      <c r="C132" s="723"/>
      <c r="D132" s="723"/>
      <c r="E132" s="723"/>
      <c r="F132" s="723"/>
      <c r="G132" s="568"/>
    </row>
    <row r="133" spans="2:7" ht="28.5" customHeight="1" x14ac:dyDescent="0.25">
      <c r="B133" s="723" t="s">
        <v>430</v>
      </c>
      <c r="C133" s="723"/>
      <c r="D133" s="723"/>
      <c r="E133" s="723"/>
      <c r="F133" s="723"/>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6" t="str">
        <f>Вводные!B32</f>
        <v>PROFORMA INVOICE</v>
      </c>
      <c r="C1" s="726"/>
      <c r="D1" s="726"/>
      <c r="E1" s="726"/>
      <c r="F1" s="726"/>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7" t="str">
        <f>B7</f>
        <v>Limited Liability Company Rad Resurs</v>
      </c>
      <c r="F7" s="727"/>
    </row>
    <row r="8" spans="2:10" x14ac:dyDescent="0.25">
      <c r="B8" s="576" t="str">
        <f>_xlfn.XLOOKUP($B$7,helpsheet!$AC:$AC,helpsheet!$AD:$AD,0,0)</f>
        <v>Adress: 111675, Moscow, municipal district Kosino-Ukhtomsky, st. Tatyana Makarova, 1. 6, room 2/1</v>
      </c>
      <c r="C8" s="577"/>
      <c r="D8" s="577"/>
      <c r="E8" s="727" t="str">
        <f>B8</f>
        <v>Adress: 111675, Moscow, municipal district Kosino-Ukhtomsky, st. Tatyana Makarova, 1. 6, room 2/1</v>
      </c>
      <c r="F8" s="727"/>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EUR</v>
      </c>
      <c r="F13" s="529" t="str">
        <f>"Total price, "&amp;offer_currency</f>
        <v>Total price, EUR</v>
      </c>
      <c r="J13" s="554" t="s">
        <v>177</v>
      </c>
    </row>
    <row r="14" spans="2:10" ht="49.9" customHeight="1" thickBot="1" x14ac:dyDescent="0.3">
      <c r="B14" s="530" t="str">
        <f>'КП price'!E17</f>
        <v>CORE</v>
      </c>
      <c r="C14" s="530" t="str">
        <f>'КП price'!C17</f>
        <v>Komatsu</v>
      </c>
      <c r="D14" s="530">
        <f>'КП price'!I17</f>
        <v>1</v>
      </c>
      <c r="E14" s="531">
        <f>расчет!R16*(1+Вводные!$B$38)</f>
        <v>187.45739604635315</v>
      </c>
      <c r="F14" s="532">
        <f>INVOICE!$D14*INVOICE!$E14</f>
        <v>187.45739604635315</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154.06162464985997</v>
      </c>
      <c r="F15" s="533">
        <f>INVOICE!$D15*INVOICE!$E15</f>
        <v>154.06162464985997</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797.10144927536248</v>
      </c>
      <c r="F16" s="533">
        <f>INVOICE!$D16*INVOICE!$E16</f>
        <v>797.10144927536248</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154.06162464985997</v>
      </c>
      <c r="F17" s="533">
        <f>INVOICE!$D17*INVOICE!$E17</f>
        <v>154.06162464985997</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10.076582023377672</v>
      </c>
      <c r="F18" s="533">
        <f>INVOICE!$D18*INVOICE!$E18</f>
        <v>10.076582023377672</v>
      </c>
      <c r="J18" s="542" t="str">
        <f t="shared" si="0"/>
        <v>показать</v>
      </c>
    </row>
    <row r="19" spans="2:10" ht="49.9" hidden="1" customHeight="1" x14ac:dyDescent="0.25">
      <c r="B19" s="487">
        <f>'КП price'!E22</f>
        <v>0</v>
      </c>
      <c r="C19" s="487">
        <f>'КП price'!C22</f>
        <v>0</v>
      </c>
      <c r="D19" s="487">
        <f>'КП price'!I22</f>
        <v>0</v>
      </c>
      <c r="E19" s="531">
        <f>IFERROR(расчет!R21*(1+Вводные!$B$38),0)</f>
        <v>0</v>
      </c>
      <c r="F19" s="533">
        <f>INVOICE!$D19*INVOICE!$E19</f>
        <v>0</v>
      </c>
      <c r="J19" s="542" t="str">
        <f t="shared" si="0"/>
        <v>скрыть</v>
      </c>
    </row>
    <row r="20" spans="2:10" ht="49.9" hidden="1" customHeight="1" x14ac:dyDescent="0.25">
      <c r="B20" s="487">
        <f>'КП price'!E23</f>
        <v>0</v>
      </c>
      <c r="C20" s="487">
        <f>'КП price'!C23</f>
        <v>0</v>
      </c>
      <c r="D20" s="487">
        <f>'КП price'!I23</f>
        <v>0</v>
      </c>
      <c r="E20" s="531">
        <f>IFERROR(расчет!R22*(1+Вводные!$B$38),0)</f>
        <v>0</v>
      </c>
      <c r="F20" s="533">
        <f>INVOICE!$D20*INVOICE!$E20</f>
        <v>0</v>
      </c>
      <c r="J20" s="542" t="str">
        <f t="shared" si="0"/>
        <v>скрыть</v>
      </c>
    </row>
    <row r="21" spans="2:10" ht="49.9" hidden="1" customHeight="1" x14ac:dyDescent="0.25">
      <c r="B21" s="487">
        <f>'КП price'!E24</f>
        <v>0</v>
      </c>
      <c r="C21" s="487">
        <f>'КП price'!C24</f>
        <v>0</v>
      </c>
      <c r="D21" s="487">
        <f>'КП price'!I24</f>
        <v>0</v>
      </c>
      <c r="E21" s="531">
        <f>IFERROR(расчет!R23*(1+Вводные!$B$38),0)</f>
        <v>0</v>
      </c>
      <c r="F21" s="533">
        <f>INVOICE!$D21*INVOICE!$E21</f>
        <v>0</v>
      </c>
      <c r="J21" s="542" t="str">
        <f t="shared" si="0"/>
        <v>скрыть</v>
      </c>
    </row>
    <row r="22" spans="2:10" ht="49.9" hidden="1" customHeight="1" x14ac:dyDescent="0.25">
      <c r="B22" s="487">
        <f>'КП price'!E25</f>
        <v>0</v>
      </c>
      <c r="C22" s="487">
        <f>'КП price'!C25</f>
        <v>0</v>
      </c>
      <c r="D22" s="487">
        <f>'КП price'!I25</f>
        <v>0</v>
      </c>
      <c r="E22" s="531">
        <f>IFERROR(расчет!R24*(1+Вводные!$B$38),0)</f>
        <v>0</v>
      </c>
      <c r="F22" s="533">
        <f>INVOICE!$D22*INVOICE!$E22</f>
        <v>0</v>
      </c>
      <c r="J22" s="542" t="str">
        <f t="shared" si="0"/>
        <v>скрыть</v>
      </c>
    </row>
    <row r="23" spans="2:10" ht="49.9" hidden="1" customHeight="1" x14ac:dyDescent="0.25">
      <c r="B23" s="487">
        <f>'КП price'!E26</f>
        <v>0</v>
      </c>
      <c r="C23" s="487">
        <f>'КП price'!C26</f>
        <v>0</v>
      </c>
      <c r="D23" s="487">
        <f>'КП price'!I26</f>
        <v>0</v>
      </c>
      <c r="E23" s="531">
        <f>IFERROR(расчет!R25*(1+Вводные!$B$38),0)</f>
        <v>0</v>
      </c>
      <c r="F23" s="533">
        <f>INVOICE!$D23*INVOICE!$E23</f>
        <v>0</v>
      </c>
      <c r="J23" s="542" t="str">
        <f t="shared" si="0"/>
        <v>скрыть</v>
      </c>
    </row>
    <row r="24" spans="2:10" ht="49.9" hidden="1" customHeight="1" x14ac:dyDescent="0.25">
      <c r="B24" s="487">
        <f>'КП price'!E27</f>
        <v>0</v>
      </c>
      <c r="C24" s="487">
        <f>'КП price'!C27</f>
        <v>0</v>
      </c>
      <c r="D24" s="487">
        <f>'КП price'!I27</f>
        <v>0</v>
      </c>
      <c r="E24" s="531">
        <f>IFERROR(расчет!R26*(1+Вводные!$B$38),0)</f>
        <v>0</v>
      </c>
      <c r="F24" s="533">
        <f>INVOICE!$D24*INVOICE!$E24</f>
        <v>0</v>
      </c>
      <c r="J24" s="542" t="str">
        <f t="shared" si="0"/>
        <v>скрыть</v>
      </c>
    </row>
    <row r="25" spans="2:10" ht="49.9" hidden="1" customHeight="1" x14ac:dyDescent="0.25">
      <c r="B25" s="487">
        <f>'КП price'!E28</f>
        <v>0</v>
      </c>
      <c r="C25" s="487">
        <f>'КП price'!C28</f>
        <v>0</v>
      </c>
      <c r="D25" s="487">
        <f>'КП price'!I28</f>
        <v>0</v>
      </c>
      <c r="E25" s="531">
        <f>IFERROR(расчет!R27*(1+Вводные!$B$38),0)</f>
        <v>0</v>
      </c>
      <c r="F25" s="533">
        <f>INVOICE!$D25*INVOICE!$E25</f>
        <v>0</v>
      </c>
      <c r="J25" s="542" t="str">
        <f t="shared" si="0"/>
        <v>скрыть</v>
      </c>
    </row>
    <row r="26" spans="2:10" ht="49.9" hidden="1" customHeight="1" x14ac:dyDescent="0.25">
      <c r="B26" s="487">
        <f>'КП price'!E29</f>
        <v>0</v>
      </c>
      <c r="C26" s="487">
        <f>'КП price'!C29</f>
        <v>0</v>
      </c>
      <c r="D26" s="487">
        <f>'КП price'!I29</f>
        <v>0</v>
      </c>
      <c r="E26" s="531">
        <f>IFERROR(расчет!R28*(1+Вводные!$B$38),0)</f>
        <v>0</v>
      </c>
      <c r="F26" s="533">
        <f>INVOICE!$D26*INVOICE!$E26</f>
        <v>0</v>
      </c>
      <c r="J26" s="542" t="str">
        <f t="shared" si="0"/>
        <v>скрыть</v>
      </c>
    </row>
    <row r="27" spans="2:10" ht="49.9" hidden="1" customHeight="1" x14ac:dyDescent="0.25">
      <c r="B27" s="487">
        <f>'КП price'!E30</f>
        <v>0</v>
      </c>
      <c r="C27" s="487">
        <f>'КП price'!C30</f>
        <v>0</v>
      </c>
      <c r="D27" s="487">
        <f>'КП price'!I30</f>
        <v>0</v>
      </c>
      <c r="E27" s="531">
        <f>IFERROR(расчет!R29*(1+Вводные!$B$38),0)</f>
        <v>0</v>
      </c>
      <c r="F27" s="533">
        <f>INVOICE!$D27*INVOICE!$E27</f>
        <v>0</v>
      </c>
      <c r="J27" s="542" t="str">
        <f t="shared" si="0"/>
        <v>скрыть</v>
      </c>
    </row>
    <row r="28" spans="2:10" ht="49.9" hidden="1" customHeight="1" x14ac:dyDescent="0.25">
      <c r="B28" s="487">
        <f>'КП price'!E31</f>
        <v>0</v>
      </c>
      <c r="C28" s="487">
        <f>'КП price'!C31</f>
        <v>0</v>
      </c>
      <c r="D28" s="487">
        <f>'КП price'!I31</f>
        <v>0</v>
      </c>
      <c r="E28" s="531">
        <f>IFERROR(расчет!R30*(1+Вводные!$B$38),0)</f>
        <v>0</v>
      </c>
      <c r="F28" s="533">
        <f>INVOICE!$D28*INVOICE!$E28</f>
        <v>0</v>
      </c>
      <c r="J28" s="542" t="str">
        <f t="shared" si="0"/>
        <v>скрыть</v>
      </c>
    </row>
    <row r="29" spans="2:10" ht="49.9" hidden="1" customHeight="1" x14ac:dyDescent="0.25">
      <c r="B29" s="487">
        <f>'КП price'!E32</f>
        <v>0</v>
      </c>
      <c r="C29" s="487">
        <f>'КП price'!C32</f>
        <v>0</v>
      </c>
      <c r="D29" s="487">
        <f>'КП price'!I32</f>
        <v>0</v>
      </c>
      <c r="E29" s="531">
        <f>IFERROR(расчет!R31*(1+Вводные!$B$38),0)</f>
        <v>0</v>
      </c>
      <c r="F29" s="533">
        <f>INVOICE!$D29*INVOICE!$E29</f>
        <v>0</v>
      </c>
      <c r="J29" s="542" t="str">
        <f t="shared" si="0"/>
        <v>скрыть</v>
      </c>
    </row>
    <row r="30" spans="2:10" ht="49.9" hidden="1" customHeight="1" x14ac:dyDescent="0.25">
      <c r="B30" s="487">
        <f>'КП price'!E33</f>
        <v>0</v>
      </c>
      <c r="C30" s="487">
        <f>'КП price'!C33</f>
        <v>0</v>
      </c>
      <c r="D30" s="487">
        <f>'КП price'!I33</f>
        <v>0</v>
      </c>
      <c r="E30" s="531">
        <f>IFERROR(расчет!R32*(1+Вводные!$B$38),0)</f>
        <v>0</v>
      </c>
      <c r="F30" s="533">
        <f>INVOICE!$D30*INVOICE!$E30</f>
        <v>0</v>
      </c>
      <c r="J30" s="542" t="str">
        <f t="shared" si="0"/>
        <v>скрыть</v>
      </c>
    </row>
    <row r="31" spans="2:10" ht="49.9" hidden="1" customHeight="1" x14ac:dyDescent="0.25">
      <c r="B31" s="487">
        <f>'КП price'!E34</f>
        <v>0</v>
      </c>
      <c r="C31" s="487">
        <f>'КП price'!C34</f>
        <v>0</v>
      </c>
      <c r="D31" s="487">
        <f>'КП price'!I34</f>
        <v>0</v>
      </c>
      <c r="E31" s="531">
        <f>IFERROR(расчет!R33*(1+Вводные!$B$38),0)</f>
        <v>0</v>
      </c>
      <c r="F31" s="533">
        <f>INVOICE!$D31*INVOICE!$E31</f>
        <v>0</v>
      </c>
      <c r="J31" s="542" t="str">
        <f t="shared" si="0"/>
        <v>скрыть</v>
      </c>
    </row>
    <row r="32" spans="2:10" ht="49.9" hidden="1" customHeight="1" x14ac:dyDescent="0.25">
      <c r="B32" s="487">
        <f>'КП price'!E35</f>
        <v>0</v>
      </c>
      <c r="C32" s="487">
        <f>'КП price'!C35</f>
        <v>0</v>
      </c>
      <c r="D32" s="487">
        <f>'КП price'!I35</f>
        <v>0</v>
      </c>
      <c r="E32" s="531">
        <f>IFERROR(расчет!R34*(1+Вводные!$B$38),0)</f>
        <v>0</v>
      </c>
      <c r="F32" s="533">
        <f>INVOICE!$D32*INVOICE!$E32</f>
        <v>0</v>
      </c>
      <c r="J32" s="542" t="str">
        <f t="shared" si="0"/>
        <v>скрыть</v>
      </c>
    </row>
    <row r="33" spans="2:10" ht="49.9" hidden="1" customHeight="1" x14ac:dyDescent="0.25">
      <c r="B33" s="487">
        <f>'КП price'!E36</f>
        <v>0</v>
      </c>
      <c r="C33" s="487">
        <f>'КП price'!C36</f>
        <v>0</v>
      </c>
      <c r="D33" s="487">
        <f>'КП price'!I36</f>
        <v>0</v>
      </c>
      <c r="E33" s="531">
        <f>IFERROR(расчет!R35*(1+Вводные!$B$38),0)</f>
        <v>0</v>
      </c>
      <c r="F33" s="533">
        <f>INVOICE!$D33*INVOICE!$E33</f>
        <v>0</v>
      </c>
      <c r="J33" s="542" t="str">
        <f t="shared" si="0"/>
        <v>скрыть</v>
      </c>
    </row>
    <row r="34" spans="2:10" ht="49.9" hidden="1" customHeight="1" x14ac:dyDescent="0.25">
      <c r="B34" s="487">
        <f>'КП price'!E37</f>
        <v>0</v>
      </c>
      <c r="C34" s="487">
        <f>'КП price'!C37</f>
        <v>0</v>
      </c>
      <c r="D34" s="487">
        <f>'КП price'!I37</f>
        <v>0</v>
      </c>
      <c r="E34" s="531">
        <f>IFERROR(расчет!R36*(1+Вводные!$B$38),0)</f>
        <v>0</v>
      </c>
      <c r="F34" s="533">
        <f>INVOICE!$D34*INVOICE!$E34</f>
        <v>0</v>
      </c>
      <c r="J34" s="542" t="str">
        <f t="shared" si="0"/>
        <v>скрыть</v>
      </c>
    </row>
    <row r="35" spans="2:10" ht="49.9" hidden="1" customHeight="1" x14ac:dyDescent="0.25">
      <c r="B35" s="487">
        <f>'КП price'!E38</f>
        <v>0</v>
      </c>
      <c r="C35" s="487">
        <f>'КП price'!C38</f>
        <v>0</v>
      </c>
      <c r="D35" s="487">
        <f>'КП price'!I38</f>
        <v>0</v>
      </c>
      <c r="E35" s="531">
        <f>IFERROR(расчет!R37*(1+Вводные!$B$38),0)</f>
        <v>0</v>
      </c>
      <c r="F35" s="533">
        <f>INVOICE!$D35*INVOICE!$E35</f>
        <v>0</v>
      </c>
      <c r="J35" s="542" t="str">
        <f t="shared" si="0"/>
        <v>скрыть</v>
      </c>
    </row>
    <row r="36" spans="2:10" ht="49.9" hidden="1" customHeight="1" x14ac:dyDescent="0.25">
      <c r="B36" s="487">
        <f>'КП price'!E39</f>
        <v>0</v>
      </c>
      <c r="C36" s="487">
        <f>'КП price'!C39</f>
        <v>0</v>
      </c>
      <c r="D36" s="487">
        <f>'КП price'!I39</f>
        <v>0</v>
      </c>
      <c r="E36" s="531">
        <f>IFERROR(расчет!R38*(1+Вводные!$B$38),0)</f>
        <v>0</v>
      </c>
      <c r="F36" s="533">
        <f>INVOICE!$D36*INVOICE!$E36</f>
        <v>0</v>
      </c>
      <c r="J36" s="542" t="str">
        <f t="shared" si="0"/>
        <v>скрыть</v>
      </c>
    </row>
    <row r="37" spans="2:10" ht="49.9" hidden="1" customHeight="1" x14ac:dyDescent="0.25">
      <c r="B37" s="487">
        <f>'КП price'!E40</f>
        <v>0</v>
      </c>
      <c r="C37" s="487">
        <f>'КП price'!C40</f>
        <v>0</v>
      </c>
      <c r="D37" s="487">
        <f>'КП price'!I40</f>
        <v>0</v>
      </c>
      <c r="E37" s="531">
        <f>IFERROR(расчет!R39*(1+Вводные!$B$38),0)</f>
        <v>0</v>
      </c>
      <c r="F37" s="533">
        <f>INVOICE!$D37*INVOICE!$E37</f>
        <v>0</v>
      </c>
      <c r="J37" s="542" t="str">
        <f t="shared" si="0"/>
        <v>скрыть</v>
      </c>
    </row>
    <row r="38" spans="2:10" ht="49.9" hidden="1" customHeight="1" x14ac:dyDescent="0.25">
      <c r="B38" s="487">
        <f>'КП price'!E41</f>
        <v>0</v>
      </c>
      <c r="C38" s="487">
        <f>'КП price'!C41</f>
        <v>0</v>
      </c>
      <c r="D38" s="487">
        <f>'КП price'!I41</f>
        <v>0</v>
      </c>
      <c r="E38" s="531">
        <f>IFERROR(расчет!R40*(1+Вводные!$B$38),0)</f>
        <v>0</v>
      </c>
      <c r="F38" s="533">
        <f>INVOICE!$D38*INVOICE!$E38</f>
        <v>0</v>
      </c>
      <c r="J38" s="542" t="str">
        <f t="shared" si="0"/>
        <v>скрыть</v>
      </c>
    </row>
    <row r="39" spans="2:10" ht="49.9" hidden="1" customHeight="1" x14ac:dyDescent="0.25">
      <c r="B39" s="487">
        <f>'КП price'!E42</f>
        <v>0</v>
      </c>
      <c r="C39" s="487">
        <f>'КП price'!C42</f>
        <v>0</v>
      </c>
      <c r="D39" s="487">
        <f>'КП price'!I42</f>
        <v>0</v>
      </c>
      <c r="E39" s="531">
        <f>IFERROR(расчет!R41*(1+Вводные!$B$38),0)</f>
        <v>0</v>
      </c>
      <c r="F39" s="533">
        <f>INVOICE!$D39*INVOICE!$E39</f>
        <v>0</v>
      </c>
      <c r="J39" s="542" t="str">
        <f t="shared" si="0"/>
        <v>скрыть</v>
      </c>
    </row>
    <row r="40" spans="2:10" ht="49.9" hidden="1" customHeight="1" x14ac:dyDescent="0.25">
      <c r="B40" s="487">
        <f>'КП price'!E43</f>
        <v>0</v>
      </c>
      <c r="C40" s="487">
        <f>'КП price'!C43</f>
        <v>0</v>
      </c>
      <c r="D40" s="487">
        <f>'КП price'!I43</f>
        <v>0</v>
      </c>
      <c r="E40" s="531">
        <f>IFERROR(расчет!R42*(1+Вводные!$B$38),0)</f>
        <v>0</v>
      </c>
      <c r="F40" s="533">
        <f>INVOICE!$D40*INVOICE!$E40</f>
        <v>0</v>
      </c>
      <c r="J40" s="542" t="str">
        <f t="shared" si="0"/>
        <v>скрыть</v>
      </c>
    </row>
    <row r="41" spans="2:10" ht="49.9" hidden="1" customHeight="1" x14ac:dyDescent="0.25">
      <c r="B41" s="487">
        <f>'КП price'!E44</f>
        <v>0</v>
      </c>
      <c r="C41" s="487">
        <f>'КП price'!C44</f>
        <v>0</v>
      </c>
      <c r="D41" s="487">
        <f>'КП price'!I44</f>
        <v>0</v>
      </c>
      <c r="E41" s="531">
        <f>IFERROR(расчет!R43*(1+Вводные!$B$38),0)</f>
        <v>0</v>
      </c>
      <c r="F41" s="533">
        <f>INVOICE!$D41*INVOICE!$E41</f>
        <v>0</v>
      </c>
      <c r="J41" s="542" t="str">
        <f t="shared" si="0"/>
        <v>скрыть</v>
      </c>
    </row>
    <row r="42" spans="2:10" ht="49.9" hidden="1" customHeight="1" x14ac:dyDescent="0.25">
      <c r="B42" s="487">
        <f>'КП price'!E45</f>
        <v>0</v>
      </c>
      <c r="C42" s="487">
        <f>'КП price'!C45</f>
        <v>0</v>
      </c>
      <c r="D42" s="487">
        <f>'КП price'!I45</f>
        <v>0</v>
      </c>
      <c r="E42" s="531">
        <f>IFERROR(расчет!R44*(1+Вводные!$B$38),0)</f>
        <v>0</v>
      </c>
      <c r="F42" s="533">
        <f>INVOICE!$D42*INVOICE!$E42</f>
        <v>0</v>
      </c>
      <c r="J42" s="542" t="str">
        <f t="shared" si="0"/>
        <v>скрыть</v>
      </c>
    </row>
    <row r="43" spans="2:10" ht="49.9" hidden="1" customHeight="1" x14ac:dyDescent="0.25">
      <c r="B43" s="487">
        <f>'КП price'!E46</f>
        <v>0</v>
      </c>
      <c r="C43" s="487">
        <f>'КП price'!C46</f>
        <v>0</v>
      </c>
      <c r="D43" s="487">
        <f>'КП price'!I46</f>
        <v>0</v>
      </c>
      <c r="E43" s="531">
        <f>IFERROR(расчет!R45*(1+Вводные!$B$38),0)</f>
        <v>0</v>
      </c>
      <c r="F43" s="533">
        <f>INVOICE!$D43*INVOICE!$E43</f>
        <v>0</v>
      </c>
      <c r="J43" s="542" t="str">
        <f t="shared" si="0"/>
        <v>скрыть</v>
      </c>
    </row>
    <row r="44" spans="2:10" ht="49.9" hidden="1" customHeight="1" x14ac:dyDescent="0.25">
      <c r="B44" s="487">
        <f>'КП price'!E47</f>
        <v>0</v>
      </c>
      <c r="C44" s="487">
        <f>'КП price'!C47</f>
        <v>0</v>
      </c>
      <c r="D44" s="487">
        <f>'КП price'!I47</f>
        <v>0</v>
      </c>
      <c r="E44" s="531">
        <f>IFERROR(расчет!R46*(1+Вводные!$B$38),0)</f>
        <v>0</v>
      </c>
      <c r="F44" s="533">
        <f>INVOICE!$D44*INVOICE!$E44</f>
        <v>0</v>
      </c>
      <c r="J44" s="542" t="str">
        <f t="shared" si="0"/>
        <v>скрыть</v>
      </c>
    </row>
    <row r="45" spans="2:10" ht="49.9" hidden="1" customHeight="1" x14ac:dyDescent="0.25">
      <c r="B45" s="487">
        <f>'КП price'!E48</f>
        <v>0</v>
      </c>
      <c r="C45" s="487">
        <f>'КП price'!C48</f>
        <v>0</v>
      </c>
      <c r="D45" s="487">
        <f>'КП price'!I48</f>
        <v>0</v>
      </c>
      <c r="E45" s="531">
        <f>IFERROR(расчет!R47*(1+Вводные!$B$38),0)</f>
        <v>0</v>
      </c>
      <c r="F45" s="533">
        <f>INVOICE!$D45*INVOICE!$E45</f>
        <v>0</v>
      </c>
      <c r="J45" s="542" t="str">
        <f t="shared" si="0"/>
        <v>скрыть</v>
      </c>
    </row>
    <row r="46" spans="2:10" ht="49.9" hidden="1" customHeight="1" x14ac:dyDescent="0.25">
      <c r="B46" s="487">
        <f>'КП price'!E49</f>
        <v>0</v>
      </c>
      <c r="C46" s="487">
        <f>'КП price'!C49</f>
        <v>0</v>
      </c>
      <c r="D46" s="487">
        <f>'КП price'!I49</f>
        <v>0</v>
      </c>
      <c r="E46" s="531">
        <f>IFERROR(расчет!R48*(1+Вводные!$B$38),0)</f>
        <v>0</v>
      </c>
      <c r="F46" s="533">
        <f>INVOICE!$D46*INVOICE!$E46</f>
        <v>0</v>
      </c>
      <c r="J46" s="542" t="str">
        <f t="shared" si="0"/>
        <v>скрыть</v>
      </c>
    </row>
    <row r="47" spans="2:10" ht="49.9" hidden="1" customHeight="1" x14ac:dyDescent="0.25">
      <c r="B47" s="487">
        <f>'КП price'!E50</f>
        <v>0</v>
      </c>
      <c r="C47" s="487">
        <f>'КП price'!C50</f>
        <v>0</v>
      </c>
      <c r="D47" s="487">
        <f>'КП price'!I50</f>
        <v>0</v>
      </c>
      <c r="E47" s="531">
        <f>IFERROR(расчет!R49*(1+Вводные!$B$38),0)</f>
        <v>0</v>
      </c>
      <c r="F47" s="533">
        <f>INVOICE!$D47*INVOICE!$E47</f>
        <v>0</v>
      </c>
      <c r="J47" s="542" t="str">
        <f t="shared" si="0"/>
        <v>скрыть</v>
      </c>
    </row>
    <row r="48" spans="2:10" ht="49.9" hidden="1" customHeight="1" x14ac:dyDescent="0.25">
      <c r="B48" s="487">
        <f>'КП price'!E51</f>
        <v>0</v>
      </c>
      <c r="C48" s="487">
        <f>'КП price'!C51</f>
        <v>0</v>
      </c>
      <c r="D48" s="487">
        <f>'КП price'!I51</f>
        <v>0</v>
      </c>
      <c r="E48" s="531">
        <f>IFERROR(расчет!R50*(1+Вводные!$B$38),0)</f>
        <v>0</v>
      </c>
      <c r="F48" s="533">
        <f>INVOICE!$D48*INVOICE!$E48</f>
        <v>0</v>
      </c>
      <c r="J48" s="542" t="str">
        <f t="shared" si="0"/>
        <v>скрыть</v>
      </c>
    </row>
    <row r="49" spans="2:10" ht="49.9" hidden="1" customHeight="1" x14ac:dyDescent="0.25">
      <c r="B49" s="487">
        <f>'КП price'!E52</f>
        <v>0</v>
      </c>
      <c r="C49" s="487">
        <f>'КП price'!C52</f>
        <v>0</v>
      </c>
      <c r="D49" s="487">
        <f>'КП price'!I52</f>
        <v>0</v>
      </c>
      <c r="E49" s="531">
        <f>IFERROR(расчет!R51*(1+Вводные!$B$38),0)</f>
        <v>0</v>
      </c>
      <c r="F49" s="533">
        <f>INVOICE!$D49*INVOICE!$E49</f>
        <v>0</v>
      </c>
      <c r="J49" s="542" t="str">
        <f t="shared" si="0"/>
        <v>скрыть</v>
      </c>
    </row>
    <row r="50" spans="2:10" ht="49.9" hidden="1" customHeight="1" x14ac:dyDescent="0.25">
      <c r="B50" s="487">
        <f>'КП price'!E53</f>
        <v>0</v>
      </c>
      <c r="C50" s="487">
        <f>'КП price'!C53</f>
        <v>0</v>
      </c>
      <c r="D50" s="487">
        <f>'КП price'!I53</f>
        <v>0</v>
      </c>
      <c r="E50" s="531">
        <f>IFERROR(расчет!R52*(1+Вводные!$B$38),0)</f>
        <v>0</v>
      </c>
      <c r="F50" s="533">
        <f>INVOICE!$D50*INVOICE!$E50</f>
        <v>0</v>
      </c>
      <c r="J50" s="542" t="str">
        <f t="shared" si="0"/>
        <v>скрыть</v>
      </c>
    </row>
    <row r="51" spans="2:10" ht="49.9" hidden="1" customHeight="1" x14ac:dyDescent="0.25">
      <c r="B51" s="487">
        <f>'КП price'!E54</f>
        <v>0</v>
      </c>
      <c r="C51" s="487">
        <f>'КП price'!C54</f>
        <v>0</v>
      </c>
      <c r="D51" s="487">
        <f>'КП price'!I54</f>
        <v>0</v>
      </c>
      <c r="E51" s="531">
        <f>IFERROR(расчет!R53*(1+Вводные!$B$38),0)</f>
        <v>0</v>
      </c>
      <c r="F51" s="533">
        <f>INVOICE!$D51*INVOICE!$E51</f>
        <v>0</v>
      </c>
      <c r="J51" s="542" t="str">
        <f t="shared" si="0"/>
        <v>скрыть</v>
      </c>
    </row>
    <row r="52" spans="2:10" ht="49.9" hidden="1" customHeight="1" x14ac:dyDescent="0.25">
      <c r="B52" s="487">
        <f>'КП price'!E55</f>
        <v>0</v>
      </c>
      <c r="C52" s="487">
        <f>'КП price'!C55</f>
        <v>0</v>
      </c>
      <c r="D52" s="487">
        <f>'КП price'!I55</f>
        <v>0</v>
      </c>
      <c r="E52" s="531">
        <f>IFERROR(расчет!R54*(1+Вводные!$B$38),0)</f>
        <v>0</v>
      </c>
      <c r="F52" s="533">
        <f>INVOICE!$D52*INVOICE!$E52</f>
        <v>0</v>
      </c>
      <c r="J52" s="542" t="str">
        <f t="shared" si="0"/>
        <v>скрыть</v>
      </c>
    </row>
    <row r="53" spans="2:10" ht="49.9" hidden="1" customHeight="1" x14ac:dyDescent="0.25">
      <c r="B53" s="487">
        <f>'КП price'!E56</f>
        <v>0</v>
      </c>
      <c r="C53" s="487">
        <f>'КП price'!C56</f>
        <v>0</v>
      </c>
      <c r="D53" s="487">
        <f>'КП price'!I56</f>
        <v>0</v>
      </c>
      <c r="E53" s="531">
        <f>IFERROR(расчет!R55*(1+Вводные!$B$38),0)</f>
        <v>0</v>
      </c>
      <c r="F53" s="533">
        <f>INVOICE!$D53*INVOICE!$E53</f>
        <v>0</v>
      </c>
      <c r="J53" s="542" t="str">
        <f t="shared" si="0"/>
        <v>скрыть</v>
      </c>
    </row>
    <row r="54" spans="2:10" ht="49.9" hidden="1" customHeight="1" x14ac:dyDescent="0.25">
      <c r="B54" s="487">
        <f>'КП price'!E57</f>
        <v>0</v>
      </c>
      <c r="C54" s="487">
        <f>'КП price'!C57</f>
        <v>0</v>
      </c>
      <c r="D54" s="487">
        <f>'КП price'!I57</f>
        <v>0</v>
      </c>
      <c r="E54" s="531">
        <f>IFERROR(расчет!R56*(1+Вводные!$B$38),0)</f>
        <v>0</v>
      </c>
      <c r="F54" s="533">
        <f>INVOICE!$D54*INVOICE!$E54</f>
        <v>0</v>
      </c>
      <c r="J54" s="542" t="str">
        <f t="shared" si="0"/>
        <v>скрыть</v>
      </c>
    </row>
    <row r="55" spans="2:10" ht="49.9" hidden="1" customHeight="1" x14ac:dyDescent="0.25">
      <c r="B55" s="487">
        <f>'КП price'!E58</f>
        <v>0</v>
      </c>
      <c r="C55" s="487">
        <f>'КП price'!C58</f>
        <v>0</v>
      </c>
      <c r="D55" s="487">
        <f>'КП price'!I58</f>
        <v>0</v>
      </c>
      <c r="E55" s="531">
        <f>IFERROR(расчет!R57*(1+Вводные!$B$38),0)</f>
        <v>0</v>
      </c>
      <c r="F55" s="533">
        <f>INVOICE!$D55*INVOICE!$E55</f>
        <v>0</v>
      </c>
      <c r="J55" s="542" t="str">
        <f t="shared" si="0"/>
        <v>скрыть</v>
      </c>
    </row>
    <row r="56" spans="2:10" ht="49.9" hidden="1" customHeight="1" x14ac:dyDescent="0.25">
      <c r="B56" s="487">
        <f>'КП price'!E59</f>
        <v>0</v>
      </c>
      <c r="C56" s="487">
        <f>'КП price'!C59</f>
        <v>0</v>
      </c>
      <c r="D56" s="487">
        <f>'КП price'!I59</f>
        <v>0</v>
      </c>
      <c r="E56" s="531">
        <f>IFERROR(расчет!R58*(1+Вводные!$B$38),0)</f>
        <v>0</v>
      </c>
      <c r="F56" s="533">
        <f>INVOICE!$D56*INVOICE!$E56</f>
        <v>0</v>
      </c>
      <c r="J56" s="542" t="str">
        <f t="shared" si="0"/>
        <v>скрыть</v>
      </c>
    </row>
    <row r="57" spans="2:10" ht="49.9" hidden="1" customHeight="1" x14ac:dyDescent="0.25">
      <c r="B57" s="487">
        <f>'КП price'!E60</f>
        <v>0</v>
      </c>
      <c r="C57" s="487">
        <f>'КП price'!C60</f>
        <v>0</v>
      </c>
      <c r="D57" s="487">
        <f>'КП price'!I60</f>
        <v>0</v>
      </c>
      <c r="E57" s="531">
        <f>IFERROR(расчет!R59*(1+Вводные!$B$38),0)</f>
        <v>0</v>
      </c>
      <c r="F57" s="533">
        <f>INVOICE!$D57*INVOICE!$E57</f>
        <v>0</v>
      </c>
      <c r="J57" s="542" t="str">
        <f t="shared" si="0"/>
        <v>скрыть</v>
      </c>
    </row>
    <row r="58" spans="2:10" ht="49.9" hidden="1" customHeight="1" x14ac:dyDescent="0.25">
      <c r="B58" s="487">
        <f>'КП price'!E61</f>
        <v>0</v>
      </c>
      <c r="C58" s="487">
        <f>'КП price'!C61</f>
        <v>0</v>
      </c>
      <c r="D58" s="487">
        <f>'КП price'!I61</f>
        <v>0</v>
      </c>
      <c r="E58" s="531">
        <f>IFERROR(расчет!R60*(1+Вводные!$B$38),0)</f>
        <v>0</v>
      </c>
      <c r="F58" s="533">
        <f>INVOICE!$D58*INVOICE!$E58</f>
        <v>0</v>
      </c>
      <c r="J58" s="542" t="str">
        <f t="shared" si="0"/>
        <v>скрыть</v>
      </c>
    </row>
    <row r="59" spans="2:10" ht="49.9" hidden="1" customHeight="1" x14ac:dyDescent="0.25">
      <c r="B59" s="487">
        <f>'КП price'!E62</f>
        <v>0</v>
      </c>
      <c r="C59" s="487">
        <f>'КП price'!C62</f>
        <v>0</v>
      </c>
      <c r="D59" s="487">
        <f>'КП price'!I62</f>
        <v>0</v>
      </c>
      <c r="E59" s="531">
        <f>IFERROR(расчет!R61*(1+Вводные!$B$38),0)</f>
        <v>0</v>
      </c>
      <c r="F59" s="533">
        <f>INVOICE!$D59*INVOICE!$E59</f>
        <v>0</v>
      </c>
      <c r="J59" s="542" t="str">
        <f t="shared" si="0"/>
        <v>скрыть</v>
      </c>
    </row>
    <row r="60" spans="2:10" ht="49.9" hidden="1" customHeight="1" x14ac:dyDescent="0.25">
      <c r="B60" s="487">
        <f>'КП price'!E63</f>
        <v>0</v>
      </c>
      <c r="C60" s="487">
        <f>'КП price'!C63</f>
        <v>0</v>
      </c>
      <c r="D60" s="487">
        <f>'КП price'!I63</f>
        <v>0</v>
      </c>
      <c r="E60" s="531">
        <f>IFERROR(расчет!R62*(1+Вводные!$B$38),0)</f>
        <v>0</v>
      </c>
      <c r="F60" s="533">
        <f>INVOICE!$D60*INVOICE!$E60</f>
        <v>0</v>
      </c>
      <c r="J60" s="542" t="str">
        <f t="shared" si="0"/>
        <v>скрыть</v>
      </c>
    </row>
    <row r="61" spans="2:10" ht="49.9" hidden="1" customHeight="1" x14ac:dyDescent="0.25">
      <c r="B61" s="487">
        <f>'КП price'!E64</f>
        <v>0</v>
      </c>
      <c r="C61" s="487">
        <f>'КП price'!C64</f>
        <v>0</v>
      </c>
      <c r="D61" s="487">
        <f>'КП price'!I64</f>
        <v>0</v>
      </c>
      <c r="E61" s="531">
        <f>IFERROR(расчет!R63*(1+Вводные!$B$38),0)</f>
        <v>0</v>
      </c>
      <c r="F61" s="533">
        <f>INVOICE!$D61*INVOICE!$E61</f>
        <v>0</v>
      </c>
      <c r="J61" s="542" t="str">
        <f t="shared" si="0"/>
        <v>скрыть</v>
      </c>
    </row>
    <row r="62" spans="2:10" ht="49.9" hidden="1" customHeight="1" x14ac:dyDescent="0.25">
      <c r="B62" s="487">
        <f>'КП price'!E65</f>
        <v>0</v>
      </c>
      <c r="C62" s="487">
        <f>'КП price'!C65</f>
        <v>0</v>
      </c>
      <c r="D62" s="487">
        <f>'КП price'!I65</f>
        <v>0</v>
      </c>
      <c r="E62" s="531">
        <f>IFERROR(расчет!R64*(1+Вводные!$B$38),0)</f>
        <v>0</v>
      </c>
      <c r="F62" s="533">
        <f>INVOICE!$D62*INVOICE!$E62</f>
        <v>0</v>
      </c>
      <c r="J62" s="542" t="str">
        <f t="shared" si="0"/>
        <v>скрыть</v>
      </c>
    </row>
    <row r="63" spans="2:10" ht="49.9" hidden="1" customHeight="1" x14ac:dyDescent="0.25">
      <c r="B63" s="487">
        <f>'КП price'!E66</f>
        <v>0</v>
      </c>
      <c r="C63" s="487">
        <f>'КП price'!C66</f>
        <v>0</v>
      </c>
      <c r="D63" s="487">
        <f>'КП price'!I66</f>
        <v>0</v>
      </c>
      <c r="E63" s="531">
        <f>IFERROR(расчет!R65*(1+Вводные!$B$38),0)</f>
        <v>0</v>
      </c>
      <c r="F63" s="533">
        <f>INVOICE!$D63*INVOICE!$E63</f>
        <v>0</v>
      </c>
      <c r="J63" s="542" t="str">
        <f t="shared" si="0"/>
        <v>скрыть</v>
      </c>
    </row>
    <row r="64" spans="2:10" ht="49.9" hidden="1" customHeight="1" x14ac:dyDescent="0.25">
      <c r="B64" s="487">
        <f>'КП price'!E67</f>
        <v>0</v>
      </c>
      <c r="C64" s="487">
        <f>'КП price'!C67</f>
        <v>0</v>
      </c>
      <c r="D64" s="487">
        <f>'КП price'!I67</f>
        <v>0</v>
      </c>
      <c r="E64" s="531">
        <f>IFERROR(расчет!R66*(1+Вводные!$B$38),0)</f>
        <v>0</v>
      </c>
      <c r="F64" s="533">
        <f>INVOICE!$D64*INVOICE!$E64</f>
        <v>0</v>
      </c>
      <c r="J64" s="542" t="str">
        <f t="shared" si="0"/>
        <v>скрыть</v>
      </c>
    </row>
    <row r="65" spans="2:10" ht="49.9" hidden="1" customHeight="1" x14ac:dyDescent="0.25">
      <c r="B65" s="487">
        <f>'КП price'!E68</f>
        <v>0</v>
      </c>
      <c r="C65" s="487">
        <f>'КП price'!C68</f>
        <v>0</v>
      </c>
      <c r="D65" s="487">
        <f>'КП price'!I68</f>
        <v>0</v>
      </c>
      <c r="E65" s="531">
        <f>IFERROR(расчет!R67*(1+Вводные!$B$38),0)</f>
        <v>0</v>
      </c>
      <c r="F65" s="533">
        <f>INVOICE!$D65*INVOICE!$E65</f>
        <v>0</v>
      </c>
      <c r="J65" s="542" t="str">
        <f t="shared" si="0"/>
        <v>скрыть</v>
      </c>
    </row>
    <row r="66" spans="2:10" ht="49.9" hidden="1" customHeight="1" x14ac:dyDescent="0.25">
      <c r="B66" s="487">
        <f>'КП price'!E69</f>
        <v>0</v>
      </c>
      <c r="C66" s="487">
        <f>'КП price'!C69</f>
        <v>0</v>
      </c>
      <c r="D66" s="487">
        <f>'КП price'!I69</f>
        <v>0</v>
      </c>
      <c r="E66" s="531">
        <f>IFERROR(расчет!R68*(1+Вводные!$B$38),0)</f>
        <v>0</v>
      </c>
      <c r="F66" s="533">
        <f>INVOICE!$D66*INVOICE!$E66</f>
        <v>0</v>
      </c>
      <c r="J66" s="542" t="str">
        <f t="shared" si="0"/>
        <v>скрыть</v>
      </c>
    </row>
    <row r="67" spans="2:10" ht="49.9" hidden="1" customHeight="1" x14ac:dyDescent="0.25">
      <c r="B67" s="487">
        <f>'КП price'!E70</f>
        <v>0</v>
      </c>
      <c r="C67" s="487">
        <f>'КП price'!C70</f>
        <v>0</v>
      </c>
      <c r="D67" s="487">
        <f>'КП price'!I70</f>
        <v>0</v>
      </c>
      <c r="E67" s="531">
        <f>IFERROR(расчет!R69*(1+Вводные!$B$38),0)</f>
        <v>0</v>
      </c>
      <c r="F67" s="533">
        <f>INVOICE!$D67*INVOICE!$E67</f>
        <v>0</v>
      </c>
      <c r="J67" s="542" t="str">
        <f t="shared" si="0"/>
        <v>скрыть</v>
      </c>
    </row>
    <row r="68" spans="2:10" ht="49.9" hidden="1" customHeight="1" x14ac:dyDescent="0.25">
      <c r="B68" s="487">
        <f>'КП price'!E71</f>
        <v>0</v>
      </c>
      <c r="C68" s="487">
        <f>'КП price'!C71</f>
        <v>0</v>
      </c>
      <c r="D68" s="487">
        <f>'КП price'!I71</f>
        <v>0</v>
      </c>
      <c r="E68" s="531">
        <f>IFERROR(расчет!R70*(1+Вводные!$B$38),0)</f>
        <v>0</v>
      </c>
      <c r="F68" s="533">
        <f>INVOICE!$D68*INVOICE!$E68</f>
        <v>0</v>
      </c>
      <c r="J68" s="542" t="str">
        <f t="shared" si="0"/>
        <v>скрыть</v>
      </c>
    </row>
    <row r="69" spans="2:10" ht="49.9" hidden="1" customHeight="1" x14ac:dyDescent="0.25">
      <c r="B69" s="487">
        <f>'КП price'!E72</f>
        <v>0</v>
      </c>
      <c r="C69" s="487">
        <f>'КП price'!C72</f>
        <v>0</v>
      </c>
      <c r="D69" s="487">
        <f>'КП price'!I72</f>
        <v>0</v>
      </c>
      <c r="E69" s="531">
        <f>IFERROR(расчет!R71*(1+Вводные!$B$38),0)</f>
        <v>0</v>
      </c>
      <c r="F69" s="533">
        <f>INVOICE!$D69*INVOICE!$E69</f>
        <v>0</v>
      </c>
      <c r="J69" s="542" t="str">
        <f t="shared" si="0"/>
        <v>скрыть</v>
      </c>
    </row>
    <row r="70" spans="2:10" ht="49.9" hidden="1" customHeight="1" x14ac:dyDescent="0.25">
      <c r="B70" s="487">
        <f>'КП price'!E73</f>
        <v>0</v>
      </c>
      <c r="C70" s="487">
        <f>'КП price'!C73</f>
        <v>0</v>
      </c>
      <c r="D70" s="487">
        <f>'КП price'!I73</f>
        <v>0</v>
      </c>
      <c r="E70" s="531">
        <f>IFERROR(расчет!R72*(1+Вводные!$B$38),0)</f>
        <v>0</v>
      </c>
      <c r="F70" s="533">
        <f>INVOICE!$D70*INVOICE!$E70</f>
        <v>0</v>
      </c>
      <c r="J70" s="542" t="str">
        <f t="shared" si="0"/>
        <v>скрыть</v>
      </c>
    </row>
    <row r="71" spans="2:10" ht="49.9" hidden="1" customHeight="1" x14ac:dyDescent="0.25">
      <c r="B71" s="487">
        <f>'КП price'!E74</f>
        <v>0</v>
      </c>
      <c r="C71" s="487">
        <f>'КП price'!C74</f>
        <v>0</v>
      </c>
      <c r="D71" s="487">
        <f>'КП price'!I74</f>
        <v>0</v>
      </c>
      <c r="E71" s="531">
        <f>IFERROR(расчет!R73*(1+Вводные!$B$38),0)</f>
        <v>0</v>
      </c>
      <c r="F71" s="533">
        <f>INVOICE!$D71*INVOICE!$E71</f>
        <v>0</v>
      </c>
      <c r="J71" s="542" t="str">
        <f t="shared" si="0"/>
        <v>скрыть</v>
      </c>
    </row>
    <row r="72" spans="2:10" ht="49.9" hidden="1" customHeight="1" x14ac:dyDescent="0.25">
      <c r="B72" s="487">
        <f>'КП price'!E75</f>
        <v>0</v>
      </c>
      <c r="C72" s="487">
        <f>'КП price'!C75</f>
        <v>0</v>
      </c>
      <c r="D72" s="487">
        <f>'КП price'!I75</f>
        <v>0</v>
      </c>
      <c r="E72" s="531">
        <f>IFERROR(расчет!R74*(1+Вводные!$B$38),0)</f>
        <v>0</v>
      </c>
      <c r="F72" s="533">
        <f>INVOICE!$D72*INVOICE!$E72</f>
        <v>0</v>
      </c>
      <c r="J72" s="542" t="str">
        <f t="shared" si="0"/>
        <v>скрыть</v>
      </c>
    </row>
    <row r="73" spans="2:10" ht="49.9" hidden="1" customHeight="1" x14ac:dyDescent="0.25">
      <c r="B73" s="487">
        <f>'КП price'!E76</f>
        <v>0</v>
      </c>
      <c r="C73" s="487">
        <f>'КП price'!C76</f>
        <v>0</v>
      </c>
      <c r="D73" s="487">
        <f>'КП price'!I76</f>
        <v>0</v>
      </c>
      <c r="E73" s="531">
        <f>IFERROR(расчет!R75*(1+Вводные!$B$38),0)</f>
        <v>0</v>
      </c>
      <c r="F73" s="533">
        <f>INVOICE!$D73*INVOICE!$E73</f>
        <v>0</v>
      </c>
      <c r="J73" s="542" t="str">
        <f t="shared" si="0"/>
        <v>скрыть</v>
      </c>
    </row>
    <row r="74" spans="2:10" ht="49.9" hidden="1" customHeight="1" x14ac:dyDescent="0.25">
      <c r="B74" s="487">
        <f>'КП price'!E77</f>
        <v>0</v>
      </c>
      <c r="C74" s="487">
        <f>'КП price'!C77</f>
        <v>0</v>
      </c>
      <c r="D74" s="487">
        <f>'КП price'!I77</f>
        <v>0</v>
      </c>
      <c r="E74" s="531">
        <f>IFERROR(расчет!R76*(1+Вводные!$B$38),0)</f>
        <v>0</v>
      </c>
      <c r="F74" s="533">
        <f>INVOICE!$D74*INVOICE!$E74</f>
        <v>0</v>
      </c>
      <c r="J74" s="542" t="str">
        <f t="shared" si="0"/>
        <v>скрыть</v>
      </c>
    </row>
    <row r="75" spans="2:10" ht="49.9" hidden="1" customHeight="1" x14ac:dyDescent="0.25">
      <c r="B75" s="487">
        <f>'КП price'!E78</f>
        <v>0</v>
      </c>
      <c r="C75" s="487">
        <f>'КП price'!C78</f>
        <v>0</v>
      </c>
      <c r="D75" s="487">
        <f>'КП price'!I78</f>
        <v>0</v>
      </c>
      <c r="E75" s="531">
        <f>IFERROR(расчет!R77*(1+Вводные!$B$38),0)</f>
        <v>0</v>
      </c>
      <c r="F75" s="533">
        <f>INVOICE!$D75*INVOICE!$E75</f>
        <v>0</v>
      </c>
      <c r="J75" s="542" t="str">
        <f t="shared" si="0"/>
        <v>скрыть</v>
      </c>
    </row>
    <row r="76" spans="2:10" ht="49.9" hidden="1" customHeight="1" x14ac:dyDescent="0.25">
      <c r="B76" s="487">
        <f>'КП price'!E79</f>
        <v>0</v>
      </c>
      <c r="C76" s="487">
        <f>'КП price'!C79</f>
        <v>0</v>
      </c>
      <c r="D76" s="487">
        <f>'КП price'!I79</f>
        <v>0</v>
      </c>
      <c r="E76" s="531">
        <f>IFERROR(расчет!R78*(1+Вводные!$B$38),0)</f>
        <v>0</v>
      </c>
      <c r="F76" s="533">
        <f>INVOICE!$D76*INVOICE!$E76</f>
        <v>0</v>
      </c>
      <c r="J76" s="542" t="str">
        <f t="shared" si="0"/>
        <v>скрыть</v>
      </c>
    </row>
    <row r="77" spans="2:10" ht="49.9" hidden="1" customHeight="1" x14ac:dyDescent="0.25">
      <c r="B77" s="487">
        <f>'КП price'!E80</f>
        <v>0</v>
      </c>
      <c r="C77" s="487">
        <f>'КП price'!C80</f>
        <v>0</v>
      </c>
      <c r="D77" s="487">
        <f>'КП price'!I80</f>
        <v>0</v>
      </c>
      <c r="E77" s="531">
        <f>IFERROR(расчет!R79*(1+Вводные!$B$38),0)</f>
        <v>0</v>
      </c>
      <c r="F77" s="533">
        <f>INVOICE!$D77*INVOICE!$E77</f>
        <v>0</v>
      </c>
      <c r="J77" s="542" t="str">
        <f t="shared" si="0"/>
        <v>скрыть</v>
      </c>
    </row>
    <row r="78" spans="2:10" ht="49.9" hidden="1" customHeight="1" x14ac:dyDescent="0.25">
      <c r="B78" s="487">
        <f>'КП price'!E81</f>
        <v>0</v>
      </c>
      <c r="C78" s="487">
        <f>'КП price'!C81</f>
        <v>0</v>
      </c>
      <c r="D78" s="487">
        <f>'КП price'!I81</f>
        <v>0</v>
      </c>
      <c r="E78" s="531">
        <f>IFERROR(расчет!R80*(1+Вводные!$B$38),0)</f>
        <v>0</v>
      </c>
      <c r="F78" s="533">
        <f>INVOICE!$D78*INVOICE!$E78</f>
        <v>0</v>
      </c>
      <c r="J78" s="542" t="str">
        <f t="shared" si="0"/>
        <v>скрыть</v>
      </c>
    </row>
    <row r="79" spans="2:10" ht="49.9" hidden="1" customHeight="1" x14ac:dyDescent="0.25">
      <c r="B79" s="487">
        <f>'КП price'!E82</f>
        <v>0</v>
      </c>
      <c r="C79" s="487">
        <f>'КП price'!C82</f>
        <v>0</v>
      </c>
      <c r="D79" s="487">
        <f>'КП price'!I82</f>
        <v>0</v>
      </c>
      <c r="E79" s="531">
        <f>IFERROR(расчет!R81*(1+Вводные!$B$38),0)</f>
        <v>0</v>
      </c>
      <c r="F79" s="533">
        <f>INVOICE!$D79*INVOICE!$E79</f>
        <v>0</v>
      </c>
      <c r="J79" s="542" t="str">
        <f t="shared" ref="J79:J106" si="1">IF(F79&gt;0,"показать","скрыть")</f>
        <v>скрыть</v>
      </c>
    </row>
    <row r="80" spans="2:10" ht="49.9" hidden="1" customHeight="1" x14ac:dyDescent="0.25">
      <c r="B80" s="487">
        <f>'КП price'!E83</f>
        <v>0</v>
      </c>
      <c r="C80" s="487">
        <f>'КП price'!C83</f>
        <v>0</v>
      </c>
      <c r="D80" s="487">
        <f>'КП price'!I83</f>
        <v>0</v>
      </c>
      <c r="E80" s="531">
        <f>IFERROR(расчет!R82*(1+Вводные!$B$38),0)</f>
        <v>0</v>
      </c>
      <c r="F80" s="533">
        <f>INVOICE!$D80*INVOICE!$E80</f>
        <v>0</v>
      </c>
      <c r="J80" s="542" t="str">
        <f t="shared" si="1"/>
        <v>скрыть</v>
      </c>
    </row>
    <row r="81" spans="2:10" ht="49.9" hidden="1" customHeight="1" x14ac:dyDescent="0.25">
      <c r="B81" s="487">
        <f>'КП price'!E84</f>
        <v>0</v>
      </c>
      <c r="C81" s="487">
        <f>'КП price'!C84</f>
        <v>0</v>
      </c>
      <c r="D81" s="487">
        <f>'КП price'!I84</f>
        <v>0</v>
      </c>
      <c r="E81" s="531">
        <f>IFERROR(расчет!R83*(1+Вводные!$B$38),0)</f>
        <v>0</v>
      </c>
      <c r="F81" s="533">
        <f>INVOICE!$D81*INVOICE!$E81</f>
        <v>0</v>
      </c>
      <c r="J81" s="542" t="str">
        <f t="shared" si="1"/>
        <v>скрыть</v>
      </c>
    </row>
    <row r="82" spans="2:10" ht="49.9" hidden="1" customHeight="1" x14ac:dyDescent="0.25">
      <c r="B82" s="487">
        <f>'КП price'!E85</f>
        <v>0</v>
      </c>
      <c r="C82" s="487">
        <f>'КП price'!C85</f>
        <v>0</v>
      </c>
      <c r="D82" s="487">
        <f>'КП price'!I85</f>
        <v>0</v>
      </c>
      <c r="E82" s="531">
        <f>IFERROR(расчет!R84*(1+Вводные!$B$38),0)</f>
        <v>0</v>
      </c>
      <c r="F82" s="533">
        <f>INVOICE!$D82*INVOICE!$E82</f>
        <v>0</v>
      </c>
      <c r="J82" s="542" t="str">
        <f t="shared" si="1"/>
        <v>скрыть</v>
      </c>
    </row>
    <row r="83" spans="2:10" ht="49.9" hidden="1" customHeight="1" x14ac:dyDescent="0.25">
      <c r="B83" s="487">
        <f>'КП price'!E86</f>
        <v>0</v>
      </c>
      <c r="C83" s="487">
        <f>'КП price'!C86</f>
        <v>0</v>
      </c>
      <c r="D83" s="487">
        <f>'КП price'!I86</f>
        <v>0</v>
      </c>
      <c r="E83" s="531">
        <f>IFERROR(расчет!R85*(1+Вводные!$B$38),0)</f>
        <v>0</v>
      </c>
      <c r="F83" s="533">
        <f>INVOICE!$D83*INVOICE!$E83</f>
        <v>0</v>
      </c>
      <c r="J83" s="542" t="str">
        <f t="shared" si="1"/>
        <v>скрыть</v>
      </c>
    </row>
    <row r="84" spans="2:10" ht="49.9" hidden="1" customHeight="1" x14ac:dyDescent="0.25">
      <c r="B84" s="487">
        <f>'КП price'!E87</f>
        <v>0</v>
      </c>
      <c r="C84" s="487">
        <f>'КП price'!C87</f>
        <v>0</v>
      </c>
      <c r="D84" s="487">
        <f>'КП price'!I87</f>
        <v>0</v>
      </c>
      <c r="E84" s="531">
        <f>IFERROR(расчет!R86*(1+Вводные!$B$38),0)</f>
        <v>0</v>
      </c>
      <c r="F84" s="533">
        <f>INVOICE!$D84*INVOICE!$E84</f>
        <v>0</v>
      </c>
      <c r="J84" s="542" t="str">
        <f t="shared" si="1"/>
        <v>скрыть</v>
      </c>
    </row>
    <row r="85" spans="2:10" ht="49.9" hidden="1" customHeight="1" x14ac:dyDescent="0.25">
      <c r="B85" s="487">
        <f>'КП price'!E88</f>
        <v>0</v>
      </c>
      <c r="C85" s="487">
        <f>'КП price'!C88</f>
        <v>0</v>
      </c>
      <c r="D85" s="487">
        <f>'КП price'!I88</f>
        <v>0</v>
      </c>
      <c r="E85" s="531">
        <f>IFERROR(расчет!R87*(1+Вводные!$B$38),0)</f>
        <v>0</v>
      </c>
      <c r="F85" s="533">
        <f>INVOICE!$D85*INVOICE!$E85</f>
        <v>0</v>
      </c>
      <c r="J85" s="542" t="str">
        <f t="shared" si="1"/>
        <v>скрыть</v>
      </c>
    </row>
    <row r="86" spans="2:10" ht="49.9" hidden="1" customHeight="1" x14ac:dyDescent="0.25">
      <c r="B86" s="487">
        <f>'КП price'!E89</f>
        <v>0</v>
      </c>
      <c r="C86" s="487">
        <f>'КП price'!C89</f>
        <v>0</v>
      </c>
      <c r="D86" s="487">
        <f>'КП price'!I89</f>
        <v>0</v>
      </c>
      <c r="E86" s="531">
        <f>IFERROR(расчет!R88*(1+Вводные!$B$38),0)</f>
        <v>0</v>
      </c>
      <c r="F86" s="533">
        <f>INVOICE!$D86*INVOICE!$E86</f>
        <v>0</v>
      </c>
      <c r="J86" s="542" t="str">
        <f t="shared" si="1"/>
        <v>скрыть</v>
      </c>
    </row>
    <row r="87" spans="2:10" ht="49.9" hidden="1" customHeight="1" x14ac:dyDescent="0.25">
      <c r="B87" s="487">
        <f>'КП price'!E90</f>
        <v>0</v>
      </c>
      <c r="C87" s="487">
        <f>'КП price'!C90</f>
        <v>0</v>
      </c>
      <c r="D87" s="487">
        <f>'КП price'!I90</f>
        <v>0</v>
      </c>
      <c r="E87" s="531">
        <f>IFERROR(расчет!R89*(1+Вводные!$B$38),0)</f>
        <v>0</v>
      </c>
      <c r="F87" s="533">
        <f>INVOICE!$D87*INVOICE!$E87</f>
        <v>0</v>
      </c>
      <c r="J87" s="542" t="str">
        <f t="shared" si="1"/>
        <v>скрыть</v>
      </c>
    </row>
    <row r="88" spans="2:10" ht="49.9" hidden="1" customHeight="1" x14ac:dyDescent="0.25">
      <c r="B88" s="487">
        <f>'КП price'!E91</f>
        <v>0</v>
      </c>
      <c r="C88" s="487">
        <f>'КП price'!C91</f>
        <v>0</v>
      </c>
      <c r="D88" s="487">
        <f>'КП price'!I91</f>
        <v>0</v>
      </c>
      <c r="E88" s="531">
        <f>IFERROR(расчет!R90*(1+Вводные!$B$38),0)</f>
        <v>0</v>
      </c>
      <c r="F88" s="533">
        <f>INVOICE!$D88*INVOICE!$E88</f>
        <v>0</v>
      </c>
      <c r="J88" s="542" t="str">
        <f t="shared" si="1"/>
        <v>скрыть</v>
      </c>
    </row>
    <row r="89" spans="2:10" ht="49.9" hidden="1" customHeight="1" x14ac:dyDescent="0.25">
      <c r="B89" s="487">
        <f>'КП price'!E92</f>
        <v>0</v>
      </c>
      <c r="C89" s="487">
        <f>'КП price'!C92</f>
        <v>0</v>
      </c>
      <c r="D89" s="487">
        <f>'КП price'!I92</f>
        <v>0</v>
      </c>
      <c r="E89" s="531">
        <f>IFERROR(расчет!R91*(1+Вводные!$B$38),0)</f>
        <v>0</v>
      </c>
      <c r="F89" s="533">
        <f>INVOICE!$D89*INVOICE!$E89</f>
        <v>0</v>
      </c>
      <c r="J89" s="542" t="str">
        <f t="shared" si="1"/>
        <v>скрыть</v>
      </c>
    </row>
    <row r="90" spans="2:10" ht="49.9" hidden="1" customHeight="1" x14ac:dyDescent="0.25">
      <c r="B90" s="487">
        <f>'КП price'!E93</f>
        <v>0</v>
      </c>
      <c r="C90" s="487">
        <f>'КП price'!C93</f>
        <v>0</v>
      </c>
      <c r="D90" s="487">
        <f>'КП price'!I93</f>
        <v>0</v>
      </c>
      <c r="E90" s="531">
        <f>IFERROR(расчет!R92*(1+Вводные!$B$38),0)</f>
        <v>0</v>
      </c>
      <c r="F90" s="533">
        <f>INVOICE!$D90*INVOICE!$E90</f>
        <v>0</v>
      </c>
      <c r="J90" s="542" t="str">
        <f t="shared" si="1"/>
        <v>скрыть</v>
      </c>
    </row>
    <row r="91" spans="2:10" ht="49.9" hidden="1" customHeight="1" x14ac:dyDescent="0.25">
      <c r="B91" s="487">
        <f>'КП price'!E94</f>
        <v>0</v>
      </c>
      <c r="C91" s="487">
        <f>'КП price'!C94</f>
        <v>0</v>
      </c>
      <c r="D91" s="487">
        <f>'КП price'!I94</f>
        <v>0</v>
      </c>
      <c r="E91" s="531">
        <f>IFERROR(расчет!R93*(1+Вводные!$B$38),0)</f>
        <v>0</v>
      </c>
      <c r="F91" s="533">
        <f>INVOICE!$D91*INVOICE!$E91</f>
        <v>0</v>
      </c>
      <c r="J91" s="542" t="str">
        <f t="shared" si="1"/>
        <v>скрыть</v>
      </c>
    </row>
    <row r="92" spans="2:10" ht="49.9" hidden="1" customHeight="1" x14ac:dyDescent="0.25">
      <c r="B92" s="487">
        <f>'КП price'!E95</f>
        <v>0</v>
      </c>
      <c r="C92" s="487">
        <f>'КП price'!C95</f>
        <v>0</v>
      </c>
      <c r="D92" s="487">
        <f>'КП price'!I95</f>
        <v>0</v>
      </c>
      <c r="E92" s="531">
        <f>IFERROR(расчет!R94*(1+Вводные!$B$38),0)</f>
        <v>0</v>
      </c>
      <c r="F92" s="533">
        <f>INVOICE!$D92*INVOICE!$E92</f>
        <v>0</v>
      </c>
      <c r="J92" s="542" t="str">
        <f t="shared" si="1"/>
        <v>скрыть</v>
      </c>
    </row>
    <row r="93" spans="2:10" ht="49.9" hidden="1" customHeight="1" x14ac:dyDescent="0.25">
      <c r="B93" s="487">
        <f>'КП price'!E96</f>
        <v>0</v>
      </c>
      <c r="C93" s="487">
        <f>'КП price'!C96</f>
        <v>0</v>
      </c>
      <c r="D93" s="487">
        <f>'КП price'!I96</f>
        <v>0</v>
      </c>
      <c r="E93" s="531">
        <f>IFERROR(расчет!R95*(1+Вводные!$B$38),0)</f>
        <v>0</v>
      </c>
      <c r="F93" s="533">
        <f>INVOICE!$D93*INVOICE!$E93</f>
        <v>0</v>
      </c>
      <c r="J93" s="542" t="str">
        <f t="shared" si="1"/>
        <v>скрыть</v>
      </c>
    </row>
    <row r="94" spans="2:10" ht="49.9" hidden="1" customHeight="1" x14ac:dyDescent="0.25">
      <c r="B94" s="487">
        <f>'КП price'!E97</f>
        <v>0</v>
      </c>
      <c r="C94" s="487">
        <f>'КП price'!C97</f>
        <v>0</v>
      </c>
      <c r="D94" s="487">
        <f>'КП price'!I97</f>
        <v>0</v>
      </c>
      <c r="E94" s="531">
        <f>IFERROR(расчет!R96*(1+Вводные!$B$38),0)</f>
        <v>0</v>
      </c>
      <c r="F94" s="533">
        <f>INVOICE!$D94*INVOICE!$E94</f>
        <v>0</v>
      </c>
      <c r="J94" s="542" t="str">
        <f t="shared" si="1"/>
        <v>скрыть</v>
      </c>
    </row>
    <row r="95" spans="2:10" ht="49.9" hidden="1" customHeight="1" x14ac:dyDescent="0.25">
      <c r="B95" s="487">
        <f>'КП price'!E98</f>
        <v>0</v>
      </c>
      <c r="C95" s="487">
        <f>'КП price'!C98</f>
        <v>0</v>
      </c>
      <c r="D95" s="487">
        <f>'КП price'!I98</f>
        <v>0</v>
      </c>
      <c r="E95" s="531">
        <f>IFERROR(расчет!R97*(1+Вводные!$B$38),0)</f>
        <v>0</v>
      </c>
      <c r="F95" s="533">
        <f>INVOICE!$D95*INVOICE!$E95</f>
        <v>0</v>
      </c>
      <c r="J95" s="542" t="str">
        <f t="shared" si="1"/>
        <v>скрыть</v>
      </c>
    </row>
    <row r="96" spans="2:10" ht="49.9" hidden="1" customHeight="1" x14ac:dyDescent="0.25">
      <c r="B96" s="487">
        <f>'КП price'!E99</f>
        <v>0</v>
      </c>
      <c r="C96" s="487">
        <f>'КП price'!C99</f>
        <v>0</v>
      </c>
      <c r="D96" s="487">
        <f>'КП price'!I99</f>
        <v>0</v>
      </c>
      <c r="E96" s="531">
        <f>IFERROR(расчет!R98*(1+Вводные!$B$38),0)</f>
        <v>0</v>
      </c>
      <c r="F96" s="533">
        <f>INVOICE!$D96*INVOICE!$E96</f>
        <v>0</v>
      </c>
      <c r="J96" s="542" t="str">
        <f t="shared" si="1"/>
        <v>скрыть</v>
      </c>
    </row>
    <row r="97" spans="2:10" ht="49.9" hidden="1" customHeight="1" x14ac:dyDescent="0.25">
      <c r="B97" s="487">
        <f>'КП price'!E100</f>
        <v>0</v>
      </c>
      <c r="C97" s="487">
        <f>'КП price'!C100</f>
        <v>0</v>
      </c>
      <c r="D97" s="487">
        <f>'КП price'!I100</f>
        <v>0</v>
      </c>
      <c r="E97" s="531">
        <f>IFERROR(расчет!R99*(1+Вводные!$B$38),0)</f>
        <v>0</v>
      </c>
      <c r="F97" s="533">
        <f>INVOICE!$D97*INVOICE!$E97</f>
        <v>0</v>
      </c>
      <c r="J97" s="542" t="str">
        <f t="shared" si="1"/>
        <v>скрыть</v>
      </c>
    </row>
    <row r="98" spans="2:10" ht="49.9" hidden="1" customHeight="1" x14ac:dyDescent="0.25">
      <c r="B98" s="487">
        <f>'КП price'!E101</f>
        <v>0</v>
      </c>
      <c r="C98" s="487">
        <f>'КП price'!C101</f>
        <v>0</v>
      </c>
      <c r="D98" s="487">
        <f>'КП price'!I101</f>
        <v>0</v>
      </c>
      <c r="E98" s="531">
        <f>IFERROR(расчет!R100*(1+Вводные!$B$38),0)</f>
        <v>0</v>
      </c>
      <c r="F98" s="533">
        <f>INVOICE!$D98*INVOICE!$E98</f>
        <v>0</v>
      </c>
      <c r="J98" s="542" t="str">
        <f t="shared" si="1"/>
        <v>скрыть</v>
      </c>
    </row>
    <row r="99" spans="2:10" ht="49.9" hidden="1" customHeight="1" x14ac:dyDescent="0.25">
      <c r="B99" s="487">
        <f>'КП price'!E102</f>
        <v>0</v>
      </c>
      <c r="C99" s="487">
        <f>'КП price'!C102</f>
        <v>0</v>
      </c>
      <c r="D99" s="487">
        <f>'КП price'!I102</f>
        <v>0</v>
      </c>
      <c r="E99" s="531">
        <f>IFERROR(расчет!R101*(1+Вводные!$B$38),0)</f>
        <v>0</v>
      </c>
      <c r="F99" s="533">
        <f>INVOICE!$D99*INVOICE!$E99</f>
        <v>0</v>
      </c>
      <c r="J99" s="542" t="str">
        <f t="shared" si="1"/>
        <v>скрыть</v>
      </c>
    </row>
    <row r="100" spans="2:10" ht="49.9" hidden="1" customHeight="1" x14ac:dyDescent="0.25">
      <c r="B100" s="487">
        <f>'КП price'!E103</f>
        <v>0</v>
      </c>
      <c r="C100" s="487">
        <f>'КП price'!C103</f>
        <v>0</v>
      </c>
      <c r="D100" s="487">
        <f>'КП price'!I103</f>
        <v>0</v>
      </c>
      <c r="E100" s="531">
        <f>IFERROR(расчет!R102*(1+Вводные!$B$38),0)</f>
        <v>0</v>
      </c>
      <c r="F100" s="533">
        <f>INVOICE!$D100*INVOICE!$E100</f>
        <v>0</v>
      </c>
      <c r="J100" s="542" t="str">
        <f t="shared" si="1"/>
        <v>скрыть</v>
      </c>
    </row>
    <row r="101" spans="2:10" ht="49.9" hidden="1" customHeight="1" x14ac:dyDescent="0.25">
      <c r="B101" s="487">
        <f>'КП price'!E104</f>
        <v>0</v>
      </c>
      <c r="C101" s="487">
        <f>'КП price'!C104</f>
        <v>0</v>
      </c>
      <c r="D101" s="487">
        <f>'КП price'!I104</f>
        <v>0</v>
      </c>
      <c r="E101" s="531">
        <f>IFERROR(расчет!R103*(1+Вводные!$B$38),0)</f>
        <v>0</v>
      </c>
      <c r="F101" s="533">
        <f>INVOICE!$D101*INVOICE!$E101</f>
        <v>0</v>
      </c>
      <c r="J101" s="542" t="str">
        <f t="shared" si="1"/>
        <v>скрыть</v>
      </c>
    </row>
    <row r="102" spans="2:10" ht="49.9" hidden="1" customHeight="1" x14ac:dyDescent="0.25">
      <c r="B102" s="487">
        <f>'КП price'!E105</f>
        <v>0</v>
      </c>
      <c r="C102" s="487">
        <f>'КП price'!C105</f>
        <v>0</v>
      </c>
      <c r="D102" s="487">
        <f>'КП price'!I105</f>
        <v>0</v>
      </c>
      <c r="E102" s="531">
        <f>IFERROR(расчет!R104*(1+Вводные!$B$38),0)</f>
        <v>0</v>
      </c>
      <c r="F102" s="533">
        <f>INVOICE!$D102*INVOICE!$E102</f>
        <v>0</v>
      </c>
      <c r="J102" s="542" t="str">
        <f t="shared" si="1"/>
        <v>скрыть</v>
      </c>
    </row>
    <row r="103" spans="2:10" ht="49.9" hidden="1" customHeight="1" x14ac:dyDescent="0.25">
      <c r="B103" s="487">
        <f>'КП price'!E106</f>
        <v>0</v>
      </c>
      <c r="C103" s="487">
        <f>'КП price'!C106</f>
        <v>0</v>
      </c>
      <c r="D103" s="487">
        <f>'КП price'!I106</f>
        <v>0</v>
      </c>
      <c r="E103" s="531">
        <f>IFERROR(расчет!R105*(1+Вводные!$B$38),0)</f>
        <v>0</v>
      </c>
      <c r="F103" s="533">
        <f>INVOICE!$D103*INVOICE!$E103</f>
        <v>0</v>
      </c>
      <c r="J103" s="542" t="str">
        <f t="shared" si="1"/>
        <v>скрыть</v>
      </c>
    </row>
    <row r="104" spans="2:10" ht="49.9" hidden="1" customHeight="1" x14ac:dyDescent="0.25">
      <c r="B104" s="487">
        <f>'КП price'!E107</f>
        <v>0</v>
      </c>
      <c r="C104" s="487">
        <f>'КП price'!C107</f>
        <v>0</v>
      </c>
      <c r="D104" s="487">
        <f>'КП price'!I107</f>
        <v>0</v>
      </c>
      <c r="E104" s="531">
        <f>IFERROR(расчет!R106*(1+Вводные!$B$38),0)</f>
        <v>0</v>
      </c>
      <c r="F104" s="533">
        <f>INVOICE!$D104*INVOICE!$E104</f>
        <v>0</v>
      </c>
      <c r="J104" s="542" t="str">
        <f t="shared" si="1"/>
        <v>скрыть</v>
      </c>
    </row>
    <row r="105" spans="2:10" ht="49.9" hidden="1" customHeight="1" x14ac:dyDescent="0.25">
      <c r="B105" s="487">
        <f>'КП price'!E108</f>
        <v>0</v>
      </c>
      <c r="C105" s="487">
        <f>'КП price'!C108</f>
        <v>0</v>
      </c>
      <c r="D105" s="487">
        <f>'КП price'!I108</f>
        <v>0</v>
      </c>
      <c r="E105" s="531">
        <f>IFERROR(расчет!R107*(1+Вводные!$B$38),0)</f>
        <v>0</v>
      </c>
      <c r="F105" s="533">
        <f>INVOICE!$D105*INVOICE!$E105</f>
        <v>0</v>
      </c>
      <c r="J105" s="542" t="str">
        <f t="shared" si="1"/>
        <v>скрыть</v>
      </c>
    </row>
    <row r="106" spans="2:10" ht="15.75" hidden="1" thickBot="1" x14ac:dyDescent="0.3">
      <c r="B106" s="487">
        <f>'КП price'!E109</f>
        <v>0</v>
      </c>
      <c r="C106" s="487">
        <f>'КП price'!C109</f>
        <v>0</v>
      </c>
      <c r="D106" s="487">
        <f>'КП price'!I109</f>
        <v>0</v>
      </c>
      <c r="E106" s="531">
        <f>IFERROR(расчет!R108*(1+Вводные!$B$38),0)</f>
        <v>0</v>
      </c>
      <c r="F106" s="533">
        <f>INVOICE!$D106*INVOICE!$E106</f>
        <v>0</v>
      </c>
      <c r="J106" s="542" t="str">
        <f t="shared" si="1"/>
        <v>скрыть</v>
      </c>
    </row>
    <row r="107" spans="2:10" ht="30" customHeight="1" thickBot="1" x14ac:dyDescent="0.3">
      <c r="B107" s="534"/>
      <c r="C107" s="535"/>
      <c r="D107" s="534"/>
      <c r="E107" s="536" t="s">
        <v>336</v>
      </c>
      <c r="F107" s="537">
        <f>SUBTOTAL(109,INVOICE!$F$14:$F$106)</f>
        <v>187.45739604635315</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187.45739604635315</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F11" sqref="F11"/>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26.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f>6.84931506849315%/100</f>
        <v>6.8493150684931507E-4</v>
      </c>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2025-11-26T19:59:20Z</dcterms:modified>
</cp:coreProperties>
</file>