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C:\Users\Lenovo\Downloads\"/>
    </mc:Choice>
  </mc:AlternateContent>
  <xr:revisionPtr revIDLastSave="0" documentId="8_{E8FFA603-C86B-47A0-AF1F-2FFF39CF5696}" xr6:coauthVersionLast="47" xr6:coauthVersionMax="47" xr10:uidLastSave="{00000000-0000-0000-0000-000000000000}"/>
  <bookViews>
    <workbookView xWindow="-28140" yWindow="490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11" l="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O15" i="10" a="1"/>
  <c r="P15" i="10" a="1"/>
  <c r="Q15" i="10" a="1"/>
  <c r="F15" i="10" a="1"/>
  <c r="C15" i="14" a="1"/>
  <c r="D15" i="14" a="1"/>
  <c r="G15" i="10" a="1"/>
  <c r="E16" i="14" a="1"/>
  <c r="H16" i="14" a="1"/>
  <c r="D15" i="10" a="1"/>
  <c r="G16" i="14" a="1"/>
  <c r="L15" i="10" a="1"/>
  <c r="I16" i="14" a="1"/>
  <c r="H15" i="10" a="1"/>
  <c r="D16" i="14" a="1"/>
  <c r="E15" i="14" a="1"/>
  <c r="F16" i="14" a="1"/>
  <c r="E15" i="10" a="1"/>
  <c r="K15" i="14" a="1"/>
  <c r="B15" i="14" a="1"/>
  <c r="M15" i="14" a="1"/>
  <c r="C15" i="10" a="1"/>
  <c r="B15" i="10" a="1"/>
  <c r="M15" i="10" a="1"/>
  <c r="H15" i="14" a="1"/>
  <c r="S15" i="10" a="1"/>
  <c r="J15" i="14" a="1"/>
  <c r="N15" i="14" a="1"/>
  <c r="R15" i="10" a="1"/>
  <c r="N15" i="10" a="1"/>
  <c r="G15" i="14" a="1"/>
  <c r="J15" i="10" a="1"/>
  <c r="L15" i="14" a="1"/>
  <c r="I15" i="14" a="1"/>
  <c r="F15" i="14" a="1"/>
  <c r="I15" i="10" a="1"/>
  <c r="K15" i="10" a="1"/>
  <c r="E10" i="11"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792"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69" i="11"/>
  <c r="R69" i="11" s="1"/>
  <c r="P141" i="11"/>
  <c r="P453" i="11"/>
  <c r="P501" i="11"/>
  <c r="P765" i="11"/>
  <c r="P813" i="11"/>
  <c r="P945" i="11"/>
  <c r="P981" i="11"/>
  <c r="P1005" i="11"/>
  <c r="P1449" i="11"/>
  <c r="P1689" i="11"/>
  <c r="P40" i="11"/>
  <c r="R40" i="11" s="1"/>
  <c r="P64" i="11"/>
  <c r="R64" i="11" s="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41" i="11"/>
  <c r="P265" i="11"/>
  <c r="P457" i="11"/>
  <c r="P1681" i="11"/>
  <c r="P1693" i="11"/>
  <c r="P1897" i="11"/>
  <c r="P63" i="11"/>
  <c r="R63" i="11" s="1"/>
  <c r="P135" i="11"/>
  <c r="P291" i="11"/>
  <c r="P1670" i="11"/>
  <c r="P1281"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287" i="11"/>
  <c r="BB702" i="11"/>
  <c r="BB496" i="11"/>
  <c r="BB735" i="11"/>
  <c r="BB932" i="11"/>
  <c r="BB261" i="11"/>
  <c r="BB867" i="11"/>
  <c r="BB431" i="11"/>
  <c r="BB1900" i="11"/>
  <c r="BB700" i="11"/>
  <c r="BB1795" i="11"/>
  <c r="BB633" i="11"/>
  <c r="BB609" i="11"/>
  <c r="BB531" i="11"/>
  <c r="BB1878" i="11"/>
  <c r="BB796" i="11"/>
  <c r="BB491" i="11"/>
  <c r="BB327" i="11"/>
  <c r="BB1925" i="11"/>
  <c r="BB31" i="11"/>
  <c r="BB1879" i="11"/>
  <c r="BB253" i="11"/>
  <c r="BB1474" i="11"/>
  <c r="BB189" i="11"/>
  <c r="BB1392" i="11"/>
  <c r="BB778" i="11"/>
  <c r="BB358" i="11"/>
  <c r="BB1046" i="11"/>
  <c r="BB329" i="11"/>
  <c r="BB650" i="11"/>
  <c r="BB722" i="11"/>
  <c r="BB711" i="11"/>
  <c r="BB622" i="11"/>
  <c r="BB1944" i="11"/>
  <c r="BB760" i="11"/>
  <c r="BB1487" i="11"/>
  <c r="BB430" i="11"/>
  <c r="BB966" i="11"/>
  <c r="BB744" i="11"/>
  <c r="BB495" i="11"/>
  <c r="BB1187" i="11"/>
  <c r="BB203" i="11"/>
  <c r="BB105" i="11"/>
  <c r="BB57" i="11"/>
  <c r="BB1645" i="11"/>
  <c r="BB1160" i="11"/>
  <c r="BB639" i="11"/>
  <c r="BB1660" i="11"/>
  <c r="BB1381" i="11"/>
  <c r="BB1013" i="11"/>
  <c r="BB1435" i="11"/>
  <c r="BB1394" i="11"/>
  <c r="BB1674" i="11"/>
  <c r="BB236" i="11"/>
  <c r="BB1776" i="11"/>
  <c r="BB1470" i="11"/>
  <c r="BB604" i="11"/>
  <c r="BB913" i="11"/>
  <c r="BB1685" i="11"/>
  <c r="BB281" i="11"/>
  <c r="BB1183" i="11"/>
  <c r="BB1385" i="11"/>
  <c r="BB405" i="11"/>
  <c r="BB214" i="11"/>
  <c r="BB1396" i="11"/>
  <c r="BB1126" i="11"/>
  <c r="BB2001" i="11"/>
  <c r="BB739" i="11"/>
  <c r="BB1108" i="11"/>
  <c r="BB438" i="11"/>
  <c r="BB540" i="11"/>
  <c r="BB455" i="11"/>
  <c r="BB1179" i="11"/>
  <c r="BB1503" i="11"/>
  <c r="BB353" i="11"/>
  <c r="BB1542" i="11"/>
  <c r="BB904" i="11"/>
  <c r="BB277" i="11"/>
  <c r="BB985" i="11"/>
  <c r="BB1380" i="11"/>
  <c r="BB1836" i="11"/>
  <c r="BB2014" i="11"/>
  <c r="BB1104" i="11"/>
  <c r="BB93" i="11"/>
  <c r="BB955" i="11"/>
  <c r="BB449" i="11"/>
  <c r="BB1523" i="11"/>
  <c r="BB844" i="11"/>
  <c r="BB916" i="11"/>
  <c r="BB671" i="11"/>
  <c r="BB826" i="11"/>
  <c r="BB147" i="11"/>
  <c r="BB654" i="11"/>
  <c r="BB1153" i="11"/>
  <c r="BB1669" i="11"/>
  <c r="BB1423" i="11"/>
  <c r="BB1732" i="11"/>
  <c r="BB232" i="11"/>
  <c r="BB1718" i="11"/>
  <c r="BB159" i="11"/>
  <c r="BB1374" i="11"/>
  <c r="BB1782" i="11"/>
  <c r="BB849" i="11"/>
  <c r="BB1511" i="11"/>
  <c r="BB1055" i="11"/>
  <c r="BB1427" i="11"/>
  <c r="BB121" i="11"/>
  <c r="BB422" i="11"/>
  <c r="BB63" i="11"/>
  <c r="BB1249" i="11"/>
  <c r="BB1033" i="11"/>
  <c r="BB357" i="11"/>
  <c r="BB1186" i="11"/>
  <c r="BB1029" i="11"/>
  <c r="BB1850" i="11"/>
  <c r="BB1875" i="11"/>
  <c r="BB1124" i="11"/>
  <c r="BB837" i="11"/>
  <c r="BB594" i="11"/>
  <c r="BB1015" i="11"/>
  <c r="BB68" i="11"/>
  <c r="BB1143" i="11"/>
  <c r="BB222" i="11"/>
  <c r="BB339" i="11"/>
  <c r="BB961" i="11"/>
  <c r="BB1273" i="11"/>
  <c r="BB224" i="11"/>
  <c r="BB156" i="11"/>
  <c r="BB1721" i="11"/>
  <c r="BB653" i="11"/>
  <c r="BB1933" i="11"/>
  <c r="BB1887" i="11"/>
  <c r="BB1328" i="11"/>
  <c r="BB1278" i="11"/>
  <c r="BB1272" i="11"/>
  <c r="BB381" i="11"/>
  <c r="BB1895" i="11"/>
  <c r="BB1163" i="11"/>
  <c r="BB810" i="11"/>
  <c r="BB1477" i="11"/>
  <c r="BB1230" i="11"/>
  <c r="BB1837" i="11"/>
  <c r="BB390" i="11"/>
  <c r="BB1906" i="11"/>
  <c r="BB74" i="11"/>
  <c r="BB29" i="11"/>
  <c r="BB1700" i="11"/>
  <c r="BB118" i="11"/>
  <c r="BB1429" i="11"/>
  <c r="BB499" i="11"/>
  <c r="BB1595" i="11"/>
  <c r="BB177" i="11"/>
  <c r="BB1449" i="11"/>
  <c r="BB94" i="11"/>
  <c r="BB403" i="11"/>
  <c r="BB1376" i="11"/>
  <c r="BB185" i="11"/>
  <c r="BB294" i="11"/>
  <c r="BB1690" i="11"/>
  <c r="BB1196" i="11"/>
  <c r="BB584" i="11"/>
  <c r="BB694" i="11"/>
  <c r="BB1786" i="11"/>
  <c r="BB1585" i="11"/>
  <c r="BB798" i="11"/>
  <c r="BB1566" i="11"/>
  <c r="BB1466" i="11"/>
  <c r="BB473" i="11"/>
  <c r="BB166" i="11"/>
  <c r="BB1655" i="11"/>
  <c r="BB769" i="11"/>
  <c r="BB67" i="11"/>
  <c r="BB1166" i="11"/>
  <c r="BB85" i="11"/>
  <c r="BB907" i="11"/>
  <c r="BB1489" i="11"/>
  <c r="BB1816" i="11"/>
  <c r="BB1045" i="11"/>
  <c r="BB1264" i="11"/>
  <c r="BB1399" i="11"/>
  <c r="BB1750" i="11"/>
  <c r="BB1022" i="11"/>
  <c r="BB306" i="11"/>
  <c r="BB305" i="11"/>
  <c r="BB1754" i="11"/>
  <c r="BB829" i="11"/>
  <c r="BB951" i="11"/>
  <c r="BB552" i="11"/>
  <c r="BB301" i="11"/>
  <c r="BB1105" i="11"/>
  <c r="BB484" i="11"/>
  <c r="BB2000" i="11"/>
  <c r="BB794" i="11"/>
  <c r="BB138" i="11"/>
  <c r="BB1624" i="11"/>
  <c r="BB1854" i="11"/>
  <c r="BB173" i="11"/>
  <c r="BB1222" i="11"/>
  <c r="BB1607" i="11"/>
  <c r="BB310" i="11"/>
  <c r="BB696" i="11"/>
  <c r="BB840" i="11"/>
  <c r="BB1709" i="11"/>
  <c r="BB1602" i="11"/>
  <c r="BB1039" i="11"/>
  <c r="BB34" i="11"/>
  <c r="BB429" i="11"/>
  <c r="BB1064" i="11"/>
  <c r="BB1284" i="11"/>
  <c r="BB461" i="11"/>
  <c r="BB148" i="11"/>
  <c r="BB1065" i="11"/>
  <c r="BB1592" i="11"/>
  <c r="BB1680" i="11"/>
  <c r="BB1726" i="11"/>
  <c r="BB286" i="11"/>
  <c r="BB1760" i="11"/>
  <c r="BB1116" i="11"/>
  <c r="BB207" i="11"/>
  <c r="BB452" i="11"/>
  <c r="BB1535" i="11"/>
  <c r="BB220" i="11"/>
  <c r="BB1867" i="11"/>
  <c r="BB1763" i="11"/>
  <c r="BB503" i="11"/>
  <c r="BB377" i="11"/>
  <c r="BB514" i="11"/>
  <c r="BB1553" i="11"/>
  <c r="BB544" i="11"/>
  <c r="BB1558" i="11"/>
  <c r="BB435" i="11"/>
  <c r="BB1774" i="11"/>
  <c r="BB554" i="11"/>
  <c r="BB401" i="11"/>
  <c r="BB1838" i="11"/>
  <c r="BB1688" i="11"/>
  <c r="BB693" i="11"/>
  <c r="BB27" i="11"/>
  <c r="BB1842" i="11"/>
  <c r="BB1458" i="11"/>
  <c r="BB475" i="11"/>
  <c r="BB272" i="11"/>
  <c r="BB204" i="11"/>
  <c r="BB1498" i="11"/>
  <c r="BB515" i="11"/>
  <c r="BB994" i="11"/>
  <c r="BB1852" i="11"/>
  <c r="BB459" i="11"/>
  <c r="BB1009" i="11"/>
  <c r="BB1439" i="11"/>
  <c r="BB1224" i="11"/>
  <c r="BB359" i="11"/>
  <c r="BB1504" i="11"/>
  <c r="BB936" i="11"/>
  <c r="BB1707" i="11"/>
  <c r="BB1333" i="11"/>
  <c r="BB1089" i="11"/>
  <c r="BB19" i="11"/>
  <c r="BB715" i="11"/>
  <c r="BB1571" i="11"/>
  <c r="BB343" i="11"/>
  <c r="BB49" i="11"/>
  <c r="BB1730" i="11"/>
  <c r="BB1999" i="11"/>
  <c r="BB1265" i="11"/>
  <c r="BB1197" i="11"/>
  <c r="BB141" i="11"/>
  <c r="BB824" i="11"/>
  <c r="BB972" i="11"/>
  <c r="BB1802" i="11"/>
  <c r="BB1138" i="11"/>
  <c r="BB523" i="11"/>
  <c r="BB1279" i="11"/>
  <c r="BB275" i="11"/>
  <c r="BB717" i="11"/>
  <c r="BB1152" i="11"/>
  <c r="BB568" i="11"/>
  <c r="BB1301" i="11"/>
  <c r="BB40" i="11"/>
  <c r="BB16" i="11"/>
  <c r="BB939" i="11"/>
  <c r="BB1534" i="11"/>
  <c r="BB970" i="11"/>
  <c r="BB1442" i="11"/>
  <c r="BB768" i="11"/>
  <c r="BB487" i="11"/>
  <c r="BB119" i="11"/>
  <c r="BB391" i="11"/>
  <c r="BB1413" i="11"/>
  <c r="BB1384" i="11"/>
  <c r="BB168" i="11"/>
  <c r="BB1476" i="11"/>
  <c r="BB1347" i="11"/>
  <c r="BB1784" i="11"/>
  <c r="BB1362" i="11"/>
  <c r="BB1883" i="11"/>
  <c r="BB987" i="11"/>
  <c r="BB611" i="11"/>
  <c r="BB1364" i="11"/>
  <c r="BB179" i="11"/>
  <c r="BB78" i="11"/>
  <c r="BB242" i="11"/>
  <c r="BB1698" i="11"/>
  <c r="BB1829" i="11"/>
  <c r="BB1970" i="11"/>
  <c r="BB875" i="11"/>
  <c r="BB1245" i="11"/>
  <c r="BB1510" i="11"/>
  <c r="BB630" i="11"/>
  <c r="BB1976" i="11"/>
  <c r="BB497" i="11"/>
  <c r="BB704" i="11"/>
  <c r="BB1263" i="11"/>
  <c r="BB1171" i="11"/>
  <c r="BB1300" i="11"/>
  <c r="BB17" i="11"/>
  <c r="BB216" i="11"/>
  <c r="BB1757" i="11"/>
  <c r="BB915" i="11"/>
  <c r="BB1359" i="11"/>
  <c r="BB231" i="11"/>
  <c r="BB808" i="11"/>
  <c r="BB1724" i="11"/>
  <c r="BB1993" i="11"/>
  <c r="BB1438" i="11"/>
  <c r="BB223" i="11"/>
  <c r="BB137" i="11"/>
  <c r="BB1953" i="11"/>
  <c r="BB1460" i="11"/>
  <c r="BB1775" i="11"/>
  <c r="BB1117" i="11"/>
  <c r="BB1552" i="11"/>
  <c r="BB193" i="11"/>
  <c r="BB537" i="11"/>
  <c r="BB789" i="11"/>
  <c r="BB628" i="11"/>
  <c r="BB805" i="11"/>
  <c r="BB793" i="11"/>
  <c r="BB797" i="11"/>
  <c r="BB1479" i="11"/>
  <c r="BB1371" i="11"/>
  <c r="BB276" i="11"/>
  <c r="BB1901" i="11"/>
  <c r="BB719"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1068" i="11" l="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756" i="11"/>
  <c r="AB756" i="11" s="1"/>
  <c r="BA1557" i="11"/>
  <c r="AB1557" i="11" s="1"/>
  <c r="BA1523" i="11"/>
  <c r="AB1523" i="11" s="1"/>
  <c r="BA656" i="11"/>
  <c r="AB656" i="11" s="1"/>
  <c r="BA1595" i="11"/>
  <c r="AB1595" i="11" s="1"/>
  <c r="BA1824" i="11"/>
  <c r="AB1824" i="11" s="1"/>
  <c r="BA2002" i="11"/>
  <c r="AB2002" i="11" s="1"/>
  <c r="AA2002" i="11" s="1"/>
  <c r="BA718" i="11"/>
  <c r="AB718" i="11" s="1"/>
  <c r="AD718" i="11" s="1" a="1"/>
  <c r="AD718" i="11" s="1"/>
  <c r="AE718" i="11" s="1"/>
  <c r="BA1196" i="11"/>
  <c r="AB1196" i="11" s="1"/>
  <c r="AF1196" i="11" s="1" a="1"/>
  <c r="AF1196" i="11" s="1"/>
  <c r="BA941" i="11"/>
  <c r="AB941" i="11" s="1"/>
  <c r="AD941" i="11" s="1" a="1"/>
  <c r="AD941" i="11" s="1"/>
  <c r="AE941" i="11" s="1"/>
  <c r="BA1077" i="11"/>
  <c r="AB1077" i="11" s="1"/>
  <c r="AD1077" i="11" s="1" a="1"/>
  <c r="AD1077" i="11" s="1"/>
  <c r="AE1077" i="11" s="1"/>
  <c r="BA1211" i="11"/>
  <c r="AB1211" i="11" s="1"/>
  <c r="BA1443" i="11"/>
  <c r="AB1443" i="11" s="1"/>
  <c r="BA111" i="11"/>
  <c r="AB111" i="11" s="1"/>
  <c r="AF111" i="11" s="1" a="1"/>
  <c r="AF111" i="11" s="1"/>
  <c r="BA1045" i="11"/>
  <c r="AB1045" i="11" s="1"/>
  <c r="BA1060" i="11"/>
  <c r="AB1060" i="11" s="1"/>
  <c r="AD1060" i="11" s="1" a="1"/>
  <c r="AD1060" i="11" s="1"/>
  <c r="AE1060" i="11" s="1"/>
  <c r="BA1275" i="11"/>
  <c r="AB1275" i="11" s="1"/>
  <c r="AA1275" i="11" s="1"/>
  <c r="BA48" i="11"/>
  <c r="AB48" i="11" s="1"/>
  <c r="BA299" i="11"/>
  <c r="AB299" i="11" s="1"/>
  <c r="BA1786" i="11"/>
  <c r="AB1786" i="11" s="1"/>
  <c r="BA419" i="11"/>
  <c r="AB419" i="11" s="1"/>
  <c r="BA1106" i="11"/>
  <c r="AB1106" i="11" s="1"/>
  <c r="AA1106" i="11" s="1"/>
  <c r="BA1641" i="11"/>
  <c r="AB1641" i="11" s="1"/>
  <c r="BA497" i="11"/>
  <c r="AB497" i="11" s="1"/>
  <c r="BA37" i="11"/>
  <c r="AB37" i="11" s="1"/>
  <c r="AF37" i="11" s="1" a="1"/>
  <c r="AF37" i="11" s="1"/>
  <c r="BA1710" i="11"/>
  <c r="AB1710" i="11" s="1"/>
  <c r="BA551" i="11"/>
  <c r="AB551" i="11" s="1"/>
  <c r="BA219" i="11"/>
  <c r="AB219" i="11" s="1"/>
  <c r="BA159" i="11"/>
  <c r="AB159" i="11" s="1"/>
  <c r="AD159" i="11" s="1" a="1"/>
  <c r="AD159" i="11" s="1"/>
  <c r="AE159" i="11" s="1"/>
  <c r="BA1261" i="11"/>
  <c r="AB1261" i="11" s="1"/>
  <c r="BA1777" i="11"/>
  <c r="AB1777" i="11" s="1"/>
  <c r="BA1407" i="11"/>
  <c r="AB1407" i="11" s="1"/>
  <c r="BA538" i="11"/>
  <c r="AB538" i="11" s="1"/>
  <c r="AA538" i="11" s="1"/>
  <c r="BA81" i="11"/>
  <c r="AB81" i="11" s="1"/>
  <c r="BA1575" i="11"/>
  <c r="AB1575" i="11" s="1"/>
  <c r="BA1323" i="11"/>
  <c r="AB1323" i="11" s="1"/>
  <c r="BA655" i="11"/>
  <c r="AB655" i="11" s="1"/>
  <c r="BA1452" i="11"/>
  <c r="AB1452" i="11" s="1"/>
  <c r="AA1452" i="11" s="1"/>
  <c r="BA1870" i="11"/>
  <c r="AB1870" i="11" s="1"/>
  <c r="BA1257" i="11"/>
  <c r="AB1257" i="11" s="1"/>
  <c r="AD1257" i="11" s="1" a="1"/>
  <c r="AD1257" i="11" s="1"/>
  <c r="AE1257" i="11" s="1"/>
  <c r="BA156" i="11"/>
  <c r="AB156" i="11" s="1"/>
  <c r="BA1553" i="11"/>
  <c r="AB1553" i="11" s="1"/>
  <c r="BA1533" i="11"/>
  <c r="AB1533" i="11" s="1"/>
  <c r="AA1533" i="11" s="1"/>
  <c r="BA1601" i="11"/>
  <c r="AB1601" i="11" s="1"/>
  <c r="BA473" i="11"/>
  <c r="AB473" i="11" s="1"/>
  <c r="BA390" i="11"/>
  <c r="AB390" i="11" s="1"/>
  <c r="BA1037" i="11"/>
  <c r="AB1037" i="11" s="1"/>
  <c r="BA664" i="11"/>
  <c r="AB664" i="11" s="1"/>
  <c r="BA155" i="11"/>
  <c r="AB155" i="11" s="1"/>
  <c r="BA1281" i="11"/>
  <c r="AB1281" i="11" s="1"/>
  <c r="AD1281" i="11" s="1" a="1"/>
  <c r="AD1281" i="11" s="1"/>
  <c r="AE1281" i="11" s="1"/>
  <c r="BA21" i="11"/>
  <c r="AB21" i="11" s="1"/>
  <c r="BA1457" i="11"/>
  <c r="AB1457" i="11" s="1"/>
  <c r="AD1457" i="11" s="1" a="1"/>
  <c r="AD1457" i="11" s="1"/>
  <c r="AE1457" i="11" s="1"/>
  <c r="BA1716" i="11"/>
  <c r="AB1716" i="11" s="1"/>
  <c r="BA464" i="11"/>
  <c r="AB464" i="11" s="1"/>
  <c r="BA348" i="11"/>
  <c r="AB348" i="11" s="1"/>
  <c r="BA1393" i="11"/>
  <c r="AB1393" i="11" s="1"/>
  <c r="BA1478" i="11"/>
  <c r="AB1478" i="11" s="1"/>
  <c r="BA1795" i="11"/>
  <c r="AB1795" i="11" s="1"/>
  <c r="BA1915" i="11"/>
  <c r="AB1915" i="11" s="1"/>
  <c r="BA196" i="11"/>
  <c r="AB196" i="11" s="1"/>
  <c r="BA836" i="11"/>
  <c r="AB836" i="11" s="1"/>
  <c r="BA1776" i="11"/>
  <c r="AB1776" i="11" s="1"/>
  <c r="BA1815" i="11"/>
  <c r="AB1815" i="11" s="1"/>
  <c r="BA1714" i="11"/>
  <c r="AB1714" i="11" s="1"/>
  <c r="AA1714" i="11" s="1"/>
  <c r="BA1278" i="11"/>
  <c r="AB1278" i="11" s="1"/>
  <c r="BA77" i="11"/>
  <c r="AB77" i="11" s="1"/>
  <c r="BA523" i="11"/>
  <c r="AB523" i="11" s="1"/>
  <c r="BA763" i="11"/>
  <c r="AB763" i="11" s="1"/>
  <c r="BA755" i="11"/>
  <c r="AB755" i="11" s="1"/>
  <c r="BA1877" i="11"/>
  <c r="AB1877" i="11" s="1"/>
  <c r="AD1877" i="11" s="1" a="1"/>
  <c r="AD1877" i="11" s="1"/>
  <c r="AE1877" i="11" s="1"/>
  <c r="BA1932" i="11"/>
  <c r="AB1932" i="11" s="1"/>
  <c r="BA1564" i="11"/>
  <c r="AB1564" i="11" s="1"/>
  <c r="BA1177" i="11"/>
  <c r="AB1177" i="11" s="1"/>
  <c r="AA1177" i="11" s="1"/>
  <c r="BA1859" i="11"/>
  <c r="AB1859" i="11" s="1"/>
  <c r="BA944" i="11"/>
  <c r="AB944" i="11" s="1"/>
  <c r="BA1856" i="11"/>
  <c r="AB1856" i="11" s="1"/>
  <c r="BA1155" i="11"/>
  <c r="AB1155" i="11" s="1"/>
  <c r="AD1155" i="11" s="1" a="1"/>
  <c r="AD1155" i="11" s="1"/>
  <c r="AE1155" i="11" s="1"/>
  <c r="BA1453" i="11"/>
  <c r="AB1453" i="11" s="1"/>
  <c r="BA1178" i="11"/>
  <c r="AB1178" i="11" s="1"/>
  <c r="BA1552" i="11"/>
  <c r="AB1552" i="11" s="1"/>
  <c r="BA961" i="11"/>
  <c r="AB961" i="11" s="1"/>
  <c r="BA629" i="11"/>
  <c r="AB629" i="11" s="1"/>
  <c r="BA1936" i="11"/>
  <c r="AB1936" i="11" s="1"/>
  <c r="AF1936" i="11" s="1" a="1"/>
  <c r="AF1936" i="11" s="1"/>
  <c r="BA182" i="11"/>
  <c r="AB182" i="11" s="1"/>
  <c r="BA1589" i="11"/>
  <c r="AB1589" i="11" s="1"/>
  <c r="BA171" i="11"/>
  <c r="AB171" i="11" s="1"/>
  <c r="AA171" i="11" s="1"/>
  <c r="BA1051" i="11"/>
  <c r="AB1051" i="11" s="1"/>
  <c r="BA500" i="11"/>
  <c r="AB500" i="11" s="1"/>
  <c r="BA1242" i="11"/>
  <c r="AB1242" i="11" s="1"/>
  <c r="BA904" i="11"/>
  <c r="AB904" i="11" s="1"/>
  <c r="BA1869" i="11"/>
  <c r="AB1869" i="11" s="1"/>
  <c r="BA261" i="11"/>
  <c r="AB261" i="11" s="1"/>
  <c r="BA479" i="11"/>
  <c r="AB479" i="11" s="1"/>
  <c r="BA297" i="11"/>
  <c r="AB297" i="11" s="1"/>
  <c r="BA1208" i="11"/>
  <c r="AB1208" i="11" s="1"/>
  <c r="BA668" i="11"/>
  <c r="AB668" i="11" s="1"/>
  <c r="BA695" i="11"/>
  <c r="AB695" i="11" s="1"/>
  <c r="BA188" i="11"/>
  <c r="AB188" i="11" s="1"/>
  <c r="BA427" i="11"/>
  <c r="AB427" i="11" s="1"/>
  <c r="BA430" i="11"/>
  <c r="AB430" i="11" s="1"/>
  <c r="BA1148" i="11"/>
  <c r="AB1148" i="11" s="1"/>
  <c r="BA1926" i="11"/>
  <c r="AB1926" i="11" s="1"/>
  <c r="BA527" i="11"/>
  <c r="AB527" i="11" s="1"/>
  <c r="BA1284" i="11"/>
  <c r="AB1284" i="11" s="1"/>
  <c r="BA1706" i="11"/>
  <c r="AB1706" i="11" s="1"/>
  <c r="BA205" i="11"/>
  <c r="AB205" i="11" s="1"/>
  <c r="BA1556" i="11"/>
  <c r="AB1556" i="11" s="1"/>
  <c r="BA134" i="11"/>
  <c r="AB134" i="11" s="1"/>
  <c r="BA1258" i="11"/>
  <c r="AB1258" i="11" s="1"/>
  <c r="BA1366" i="11"/>
  <c r="AB1366" i="11" s="1"/>
  <c r="BA1055" i="11"/>
  <c r="AB1055" i="11" s="1"/>
  <c r="AA1055" i="11" s="1"/>
  <c r="BA1828" i="11"/>
  <c r="AB1828" i="11" s="1"/>
  <c r="BA1351" i="11"/>
  <c r="AB1351" i="11" s="1"/>
  <c r="BA1246" i="11"/>
  <c r="AB1246" i="11" s="1"/>
  <c r="BA717" i="11"/>
  <c r="AB717" i="11" s="1"/>
  <c r="BA1772" i="11"/>
  <c r="AB1772" i="11" s="1"/>
  <c r="AA1772" i="11" s="1"/>
  <c r="BA1164" i="11"/>
  <c r="AB1164" i="11" s="1"/>
  <c r="BA1748" i="11"/>
  <c r="AB1748" i="11" s="1"/>
  <c r="BA1744" i="11"/>
  <c r="AB1744" i="11" s="1"/>
  <c r="BA1604" i="11"/>
  <c r="AB1604" i="11" s="1"/>
  <c r="BA1659" i="11"/>
  <c r="AB1659" i="11" s="1"/>
  <c r="BA319" i="11"/>
  <c r="AB319" i="11" s="1"/>
  <c r="AF319" i="11" s="1" a="1"/>
  <c r="AF319" i="11" s="1"/>
  <c r="BA788" i="11"/>
  <c r="AB788" i="11" s="1"/>
  <c r="BA1309" i="11"/>
  <c r="AB1309" i="11" s="1"/>
  <c r="BA1471" i="11"/>
  <c r="AB1471" i="11" s="1"/>
  <c r="BA211" i="11"/>
  <c r="AB211" i="11" s="1"/>
  <c r="BA412" i="11"/>
  <c r="AB412" i="11" s="1"/>
  <c r="BA1992" i="11"/>
  <c r="AB1992" i="11" s="1"/>
  <c r="BA644" i="11"/>
  <c r="AB644" i="11" s="1"/>
  <c r="AA644" i="11" s="1"/>
  <c r="BA653" i="11"/>
  <c r="AB653" i="11" s="1"/>
  <c r="BA1931" i="11"/>
  <c r="AB1931" i="11" s="1"/>
  <c r="BA1758" i="11"/>
  <c r="AB1758" i="11" s="1"/>
  <c r="BA1944" i="11"/>
  <c r="AB1944" i="11" s="1"/>
  <c r="AD1944" i="11" s="1" a="1"/>
  <c r="AD1944" i="11" s="1"/>
  <c r="AE1944" i="11" s="1"/>
  <c r="BA650" i="11"/>
  <c r="AB650" i="11" s="1"/>
  <c r="BA814" i="11"/>
  <c r="AB814" i="11" s="1"/>
  <c r="BA1901" i="11"/>
  <c r="AB1901" i="11" s="1"/>
  <c r="BA1613" i="11"/>
  <c r="AB1613" i="11" s="1"/>
  <c r="BA1780" i="11"/>
  <c r="AB1780" i="11" s="1"/>
  <c r="BA1214" i="11"/>
  <c r="AB1214" i="11" s="1"/>
  <c r="BA234" i="11"/>
  <c r="AB234" i="11" s="1"/>
  <c r="BA1028" i="11"/>
  <c r="AB1028" i="11" s="1"/>
  <c r="BA1253" i="11"/>
  <c r="AB1253" i="11" s="1"/>
  <c r="BA1348" i="11"/>
  <c r="AB1348" i="11" s="1"/>
  <c r="BA321" i="11"/>
  <c r="AB321" i="11" s="1"/>
  <c r="BA332" i="11"/>
  <c r="AB332" i="11" s="1"/>
  <c r="AA332" i="11" s="1"/>
  <c r="BA502" i="11"/>
  <c r="AB502" i="11" s="1"/>
  <c r="BA49" i="11"/>
  <c r="AB49" i="11" s="1"/>
  <c r="BA165" i="11"/>
  <c r="AB165" i="11" s="1"/>
  <c r="BA54" i="11"/>
  <c r="AB54" i="11" s="1"/>
  <c r="BA132" i="11"/>
  <c r="AB132" i="11" s="1"/>
  <c r="BA1133" i="11"/>
  <c r="AB1133" i="11" s="1"/>
  <c r="BA622" i="11"/>
  <c r="AB622" i="11" s="1"/>
  <c r="BA1767" i="11"/>
  <c r="AB1767" i="11" s="1"/>
  <c r="BA1787" i="11"/>
  <c r="AB1787" i="11" s="1"/>
  <c r="AD1787" i="11" s="1" a="1"/>
  <c r="AD1787" i="11" s="1"/>
  <c r="AE1787" i="11" s="1"/>
  <c r="BA1566" i="11"/>
  <c r="AB1566" i="11" s="1"/>
  <c r="BA1024" i="11"/>
  <c r="AB1024" i="11" s="1"/>
  <c r="BA1835" i="11"/>
  <c r="AB1835" i="11" s="1"/>
  <c r="BA1826" i="11"/>
  <c r="AB1826" i="11" s="1"/>
  <c r="BA1369" i="11"/>
  <c r="AB1369" i="11" s="1"/>
  <c r="BA1707" i="11"/>
  <c r="AB1707" i="11" s="1"/>
  <c r="AD1707" i="11" s="1" a="1"/>
  <c r="AD1707" i="11" s="1"/>
  <c r="AE1707" i="11" s="1"/>
  <c r="BA455" i="11"/>
  <c r="AB455" i="11" s="1"/>
  <c r="BA1741" i="11"/>
  <c r="AB1741" i="11" s="1"/>
  <c r="BA1896" i="11"/>
  <c r="AB1896" i="11" s="1"/>
  <c r="BA1008" i="11"/>
  <c r="AB1008" i="11" s="1"/>
  <c r="BA662" i="11"/>
  <c r="AB662" i="11" s="1"/>
  <c r="AA662" i="11" s="1"/>
  <c r="BA772" i="11"/>
  <c r="AB772" i="11" s="1"/>
  <c r="BA562" i="11"/>
  <c r="AB562" i="11" s="1"/>
  <c r="AA562" i="11" s="1"/>
  <c r="BA271" i="11"/>
  <c r="AB271" i="11" s="1"/>
  <c r="BA1624" i="11"/>
  <c r="AB1624" i="11" s="1"/>
  <c r="BA1430" i="11"/>
  <c r="AB1430" i="11" s="1"/>
  <c r="BA919" i="11"/>
  <c r="AB919" i="11" s="1"/>
  <c r="BA1345" i="11"/>
  <c r="AB1345" i="11" s="1"/>
  <c r="AF1345" i="11" s="1" a="1"/>
  <c r="AF1345" i="11" s="1"/>
  <c r="BA1614" i="11"/>
  <c r="AB1614" i="11" s="1"/>
  <c r="BA1918" i="11"/>
  <c r="AB1918" i="11" s="1"/>
  <c r="BA1404" i="11"/>
  <c r="AB1404" i="11" s="1"/>
  <c r="BA1436" i="11"/>
  <c r="AB1436" i="11" s="1"/>
  <c r="BA986" i="11"/>
  <c r="AB986" i="11" s="1"/>
  <c r="BA1359" i="11"/>
  <c r="AB1359" i="11" s="1"/>
  <c r="BA346" i="11"/>
  <c r="AB346" i="11" s="1"/>
  <c r="BA1581" i="11"/>
  <c r="AB1581" i="11" s="1"/>
  <c r="BA1186" i="11"/>
  <c r="AB1186" i="11" s="1"/>
  <c r="AD1186" i="11" s="1" a="1"/>
  <c r="AD1186" i="11" s="1"/>
  <c r="AE1186" i="11" s="1"/>
  <c r="BA1497" i="11"/>
  <c r="AB1497" i="11" s="1"/>
  <c r="AA1497" i="11" s="1"/>
  <c r="BA1968" i="11"/>
  <c r="AB1968" i="11" s="1"/>
  <c r="AA1968" i="11" s="1"/>
  <c r="BA1700" i="11"/>
  <c r="AB1700" i="11" s="1"/>
  <c r="BA1083" i="11"/>
  <c r="AB1083" i="11" s="1"/>
  <c r="BA801" i="11"/>
  <c r="AB801" i="11" s="1"/>
  <c r="BA38" i="11"/>
  <c r="AB38" i="11" s="1"/>
  <c r="BA1343" i="11"/>
  <c r="AB1343" i="11" s="1"/>
  <c r="BA807" i="11"/>
  <c r="AB807" i="11" s="1"/>
  <c r="BA610" i="11"/>
  <c r="AB610" i="11" s="1"/>
  <c r="BA548" i="11"/>
  <c r="AB548" i="11" s="1"/>
  <c r="BA536" i="11"/>
  <c r="AB536" i="11" s="1"/>
  <c r="AF536" i="11" s="1" a="1"/>
  <c r="AF536" i="11" s="1"/>
  <c r="BA1014" i="11"/>
  <c r="AB1014" i="11" s="1"/>
  <c r="AA1014" i="11" s="1"/>
  <c r="BA448" i="11"/>
  <c r="AB448" i="11" s="1"/>
  <c r="BA691" i="11"/>
  <c r="AB691" i="11" s="1"/>
  <c r="BA322" i="11"/>
  <c r="AB322" i="11" s="1"/>
  <c r="BA714" i="11"/>
  <c r="AB714" i="11" s="1"/>
  <c r="BA228" i="11"/>
  <c r="AB228" i="11" s="1"/>
  <c r="BA795" i="11"/>
  <c r="AB795" i="11" s="1"/>
  <c r="BA1358" i="11"/>
  <c r="AB1358" i="11" s="1"/>
  <c r="AD1358" i="11" s="1" a="1"/>
  <c r="AD1358" i="11" s="1"/>
  <c r="AE1358" i="11" s="1"/>
  <c r="BA1695" i="11"/>
  <c r="AB1695" i="11" s="1"/>
  <c r="BA125" i="11"/>
  <c r="AB125" i="11" s="1"/>
  <c r="BA1053" i="11"/>
  <c r="AB1053" i="11" s="1"/>
  <c r="BA853" i="11"/>
  <c r="AB853" i="11" s="1"/>
  <c r="AD853" i="11" s="1" a="1"/>
  <c r="AD853" i="11" s="1"/>
  <c r="AE853" i="11" s="1"/>
  <c r="BA1220" i="11"/>
  <c r="AB1220" i="11" s="1"/>
  <c r="BA1732" i="11"/>
  <c r="AB1732" i="11" s="1"/>
  <c r="BA360" i="11"/>
  <c r="AB360" i="11" s="1"/>
  <c r="BA1191" i="11"/>
  <c r="AB1191" i="11" s="1"/>
  <c r="BA1610" i="11"/>
  <c r="AB1610" i="11" s="1"/>
  <c r="BA534" i="11"/>
  <c r="AB534" i="11" s="1"/>
  <c r="BA457" i="11"/>
  <c r="AB457" i="11" s="1"/>
  <c r="BA164" i="11"/>
  <c r="AB164" i="11" s="1"/>
  <c r="BA1698" i="11"/>
  <c r="AB1698" i="11" s="1"/>
  <c r="BA1389" i="11"/>
  <c r="AB1389" i="11" s="1"/>
  <c r="BA1803" i="11"/>
  <c r="AB1803" i="11" s="1"/>
  <c r="BA388" i="11"/>
  <c r="AB388" i="11" s="1"/>
  <c r="AD388" i="11" s="1" a="1"/>
  <c r="AD388" i="11" s="1"/>
  <c r="AE388" i="11" s="1"/>
  <c r="BA593" i="11"/>
  <c r="AB593" i="11" s="1"/>
  <c r="BA208" i="11"/>
  <c r="AB208" i="11" s="1"/>
  <c r="BA55" i="11"/>
  <c r="AB55" i="11" s="1"/>
  <c r="BA768" i="11"/>
  <c r="AB768" i="11" s="1"/>
  <c r="BA702" i="11"/>
  <c r="AB702" i="11" s="1"/>
  <c r="BA1656" i="11"/>
  <c r="AB1656" i="11" s="1"/>
  <c r="BA754" i="11"/>
  <c r="AB754" i="11" s="1"/>
  <c r="BA1408" i="11"/>
  <c r="AB1408" i="11" s="1"/>
  <c r="BA361" i="11"/>
  <c r="AB361" i="11" s="1"/>
  <c r="BA863" i="11"/>
  <c r="AB863" i="11" s="1"/>
  <c r="BA732" i="11"/>
  <c r="AB732" i="11" s="1"/>
  <c r="BA1300" i="11"/>
  <c r="AB1300" i="11" s="1"/>
  <c r="AA1300" i="11" s="1"/>
  <c r="BA1830" i="11"/>
  <c r="AB1830" i="11" s="1"/>
  <c r="BA1972" i="11"/>
  <c r="AB1972" i="11" s="1"/>
  <c r="BA1993" i="11"/>
  <c r="AB1993" i="11" s="1"/>
  <c r="BA1951" i="11"/>
  <c r="AB1951" i="11" s="1"/>
  <c r="AD1951" i="11" s="1" a="1"/>
  <c r="AD1951" i="11" s="1"/>
  <c r="AE1951" i="11" s="1"/>
  <c r="BA1464" i="11"/>
  <c r="AB1464" i="11" s="1"/>
  <c r="BA866" i="11"/>
  <c r="AB866" i="11" s="1"/>
  <c r="BA913" i="11"/>
  <c r="AB913" i="11" s="1"/>
  <c r="BA1082" i="11"/>
  <c r="AB1082" i="11" s="1"/>
  <c r="BA186" i="11"/>
  <c r="AB186" i="11" s="1"/>
  <c r="BA1332" i="11"/>
  <c r="AB1332" i="11" s="1"/>
  <c r="BA225" i="11"/>
  <c r="AB225" i="11" s="1"/>
  <c r="BA201" i="11"/>
  <c r="AB201" i="11" s="1"/>
  <c r="BA142" i="11"/>
  <c r="AB142" i="11" s="1"/>
  <c r="BA583" i="11"/>
  <c r="AB583" i="11" s="1"/>
  <c r="AD583" i="11" s="1" a="1"/>
  <c r="AD583" i="11" s="1"/>
  <c r="AE583" i="11" s="1"/>
  <c r="BA1599" i="11"/>
  <c r="AB1599" i="11" s="1"/>
  <c r="BA1105" i="11"/>
  <c r="AB1105" i="11" s="1"/>
  <c r="AD1105" i="11" s="1" a="1"/>
  <c r="AD1105" i="11" s="1"/>
  <c r="AE1105" i="11" s="1"/>
  <c r="BA1386" i="11"/>
  <c r="AB1386" i="11" s="1"/>
  <c r="BA1858" i="11"/>
  <c r="AB1858" i="11" s="1"/>
  <c r="BA326" i="11"/>
  <c r="AB326" i="11" s="1"/>
  <c r="BA1802" i="11"/>
  <c r="AB1802" i="11" s="1"/>
  <c r="BA2000" i="11"/>
  <c r="AB2000" i="11" s="1"/>
  <c r="BA1168" i="11"/>
  <c r="AB1168" i="11" s="1"/>
  <c r="BA658" i="11"/>
  <c r="AB658" i="11" s="1"/>
  <c r="BA1165" i="11"/>
  <c r="AB1165" i="11" s="1"/>
  <c r="BA746" i="11"/>
  <c r="AB746" i="11" s="1"/>
  <c r="BA997" i="11"/>
  <c r="AB997" i="11" s="1"/>
  <c r="AD997" i="11" s="1" a="1"/>
  <c r="AD997" i="11" s="1"/>
  <c r="AE997" i="11" s="1"/>
  <c r="BA1810" i="11"/>
  <c r="AB1810" i="11" s="1"/>
  <c r="BA312" i="11"/>
  <c r="AB312" i="11" s="1"/>
  <c r="BA508" i="11"/>
  <c r="AB508" i="11" s="1"/>
  <c r="BA1650" i="11"/>
  <c r="AB1650" i="11" s="1"/>
  <c r="BA1201" i="11"/>
  <c r="AB1201" i="11" s="1"/>
  <c r="BA480" i="11"/>
  <c r="AB480" i="11" s="1"/>
  <c r="BA1594" i="11"/>
  <c r="AB1594" i="11" s="1"/>
  <c r="BA398" i="11"/>
  <c r="AB398" i="11" s="1"/>
  <c r="BA22" i="11"/>
  <c r="AB22" i="11" s="1"/>
  <c r="BA1842" i="11"/>
  <c r="AB1842" i="11" s="1"/>
  <c r="BA1511" i="11"/>
  <c r="AB1511" i="11" s="1"/>
  <c r="BA231" i="11"/>
  <c r="AB231" i="11" s="1"/>
  <c r="BA460" i="11"/>
  <c r="AB460" i="11" s="1"/>
  <c r="BA1000" i="11"/>
  <c r="AB1000" i="11" s="1"/>
  <c r="BA813" i="11"/>
  <c r="AB813" i="11" s="1"/>
  <c r="BA1255" i="11"/>
  <c r="AB1255" i="11" s="1"/>
  <c r="BA259" i="11"/>
  <c r="AB259" i="11" s="1"/>
  <c r="BA1912" i="11"/>
  <c r="AB1912" i="11" s="1"/>
  <c r="BA248" i="11"/>
  <c r="AB248" i="11" s="1"/>
  <c r="BA1894" i="11"/>
  <c r="AB1894" i="11" s="1"/>
  <c r="BA1860" i="11"/>
  <c r="AB1860" i="11" s="1"/>
  <c r="BA642" i="11"/>
  <c r="AB642" i="11" s="1"/>
  <c r="AF642" i="11" s="1" a="1"/>
  <c r="AF642" i="11" s="1"/>
  <c r="BA247" i="11"/>
  <c r="AB247" i="11" s="1"/>
  <c r="BA1990" i="11"/>
  <c r="AB1990" i="11" s="1"/>
  <c r="BA1727" i="11"/>
  <c r="AB1727" i="11" s="1"/>
  <c r="BA236" i="11"/>
  <c r="AB236" i="11" s="1"/>
  <c r="BA1670" i="11"/>
  <c r="AB1670" i="11" s="1"/>
  <c r="BA369" i="11"/>
  <c r="AB369" i="11" s="1"/>
  <c r="BA1213" i="11"/>
  <c r="AB1213" i="11" s="1"/>
  <c r="BA885" i="11"/>
  <c r="AB885" i="11" s="1"/>
  <c r="BA608" i="11"/>
  <c r="AB608" i="11" s="1"/>
  <c r="BA147" i="11"/>
  <c r="AB147" i="11" s="1"/>
  <c r="BA758" i="11"/>
  <c r="AB758" i="11" s="1"/>
  <c r="BA1682" i="11"/>
  <c r="AB1682" i="11" s="1"/>
  <c r="AD1682" i="11" s="1" a="1"/>
  <c r="AD1682" i="11" s="1"/>
  <c r="AE1682" i="11" s="1"/>
  <c r="BA1639" i="11"/>
  <c r="AB1639" i="11" s="1"/>
  <c r="BA855" i="11"/>
  <c r="AB855" i="11" s="1"/>
  <c r="BA1426" i="11"/>
  <c r="AB1426" i="11" s="1"/>
  <c r="BA1361" i="11"/>
  <c r="AB1361" i="11" s="1"/>
  <c r="AF1361" i="11" s="1" a="1"/>
  <c r="AF1361" i="11" s="1"/>
  <c r="BA1934" i="11"/>
  <c r="AB1934" i="11" s="1"/>
  <c r="BA269" i="11"/>
  <c r="AB269" i="11" s="1"/>
  <c r="BA1362" i="11"/>
  <c r="AB1362" i="11" s="1"/>
  <c r="BA1950" i="11"/>
  <c r="AB1950" i="11" s="1"/>
  <c r="BA1510" i="11"/>
  <c r="AB1510" i="11" s="1"/>
  <c r="BA1798" i="11"/>
  <c r="AB1798" i="11" s="1"/>
  <c r="BA220" i="11"/>
  <c r="AB220" i="11" s="1"/>
  <c r="BA68" i="11"/>
  <c r="AB68" i="11" s="1"/>
  <c r="BA1765" i="11"/>
  <c r="AB1765" i="11" s="1"/>
  <c r="BA1515" i="11"/>
  <c r="AB1515" i="11" s="1"/>
  <c r="BA1042" i="11"/>
  <c r="AB1042" i="11" s="1"/>
  <c r="BA1032" i="11"/>
  <c r="AB1032" i="11" s="1"/>
  <c r="AF1032" i="11" s="1" a="1"/>
  <c r="AF1032" i="11" s="1"/>
  <c r="BA1229" i="11"/>
  <c r="AB1229" i="11" s="1"/>
  <c r="BA1308" i="11"/>
  <c r="AB1308" i="11" s="1"/>
  <c r="BA429" i="11"/>
  <c r="AB429" i="11" s="1"/>
  <c r="BA251" i="11"/>
  <c r="AB251" i="11" s="1"/>
  <c r="BA752" i="11"/>
  <c r="AB752" i="11" s="1"/>
  <c r="BA1957" i="11"/>
  <c r="AB1957" i="11" s="1"/>
  <c r="BA274" i="11"/>
  <c r="AB274" i="11" s="1"/>
  <c r="BA1030" i="11"/>
  <c r="AB1030" i="11" s="1"/>
  <c r="BA1822" i="11"/>
  <c r="AB1822" i="11" s="1"/>
  <c r="BA663" i="11"/>
  <c r="AB663" i="11" s="1"/>
  <c r="BA1417" i="11"/>
  <c r="AB1417" i="11" s="1"/>
  <c r="BA1289" i="11"/>
  <c r="AB1289" i="11" s="1"/>
  <c r="BA423" i="11"/>
  <c r="AB423" i="11" s="1"/>
  <c r="BA18" i="11"/>
  <c r="AB18" i="11" s="1"/>
  <c r="BA1756" i="11"/>
  <c r="AB1756" i="11" s="1"/>
  <c r="BA979" i="11"/>
  <c r="AB979" i="11" s="1"/>
  <c r="BA1929" i="11"/>
  <c r="AB1929" i="11" s="1"/>
  <c r="BA255" i="11"/>
  <c r="AB255" i="11" s="1"/>
  <c r="BA106" i="11"/>
  <c r="AB106" i="11" s="1"/>
  <c r="BA1259" i="11"/>
  <c r="AB1259" i="11" s="1"/>
  <c r="BA602" i="11"/>
  <c r="AB602" i="11" s="1"/>
  <c r="BA1287" i="11"/>
  <c r="AB1287" i="11" s="1"/>
  <c r="AF1287" i="11" s="1" a="1"/>
  <c r="AF1287" i="11" s="1"/>
  <c r="BA1151" i="11"/>
  <c r="AB1151" i="11" s="1"/>
  <c r="BA1260" i="11"/>
  <c r="AB1260" i="11" s="1"/>
  <c r="AF1260" i="11" s="1" a="1"/>
  <c r="AF1260" i="11" s="1"/>
  <c r="BA33" i="11"/>
  <c r="AB33" i="11" s="1"/>
  <c r="BA817" i="11"/>
  <c r="AB817" i="11" s="1"/>
  <c r="BA1219" i="11"/>
  <c r="AB1219" i="11" s="1"/>
  <c r="BA651" i="11"/>
  <c r="AB651" i="11" s="1"/>
  <c r="BA1334" i="11"/>
  <c r="AB1334" i="11" s="1"/>
  <c r="BA531" i="11"/>
  <c r="AB531" i="11" s="1"/>
  <c r="BA39" i="11"/>
  <c r="AB39" i="11" s="1"/>
  <c r="BA823" i="11"/>
  <c r="AB823" i="11" s="1"/>
  <c r="BA982" i="11"/>
  <c r="AB982" i="11" s="1"/>
  <c r="BA1687" i="11"/>
  <c r="AB1687" i="11" s="1"/>
  <c r="AD1687" i="11" s="1" a="1"/>
  <c r="AD1687" i="11" s="1"/>
  <c r="AE1687" i="11" s="1"/>
  <c r="BA1227" i="11"/>
  <c r="AB1227" i="11" s="1"/>
  <c r="BA393" i="11"/>
  <c r="AB393" i="11" s="1"/>
  <c r="BA2007" i="11"/>
  <c r="AB2007" i="11" s="1"/>
  <c r="BA696" i="11"/>
  <c r="AB696" i="11" s="1"/>
  <c r="AD696" i="11" s="1" a="1"/>
  <c r="AD696" i="11" s="1"/>
  <c r="AE696" i="11" s="1"/>
  <c r="BA1119" i="11"/>
  <c r="AB1119" i="11" s="1"/>
  <c r="BA950" i="11"/>
  <c r="AB950" i="11" s="1"/>
  <c r="BA1530" i="11"/>
  <c r="AB1530" i="11" s="1"/>
  <c r="BA1976" i="11"/>
  <c r="AB1976" i="11" s="1"/>
  <c r="BA829" i="11"/>
  <c r="AB829" i="11" s="1"/>
  <c r="BA1667" i="11"/>
  <c r="AB1667" i="11" s="1"/>
  <c r="BA1812" i="11"/>
  <c r="AB1812" i="11" s="1"/>
  <c r="BA57" i="11"/>
  <c r="AB57" i="11" s="1"/>
  <c r="BA1771" i="11"/>
  <c r="AB1771" i="11" s="1"/>
  <c r="BA1736" i="11"/>
  <c r="AB1736" i="11" s="1"/>
  <c r="BA482" i="11"/>
  <c r="AB482" i="11" s="1"/>
  <c r="BA835" i="11"/>
  <c r="AB835" i="11" s="1"/>
  <c r="AD835" i="11" s="1" a="1"/>
  <c r="AD835" i="11" s="1"/>
  <c r="AE835" i="11" s="1"/>
  <c r="BA1373" i="11"/>
  <c r="AB1373" i="11" s="1"/>
  <c r="BA50" i="11"/>
  <c r="AB50" i="11" s="1"/>
  <c r="BA78" i="11"/>
  <c r="AB78" i="11" s="1"/>
  <c r="BA1109" i="11"/>
  <c r="AB1109" i="11" s="1"/>
  <c r="BA841" i="11"/>
  <c r="AB841" i="11" s="1"/>
  <c r="BA1559" i="11"/>
  <c r="AB1559" i="11" s="1"/>
  <c r="BA779" i="11"/>
  <c r="AB779" i="11" s="1"/>
  <c r="BA959" i="11"/>
  <c r="AB959" i="11" s="1"/>
  <c r="BA785" i="11"/>
  <c r="AB785" i="11" s="1"/>
  <c r="BA832" i="11"/>
  <c r="AB832" i="11" s="1"/>
  <c r="BA1519" i="11"/>
  <c r="AB1519" i="11" s="1"/>
  <c r="AF1519" i="11" s="1" a="1"/>
  <c r="AF1519" i="11" s="1"/>
  <c r="BA1209" i="11"/>
  <c r="AB1209" i="11" s="1"/>
  <c r="BA1482" i="11"/>
  <c r="AB1482" i="11" s="1"/>
  <c r="BA731" i="11"/>
  <c r="AB731" i="11" s="1"/>
  <c r="BA737" i="11"/>
  <c r="AB737" i="11" s="1"/>
  <c r="BA967" i="11"/>
  <c r="AB967" i="11" s="1"/>
  <c r="BA1991" i="11"/>
  <c r="AB1991" i="11" s="1"/>
  <c r="BA1090" i="11"/>
  <c r="AB1090" i="11" s="1"/>
  <c r="BA557" i="11"/>
  <c r="AB557" i="11" s="1"/>
  <c r="BA1546" i="11"/>
  <c r="AB1546" i="11" s="1"/>
  <c r="BA133" i="11"/>
  <c r="AB133" i="11" s="1"/>
  <c r="BA1071" i="11"/>
  <c r="AB1071" i="11" s="1"/>
  <c r="AF1071" i="11" s="1" a="1"/>
  <c r="AF1071" i="11" s="1"/>
  <c r="BA506" i="11"/>
  <c r="AB506" i="11" s="1"/>
  <c r="BA1622" i="11"/>
  <c r="AB1622" i="11" s="1"/>
  <c r="AA1622" i="11" s="1"/>
  <c r="BA256" i="11"/>
  <c r="AB256" i="11" s="1"/>
  <c r="BA1167" i="11"/>
  <c r="AB1167" i="11" s="1"/>
  <c r="BA1388" i="11"/>
  <c r="AB1388" i="11" s="1"/>
  <c r="BA1492" i="11"/>
  <c r="AB1492" i="11" s="1"/>
  <c r="BA1297" i="11"/>
  <c r="AB1297" i="11" s="1"/>
  <c r="BA1463" i="11"/>
  <c r="AB1463" i="11" s="1"/>
  <c r="BA391" i="11"/>
  <c r="AB391" i="11" s="1"/>
  <c r="BA1230" i="11"/>
  <c r="AB1230" i="11" s="1"/>
  <c r="BA1283" i="11"/>
  <c r="AB1283" i="11" s="1"/>
  <c r="BA1277" i="11"/>
  <c r="AB1277" i="11" s="1"/>
  <c r="AD1277" i="11" s="1" a="1"/>
  <c r="AD1277" i="11" s="1"/>
  <c r="AE1277" i="11" s="1"/>
  <c r="BA1131" i="11"/>
  <c r="AB1131" i="11" s="1"/>
  <c r="BA80" i="11"/>
  <c r="AB80" i="11" s="1"/>
  <c r="BA41" i="11"/>
  <c r="AB41" i="11" s="1"/>
  <c r="BA1135" i="11"/>
  <c r="AB1135" i="11" s="1"/>
  <c r="BA129" i="11"/>
  <c r="AB129" i="11" s="1"/>
  <c r="BA330" i="11"/>
  <c r="AB330" i="11" s="1"/>
  <c r="BA1726" i="11"/>
  <c r="AB1726" i="11" s="1"/>
  <c r="BA891" i="11"/>
  <c r="AB891" i="11" s="1"/>
  <c r="BA1288" i="11"/>
  <c r="AB1288" i="11" s="1"/>
  <c r="BA1429" i="11"/>
  <c r="AB1429" i="11" s="1"/>
  <c r="BA909" i="11"/>
  <c r="AB909" i="11" s="1"/>
  <c r="BA530" i="11"/>
  <c r="AB530" i="11" s="1"/>
  <c r="BA747" i="11"/>
  <c r="AB747" i="11" s="1"/>
  <c r="BA350" i="11"/>
  <c r="AB350" i="11" s="1"/>
  <c r="BA1988" i="11"/>
  <c r="AB1988" i="11" s="1"/>
  <c r="BA483" i="11"/>
  <c r="AB483" i="11" s="1"/>
  <c r="AF483" i="11" s="1" a="1"/>
  <c r="AF483" i="11" s="1"/>
  <c r="BA489" i="11"/>
  <c r="AB489" i="11" s="1"/>
  <c r="BA613" i="11"/>
  <c r="AB613" i="11" s="1"/>
  <c r="BA1724" i="11"/>
  <c r="AB1724" i="11" s="1"/>
  <c r="BA1790" i="11"/>
  <c r="AB1790" i="11" s="1"/>
  <c r="BA1435" i="11"/>
  <c r="AB1435" i="11" s="1"/>
  <c r="BA1384" i="11"/>
  <c r="AB1384" i="11" s="1"/>
  <c r="BA804" i="11"/>
  <c r="AB804" i="11" s="1"/>
  <c r="BA1831" i="11"/>
  <c r="AB1831" i="11" s="1"/>
  <c r="BA372" i="11"/>
  <c r="AB372" i="11" s="1"/>
  <c r="BA62" i="11"/>
  <c r="AB62" i="11" s="1"/>
  <c r="BA1234" i="11"/>
  <c r="AB1234" i="11" s="1"/>
  <c r="BA1857" i="11"/>
  <c r="AB1857" i="11" s="1"/>
  <c r="BA1960" i="11"/>
  <c r="AB1960" i="11" s="1"/>
  <c r="BA1400" i="11"/>
  <c r="AB1400" i="11" s="1"/>
  <c r="BA1166" i="11"/>
  <c r="AB1166" i="11" s="1"/>
  <c r="BA490" i="11"/>
  <c r="AB490" i="11" s="1"/>
  <c r="BA89" i="11"/>
  <c r="AB89" i="11" s="1"/>
  <c r="BA1663" i="11"/>
  <c r="AB1663" i="11" s="1"/>
  <c r="BA1075" i="11"/>
  <c r="AB1075" i="11" s="1"/>
  <c r="BA1340" i="11"/>
  <c r="AB1340" i="11" s="1"/>
  <c r="BA1423" i="11"/>
  <c r="AB1423" i="11" s="1"/>
  <c r="BA1652" i="11"/>
  <c r="AB1652" i="11" s="1"/>
  <c r="AD1652" i="11" s="1" a="1"/>
  <c r="AD1652" i="11" s="1"/>
  <c r="AE1652" i="11" s="1"/>
  <c r="BA1966" i="11"/>
  <c r="AB1966" i="11" s="1"/>
  <c r="BA940" i="11"/>
  <c r="AB940" i="11" s="1"/>
  <c r="AD940" i="11" s="1" a="1"/>
  <c r="AD940" i="11" s="1"/>
  <c r="AE940" i="11" s="1"/>
  <c r="BA246" i="11"/>
  <c r="AB246" i="11" s="1"/>
  <c r="BA895" i="11"/>
  <c r="AB895" i="11" s="1"/>
  <c r="BA729" i="11"/>
  <c r="AB729" i="11" s="1"/>
  <c r="BA1840" i="11"/>
  <c r="AB1840" i="11" s="1"/>
  <c r="AF1840" i="11" s="1" a="1"/>
  <c r="AF1840" i="11" s="1"/>
  <c r="BA618" i="11"/>
  <c r="AB618" i="11" s="1"/>
  <c r="BA926" i="11"/>
  <c r="AB926" i="11" s="1"/>
  <c r="BA189" i="11"/>
  <c r="AB189" i="11" s="1"/>
  <c r="BA310" i="11"/>
  <c r="AB310" i="11" s="1"/>
  <c r="BA514" i="11"/>
  <c r="AB514" i="11" s="1"/>
  <c r="BA275" i="11"/>
  <c r="AB275" i="11" s="1"/>
  <c r="AF275" i="11" s="1" a="1"/>
  <c r="AF275" i="11" s="1"/>
  <c r="BA314" i="11"/>
  <c r="AB314" i="11" s="1"/>
  <c r="BA774" i="11"/>
  <c r="AB774" i="11" s="1"/>
  <c r="BA584" i="11"/>
  <c r="AB584" i="11" s="1"/>
  <c r="BA1001" i="11"/>
  <c r="AB1001" i="11" s="1"/>
  <c r="BA402" i="11"/>
  <c r="AB402" i="11" s="1"/>
  <c r="BA815" i="11"/>
  <c r="AB815" i="11" s="1"/>
  <c r="AF815" i="11" s="1" a="1"/>
  <c r="AF815" i="11" s="1"/>
  <c r="BA844" i="11"/>
  <c r="AB844" i="11" s="1"/>
  <c r="BA1975" i="11"/>
  <c r="AB1975" i="11" s="1"/>
  <c r="BA860" i="11"/>
  <c r="AB860" i="11" s="1"/>
  <c r="BA1642" i="11"/>
  <c r="AB1642" i="11" s="1"/>
  <c r="BA383" i="11"/>
  <c r="AB383" i="11" s="1"/>
  <c r="BA451" i="11"/>
  <c r="AB451" i="11" s="1"/>
  <c r="BA525" i="11"/>
  <c r="AB525" i="11" s="1"/>
  <c r="BA790" i="11"/>
  <c r="AB790" i="11" s="1"/>
  <c r="BA1891" i="11"/>
  <c r="AB1891" i="11" s="1"/>
  <c r="BA450" i="11"/>
  <c r="AB450" i="11" s="1"/>
  <c r="BA1721" i="11"/>
  <c r="AB1721" i="11" s="1"/>
  <c r="BA214" i="11"/>
  <c r="AB214" i="11" s="1"/>
  <c r="BA1703" i="11"/>
  <c r="AB1703" i="11" s="1"/>
  <c r="BA1142" i="11"/>
  <c r="AB1142" i="11" s="1"/>
  <c r="BA510" i="11"/>
  <c r="AB510" i="11" s="1"/>
  <c r="BA733" i="11"/>
  <c r="AB733" i="11" s="1"/>
  <c r="AF733" i="11" s="1" a="1"/>
  <c r="AF733" i="11" s="1"/>
  <c r="BA1445" i="11"/>
  <c r="AB1445" i="11" s="1"/>
  <c r="BA431" i="11"/>
  <c r="AB431" i="11" s="1"/>
  <c r="BA748" i="11"/>
  <c r="AB748" i="11" s="1"/>
  <c r="BA1465" i="11"/>
  <c r="AB1465" i="11" s="1"/>
  <c r="BA61" i="11"/>
  <c r="AB61" i="11" s="1"/>
  <c r="BA163" i="11"/>
  <c r="AB163" i="11" s="1"/>
  <c r="BA1456" i="11"/>
  <c r="AB1456" i="11" s="1"/>
  <c r="BA1390" i="11"/>
  <c r="AB1390" i="11" s="1"/>
  <c r="BA1685" i="11"/>
  <c r="AB1685" i="11" s="1"/>
  <c r="BA474" i="11"/>
  <c r="AB474" i="11" s="1"/>
  <c r="BA727" i="11"/>
  <c r="AB727" i="11" s="1"/>
  <c r="AD727" i="11" s="1" a="1"/>
  <c r="AD727" i="11" s="1"/>
  <c r="AE727" i="11" s="1"/>
  <c r="BA1268" i="11"/>
  <c r="AB1268" i="11" s="1"/>
  <c r="BA440" i="11"/>
  <c r="AB440" i="11" s="1"/>
  <c r="BA507" i="11"/>
  <c r="AB507" i="11" s="1"/>
  <c r="BA713" i="11"/>
  <c r="AB713" i="11" s="1"/>
  <c r="BA1851" i="11"/>
  <c r="AB1851" i="11" s="1"/>
  <c r="BA857" i="11"/>
  <c r="AB857" i="11" s="1"/>
  <c r="BA786" i="11"/>
  <c r="AB786" i="11" s="1"/>
  <c r="BA767" i="11"/>
  <c r="AB767" i="11" s="1"/>
  <c r="BA1532" i="11"/>
  <c r="AB1532" i="11" s="1"/>
  <c r="BA194" i="11"/>
  <c r="AB194" i="11" s="1"/>
  <c r="BA631" i="11"/>
  <c r="AB631" i="11" s="1"/>
  <c r="BA199" i="11"/>
  <c r="AB199" i="11" s="1"/>
  <c r="BA351" i="11"/>
  <c r="AB351" i="11" s="1"/>
  <c r="BA1792" i="11"/>
  <c r="AB1792" i="11" s="1"/>
  <c r="BA1144" i="11"/>
  <c r="AB1144" i="11" s="1"/>
  <c r="BA1580" i="11"/>
  <c r="AB1580" i="11" s="1"/>
  <c r="BA1382" i="11"/>
  <c r="AB1382" i="11" s="1"/>
  <c r="AF1382" i="11" s="1" a="1"/>
  <c r="AF1382" i="11" s="1"/>
  <c r="BA973" i="11"/>
  <c r="AB973" i="11" s="1"/>
  <c r="BA2013" i="11"/>
  <c r="AB2013" i="11" s="1"/>
  <c r="BA688" i="11"/>
  <c r="AB688" i="11" s="1"/>
  <c r="BA378" i="11"/>
  <c r="AB378" i="11" s="1"/>
  <c r="AD378" i="11" s="1" a="1"/>
  <c r="AD378" i="11" s="1"/>
  <c r="AE378" i="11" s="1"/>
  <c r="BA1286" i="11"/>
  <c r="AB1286" i="11" s="1"/>
  <c r="BA213" i="11"/>
  <c r="AB213" i="11" s="1"/>
  <c r="AA213" i="11" s="1"/>
  <c r="BA485" i="11"/>
  <c r="AB485" i="11" s="1"/>
  <c r="BA1983" i="11"/>
  <c r="AB1983" i="11" s="1"/>
  <c r="BA198" i="11"/>
  <c r="AB198" i="11" s="1"/>
  <c r="BA1782" i="11"/>
  <c r="AB1782" i="11" s="1"/>
  <c r="BA1781" i="11"/>
  <c r="AB1781" i="11" s="1"/>
  <c r="BA1504" i="11"/>
  <c r="AB1504" i="11" s="1"/>
  <c r="BA1905" i="11"/>
  <c r="AB1905" i="11" s="1"/>
  <c r="BA1503" i="11"/>
  <c r="AB1503" i="11" s="1"/>
  <c r="BA1097" i="11"/>
  <c r="AB1097" i="11" s="1"/>
  <c r="BA1930" i="11"/>
  <c r="AB1930" i="11" s="1"/>
  <c r="AD1930" i="11" s="1" a="1"/>
  <c r="AD1930" i="11" s="1"/>
  <c r="AE1930" i="11" s="1"/>
  <c r="BA991" i="11"/>
  <c r="AB991" i="11" s="1"/>
  <c r="BA1598" i="11"/>
  <c r="AB1598" i="11" s="1"/>
  <c r="BA1680" i="11"/>
  <c r="AB1680" i="11" s="1"/>
  <c r="BA1054" i="11"/>
  <c r="AB1054" i="11" s="1"/>
  <c r="BA1176" i="11"/>
  <c r="AB1176" i="11" s="1"/>
  <c r="BA356" i="11"/>
  <c r="AB356" i="11" s="1"/>
  <c r="BA845" i="11"/>
  <c r="AB845" i="11" s="1"/>
  <c r="BA820" i="11"/>
  <c r="AB820" i="11" s="1"/>
  <c r="BA1881" i="11"/>
  <c r="AB1881" i="11" s="1"/>
  <c r="BA794" i="11"/>
  <c r="AB794" i="11" s="1"/>
  <c r="BA617" i="11"/>
  <c r="AB617" i="11" s="1"/>
  <c r="BA861" i="11"/>
  <c r="AB861" i="11" s="1"/>
  <c r="BA426" i="11"/>
  <c r="AB426" i="11" s="1"/>
  <c r="BA59" i="11"/>
  <c r="AB59" i="11" s="1"/>
  <c r="BA1154" i="11"/>
  <c r="AB1154" i="11" s="1"/>
  <c r="BA1245" i="11"/>
  <c r="AB1245" i="11" s="1"/>
  <c r="BA552" i="11"/>
  <c r="AB552" i="11" s="1"/>
  <c r="BA94" i="11"/>
  <c r="AB94" i="11" s="1"/>
  <c r="BA769" i="11"/>
  <c r="AB769" i="11" s="1"/>
  <c r="BA594" i="11"/>
  <c r="AB594" i="11" s="1"/>
  <c r="BA1481" i="11"/>
  <c r="AB1481" i="11" s="1"/>
  <c r="BA295" i="11"/>
  <c r="AB295" i="11" s="1"/>
  <c r="BA1568" i="11"/>
  <c r="AB1568" i="11" s="1"/>
  <c r="BA1222" i="11"/>
  <c r="AB1222" i="11" s="1"/>
  <c r="BA808" i="11"/>
  <c r="AB808" i="11" s="1"/>
  <c r="BA1070" i="11"/>
  <c r="AB1070" i="11" s="1"/>
  <c r="BA1091" i="11"/>
  <c r="AB1091" i="11" s="1"/>
  <c r="BA1226" i="11"/>
  <c r="AB1226" i="11" s="1"/>
  <c r="BA87" i="11"/>
  <c r="AB87" i="11" s="1"/>
  <c r="BA896" i="11"/>
  <c r="AB896" i="11" s="1"/>
  <c r="BA1760" i="11"/>
  <c r="AB1760" i="11" s="1"/>
  <c r="BA620" i="11"/>
  <c r="AB620" i="11" s="1"/>
  <c r="BA75" i="11"/>
  <c r="AB75" i="11" s="1"/>
  <c r="BA1391" i="11"/>
  <c r="AB1391" i="11" s="1"/>
  <c r="BA477" i="11"/>
  <c r="AB477" i="11" s="1"/>
  <c r="BA392" i="11"/>
  <c r="AB392" i="11" s="1"/>
  <c r="BA1978" i="11"/>
  <c r="AB1978" i="11" s="1"/>
  <c r="BA1506" i="11"/>
  <c r="AB1506" i="11" s="1"/>
  <c r="AF1506" i="11" s="1" a="1"/>
  <c r="AF1506" i="11" s="1"/>
  <c r="BA1418" i="11"/>
  <c r="AB1418" i="11" s="1"/>
  <c r="BA504" i="11"/>
  <c r="AB504" i="11" s="1"/>
  <c r="AA504" i="11" s="1"/>
  <c r="BA1643" i="11"/>
  <c r="AB1643" i="11" s="1"/>
  <c r="BA1731" i="11"/>
  <c r="AB1731" i="11" s="1"/>
  <c r="BA1041" i="11"/>
  <c r="AB1041" i="11" s="1"/>
  <c r="BA970" i="11"/>
  <c r="AB970" i="11" s="1"/>
  <c r="BA1693" i="11"/>
  <c r="AB1693" i="11" s="1"/>
  <c r="BA1064" i="11"/>
  <c r="AB1064" i="11" s="1"/>
  <c r="BA1985" i="11"/>
  <c r="AB1985" i="11" s="1"/>
  <c r="BA701" i="11"/>
  <c r="AB701" i="11" s="1"/>
  <c r="BA1939" i="11"/>
  <c r="AB1939" i="11" s="1"/>
  <c r="BA1832" i="11"/>
  <c r="AB1832" i="11" s="1"/>
  <c r="AD1832" i="11" s="1" a="1"/>
  <c r="AD1832" i="11" s="1"/>
  <c r="AE1832" i="11" s="1"/>
  <c r="BA876" i="11"/>
  <c r="AB876" i="11" s="1"/>
  <c r="BA1117" i="11"/>
  <c r="AB1117" i="11" s="1"/>
  <c r="BA1621" i="11"/>
  <c r="AB1621" i="11" s="1"/>
  <c r="BA1137" i="11"/>
  <c r="AB1137" i="11" s="1"/>
  <c r="BA1402" i="11"/>
  <c r="AB1402" i="11" s="1"/>
  <c r="BA1738" i="11"/>
  <c r="AB1738" i="11" s="1"/>
  <c r="BA660" i="11"/>
  <c r="AB660" i="11" s="1"/>
  <c r="BA202" i="11"/>
  <c r="AB202" i="11" s="1"/>
  <c r="BA606" i="11"/>
  <c r="AB606" i="11" s="1"/>
  <c r="BA100" i="11"/>
  <c r="AB100" i="11" s="1"/>
  <c r="BA1708" i="11"/>
  <c r="AB1708" i="11" s="1"/>
  <c r="BA649" i="11"/>
  <c r="AB649" i="11" s="1"/>
  <c r="BA776" i="11"/>
  <c r="AB776" i="11" s="1"/>
  <c r="BA1572" i="11"/>
  <c r="AB1572" i="11" s="1"/>
  <c r="BA1678" i="11"/>
  <c r="AB1678" i="11" s="1"/>
  <c r="BA1943" i="11"/>
  <c r="AB1943" i="11" s="1"/>
  <c r="BA1524" i="11"/>
  <c r="AB1524" i="11" s="1"/>
  <c r="BA824" i="11"/>
  <c r="AB824" i="11" s="1"/>
  <c r="BA1739" i="11"/>
  <c r="AB1739" i="11" s="1"/>
  <c r="BA166" i="11"/>
  <c r="AB166" i="11" s="1"/>
  <c r="BA1483" i="11"/>
  <c r="AB1483" i="11" s="1"/>
  <c r="BA308" i="11"/>
  <c r="AB308" i="11" s="1"/>
  <c r="BA136" i="11"/>
  <c r="AB136" i="11" s="1"/>
  <c r="BA370" i="11"/>
  <c r="AB370" i="11" s="1"/>
  <c r="BA625" i="11"/>
  <c r="AB625" i="11" s="1"/>
  <c r="BA839" i="11"/>
  <c r="AB839" i="11" s="1"/>
  <c r="BA416" i="11"/>
  <c r="AB416" i="11" s="1"/>
  <c r="BA513" i="11"/>
  <c r="AB513" i="11" s="1"/>
  <c r="AF513" i="11" s="1" a="1"/>
  <c r="AF513" i="11" s="1"/>
  <c r="BA730" i="11"/>
  <c r="AB730" i="11" s="1"/>
  <c r="BA1730" i="11"/>
  <c r="AB1730" i="11" s="1"/>
  <c r="BA597" i="11"/>
  <c r="AB597" i="11" s="1"/>
  <c r="BA1102" i="11"/>
  <c r="AB1102" i="11" s="1"/>
  <c r="BA826" i="11"/>
  <c r="AB826" i="11" s="1"/>
  <c r="BA1437" i="11"/>
  <c r="AB1437" i="11" s="1"/>
  <c r="AF1437" i="11" s="1" a="1"/>
  <c r="AF1437" i="11" s="1"/>
  <c r="BA1774" i="11"/>
  <c r="AB1774" i="11" s="1"/>
  <c r="BA1130" i="11"/>
  <c r="AB1130" i="11" s="1"/>
  <c r="BA1307" i="11"/>
  <c r="AB1307" i="11" s="1"/>
  <c r="BA1074" i="11"/>
  <c r="AB1074" i="11" s="1"/>
  <c r="AF1074" i="11" s="1" a="1"/>
  <c r="AF1074" i="11" s="1"/>
  <c r="BA1770" i="11"/>
  <c r="AB1770" i="11" s="1"/>
  <c r="BA1378" i="11"/>
  <c r="AB1378" i="11" s="1"/>
  <c r="BA537" i="11"/>
  <c r="AB537" i="11" s="1"/>
  <c r="BA1139" i="11"/>
  <c r="AB1139" i="11" s="1"/>
  <c r="BA1577" i="11"/>
  <c r="AB1577" i="11" s="1"/>
  <c r="BA1328" i="11"/>
  <c r="AB1328" i="11" s="1"/>
  <c r="BA52" i="11"/>
  <c r="AB52" i="11" s="1"/>
  <c r="BA108" i="11"/>
  <c r="AB108" i="11" s="1"/>
  <c r="BA1107" i="11"/>
  <c r="AB1107" i="11" s="1"/>
  <c r="BA1068" i="11"/>
  <c r="AB1068" i="11" s="1"/>
  <c r="BA1232" i="11"/>
  <c r="AB1232" i="11" s="1"/>
  <c r="BA342" i="11"/>
  <c r="AB342" i="11" s="1"/>
  <c r="BA1814" i="11"/>
  <c r="AB1814" i="11" s="1"/>
  <c r="BA265" i="11"/>
  <c r="AB265" i="11" s="1"/>
  <c r="AF265" i="11" s="1" a="1"/>
  <c r="AF265" i="11" s="1"/>
  <c r="BA341" i="11"/>
  <c r="AB341" i="11" s="1"/>
  <c r="BA670" i="11"/>
  <c r="AB670" i="11" s="1"/>
  <c r="BA1089" i="11"/>
  <c r="AB1089" i="11" s="1"/>
  <c r="BA1387" i="11"/>
  <c r="AB1387" i="11" s="1"/>
  <c r="BA1755" i="11"/>
  <c r="AB1755" i="11" s="1"/>
  <c r="BA1900" i="11"/>
  <c r="AB1900" i="11" s="1"/>
  <c r="AF1900" i="11" s="1" a="1"/>
  <c r="AF1900" i="11" s="1"/>
  <c r="BA596" i="11"/>
  <c r="AB596" i="11" s="1"/>
  <c r="BA1263" i="11"/>
  <c r="AB1263" i="11" s="1"/>
  <c r="BA773" i="11"/>
  <c r="AB773" i="11" s="1"/>
  <c r="BA1702" i="11"/>
  <c r="AB1702" i="11" s="1"/>
  <c r="BA753" i="11"/>
  <c r="AB753" i="11" s="1"/>
  <c r="BA1199" i="11"/>
  <c r="AB1199" i="11" s="1"/>
  <c r="BA889" i="11"/>
  <c r="AB889" i="11" s="1"/>
  <c r="BA1917" i="11"/>
  <c r="AB1917" i="11" s="1"/>
  <c r="BA1395" i="11"/>
  <c r="AB1395" i="11" s="1"/>
  <c r="BA1994" i="11"/>
  <c r="AB1994" i="11" s="1"/>
  <c r="BA492" i="11"/>
  <c r="AB492" i="11" s="1"/>
  <c r="BA1158" i="11"/>
  <c r="AB1158" i="11" s="1"/>
  <c r="BA88" i="11"/>
  <c r="AB88" i="11" s="1"/>
  <c r="BA422" i="11"/>
  <c r="AB422" i="11" s="1"/>
  <c r="AD422" i="11" s="1" a="1"/>
  <c r="AD422" i="11" s="1"/>
  <c r="AE422" i="11" s="1"/>
  <c r="BA1697" i="11"/>
  <c r="AB1697" i="11" s="1"/>
  <c r="BA1126" i="11"/>
  <c r="AB1126" i="11" s="1"/>
  <c r="BA1548" i="11"/>
  <c r="AB1548" i="11" s="1"/>
  <c r="BA1050" i="11"/>
  <c r="AB1050" i="11" s="1"/>
  <c r="BA98" i="11"/>
  <c r="AB98" i="11" s="1"/>
  <c r="BA874" i="11"/>
  <c r="AB874" i="11" s="1"/>
  <c r="AF874" i="11" s="1" a="1"/>
  <c r="AF874" i="11" s="1"/>
  <c r="BA1783" i="11"/>
  <c r="AB1783" i="11" s="1"/>
  <c r="BA24" i="11"/>
  <c r="AB24" i="11" s="1"/>
  <c r="AF24" i="11" s="1" a="1"/>
  <c r="AF24" i="11" s="1"/>
  <c r="BA661" i="11"/>
  <c r="AB661" i="11" s="1"/>
  <c r="BA1333" i="11"/>
  <c r="AB1333" i="11" s="1"/>
  <c r="BA1940" i="11"/>
  <c r="AB1940" i="11" s="1"/>
  <c r="BA1273" i="11"/>
  <c r="AB1273" i="11" s="1"/>
  <c r="BA1543" i="11"/>
  <c r="AB1543" i="11" s="1"/>
  <c r="BA1459" i="11"/>
  <c r="AB1459" i="11" s="1"/>
  <c r="AD1459" i="11" s="1" a="1"/>
  <c r="AD1459" i="11" s="1"/>
  <c r="AE1459" i="11" s="1"/>
  <c r="BA1451" i="11"/>
  <c r="AB1451" i="11" s="1"/>
  <c r="BA204" i="11"/>
  <c r="AB204" i="11" s="1"/>
  <c r="BA31" i="11"/>
  <c r="AB31" i="11" s="1"/>
  <c r="BA1113" i="11"/>
  <c r="AB1113" i="11" s="1"/>
  <c r="BA317" i="11"/>
  <c r="AB317" i="11" s="1"/>
  <c r="BA1020" i="11"/>
  <c r="AB1020" i="11" s="1"/>
  <c r="BA738" i="11"/>
  <c r="AB738" i="11" s="1"/>
  <c r="BA542" i="11"/>
  <c r="AB542" i="11" s="1"/>
  <c r="BA722" i="11"/>
  <c r="AB722" i="11" s="1"/>
  <c r="BA428" i="11"/>
  <c r="AB428"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24" i="11"/>
  <c r="AB1124" i="11" s="1"/>
  <c r="BA1517" i="11"/>
  <c r="AB1517" i="11" s="1"/>
  <c r="BA955" i="11"/>
  <c r="AB955" i="11" s="1"/>
  <c r="BA222" i="11"/>
  <c r="AB222" i="11" s="1"/>
  <c r="BA1017" i="11"/>
  <c r="AB1017" i="11" s="1"/>
  <c r="BA1690" i="11"/>
  <c r="AB1690" i="11" s="1"/>
  <c r="BA1938" i="11"/>
  <c r="AB1938" i="11" s="1"/>
  <c r="AF1938" i="11" s="1" a="1"/>
  <c r="AF1938" i="11" s="1"/>
  <c r="BA1120" i="11"/>
  <c r="AB1120" i="11" s="1"/>
  <c r="BA181" i="11"/>
  <c r="AB181" i="11" s="1"/>
  <c r="BA1825" i="11"/>
  <c r="AB1825" i="11" s="1"/>
  <c r="BA825" i="11"/>
  <c r="AB825" i="11" s="1"/>
  <c r="BA1813" i="11"/>
  <c r="AB1813" i="11" s="1"/>
  <c r="BA846" i="11"/>
  <c r="AB846" i="11" s="1"/>
  <c r="AF846" i="11" s="1" a="1"/>
  <c r="AF846" i="11" s="1"/>
  <c r="BA1785" i="11"/>
  <c r="AB1785" i="11" s="1"/>
  <c r="BA354" i="11"/>
  <c r="AB354" i="11" s="1"/>
  <c r="BA1187" i="11"/>
  <c r="AB1187" i="11" s="1"/>
  <c r="BA25" i="11"/>
  <c r="AB25" i="11" s="1"/>
  <c r="BA268" i="11"/>
  <c r="AB268" i="11" s="1"/>
  <c r="BA1547" i="11"/>
  <c r="AB1547" i="11" s="1"/>
  <c r="BA1692" i="11"/>
  <c r="AB1692" i="11" s="1"/>
  <c r="BA1094" i="11"/>
  <c r="AB1094" i="11" s="1"/>
  <c r="BA42" i="11"/>
  <c r="AB42" i="11" s="1"/>
  <c r="BA1645" i="11"/>
  <c r="AB1645" i="11" s="1"/>
  <c r="BA900" i="11"/>
  <c r="AB900" i="11" s="1"/>
  <c r="BA946" i="11"/>
  <c r="AB946" i="11" s="1"/>
  <c r="BA1588" i="11"/>
  <c r="AB1588" i="11" s="1"/>
  <c r="BA344" i="11"/>
  <c r="AB344" i="11" s="1"/>
  <c r="AF344" i="11" s="1" a="1"/>
  <c r="AF344" i="11" s="1"/>
  <c r="BA927" i="11"/>
  <c r="AB927" i="11" s="1"/>
  <c r="BA1734" i="11"/>
  <c r="AB1734" i="11" s="1"/>
  <c r="AA1734" i="11" s="1"/>
  <c r="BA1116" i="11"/>
  <c r="AB1116" i="11" s="1"/>
  <c r="BA1623" i="11"/>
  <c r="AB1623" i="11" s="1"/>
  <c r="BA306" i="11"/>
  <c r="AB306" i="11" s="1"/>
  <c r="BA988" i="11"/>
  <c r="AB988" i="11" s="1"/>
  <c r="AF988" i="11" s="1" a="1"/>
  <c r="AF988" i="11" s="1"/>
  <c r="BA1505" i="11"/>
  <c r="AB1505" i="11" s="1"/>
  <c r="BA117" i="11"/>
  <c r="AB117" i="11" s="1"/>
  <c r="BA719" i="11"/>
  <c r="AB719" i="11" s="1"/>
  <c r="BA1450" i="11"/>
  <c r="AB1450" i="11" s="1"/>
  <c r="BA598" i="11"/>
  <c r="AB598" i="11" s="1"/>
  <c r="BA575" i="11"/>
  <c r="AB575" i="11" s="1"/>
  <c r="BA902" i="11"/>
  <c r="AB902" i="11" s="1"/>
  <c r="BA1885" i="11"/>
  <c r="AB1885" i="11" s="1"/>
  <c r="AF1885" i="11" s="1" a="1"/>
  <c r="AF1885" i="11" s="1"/>
  <c r="BA1434" i="11"/>
  <c r="AB1434" i="11" s="1"/>
  <c r="BA549" i="11"/>
  <c r="AB549" i="11" s="1"/>
  <c r="BA1839" i="11"/>
  <c r="AB1839" i="11" s="1"/>
  <c r="BA784" i="11"/>
  <c r="AB784" i="11" s="1"/>
  <c r="BA1293" i="11"/>
  <c r="AB1293" i="11" s="1"/>
  <c r="BA1043" i="11"/>
  <c r="AB1043" i="11" s="1"/>
  <c r="AF1043" i="11" s="1" a="1"/>
  <c r="AF1043" i="11" s="1"/>
  <c r="BA1518" i="11"/>
  <c r="AB1518" i="11" s="1"/>
  <c r="BA19" i="11"/>
  <c r="AB19" i="11" s="1"/>
  <c r="BA338" i="11"/>
  <c r="AB338" i="11" s="1"/>
  <c r="BA1047" i="11"/>
  <c r="AB1047" i="11" s="1"/>
  <c r="BA193" i="11"/>
  <c r="AB193" i="11" s="1"/>
  <c r="BA1699" i="11"/>
  <c r="AB1699" i="11" s="1"/>
  <c r="AF1699" i="11" s="1" a="1"/>
  <c r="AF1699" i="11" s="1"/>
  <c r="BA1066" i="11"/>
  <c r="AB1066" i="11" s="1"/>
  <c r="BA648" i="11"/>
  <c r="AB648" i="11" s="1"/>
  <c r="BA168" i="11"/>
  <c r="AB168" i="11" s="1"/>
  <c r="BA1397" i="11"/>
  <c r="AB1397" i="11" s="1"/>
  <c r="BA870" i="11"/>
  <c r="AB870" i="11" s="1"/>
  <c r="BA1496" i="11"/>
  <c r="AB1496" i="11" s="1"/>
  <c r="BA1880" i="11"/>
  <c r="AB1880" i="11" s="1"/>
  <c r="BA1945" i="11"/>
  <c r="AB1945" i="11" s="1"/>
  <c r="BA1513" i="11"/>
  <c r="AB1513" i="11" s="1"/>
  <c r="BA91" i="11"/>
  <c r="AB91" i="11" s="1"/>
  <c r="BA1346" i="11"/>
  <c r="AB1346" i="11" s="1"/>
  <c r="BA1646" i="11"/>
  <c r="AB1646" i="11" s="1"/>
  <c r="BA1385" i="11"/>
  <c r="AB1385" i="11" s="1"/>
  <c r="BA339" i="11"/>
  <c r="AB339" i="11" s="1"/>
  <c r="AD339" i="11" s="1" a="1"/>
  <c r="AD339" i="11" s="1"/>
  <c r="AE339" i="11" s="1"/>
  <c r="BA976" i="11"/>
  <c r="AB976" i="11" s="1"/>
  <c r="BA447" i="11"/>
  <c r="AB447" i="11" s="1"/>
  <c r="BA445" i="11"/>
  <c r="AB445" i="11" s="1"/>
  <c r="BA283" i="11"/>
  <c r="AB283" i="11" s="1"/>
  <c r="BA1200" i="11"/>
  <c r="AB1200" i="11" s="1"/>
  <c r="BA347" i="11"/>
  <c r="AB347" i="11" s="1"/>
  <c r="AD347" i="11" s="1" a="1"/>
  <c r="AD347" i="11" s="1"/>
  <c r="AE347" i="11" s="1"/>
  <c r="BA63" i="11"/>
  <c r="AB63" i="11" s="1"/>
  <c r="BA1262" i="11"/>
  <c r="AB1262" i="11" s="1"/>
  <c r="BA408" i="11"/>
  <c r="AB408" i="11" s="1"/>
  <c r="BA1516" i="11"/>
  <c r="AB1516" i="11" s="1"/>
  <c r="BA1188" i="11"/>
  <c r="AB1188" i="11" s="1"/>
  <c r="BA931" i="11"/>
  <c r="AB931" i="11" s="1"/>
  <c r="BA917" i="11"/>
  <c r="AB917" i="11" s="1"/>
  <c r="BA395" i="11"/>
  <c r="AB395" i="11" s="1"/>
  <c r="BA1231" i="11"/>
  <c r="AB1231" i="11" s="1"/>
  <c r="BA624" i="11"/>
  <c r="AB624" i="11" s="1"/>
  <c r="BA603" i="11"/>
  <c r="AB603" i="11" s="1"/>
  <c r="BA1862" i="11"/>
  <c r="AB1862" i="11" s="1"/>
  <c r="BA469" i="11"/>
  <c r="AB469" i="11" s="1"/>
  <c r="BA1763" i="11"/>
  <c r="AB1763" i="11" s="1"/>
  <c r="AD1763" i="11" s="1" a="1"/>
  <c r="AD1763" i="11" s="1"/>
  <c r="AE1763" i="11" s="1"/>
  <c r="BA1152" i="11"/>
  <c r="AB1152" i="11" s="1"/>
  <c r="BA207" i="11"/>
  <c r="AB207" i="11" s="1"/>
  <c r="BA883" i="11"/>
  <c r="AB883" i="11" s="1"/>
  <c r="BA2014" i="11"/>
  <c r="AB2014"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698" i="11"/>
  <c r="AB698"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1888" i="11"/>
  <c r="AB1888"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809" i="11"/>
  <c r="AB809"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1338" i="11"/>
  <c r="AB1338"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880" i="11"/>
  <c r="AB88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BA1876" i="11"/>
  <c r="AB1876" i="11" s="1"/>
  <c r="BA27" i="11"/>
  <c r="AB27" i="11" s="1"/>
  <c r="BA1025" i="11"/>
  <c r="AB1025"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1973" i="11"/>
  <c r="AB1973" i="11" s="1"/>
  <c r="BA812" i="11"/>
  <c r="AB812" i="11" s="1"/>
  <c r="BA980" i="11"/>
  <c r="AB980"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920" i="11"/>
  <c r="AB1920" i="11" s="1"/>
  <c r="BA1084" i="11"/>
  <c r="AB1084" i="11" s="1"/>
  <c r="AF1084" i="11" s="1" a="1"/>
  <c r="AF1084" i="11" s="1"/>
  <c r="BA528" i="11"/>
  <c r="AB528" i="11" s="1"/>
  <c r="BA192" i="11"/>
  <c r="AB192" i="11" s="1"/>
  <c r="BA1952" i="11"/>
  <c r="AB1952" i="11" s="1"/>
  <c r="BA553" i="11"/>
  <c r="AB553" i="11" s="1"/>
  <c r="BA739" i="11"/>
  <c r="AB739" i="11" s="1"/>
  <c r="BA705" i="11"/>
  <c r="AB705" i="11" s="1"/>
  <c r="BA487" i="11"/>
  <c r="AB487" i="11" s="1"/>
  <c r="BA1104" i="11"/>
  <c r="AB1104" i="11" s="1"/>
  <c r="BA949" i="11"/>
  <c r="AB949" i="11" s="1"/>
  <c r="BA806" i="11"/>
  <c r="AB806" i="11" s="1"/>
  <c r="BA178" i="11"/>
  <c r="AB178" i="11" s="1"/>
  <c r="BA586" i="11"/>
  <c r="AB586" i="11" s="1"/>
  <c r="BA467" i="11"/>
  <c r="AB467"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401" i="11"/>
  <c r="AB401" i="11" s="1"/>
  <c r="BA524" i="11"/>
  <c r="AB524" i="11" s="1"/>
  <c r="BA158" i="11"/>
  <c r="AB158"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607" i="11"/>
  <c r="AB1607" i="11" s="1"/>
  <c r="BA1180" i="11"/>
  <c r="AB1180" i="11" s="1"/>
  <c r="BA315" i="11"/>
  <c r="AB315"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865" i="11"/>
  <c r="AB1865" i="11" s="1"/>
  <c r="BA1578" i="11"/>
  <c r="AB1578" i="11" s="1"/>
  <c r="BA1121" i="11"/>
  <c r="AB1121" i="11" s="1"/>
  <c r="BA511" i="11"/>
  <c r="AB511" i="11" s="1"/>
  <c r="BA1811" i="11"/>
  <c r="AB1811" i="11" s="1"/>
  <c r="BA316" i="11"/>
  <c r="AB316" i="11" s="1"/>
  <c r="AF562" i="11" a="1"/>
  <c r="AF562" i="11" s="1"/>
  <c r="AF1436" i="11" a="1"/>
  <c r="AF1436" i="11" s="1"/>
  <c r="AD1436" i="11" a="1"/>
  <c r="AD1436" i="11" s="1"/>
  <c r="AE1436" i="11" s="1"/>
  <c r="AD863" i="11" a="1"/>
  <c r="AD863" i="11" s="1"/>
  <c r="AE863" i="11" s="1"/>
  <c r="AF863" i="11" a="1"/>
  <c r="AF863" i="11" s="1"/>
  <c r="AD1332" i="11" a="1"/>
  <c r="AD1332" i="11" s="1"/>
  <c r="AE1332" i="11" s="1"/>
  <c r="AF1332" i="11" a="1"/>
  <c r="AF1332" i="11" s="1"/>
  <c r="AD111" i="11" a="1"/>
  <c r="AD111" i="11" s="1"/>
  <c r="AE111" i="11" s="1"/>
  <c r="AF1343" i="11" a="1"/>
  <c r="AF1343" i="11" s="1"/>
  <c r="AD1343" i="11" a="1"/>
  <c r="AD1343" i="11" s="1"/>
  <c r="AE1343" i="11" s="1"/>
  <c r="AD644" i="11" a="1"/>
  <c r="AD644" i="11" s="1"/>
  <c r="AE644" i="11" s="1"/>
  <c r="AF644" i="11" a="1"/>
  <c r="AF644" i="11" s="1"/>
  <c r="AD2002" i="11" a="1"/>
  <c r="AD2002" i="11" s="1"/>
  <c r="AE2002" i="11" s="1"/>
  <c r="AF1257" i="11" a="1"/>
  <c r="AF1257" i="11" s="1"/>
  <c r="AD1382" i="11" a="1"/>
  <c r="AD1382" i="11" s="1"/>
  <c r="AE1382" i="11" s="1"/>
  <c r="AD278" i="11" a="1"/>
  <c r="AD278" i="11" s="1"/>
  <c r="AE278" i="11" s="1"/>
  <c r="AF1077" i="11" a="1"/>
  <c r="AF1077" i="11" s="1"/>
  <c r="AF171" i="11" a="1"/>
  <c r="AF171" i="11" s="1"/>
  <c r="AD297" i="11" a="1"/>
  <c r="AD297" i="11" s="1"/>
  <c r="AE297" i="11" s="1"/>
  <c r="AF297" i="11" a="1"/>
  <c r="AF297" i="11" s="1"/>
  <c r="AA1208" i="11"/>
  <c r="AA668" i="11"/>
  <c r="AD1284" i="11" a="1"/>
  <c r="AD1284" i="11" s="1"/>
  <c r="AE1284" i="11" s="1"/>
  <c r="AF1284" i="11" a="1"/>
  <c r="AF1284" i="11" s="1"/>
  <c r="AD205" i="11" a="1"/>
  <c r="AD205" i="11" s="1"/>
  <c r="AE205" i="11" s="1"/>
  <c r="AA205" i="11"/>
  <c r="AF1772" i="11" a="1"/>
  <c r="AF1772" i="11" s="1"/>
  <c r="AD1287" i="11" a="1"/>
  <c r="AD1287" i="11" s="1"/>
  <c r="AE1287" i="11" s="1"/>
  <c r="AF651" i="11" a="1"/>
  <c r="AF651" i="11" s="1"/>
  <c r="AD231" i="11" a="1"/>
  <c r="AD231" i="11" s="1"/>
  <c r="AE231" i="11" s="1"/>
  <c r="AD1710" i="11" a="1"/>
  <c r="AD1710" i="11" s="1"/>
  <c r="AE1710" i="11" s="1"/>
  <c r="AD551" i="11" a="1"/>
  <c r="AD551" i="11" s="1"/>
  <c r="AE551" i="11" s="1"/>
  <c r="AF551" i="11" a="1"/>
  <c r="AF551" i="11" s="1"/>
  <c r="AD1492" i="11" a="1"/>
  <c r="AD1492" i="11" s="1"/>
  <c r="AE1492" i="11" s="1"/>
  <c r="AD1135" i="11" a="1"/>
  <c r="AD1135" i="11" s="1"/>
  <c r="AE1135" i="11" s="1"/>
  <c r="AF1135" i="11" a="1"/>
  <c r="AF1135" i="11" s="1"/>
  <c r="AA330" i="11"/>
  <c r="AD483" i="11" a="1"/>
  <c r="AD483" i="11" s="1"/>
  <c r="AE483" i="11" s="1"/>
  <c r="AD295" i="11" a="1"/>
  <c r="AD295" i="11" s="1"/>
  <c r="AE295" i="11" s="1"/>
  <c r="AF295" i="11" a="1"/>
  <c r="AF295" i="11" s="1"/>
  <c r="AD1020" i="11" a="1"/>
  <c r="AD1020" i="11" s="1"/>
  <c r="AE1020" i="11" s="1"/>
  <c r="AF1020" i="11" a="1"/>
  <c r="AF1020" i="11" s="1"/>
  <c r="AD1214" i="11" a="1"/>
  <c r="AD1214" i="11" s="1"/>
  <c r="AE1214" i="11" s="1"/>
  <c r="AF1253" i="11" a="1"/>
  <c r="AF1253" i="11" s="1"/>
  <c r="AD1253" i="11" a="1"/>
  <c r="AD1253" i="11" s="1"/>
  <c r="AE1253" i="11" s="1"/>
  <c r="AF1787" i="11" a="1"/>
  <c r="AF1787" i="11" s="1"/>
  <c r="AF1566" i="11" a="1"/>
  <c r="AF1566" i="11" s="1"/>
  <c r="AF1652" i="11" a="1"/>
  <c r="AF1652" i="11" s="1"/>
  <c r="AD729" i="11" a="1"/>
  <c r="AD729" i="11" s="1"/>
  <c r="AE729" i="11" s="1"/>
  <c r="AD1001" i="11" a="1"/>
  <c r="AD1001" i="11" s="1"/>
  <c r="AE1001" i="11" s="1"/>
  <c r="AF1001" i="11" a="1"/>
  <c r="AF1001" i="11" s="1"/>
  <c r="AD450" i="11" a="1"/>
  <c r="AD450" i="11" s="1"/>
  <c r="AE450" i="11" s="1"/>
  <c r="AF450" i="11" a="1"/>
  <c r="AF450" i="11" s="1"/>
  <c r="AD1391" i="11" a="1"/>
  <c r="AD1391" i="11" s="1"/>
  <c r="AE1391" i="11" s="1"/>
  <c r="AF1391" i="11" a="1"/>
  <c r="AF1391" i="11" s="1"/>
  <c r="AF1780" i="11" a="1"/>
  <c r="AF1780" i="11" s="1"/>
  <c r="AD1780" i="11" a="1"/>
  <c r="AD1780" i="11" s="1"/>
  <c r="AE1780" i="11" s="1"/>
  <c r="AD1795" i="11" a="1"/>
  <c r="AD1795" i="11" s="1"/>
  <c r="AE1795" i="11" s="1"/>
  <c r="AA1915" i="11"/>
  <c r="AD1915" i="11" a="1"/>
  <c r="AD1915" i="11" s="1"/>
  <c r="AE1915" i="11" s="1"/>
  <c r="AF538" i="11" a="1"/>
  <c r="AF538" i="11" s="1"/>
  <c r="AD538" i="11" a="1"/>
  <c r="AD538" i="11" s="1"/>
  <c r="AE538" i="11" s="1"/>
  <c r="AF1177" i="11" a="1"/>
  <c r="AF1177" i="11" s="1"/>
  <c r="AD1786" i="11" a="1"/>
  <c r="AD1786" i="11" s="1"/>
  <c r="AE1786" i="11" s="1"/>
  <c r="AD211" i="11" a="1"/>
  <c r="AD211" i="11" s="1"/>
  <c r="AE211" i="11" s="1"/>
  <c r="AF211" i="11" a="1"/>
  <c r="AF211" i="11" s="1"/>
  <c r="AA1992" i="11"/>
  <c r="AD1533" i="11" a="1"/>
  <c r="AD1533" i="11" s="1"/>
  <c r="AE1533" i="11" s="1"/>
  <c r="AF1990" i="11" a="1"/>
  <c r="AF1990" i="11" s="1"/>
  <c r="AF1209" i="11" a="1"/>
  <c r="AF1209" i="11" s="1"/>
  <c r="AD1043" i="11" a="1"/>
  <c r="AD1043" i="11" s="1"/>
  <c r="AE1043" i="11" s="1"/>
  <c r="AF1851" i="11" a="1"/>
  <c r="AF1851" i="11" s="1"/>
  <c r="AD1851" i="11" a="1"/>
  <c r="AD1851" i="11" s="1"/>
  <c r="AE1851" i="11" s="1"/>
  <c r="AD1622" i="11" l="1" a="1"/>
  <c r="AD1622" i="11" s="1"/>
  <c r="AE1622" i="11" s="1"/>
  <c r="AF1060" i="11" a="1"/>
  <c r="AF1060" i="11" s="1"/>
  <c r="BA743" i="11"/>
  <c r="AB743" i="11" s="1"/>
  <c r="BA107" i="11"/>
  <c r="AB107" i="11" s="1"/>
  <c r="BA978" i="11"/>
  <c r="AB978" i="11" s="1"/>
  <c r="AD978" i="11" s="1" a="1"/>
  <c r="AD978" i="11" s="1"/>
  <c r="AE978" i="11" s="1"/>
  <c r="BA796" i="11"/>
  <c r="AB796" i="11" s="1"/>
  <c r="AD796" i="11" s="1" a="1"/>
  <c r="AD796" i="11" s="1"/>
  <c r="AE796" i="11" s="1"/>
  <c r="BA1677" i="11"/>
  <c r="AB1677" i="11" s="1"/>
  <c r="BA56" i="11"/>
  <c r="AB56" i="11" s="1"/>
  <c r="BA821" i="11"/>
  <c r="AB821" i="11" s="1"/>
  <c r="BA43" i="11"/>
  <c r="AB43" i="11" s="1"/>
  <c r="AF43" i="11" s="1" a="1"/>
  <c r="AF43" i="11" s="1"/>
  <c r="BA443" i="11"/>
  <c r="AB443" i="11" s="1"/>
  <c r="AD443" i="11" s="1" a="1"/>
  <c r="AD443" i="11" s="1"/>
  <c r="AE443" i="11" s="1"/>
  <c r="BA791" i="11"/>
  <c r="AB791" i="11" s="1"/>
  <c r="AA791" i="11" s="1"/>
  <c r="AD275" i="11" a="1"/>
  <c r="AD275" i="11" s="1"/>
  <c r="AE275" i="11" s="1"/>
  <c r="BA1476" i="11"/>
  <c r="AB1476" i="11" s="1"/>
  <c r="BA1440" i="11"/>
  <c r="AB1440" i="11" s="1"/>
  <c r="BA611" i="11"/>
  <c r="AB611" i="11" s="1"/>
  <c r="BA798" i="11"/>
  <c r="AB798" i="11" s="1"/>
  <c r="BA1145" i="11"/>
  <c r="AB1145" i="11" s="1"/>
  <c r="BA652" i="11"/>
  <c r="AB652" i="11" s="1"/>
  <c r="AD652" i="11" s="1" a="1"/>
  <c r="AD652" i="11" s="1"/>
  <c r="AE652" i="11" s="1"/>
  <c r="BA576" i="11"/>
  <c r="AB576" i="11" s="1"/>
  <c r="AD576" i="11" s="1" a="1"/>
  <c r="AD576" i="11" s="1"/>
  <c r="AE576" i="11" s="1"/>
  <c r="BA681" i="11"/>
  <c r="AB681" i="11" s="1"/>
  <c r="BA329" i="11"/>
  <c r="AB329" i="11" s="1"/>
  <c r="AD329" i="11" s="1" a="1"/>
  <c r="AD329" i="11" s="1"/>
  <c r="AE329" i="11" s="1"/>
  <c r="BA1302" i="11"/>
  <c r="AB1302" i="11" s="1"/>
  <c r="AA1302" i="11" s="1"/>
  <c r="BA637" i="11"/>
  <c r="AB637" i="11" s="1"/>
  <c r="AA637" i="11" s="1"/>
  <c r="BA1827" i="11"/>
  <c r="AB1827" i="11" s="1"/>
  <c r="BA493" i="11"/>
  <c r="AB493" i="11" s="1"/>
  <c r="AF493" i="11" s="1" a="1"/>
  <c r="AF493" i="11" s="1"/>
  <c r="BA1264" i="11"/>
  <c r="AB1264" i="11" s="1"/>
  <c r="BA914" i="11"/>
  <c r="AB914" i="11" s="1"/>
  <c r="AA914" i="11" s="1"/>
  <c r="BA1026" i="11"/>
  <c r="AB1026" i="11" s="1"/>
  <c r="BA1317" i="11"/>
  <c r="AB1317" i="11" s="1"/>
  <c r="AF1317" i="11" s="1" a="1"/>
  <c r="AF1317" i="11" s="1"/>
  <c r="BA1544" i="11"/>
  <c r="AB1544" i="11" s="1"/>
  <c r="AA1544" i="11" s="1"/>
  <c r="BA1537" i="11"/>
  <c r="AB1537" i="11" s="1"/>
  <c r="AF1537" i="11" s="1" a="1"/>
  <c r="AF1537" i="11" s="1"/>
  <c r="BA399" i="11"/>
  <c r="AB399" i="11" s="1"/>
  <c r="AA399" i="11" s="1"/>
  <c r="BA1561" i="11"/>
  <c r="AB1561" i="11" s="1"/>
  <c r="BA139" i="11"/>
  <c r="AB139" i="11" s="1"/>
  <c r="AF139" i="11" s="1" a="1"/>
  <c r="AF139" i="11" s="1"/>
  <c r="BA2004" i="11"/>
  <c r="AB2004" i="11" s="1"/>
  <c r="AA2004" i="11" s="1"/>
  <c r="BA1280" i="11"/>
  <c r="AB1280" i="11" s="1"/>
  <c r="BA1239" i="11"/>
  <c r="AB1239" i="11" s="1"/>
  <c r="BA827" i="11"/>
  <c r="AB827" i="11" s="1"/>
  <c r="BA1606" i="11"/>
  <c r="AB1606" i="11" s="1"/>
  <c r="BA1837" i="11"/>
  <c r="AB1837" i="11" s="1"/>
  <c r="BA140" i="11"/>
  <c r="AB140" i="11" s="1"/>
  <c r="BA805" i="11"/>
  <c r="AB805" i="11" s="1"/>
  <c r="BA1829" i="11"/>
  <c r="AB1829" i="11" s="1"/>
  <c r="AF1829" i="11" s="1" a="1"/>
  <c r="AF1829" i="11" s="1"/>
  <c r="BA1315" i="11"/>
  <c r="AB1315" i="11" s="1"/>
  <c r="AD1315" i="11" s="1" a="1"/>
  <c r="AD1315" i="11" s="1"/>
  <c r="AE1315" i="11" s="1"/>
  <c r="BA40" i="11"/>
  <c r="AB40" i="11" s="1"/>
  <c r="AD40" i="11" s="1" a="1"/>
  <c r="AD40" i="11" s="1"/>
  <c r="AE40" i="11" s="1"/>
  <c r="BA1632" i="11"/>
  <c r="AB1632" i="11" s="1"/>
  <c r="BA963" i="11"/>
  <c r="AB963" i="11" s="1"/>
  <c r="AD963" i="11" s="1" a="1"/>
  <c r="AD963" i="11" s="1"/>
  <c r="AE963" i="11" s="1"/>
  <c r="BA1079" i="11"/>
  <c r="AB1079" i="11" s="1"/>
  <c r="BA1987" i="11"/>
  <c r="AB1987" i="11" s="1"/>
  <c r="BA1410" i="11"/>
  <c r="AB1410" i="11" s="1"/>
  <c r="AD1410" i="11" s="1" a="1"/>
  <c r="AD1410" i="11" s="1"/>
  <c r="AE1410" i="11" s="1"/>
  <c r="BA800" i="11"/>
  <c r="AB800" i="11" s="1"/>
  <c r="BA1855" i="11"/>
  <c r="AB1855" i="11" s="1"/>
  <c r="AF1855" i="11" s="1" a="1"/>
  <c r="AF1855" i="11" s="1"/>
  <c r="BA1462" i="11"/>
  <c r="AB1462" i="11" s="1"/>
  <c r="BA686" i="11"/>
  <c r="AB686" i="11" s="1"/>
  <c r="BA1011" i="11"/>
  <c r="AB1011" i="11" s="1"/>
  <c r="AA1011" i="11" s="1"/>
  <c r="BA353" i="11"/>
  <c r="AB353" i="11" s="1"/>
  <c r="AA353" i="11" s="1"/>
  <c r="AF997" i="11" a="1"/>
  <c r="AF997" i="11" s="1"/>
  <c r="AF1452" i="11" a="1"/>
  <c r="AF1452" i="11" s="1"/>
  <c r="AF576" i="11" a="1"/>
  <c r="AF576" i="11" s="1"/>
  <c r="AA1345" i="11"/>
  <c r="BA1221" i="11"/>
  <c r="AB1221" i="11" s="1"/>
  <c r="BA984" i="11"/>
  <c r="AB984" i="11" s="1"/>
  <c r="BA819" i="11"/>
  <c r="AB819" i="11" s="1"/>
  <c r="AF819" i="11" s="1" a="1"/>
  <c r="AF819" i="11" s="1"/>
  <c r="BA475" i="11"/>
  <c r="AB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BA932" i="11"/>
  <c r="AB932" i="11" s="1"/>
  <c r="BA243" i="11"/>
  <c r="AB243" i="11" s="1"/>
  <c r="BA1371" i="11"/>
  <c r="AB1371" i="11" s="1"/>
  <c r="AD1371" i="11" s="1" a="1"/>
  <c r="AD1371" i="11" s="1"/>
  <c r="AE1371" i="11" s="1"/>
  <c r="BA595" i="11"/>
  <c r="AB595" i="11" s="1"/>
  <c r="BA1567" i="11"/>
  <c r="AB1567" i="11" s="1"/>
  <c r="AD1567" i="11" s="1" a="1"/>
  <c r="AD1567" i="11" s="1"/>
  <c r="AE1567" i="11" s="1"/>
  <c r="BA294" i="11"/>
  <c r="AB294" i="11" s="1"/>
  <c r="BA693" i="11"/>
  <c r="AB693" i="11" s="1"/>
  <c r="BA2011" i="11"/>
  <c r="AB2011" i="11" s="1"/>
  <c r="BA1582" i="11"/>
  <c r="AB1582" i="11" s="1"/>
  <c r="AF1582" i="11" s="1" a="1"/>
  <c r="AF1582" i="11" s="1"/>
  <c r="BA1913" i="11"/>
  <c r="AB1913" i="11" s="1"/>
  <c r="AA1913" i="11" s="1"/>
  <c r="BA146" i="11"/>
  <c r="AB146" i="11" s="1"/>
  <c r="AA146" i="11" s="1"/>
  <c r="BA621" i="11"/>
  <c r="AB621" i="11" s="1"/>
  <c r="BA555" i="11"/>
  <c r="AB555" i="11" s="1"/>
  <c r="BA1134" i="11"/>
  <c r="AB1134" i="11" s="1"/>
  <c r="BA1571" i="11"/>
  <c r="AB1571" i="11" s="1"/>
  <c r="AD1571" i="11" s="1" a="1"/>
  <c r="AD1571" i="11" s="1"/>
  <c r="AE1571" i="11" s="1"/>
  <c r="BA908" i="11"/>
  <c r="AB908" i="11" s="1"/>
  <c r="BA975" i="11"/>
  <c r="AB975" i="11" s="1"/>
  <c r="AF975" i="11" s="1" a="1"/>
  <c r="AF975" i="11" s="1"/>
  <c r="BA1040" i="11"/>
  <c r="AB1040" i="11" s="1"/>
  <c r="BA777" i="11"/>
  <c r="AB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BA1899" i="11"/>
  <c r="AB1899" i="11" s="1"/>
  <c r="AA1899" i="11" s="1"/>
  <c r="BA1240" i="11"/>
  <c r="AB1240" i="11" s="1"/>
  <c r="AA1240" i="11" s="1"/>
  <c r="BA1551" i="11"/>
  <c r="AB1551" i="11" s="1"/>
  <c r="BA1279" i="11"/>
  <c r="AB1279" i="11" s="1"/>
  <c r="BA1584" i="11"/>
  <c r="AB1584" i="11" s="1"/>
  <c r="BA1405" i="11"/>
  <c r="AB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BA71" i="11"/>
  <c r="AB71" i="11" s="1"/>
  <c r="BA1924" i="11"/>
  <c r="AB1924" i="11" s="1"/>
  <c r="AA1924" i="11" s="1"/>
  <c r="BA1248" i="11"/>
  <c r="AB1248" i="11" s="1"/>
  <c r="AD1248" i="11" s="1" a="1"/>
  <c r="AD1248" i="11" s="1"/>
  <c r="AE1248" i="11" s="1"/>
  <c r="BA1683" i="11"/>
  <c r="AB1683" i="11" s="1"/>
  <c r="AD1683" i="11" s="1" a="1"/>
  <c r="AD1683" i="11" s="1"/>
  <c r="AE1683" i="11" s="1"/>
  <c r="BA554" i="11"/>
  <c r="AB554" i="11" s="1"/>
  <c r="BA289" i="11"/>
  <c r="AB289" i="11" s="1"/>
  <c r="AF853" i="11" a="1"/>
  <c r="AF853" i="11" s="1"/>
  <c r="AD642" i="11" a="1"/>
  <c r="AD642" i="11" s="1"/>
  <c r="AE642" i="11" s="1"/>
  <c r="AF978" i="11" a="1"/>
  <c r="AF978" i="11" s="1"/>
  <c r="AA443" i="11"/>
  <c r="AF388" i="11" a="1"/>
  <c r="AF388" i="11" s="1"/>
  <c r="AF347" i="11" a="1"/>
  <c r="AF347" i="11" s="1"/>
  <c r="AD1437" i="11" a="1"/>
  <c r="AD1437" i="11" s="1"/>
  <c r="AE1437" i="11" s="1"/>
  <c r="AF378" i="11" a="1"/>
  <c r="AF378" i="11" s="1"/>
  <c r="AF1763" i="11" a="1"/>
  <c r="AF1763" i="11" s="1"/>
  <c r="AF1930" i="11" a="1"/>
  <c r="AF1930" i="11" s="1"/>
  <c r="AF1682" i="11" a="1"/>
  <c r="AF1682" i="11" s="1"/>
  <c r="AD846" i="11" a="1"/>
  <c r="AD846" i="11" s="1"/>
  <c r="AE846" i="11" s="1"/>
  <c r="AD1900" i="11" a="1"/>
  <c r="AD1900" i="11" s="1"/>
  <c r="AE1900" i="11" s="1"/>
  <c r="BA588" i="11"/>
  <c r="AB588" i="11" s="1"/>
  <c r="AA588" i="11" s="1"/>
  <c r="AD914" i="11" a="1"/>
  <c r="AD914" i="11" s="1"/>
  <c r="AE914" i="11" s="1"/>
  <c r="AD1938" i="11" a="1"/>
  <c r="AD1938" i="11" s="1"/>
  <c r="AE1938" i="11" s="1"/>
  <c r="AD1506" i="11" a="1"/>
  <c r="AD1506" i="11" s="1"/>
  <c r="AE1506" i="11" s="1"/>
  <c r="AF339" i="11" a="1"/>
  <c r="AF339" i="11" s="1"/>
  <c r="AF835" i="11" a="1"/>
  <c r="AF835" i="11" s="1"/>
  <c r="AF696" i="11" a="1"/>
  <c r="AF696" i="11" s="1"/>
  <c r="AF1377" i="11" a="1"/>
  <c r="AF1377" i="11" s="1"/>
  <c r="AD265" i="11" a="1"/>
  <c r="AD265" i="11" s="1"/>
  <c r="AE265" i="11" s="1"/>
  <c r="AD344" i="11" a="1"/>
  <c r="AD344" i="11" s="1"/>
  <c r="AE344" i="11" s="1"/>
  <c r="AF1687" i="11" a="1"/>
  <c r="AF1687" i="11" s="1"/>
  <c r="AF422" i="11" a="1"/>
  <c r="AF422" i="11" s="1"/>
  <c r="AF1832" i="11" a="1"/>
  <c r="AF1832" i="11" s="1"/>
  <c r="AD988" i="11" a="1"/>
  <c r="AD988" i="11" s="1"/>
  <c r="AE988" i="11" s="1"/>
  <c r="AD1032" i="11" a="1"/>
  <c r="AD1032" i="11" s="1"/>
  <c r="AE1032" i="11" s="1"/>
  <c r="AD1071" i="11" a="1"/>
  <c r="AD1071" i="11" s="1"/>
  <c r="AE1071" i="11" s="1"/>
  <c r="AD1361" i="11" a="1"/>
  <c r="AD1361" i="11" s="1"/>
  <c r="AE1361" i="11" s="1"/>
  <c r="AF1567" i="11" a="1"/>
  <c r="AF1567" i="11" s="1"/>
  <c r="BA567" i="11"/>
  <c r="AB567" i="11" s="1"/>
  <c r="AA567" i="11" s="1"/>
  <c r="AF941" i="11" a="1"/>
  <c r="AF941" i="11" s="1"/>
  <c r="BA442" i="11"/>
  <c r="AB442" i="11" s="1"/>
  <c r="AA442" i="11" s="1"/>
  <c r="BA96" i="11"/>
  <c r="AB96" i="11" s="1"/>
  <c r="AD96" i="11" s="1" a="1"/>
  <c r="AD96" i="11" s="1"/>
  <c r="AE96" i="11" s="1"/>
  <c r="BA1762" i="11"/>
  <c r="AB1762" i="11" s="1"/>
  <c r="BA291" i="11"/>
  <c r="AB291" i="11" s="1"/>
  <c r="BA92" i="11"/>
  <c r="AB92" i="11" s="1"/>
  <c r="AF92" i="11" s="1" a="1"/>
  <c r="AF92" i="11" s="1"/>
  <c r="BA765" i="11"/>
  <c r="AB765" i="11" s="1"/>
  <c r="AF765" i="11" s="1" a="1"/>
  <c r="AF765" i="11" s="1"/>
  <c r="AD1260" i="11" a="1"/>
  <c r="AD1260" i="11" s="1"/>
  <c r="AE1260" i="11" s="1"/>
  <c r="AF1295" i="11" a="1"/>
  <c r="AF1295" i="11" s="1"/>
  <c r="AF1277" i="11" a="1"/>
  <c r="AF1277" i="11" s="1"/>
  <c r="AD1074" i="11" a="1"/>
  <c r="AD1074" i="11" s="1"/>
  <c r="AE1074" i="11" s="1"/>
  <c r="AF935" i="11" a="1"/>
  <c r="AF935" i="11" s="1"/>
  <c r="AA1281" i="11"/>
  <c r="AD1196" i="11" a="1"/>
  <c r="AD1196" i="11" s="1"/>
  <c r="AE1196" i="11" s="1"/>
  <c r="AF159" i="11" a="1"/>
  <c r="AF159" i="11" s="1"/>
  <c r="AF1683" i="11" a="1"/>
  <c r="AF1683" i="11" s="1"/>
  <c r="AD37" i="11" a="1"/>
  <c r="AD37" i="11" s="1"/>
  <c r="AE37" i="11" s="1"/>
  <c r="BA1867" i="11"/>
  <c r="AB1867" i="11" s="1"/>
  <c r="AD1867" i="11" s="1" a="1"/>
  <c r="AD1867" i="11" s="1"/>
  <c r="AE1867" i="11" s="1"/>
  <c r="BA1850" i="11"/>
  <c r="AB1850" i="11" s="1"/>
  <c r="AA1850" i="11" s="1"/>
  <c r="BA444" i="11"/>
  <c r="AB444" i="11" s="1"/>
  <c r="AD444" i="11" s="1" a="1"/>
  <c r="AD444" i="11" s="1"/>
  <c r="AE444" i="11" s="1"/>
  <c r="BA36" i="11"/>
  <c r="AB36" i="11" s="1"/>
  <c r="AF1801" i="11" a="1"/>
  <c r="AF1801" i="11" s="1"/>
  <c r="AF583" i="11" a="1"/>
  <c r="AF583" i="11" s="1"/>
  <c r="AD536" i="11" a="1"/>
  <c r="AD536" i="11" s="1"/>
  <c r="AE536" i="11" s="1"/>
  <c r="AD1699" i="11" a="1"/>
  <c r="AD1699" i="11" s="1"/>
  <c r="AE1699" i="11" s="1"/>
  <c r="BA1619" i="11"/>
  <c r="AB1619" i="11" s="1"/>
  <c r="AA1619" i="11" s="1"/>
  <c r="BA405" i="11"/>
  <c r="AB405" i="11" s="1"/>
  <c r="BA1671" i="11"/>
  <c r="AB1671" i="11" s="1"/>
  <c r="BA535" i="11"/>
  <c r="AB535" i="11" s="1"/>
  <c r="AF535" i="11" s="1" a="1"/>
  <c r="AF535" i="11" s="1"/>
  <c r="BA558" i="11"/>
  <c r="AB558" i="11" s="1"/>
  <c r="AA558" i="11" s="1"/>
  <c r="BA323" i="11"/>
  <c r="AB323" i="11" s="1"/>
  <c r="AF323" i="11" s="1" a="1"/>
  <c r="AF323" i="11" s="1"/>
  <c r="BA1018" i="11"/>
  <c r="AB1018" i="11" s="1"/>
  <c r="BA1086" i="11"/>
  <c r="AB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BA2010" i="11"/>
  <c r="AB2010" i="11" s="1"/>
  <c r="BA872" i="11"/>
  <c r="AB872" i="11" s="1"/>
  <c r="AD872" i="11" s="1" a="1"/>
  <c r="AD872" i="11" s="1"/>
  <c r="AE872" i="11" s="1"/>
  <c r="BA1625" i="11"/>
  <c r="AB1625" i="11" s="1"/>
  <c r="AF1625" i="11" s="1" a="1"/>
  <c r="AF1625" i="11" s="1"/>
  <c r="BA1127" i="11"/>
  <c r="AB1127" i="11" s="1"/>
  <c r="AD1127" i="11" s="1" a="1"/>
  <c r="AD1127" i="11" s="1"/>
  <c r="AE1127" i="11" s="1"/>
  <c r="BA364" i="11"/>
  <c r="AB364" i="11" s="1"/>
  <c r="BA161" i="11"/>
  <c r="AB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BA1431" i="11"/>
  <c r="AB1431" i="11" s="1"/>
  <c r="BA1318" i="11"/>
  <c r="AB1318" i="11" s="1"/>
  <c r="AA1318" i="11" s="1"/>
  <c r="BA379" i="11"/>
  <c r="AB379" i="11" s="1"/>
  <c r="AD379" i="11" s="1" a="1"/>
  <c r="AD379" i="11" s="1"/>
  <c r="AE379" i="11" s="1"/>
  <c r="BA690" i="11"/>
  <c r="AB690" i="11" s="1"/>
  <c r="AD690" i="11" s="1" a="1"/>
  <c r="AD690" i="11" s="1"/>
  <c r="AE690" i="11" s="1"/>
  <c r="BA1350" i="11"/>
  <c r="AB1350" i="11" s="1"/>
  <c r="BA592" i="11"/>
  <c r="AB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BA599" i="11"/>
  <c r="AB599" i="11" s="1"/>
  <c r="BA112" i="11"/>
  <c r="AB112" i="11" s="1"/>
  <c r="AF112" i="11" s="1" a="1"/>
  <c r="AF112" i="11" s="1"/>
  <c r="BA266" i="11"/>
  <c r="AB266" i="11" s="1"/>
  <c r="AD266" i="11" s="1" a="1"/>
  <c r="AD266" i="11" s="1"/>
  <c r="AE266" i="11" s="1"/>
  <c r="BA560" i="11"/>
  <c r="AB560" i="11" s="1"/>
  <c r="AF560" i="11" s="1" a="1"/>
  <c r="AF560" i="11" s="1"/>
  <c r="BA882" i="11"/>
  <c r="AB882" i="11" s="1"/>
  <c r="BA1626" i="11"/>
  <c r="AB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BA579" i="11"/>
  <c r="AB579" i="11" s="1"/>
  <c r="BA1022" i="11"/>
  <c r="AB1022" i="11" s="1"/>
  <c r="AA1022" i="11" s="1"/>
  <c r="BA1773" i="11"/>
  <c r="AB1773" i="11" s="1"/>
  <c r="AA1773" i="11" s="1"/>
  <c r="BA334" i="11"/>
  <c r="AB334" i="11" s="1"/>
  <c r="AA334" i="11" s="1"/>
  <c r="BA160" i="11"/>
  <c r="AB160" i="11" s="1"/>
  <c r="AD160" i="11" s="1" a="1"/>
  <c r="AD160" i="11" s="1"/>
  <c r="AE160" i="11" s="1"/>
  <c r="BA1202" i="11"/>
  <c r="AB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BA858" i="11"/>
  <c r="AB858" i="11" s="1"/>
  <c r="BA1276" i="11"/>
  <c r="AB1276" i="11" s="1"/>
  <c r="AA1276" i="11" s="1"/>
  <c r="BA875" i="11"/>
  <c r="AB875" i="11" s="1"/>
  <c r="AD875" i="11" s="1" a="1"/>
  <c r="AD875" i="11" s="1"/>
  <c r="AE875" i="11" s="1"/>
  <c r="BA856" i="11"/>
  <c r="AB856" i="11" s="1"/>
  <c r="AA856" i="11" s="1"/>
  <c r="BA153" i="11"/>
  <c r="AB153" i="11" s="1"/>
  <c r="BA1081" i="11"/>
  <c r="AB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BA1238" i="11"/>
  <c r="AB1238" i="11" s="1"/>
  <c r="BA792" i="11"/>
  <c r="AB792" i="11" s="1"/>
  <c r="AD792" i="11" s="1" a="1"/>
  <c r="AD792" i="11" s="1"/>
  <c r="AE792" i="11" s="1"/>
  <c r="BA1252" i="11"/>
  <c r="AB1252" i="11" s="1"/>
  <c r="AF1252" i="11" s="1" a="1"/>
  <c r="AF1252" i="11" s="1"/>
  <c r="BA1749" i="11"/>
  <c r="AB1749" i="11" s="1"/>
  <c r="AA1749" i="11" s="1"/>
  <c r="BA1156" i="11"/>
  <c r="AB1156" i="11" s="1"/>
  <c r="BA148" i="11"/>
  <c r="AB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BA669" i="11"/>
  <c r="AB669" i="11" s="1"/>
  <c r="BA1027" i="11"/>
  <c r="AB1027" i="11" s="1"/>
  <c r="AF1027" i="11" s="1" a="1"/>
  <c r="AF1027" i="11" s="1"/>
  <c r="BA605" i="11"/>
  <c r="AB605" i="11" s="1"/>
  <c r="AA605" i="11" s="1"/>
  <c r="BA381" i="11"/>
  <c r="AB381" i="11" s="1"/>
  <c r="AA381" i="11" s="1"/>
  <c r="BA1439" i="11"/>
  <c r="AB1439" i="11" s="1"/>
  <c r="BA1864" i="11"/>
  <c r="AB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BA110" i="11"/>
  <c r="AB110" i="11" s="1"/>
  <c r="BA1129" i="11"/>
  <c r="AB1129" i="11" s="1"/>
  <c r="AD1129" i="11" s="1" a="1"/>
  <c r="AD1129" i="11" s="1"/>
  <c r="AE1129" i="11" s="1"/>
  <c r="BA1484" i="11"/>
  <c r="AB1484" i="11" s="1"/>
  <c r="AF1484" i="11" s="1" a="1"/>
  <c r="AF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AA1023" i="11" s="1"/>
  <c r="BA300" i="11"/>
  <c r="AB300" i="11" s="1"/>
  <c r="AF300" i="11" s="1" a="1"/>
  <c r="AF300" i="11" s="1"/>
  <c r="BA1138" i="11"/>
  <c r="AB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BA1791" i="11"/>
  <c r="AB1791" i="11" s="1"/>
  <c r="BA240" i="11"/>
  <c r="AB240" i="11" s="1"/>
  <c r="AF240" i="11" s="1" a="1"/>
  <c r="AF240" i="11" s="1"/>
  <c r="BA697" i="11"/>
  <c r="AB697" i="11" s="1"/>
  <c r="AD697" i="11" s="1" a="1"/>
  <c r="AD697" i="11" s="1"/>
  <c r="AE697" i="11" s="1"/>
  <c r="BA203" i="11"/>
  <c r="AB203" i="11" s="1"/>
  <c r="AA203" i="11" s="1"/>
  <c r="BA176" i="11"/>
  <c r="AB176" i="11" s="1"/>
  <c r="BA665" i="11"/>
  <c r="AB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BA1879" i="11"/>
  <c r="AB1879" i="11" s="1"/>
  <c r="BA675" i="11"/>
  <c r="AB675" i="11" s="1"/>
  <c r="AA675" i="11" s="1"/>
  <c r="BA1887" i="11"/>
  <c r="AB1887" i="11" s="1"/>
  <c r="AD1887" i="11" s="1" a="1"/>
  <c r="AD1887" i="11" s="1"/>
  <c r="AE1887" i="11" s="1"/>
  <c r="BA1115" i="11"/>
  <c r="AB1115" i="11" s="1"/>
  <c r="AA1115" i="11" s="1"/>
  <c r="BA1031" i="11"/>
  <c r="AB1031" i="11" s="1"/>
  <c r="BA357" i="11"/>
  <c r="AB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BA905" i="11"/>
  <c r="AB905" i="11" s="1"/>
  <c r="BA494" i="11"/>
  <c r="AB494" i="11" s="1"/>
  <c r="AF494" i="11" s="1" a="1"/>
  <c r="AF494" i="11" s="1"/>
  <c r="BA1768" i="11"/>
  <c r="AB1768" i="11" s="1"/>
  <c r="AA1768" i="11" s="1"/>
  <c r="BA302" i="11"/>
  <c r="AB302" i="11" s="1"/>
  <c r="AD302" i="11" s="1" a="1"/>
  <c r="AD302" i="11" s="1"/>
  <c r="AE302" i="11" s="1"/>
  <c r="BA985" i="11"/>
  <c r="AB985" i="11" s="1"/>
  <c r="BA1305" i="11"/>
  <c r="AB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BA324" i="11"/>
  <c r="AB324" i="11" s="1"/>
  <c r="BA1833" i="11"/>
  <c r="AB1833" i="11" s="1"/>
  <c r="AD1833" i="11" s="1" a="1"/>
  <c r="AD1833" i="11" s="1"/>
  <c r="AE1833" i="11" s="1"/>
  <c r="BA1672" i="11"/>
  <c r="AB1672" i="11" s="1"/>
  <c r="AA1672" i="11" s="1"/>
  <c r="BA915" i="11"/>
  <c r="AB915" i="11" s="1"/>
  <c r="AD915" i="11" s="1" a="1"/>
  <c r="AD915" i="11" s="1"/>
  <c r="AE915" i="11" s="1"/>
  <c r="BA85" i="11"/>
  <c r="AB85" i="11" s="1"/>
  <c r="BA458" i="11"/>
  <c r="AB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BA1460" i="11"/>
  <c r="AB1460" i="11" s="1"/>
  <c r="BA573" i="11"/>
  <c r="AB573" i="11" s="1"/>
  <c r="AA573" i="11" s="1"/>
  <c r="BA169" i="11"/>
  <c r="AB169" i="11" s="1"/>
  <c r="AF169" i="11" s="1" a="1"/>
  <c r="AF169" i="11" s="1"/>
  <c r="BA635" i="11"/>
  <c r="AB635" i="11" s="1"/>
  <c r="AA635" i="11" s="1"/>
  <c r="BA580" i="11"/>
  <c r="AB580" i="11" s="1"/>
  <c r="BA1729" i="11"/>
  <c r="AB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BA760" i="11"/>
  <c r="AB760" i="11" s="1"/>
  <c r="BA1356" i="11"/>
  <c r="AB1356" i="11" s="1"/>
  <c r="AD1356" i="11" s="1" a="1"/>
  <c r="AD1356" i="11" s="1"/>
  <c r="AE1356" i="11" s="1"/>
  <c r="BA1189" i="11"/>
  <c r="AB1189" i="11" s="1"/>
  <c r="AA1189" i="11" s="1"/>
  <c r="BA667" i="11"/>
  <c r="AB667" i="11" s="1"/>
  <c r="AA667" i="11" s="1"/>
  <c r="BA197" i="11"/>
  <c r="AB197" i="11" s="1"/>
  <c r="BA1349" i="11"/>
  <c r="AB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BA715" i="11"/>
  <c r="AB715" i="11" s="1"/>
  <c r="BA1911" i="11"/>
  <c r="AB1911" i="11" s="1"/>
  <c r="BA253" i="11"/>
  <c r="AB253" i="11" s="1"/>
  <c r="AA253" i="11" s="1"/>
  <c r="BA183" i="11"/>
  <c r="AB183" i="11" s="1"/>
  <c r="AF183" i="11" s="1" a="1"/>
  <c r="AF183" i="11" s="1"/>
  <c r="BA1941" i="11"/>
  <c r="AB1941" i="11" s="1"/>
  <c r="BA1733" i="11"/>
  <c r="AB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BA1834" i="11"/>
  <c r="AB1834" i="11" s="1"/>
  <c r="BA1033" i="11"/>
  <c r="AB1033" i="11" s="1"/>
  <c r="AD1033" i="11" s="1" a="1"/>
  <c r="AD1033" i="11" s="1"/>
  <c r="AE1033" i="11" s="1"/>
  <c r="BA1718" i="11"/>
  <c r="AB1718" i="11" s="1"/>
  <c r="AA1718" i="11" s="1"/>
  <c r="BA834" i="11"/>
  <c r="AB834" i="11" s="1"/>
  <c r="AA834" i="11" s="1"/>
  <c r="BA1171" i="11"/>
  <c r="AB1171" i="11" s="1"/>
  <c r="BA936" i="11"/>
  <c r="AB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BA195" i="11"/>
  <c r="AB195" i="11" s="1"/>
  <c r="BA609" i="11"/>
  <c r="AB609" i="11" s="1"/>
  <c r="AD609" i="11" s="1" a="1"/>
  <c r="AD609" i="11" s="1"/>
  <c r="AE609" i="11" s="1"/>
  <c r="BA233" i="11"/>
  <c r="AB233" i="11" s="1"/>
  <c r="AF233" i="11" s="1" a="1"/>
  <c r="AF233" i="11" s="1"/>
  <c r="BA1325" i="11"/>
  <c r="AB1325" i="11" s="1"/>
  <c r="AD1325" i="11" s="1" a="1"/>
  <c r="AD1325" i="11" s="1"/>
  <c r="AE1325" i="11" s="1"/>
  <c r="BA103" i="11"/>
  <c r="AB103" i="11" s="1"/>
  <c r="BA1570" i="11"/>
  <c r="AB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BA1347" i="11"/>
  <c r="AB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BA1241" i="11"/>
  <c r="AB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BA1175" i="11"/>
  <c r="AB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BA865" i="11"/>
  <c r="AB865" i="11" s="1"/>
  <c r="BA529" i="11"/>
  <c r="AB529" i="11" s="1"/>
  <c r="AA529" i="11" s="1"/>
  <c r="BA1485" i="11"/>
  <c r="AB1485" i="11" s="1"/>
  <c r="AA1485" i="11" s="1"/>
  <c r="BA263" i="11"/>
  <c r="AB263" i="11" s="1"/>
  <c r="AD263" i="11" s="1" a="1"/>
  <c r="AD263" i="11" s="1"/>
  <c r="AE263" i="11" s="1"/>
  <c r="BA787" i="11"/>
  <c r="AB787" i="11" s="1"/>
  <c r="BA1653" i="11"/>
  <c r="AB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BA947" i="11"/>
  <c r="AB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BA1793" i="11"/>
  <c r="AB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BA1884" i="11"/>
  <c r="AB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BA987" i="11"/>
  <c r="AB987" i="11" s="1"/>
  <c r="BA1679" i="11"/>
  <c r="AB1679" i="11" s="1"/>
  <c r="AA1679" i="11" s="1"/>
  <c r="BA822" i="11"/>
  <c r="AB822" i="11" s="1"/>
  <c r="AD822" i="11" s="1" a="1"/>
  <c r="AD822" i="11" s="1"/>
  <c r="AE822" i="11" s="1"/>
  <c r="BA1320" i="11"/>
  <c r="AB1320" i="11" s="1"/>
  <c r="AD1320" i="11" s="1" a="1"/>
  <c r="AD1320" i="11" s="1"/>
  <c r="AE1320" i="11" s="1"/>
  <c r="BA1522" i="11"/>
  <c r="AB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BA1854" i="11"/>
  <c r="AB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BA1304" i="11"/>
  <c r="AB1304" i="11" s="1"/>
  <c r="AA1304" i="11" s="1"/>
  <c r="BA137" i="11"/>
  <c r="AB137" i="11" s="1"/>
  <c r="AD137" i="11" s="1" a="1"/>
  <c r="AD137" i="11" s="1"/>
  <c r="AE137" i="11" s="1"/>
  <c r="BA336" i="11"/>
  <c r="AB336" i="11" s="1"/>
  <c r="BA983" i="11"/>
  <c r="AB983" i="11" s="1"/>
  <c r="AA983" i="11" s="1"/>
  <c r="BA1807" i="11"/>
  <c r="AB1807" i="11" s="1"/>
  <c r="AF1807" i="11" s="1" a="1"/>
  <c r="AF1807" i="11" s="1"/>
  <c r="BA521" i="11"/>
  <c r="AB521" i="11" s="1"/>
  <c r="AA521" i="11" s="1"/>
  <c r="BA1605" i="11"/>
  <c r="AB1605" i="11" s="1"/>
  <c r="BA901" i="11"/>
  <c r="AB901" i="11" s="1"/>
  <c r="AF901" i="11" s="1" a="1"/>
  <c r="AF901" i="11" s="1"/>
  <c r="BA1339" i="11"/>
  <c r="AB1339" i="11" s="1"/>
  <c r="AA1339" i="11" s="1"/>
  <c r="BA918" i="11"/>
  <c r="AB918" i="11" s="1"/>
  <c r="AA918" i="11" s="1"/>
  <c r="BA1265" i="11"/>
  <c r="AB1265" i="11" s="1"/>
  <c r="AA1265" i="11" s="1"/>
  <c r="BA547" i="11"/>
  <c r="AB547" i="11" s="1"/>
  <c r="BA1720" i="11"/>
  <c r="AB1720" i="11" s="1"/>
  <c r="AA1720" i="11" s="1"/>
  <c r="BA1101" i="11"/>
  <c r="AB1101" i="11" s="1"/>
  <c r="AD1101" i="11" s="1" a="1"/>
  <c r="AD1101" i="11" s="1"/>
  <c r="AE1101" i="11" s="1"/>
  <c r="BA150" i="11"/>
  <c r="AB150" i="11" s="1"/>
  <c r="BA1545" i="11"/>
  <c r="AB1545" i="11" s="1"/>
  <c r="AA1545" i="11" s="1"/>
  <c r="BA810" i="11"/>
  <c r="AB810" i="11" s="1"/>
  <c r="AA810" i="11" s="1"/>
  <c r="BA1873" i="11"/>
  <c r="AB1873" i="11" s="1"/>
  <c r="AA1873" i="11" s="1"/>
  <c r="BA1409" i="11"/>
  <c r="AB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BA1048" i="11"/>
  <c r="AB1048" i="11" s="1"/>
  <c r="AD1048" i="11" s="1" a="1"/>
  <c r="AD1048" i="11" s="1"/>
  <c r="AE1048" i="11" s="1"/>
  <c r="BA582" i="11"/>
  <c r="AB582" i="11" s="1"/>
  <c r="AF582" i="11" s="1" a="1"/>
  <c r="AF582" i="11" s="1"/>
  <c r="BA1878" i="11"/>
  <c r="AB1878" i="11" s="1"/>
  <c r="BA1686" i="11"/>
  <c r="AB1686" i="11" s="1"/>
  <c r="AF1686" i="11" s="1" a="1"/>
  <c r="AF1686" i="11" s="1"/>
  <c r="BA90" i="11"/>
  <c r="AB90" i="11" s="1"/>
  <c r="AD90" i="11" s="1" a="1"/>
  <c r="AD90" i="11" s="1"/>
  <c r="AE90" i="11" s="1"/>
  <c r="BA750" i="11"/>
  <c r="AB750" i="11" s="1"/>
  <c r="AD750" i="11" s="1" a="1"/>
  <c r="AD750" i="11" s="1"/>
  <c r="AE750" i="11" s="1"/>
  <c r="BA541" i="11"/>
  <c r="AB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BA678" i="11"/>
  <c r="AB678" i="11" s="1"/>
  <c r="BA1649" i="11"/>
  <c r="AB1649" i="11" s="1"/>
  <c r="AA1649" i="11" s="1"/>
  <c r="BA1329" i="11"/>
  <c r="AB1329" i="11" s="1"/>
  <c r="BA803" i="11"/>
  <c r="AB803" i="11" s="1"/>
  <c r="AF803" i="11" s="1" a="1"/>
  <c r="AF803" i="11" s="1"/>
  <c r="BA309" i="11"/>
  <c r="AB309" i="11" s="1"/>
  <c r="AD309" i="11" s="1" a="1"/>
  <c r="AD309" i="11" s="1"/>
  <c r="AE309" i="11" s="1"/>
  <c r="BA1433" i="11"/>
  <c r="AB1433" i="11" s="1"/>
  <c r="AA1433" i="11" s="1"/>
  <c r="BA227" i="11"/>
  <c r="AB227" i="11" s="1"/>
  <c r="BA1038" i="11"/>
  <c r="AB1038" i="11" s="1"/>
  <c r="AA1038" i="11" s="1"/>
  <c r="BA1657" i="11"/>
  <c r="AB1657" i="11" s="1"/>
  <c r="AD1657" i="11" s="1" a="1"/>
  <c r="AD1657" i="11" s="1"/>
  <c r="AE1657" i="11" s="1"/>
  <c r="BA517" i="11"/>
  <c r="AB517" i="11" s="1"/>
  <c r="AA517" i="11" s="1"/>
  <c r="BA1800" i="11"/>
  <c r="AB1800" i="11" s="1"/>
  <c r="AA1800" i="11" s="1"/>
  <c r="BA1157" i="11"/>
  <c r="AB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AF684" i="11" s="1" a="1"/>
  <c r="AF684" i="11" s="1"/>
  <c r="BA1472" i="11"/>
  <c r="AB1472" i="11" s="1"/>
  <c r="AA1472" i="11" s="1"/>
  <c r="BA972" i="11"/>
  <c r="AB972" i="11" s="1"/>
  <c r="AF972" i="11" s="1" a="1"/>
  <c r="AF972" i="11" s="1"/>
  <c r="BA1752" i="11"/>
  <c r="AB1752" i="11" s="1"/>
  <c r="BA1093" i="11"/>
  <c r="AB1093" i="11" s="1"/>
  <c r="AF1093" i="11" s="1" a="1"/>
  <c r="AF1093" i="11" s="1"/>
  <c r="BA1336" i="11"/>
  <c r="AB1336" i="11" s="1"/>
  <c r="AD1336" i="11" s="1" a="1"/>
  <c r="AD1336" i="11" s="1"/>
  <c r="AE1336" i="11" s="1"/>
  <c r="BA903" i="11"/>
  <c r="AB903" i="11" s="1"/>
  <c r="AA903" i="11" s="1"/>
  <c r="BA630" i="11"/>
  <c r="AB630" i="11" s="1"/>
  <c r="BA1715" i="11"/>
  <c r="AB1715" i="11" s="1"/>
  <c r="BA1368" i="11"/>
  <c r="AB1368" i="11" s="1"/>
  <c r="BA1076" i="11"/>
  <c r="AB1076" i="11" s="1"/>
  <c r="AA1076" i="11" s="1"/>
  <c r="BA942" i="11"/>
  <c r="AB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BA638" i="11"/>
  <c r="AB638" i="11" s="1"/>
  <c r="BA1611" i="11"/>
  <c r="AB1611" i="11" s="1"/>
  <c r="BA1065" i="11"/>
  <c r="AB1065" i="11" s="1"/>
  <c r="BA1498" i="11"/>
  <c r="AB1498" i="11" s="1"/>
  <c r="AA1498" i="11" s="1"/>
  <c r="BA365" i="11"/>
  <c r="AB365" i="11" s="1"/>
  <c r="AF365" i="11" s="1" a="1"/>
  <c r="AF365" i="11" s="1"/>
  <c r="BA1746" i="11"/>
  <c r="AB1746" i="11" s="1"/>
  <c r="AA1746" i="11" s="1"/>
  <c r="BA1247" i="11"/>
  <c r="AB1247" i="11" s="1"/>
  <c r="BA1335" i="11"/>
  <c r="AB1335" i="11" s="1"/>
  <c r="AA1335" i="11" s="1"/>
  <c r="BA1984" i="11"/>
  <c r="AB1984" i="11" s="1"/>
  <c r="AA1984" i="11" s="1"/>
  <c r="BA377" i="11"/>
  <c r="AB377" i="11" s="1"/>
  <c r="AA377" i="11" s="1"/>
  <c r="BA546" i="11"/>
  <c r="AB546" i="11" s="1"/>
  <c r="BA1311" i="11"/>
  <c r="AB1311" i="11" s="1"/>
  <c r="BA1722" i="11"/>
  <c r="AB1722" i="11" s="1"/>
  <c r="BA1080" i="11"/>
  <c r="AB1080" i="11" s="1"/>
  <c r="AA1080" i="11" s="1"/>
  <c r="BA1367" i="11"/>
  <c r="AB1367" i="11" s="1"/>
  <c r="BA328" i="11"/>
  <c r="AB328" i="11" s="1"/>
  <c r="AF328" i="11" s="1" a="1"/>
  <c r="AF328" i="11" s="1"/>
  <c r="BA619" i="11"/>
  <c r="AB619" i="11" s="1"/>
  <c r="AA619" i="11" s="1"/>
  <c r="BA215" i="11"/>
  <c r="AB215" i="11" s="1"/>
  <c r="AF215" i="11" s="1" a="1"/>
  <c r="AF215" i="11" s="1"/>
  <c r="BA1015" i="11"/>
  <c r="AB1015" i="11" s="1"/>
  <c r="BA1422" i="11"/>
  <c r="AB1422" i="11" s="1"/>
  <c r="AF1422" i="11" s="1" a="1"/>
  <c r="AF1422" i="11" s="1"/>
  <c r="BA1630" i="11"/>
  <c r="AB1630" i="11" s="1"/>
  <c r="AF1630" i="11" s="1" a="1"/>
  <c r="AF1630" i="11" s="1"/>
  <c r="BA969" i="11"/>
  <c r="AB969" i="11" s="1"/>
  <c r="AF969" i="11" s="1" a="1"/>
  <c r="AF969" i="11" s="1"/>
  <c r="BA1660" i="11"/>
  <c r="AB1660" i="11" s="1"/>
  <c r="BA1162" i="11"/>
  <c r="AB1162" i="11" s="1"/>
  <c r="BA1448" i="11"/>
  <c r="AB1448" i="11" s="1"/>
  <c r="AA1448" i="11" s="1"/>
  <c r="BA764" i="11"/>
  <c r="AB764" i="11" s="1"/>
  <c r="AA764" i="11" s="1"/>
  <c r="BA770" i="11"/>
  <c r="AB770" i="11" s="1"/>
  <c r="BA1237" i="11"/>
  <c r="AB1237" i="11" s="1"/>
  <c r="AA1237" i="11" s="1"/>
  <c r="BA1271" i="11"/>
  <c r="AB1271" i="11" s="1"/>
  <c r="AA1271" i="11" s="1"/>
  <c r="BA30" i="11"/>
  <c r="AB30" i="11" s="1"/>
  <c r="AA30" i="11" s="1"/>
  <c r="BA1841" i="11"/>
  <c r="AB1841" i="11" s="1"/>
  <c r="BA519" i="11"/>
  <c r="AB519" i="11" s="1"/>
  <c r="AD519" i="11" s="1" a="1"/>
  <c r="AD519" i="11" s="1"/>
  <c r="AE519" i="11" s="1"/>
  <c r="BA1541" i="11"/>
  <c r="AB1541" i="11" s="1"/>
  <c r="AF1541" i="11" s="1" a="1"/>
  <c r="AF1541" i="11" s="1"/>
  <c r="BA1291" i="11"/>
  <c r="AB1291" i="11" s="1"/>
  <c r="AA1291" i="11" s="1"/>
  <c r="BA1103" i="11"/>
  <c r="AB1103" i="11" s="1"/>
  <c r="BA1207" i="11"/>
  <c r="AB1207" i="11" s="1"/>
  <c r="BA1747" i="11"/>
  <c r="AB1747" i="11" s="1"/>
  <c r="AA1747" i="11" s="1"/>
  <c r="BA1491" i="11"/>
  <c r="AB1491" i="11" s="1"/>
  <c r="BA615" i="11"/>
  <c r="AB615" i="11" s="1"/>
  <c r="BA69" i="11"/>
  <c r="AB69" i="11" s="1"/>
  <c r="AA69" i="11" s="1"/>
  <c r="BA1542" i="11"/>
  <c r="AB1542" i="11" s="1"/>
  <c r="AD1542" i="11" s="1" a="1"/>
  <c r="AD1542" i="11" s="1"/>
  <c r="AE1542" i="11" s="1"/>
  <c r="BA44" i="11"/>
  <c r="AB44" i="11" s="1"/>
  <c r="AA44" i="11" s="1"/>
  <c r="BA1501" i="11"/>
  <c r="AB1501" i="11" s="1"/>
  <c r="BA890" i="11"/>
  <c r="AB890" i="11" s="1"/>
  <c r="AF890" i="11" s="1" a="1"/>
  <c r="AF890" i="11" s="1"/>
  <c r="BA745" i="11"/>
  <c r="AB745" i="11" s="1"/>
  <c r="AA745" i="11" s="1"/>
  <c r="BA1615" i="11"/>
  <c r="AB1615" i="11" s="1"/>
  <c r="BA721" i="11"/>
  <c r="AB721" i="11" s="1"/>
  <c r="AA721" i="11" s="1"/>
  <c r="BA114" i="11"/>
  <c r="AB114" i="11" s="1"/>
  <c r="BA1935" i="11"/>
  <c r="AB1935" i="11" s="1"/>
  <c r="AA1935" i="11" s="1"/>
  <c r="BA1754" i="11"/>
  <c r="AB1754" i="11" s="1"/>
  <c r="AA1754" i="11" s="1"/>
  <c r="BA907" i="11"/>
  <c r="AB907" i="11" s="1"/>
  <c r="BA288" i="11"/>
  <c r="AB288" i="11" s="1"/>
  <c r="AA288" i="11" s="1"/>
  <c r="BA1217" i="11"/>
  <c r="AB1217" i="11" s="1"/>
  <c r="AD1217" i="11" s="1" a="1"/>
  <c r="AD1217" i="11" s="1"/>
  <c r="AE1217" i="11" s="1"/>
  <c r="BA1421" i="11"/>
  <c r="AB1421" i="11" s="1"/>
  <c r="AA1421" i="11" s="1"/>
  <c r="BA1520" i="11"/>
  <c r="AB1520" i="11" s="1"/>
  <c r="BA962" i="11"/>
  <c r="AB962" i="11" s="1"/>
  <c r="AF962" i="11" s="1" a="1"/>
  <c r="AF962" i="11" s="1"/>
  <c r="BA499" i="11"/>
  <c r="AB499" i="11" s="1"/>
  <c r="AA499" i="11" s="1"/>
  <c r="BA741" i="11"/>
  <c r="AB741" i="11" s="1"/>
  <c r="AA741" i="11" s="1"/>
  <c r="BA1852" i="11"/>
  <c r="AB1852" i="11" s="1"/>
  <c r="AA1852" i="11" s="1"/>
  <c r="BA264" i="11"/>
  <c r="AB264" i="11" s="1"/>
  <c r="BA1502" i="11"/>
  <c r="AB1502" i="11" s="1"/>
  <c r="AA1502" i="11" s="1"/>
  <c r="BA1179" i="11"/>
  <c r="AB1179" i="11" s="1"/>
  <c r="BA1962" i="11"/>
  <c r="AB1962" i="11" s="1"/>
  <c r="BA1970" i="11"/>
  <c r="AB1970" i="11" s="1"/>
  <c r="AA1970" i="11" s="1"/>
  <c r="BA953" i="11"/>
  <c r="AB953" i="11" s="1"/>
  <c r="AF953" i="11" s="1" a="1"/>
  <c r="AF953" i="11" s="1"/>
  <c r="BA362" i="11"/>
  <c r="AB362" i="11" s="1"/>
  <c r="AD362" i="11" s="1" a="1"/>
  <c r="AD362" i="11" s="1"/>
  <c r="AE362" i="11" s="1"/>
  <c r="BA1853" i="11"/>
  <c r="AB1853" i="11" s="1"/>
  <c r="BA1294" i="11"/>
  <c r="AB1294" i="11" s="1"/>
  <c r="AD1294" i="11" s="1" a="1"/>
  <c r="AD1294" i="11" s="1"/>
  <c r="AE1294" i="11" s="1"/>
  <c r="BA1442" i="11"/>
  <c r="AB1442" i="11" s="1"/>
  <c r="AA1442" i="11" s="1"/>
  <c r="BA1337" i="11"/>
  <c r="AB1337" i="11" s="1"/>
  <c r="AA1337" i="11" s="1"/>
  <c r="BA384" i="11"/>
  <c r="AB384" i="11" s="1"/>
  <c r="AA384" i="11" s="1"/>
  <c r="BA484" i="11"/>
  <c r="AB484" i="11" s="1"/>
  <c r="BA659" i="11"/>
  <c r="AB659" i="11" s="1"/>
  <c r="BA478" i="11"/>
  <c r="AB478" i="11" s="1"/>
  <c r="AA478" i="11" s="1"/>
  <c r="BA1665" i="11"/>
  <c r="AB1665" i="11" s="1"/>
  <c r="BA174" i="11"/>
  <c r="AB174" i="11" s="1"/>
  <c r="AF174" i="11" s="1" a="1"/>
  <c r="AF174" i="11" s="1"/>
  <c r="BA937" i="11"/>
  <c r="AB937" i="11" s="1"/>
  <c r="AF937" i="11" s="1" a="1"/>
  <c r="AF937" i="11" s="1"/>
  <c r="BA1666" i="11"/>
  <c r="AB1666" i="11" s="1"/>
  <c r="AA1666" i="11" s="1"/>
  <c r="BA842" i="11"/>
  <c r="AB842" i="11" s="1"/>
  <c r="BA345" i="11"/>
  <c r="AB345" i="11" s="1"/>
  <c r="AF345" i="11" s="1" a="1"/>
  <c r="AF345" i="11" s="1"/>
  <c r="BA831" i="11"/>
  <c r="AB831" i="11" s="1"/>
  <c r="AA831" i="11" s="1"/>
  <c r="BA1399" i="11"/>
  <c r="AB1399" i="11" s="1"/>
  <c r="AA1399" i="11" s="1"/>
  <c r="BA1608" i="11"/>
  <c r="AB1608" i="11" s="1"/>
  <c r="BA374" i="11"/>
  <c r="AB374" i="11" s="1"/>
  <c r="BA916" i="11"/>
  <c r="AB916" i="11" s="1"/>
  <c r="AA916" i="11" s="1"/>
  <c r="BA1190" i="11"/>
  <c r="AB1190" i="11" s="1"/>
  <c r="AA1190" i="11" s="1"/>
  <c r="BA486" i="11"/>
  <c r="AB486" i="11" s="1"/>
  <c r="BA799" i="11"/>
  <c r="AB799" i="11" s="1"/>
  <c r="AA799" i="11" s="1"/>
  <c r="BA305" i="11"/>
  <c r="AB305" i="11" s="1"/>
  <c r="AD305" i="11" s="1" a="1"/>
  <c r="AD305" i="11" s="1"/>
  <c r="AE305" i="11" s="1"/>
  <c r="BA371" i="11"/>
  <c r="AB371" i="11" s="1"/>
  <c r="AA371" i="11" s="1"/>
  <c r="BA994" i="11"/>
  <c r="AB994" i="11" s="1"/>
  <c r="BA1243" i="11"/>
  <c r="AB1243" i="11" s="1"/>
  <c r="AA1243" i="11" s="1"/>
  <c r="BA958" i="11"/>
  <c r="AB958" i="11" s="1"/>
  <c r="AA958" i="11" s="1"/>
  <c r="BA1143" i="11"/>
  <c r="AB1143" i="11" s="1"/>
  <c r="AA1143" i="11" s="1"/>
  <c r="BA726" i="11"/>
  <c r="AB726" i="11" s="1"/>
  <c r="AA726" i="11" s="1"/>
  <c r="BA526" i="11"/>
  <c r="AB526" i="11" s="1"/>
  <c r="BA1753" i="11"/>
  <c r="AB1753" i="11" s="1"/>
  <c r="AA1753" i="11" s="1"/>
  <c r="BA873" i="11"/>
  <c r="AB873" i="11" s="1"/>
  <c r="AA873" i="11" s="1"/>
  <c r="BA971" i="11"/>
  <c r="AB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BA105" i="11"/>
  <c r="AB105" i="11" s="1"/>
  <c r="BA1838" i="11"/>
  <c r="AB1838" i="11" s="1"/>
  <c r="BA276" i="11"/>
  <c r="AB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AD86" i="11" s="1" a="1"/>
  <c r="AD86" i="11" s="1"/>
  <c r="AE86" i="11" s="1"/>
  <c r="BA1757" i="11"/>
  <c r="AB1757" i="11" s="1"/>
  <c r="AD1757" i="11" s="1" a="1"/>
  <c r="AD1757" i="11" s="1"/>
  <c r="AE1757" i="11" s="1"/>
  <c r="BA1550" i="11"/>
  <c r="AB1550" i="11" s="1"/>
  <c r="AA1550" i="11" s="1"/>
  <c r="BA677" i="11"/>
  <c r="AB677" i="11" s="1"/>
  <c r="BA1192" i="11"/>
  <c r="AB1192" i="11" s="1"/>
  <c r="AA1192" i="11" s="1"/>
  <c r="BA170" i="11"/>
  <c r="AB170" i="11" s="1"/>
  <c r="AA170" i="11" s="1"/>
  <c r="BA1004" i="11"/>
  <c r="AB1004" i="11" s="1"/>
  <c r="AA1004" i="11" s="1"/>
  <c r="BA1034" i="11"/>
  <c r="AB1034" i="11" s="1"/>
  <c r="AA1034" i="11" s="1"/>
  <c r="BA1321" i="11"/>
  <c r="AB1321" i="11" s="1"/>
  <c r="BA1244" i="11"/>
  <c r="AB1244" i="11" s="1"/>
  <c r="AA1244" i="11" s="1"/>
  <c r="BA550" i="11"/>
  <c r="AB550" i="11" s="1"/>
  <c r="AA550" i="11" s="1"/>
  <c r="BA23" i="11"/>
  <c r="AB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BA93" i="11"/>
  <c r="AB93" i="11" s="1"/>
  <c r="AD93" i="11" s="1" a="1"/>
  <c r="AD93" i="11" s="1"/>
  <c r="AE93" i="11" s="1"/>
  <c r="BA666" i="11"/>
  <c r="AB666" i="11" s="1"/>
  <c r="AF666" i="11" s="1" a="1"/>
  <c r="AF666" i="11" s="1"/>
  <c r="BA162" i="11"/>
  <c r="AB162" i="11" s="1"/>
  <c r="AA162" i="11" s="1"/>
  <c r="BA503" i="11"/>
  <c r="AB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BA1922" i="11"/>
  <c r="AB1922" i="11" s="1"/>
  <c r="AA1922" i="11" s="1"/>
  <c r="BA1648" i="11"/>
  <c r="AB1648" i="11" s="1"/>
  <c r="AA1648" i="11" s="1"/>
  <c r="BA1446" i="11"/>
  <c r="AB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BA1012" i="11"/>
  <c r="AB1012" i="11" s="1"/>
  <c r="AA1012" i="11" s="1"/>
  <c r="BA1673" i="11"/>
  <c r="AB1673" i="11" s="1"/>
  <c r="AA1673" i="11" s="1"/>
  <c r="BA1197" i="11"/>
  <c r="AB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BA657" i="11"/>
  <c r="AB657" i="11" s="1"/>
  <c r="AA657" i="11" s="1"/>
  <c r="BA1210" i="11"/>
  <c r="AB1210" i="11" s="1"/>
  <c r="AA1210" i="11" s="1"/>
  <c r="BA301" i="11"/>
  <c r="AB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BA1160" i="11"/>
  <c r="AB1160" i="11" s="1"/>
  <c r="AA1160" i="11" s="1"/>
  <c r="BA335" i="11"/>
  <c r="AB335" i="11" s="1"/>
  <c r="AA335" i="11" s="1"/>
  <c r="BA556" i="11"/>
  <c r="AB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BA1170" i="11"/>
  <c r="AB1170" i="11" s="1"/>
  <c r="AA1170" i="11" s="1"/>
  <c r="BA680" i="11"/>
  <c r="AB680" i="11" s="1"/>
  <c r="AF680" i="11" s="1" a="1"/>
  <c r="AF680" i="11" s="1"/>
  <c r="BA397" i="11"/>
  <c r="AB397" i="11" s="1"/>
  <c r="AD397" i="11" s="1" a="1"/>
  <c r="AD397" i="11" s="1"/>
  <c r="AE397" i="11" s="1"/>
  <c r="BA1961" i="11"/>
  <c r="AB1961" i="11" s="1"/>
  <c r="BA1712" i="11"/>
  <c r="AB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BA1488" i="11"/>
  <c r="AB1488" i="11" s="1"/>
  <c r="AD1488" i="11" s="1" a="1"/>
  <c r="AD1488" i="11" s="1"/>
  <c r="AE1488" i="11" s="1"/>
  <c r="BA95" i="11"/>
  <c r="AB95" i="11" s="1"/>
  <c r="AF95" i="11" s="1" a="1"/>
  <c r="AF95" i="11" s="1"/>
  <c r="BA410" i="11"/>
  <c r="AB410" i="11" s="1"/>
  <c r="BA1998" i="11"/>
  <c r="AB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BA1306" i="11"/>
  <c r="AB1306" i="11" s="1"/>
  <c r="AD1306" i="11" s="1" a="1"/>
  <c r="AD1306" i="11" s="1"/>
  <c r="AE1306" i="11" s="1"/>
  <c r="BA1365" i="11"/>
  <c r="AB1365" i="11" s="1"/>
  <c r="AD1365" i="11" s="1" a="1"/>
  <c r="AD1365" i="11" s="1"/>
  <c r="AE1365" i="11" s="1"/>
  <c r="BA647" i="11"/>
  <c r="AB647" i="11" s="1"/>
  <c r="BA1928" i="11"/>
  <c r="AB1928" i="11" s="1"/>
  <c r="AD1928" i="11" s="1" a="1"/>
  <c r="AD1928" i="11" s="1"/>
  <c r="AE1928" i="11" s="1"/>
  <c r="BA1112" i="11"/>
  <c r="AB1112" i="11" s="1"/>
  <c r="AD1112" i="11" s="1" a="1"/>
  <c r="AD1112" i="11" s="1"/>
  <c r="AE1112" i="11" s="1"/>
  <c r="BA744" i="11"/>
  <c r="AB744" i="11" s="1"/>
  <c r="AA744" i="11" s="1"/>
  <c r="BA17" i="11"/>
  <c r="AB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BA258" i="11"/>
  <c r="AB258" i="11" s="1"/>
  <c r="AF258" i="11" s="1" a="1"/>
  <c r="AF258" i="11" s="1"/>
  <c r="BA413" i="11"/>
  <c r="AB413" i="11" s="1"/>
  <c r="AA413" i="11" s="1"/>
  <c r="BA888" i="11"/>
  <c r="AB888" i="11" s="1"/>
  <c r="BA126" i="11"/>
  <c r="AB126" i="11" s="1"/>
  <c r="AA126" i="11" s="1"/>
  <c r="BA1441" i="11"/>
  <c r="AB1441" i="11" s="1"/>
  <c r="AA1441" i="11" s="1"/>
  <c r="BA564" i="11"/>
  <c r="AB564" i="11" s="1"/>
  <c r="AA564" i="11" s="1"/>
  <c r="BA683" i="11"/>
  <c r="AB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BA471" i="11"/>
  <c r="AB471" i="11" s="1"/>
  <c r="AF471" i="11" s="1" a="1"/>
  <c r="AF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524" i="11" a="1"/>
  <c r="AD524" i="11" s="1"/>
  <c r="AE524" i="11" s="1"/>
  <c r="AD101" i="11" a="1"/>
  <c r="AD101" i="11" s="1"/>
  <c r="AE101" i="11" s="1"/>
  <c r="AA1180" i="11"/>
  <c r="AD1671" i="11" a="1"/>
  <c r="AD1671" i="11" s="1"/>
  <c r="AE1671" i="11" s="1"/>
  <c r="AD1018" i="11" a="1"/>
  <c r="AD1018" i="11" s="1"/>
  <c r="AE1018" i="11" s="1"/>
  <c r="AD453" i="11" a="1"/>
  <c r="AD453" i="11" s="1"/>
  <c r="AE453" i="11" s="1"/>
  <c r="AD27" i="11" a="1"/>
  <c r="AD27" i="11" s="1"/>
  <c r="AE27"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2010" i="11" a="1"/>
  <c r="AD2010" i="11" s="1"/>
  <c r="AE2010" i="11" s="1"/>
  <c r="AD456" i="11" a="1"/>
  <c r="AD456" i="11" s="1"/>
  <c r="AE456" i="11" s="1"/>
  <c r="AF207" i="11" a="1"/>
  <c r="AF207" i="11" s="1"/>
  <c r="AF1262" i="11" a="1"/>
  <c r="AF1262" i="11" s="1"/>
  <c r="AD447" i="11" a="1"/>
  <c r="AD447" i="11" s="1"/>
  <c r="AE447" i="11" s="1"/>
  <c r="AA364" i="11"/>
  <c r="AD648" i="11" a="1"/>
  <c r="AD648" i="11" s="1"/>
  <c r="AE648" i="11" s="1"/>
  <c r="AD19" i="11" a="1"/>
  <c r="AD19" i="11" s="1"/>
  <c r="AE19" i="11" s="1"/>
  <c r="AF117" i="11" a="1"/>
  <c r="AF117" i="11" s="1"/>
  <c r="AD1734" i="11" a="1"/>
  <c r="AD1734" i="11" s="1"/>
  <c r="AE1734" i="11" s="1"/>
  <c r="AF354" i="11" a="1"/>
  <c r="AF354" i="11" s="1"/>
  <c r="AD181" i="11" a="1"/>
  <c r="AD181" i="11" s="1"/>
  <c r="AE181" i="11" s="1"/>
  <c r="AF1303" i="11" a="1"/>
  <c r="AF1303" i="11" s="1"/>
  <c r="AA542" i="11"/>
  <c r="AF1431" i="11" a="1"/>
  <c r="AF1431" i="11" s="1"/>
  <c r="AA24" i="11"/>
  <c r="AD1126" i="11" a="1"/>
  <c r="AD1126" i="11" s="1"/>
  <c r="AE1126" i="11" s="1"/>
  <c r="AD1263" i="11" a="1"/>
  <c r="AD1263" i="11" s="1"/>
  <c r="AE1263" i="11" s="1"/>
  <c r="AD670" i="11" a="1"/>
  <c r="AD670" i="11" s="1"/>
  <c r="AE670" i="11" s="1"/>
  <c r="AF1350" i="11" a="1"/>
  <c r="AF1350" i="11" s="1"/>
  <c r="AD1378" i="11" a="1"/>
  <c r="AD1378" i="11" s="1"/>
  <c r="AE1378" i="11" s="1"/>
  <c r="AD513" i="11" a="1"/>
  <c r="AD513" i="11" s="1"/>
  <c r="AE513" i="11" s="1"/>
  <c r="AD370" i="11" a="1"/>
  <c r="AD370" i="11" s="1"/>
  <c r="AE370" i="11" s="1"/>
  <c r="AA865" i="11"/>
  <c r="AD649" i="11" a="1"/>
  <c r="AD649" i="11" s="1"/>
  <c r="AE649" i="11" s="1"/>
  <c r="AF504" i="11" a="1"/>
  <c r="AF504" i="11" s="1"/>
  <c r="AA1226" i="11"/>
  <c r="AF1222" i="11" a="1"/>
  <c r="AF1222" i="11" s="1"/>
  <c r="AF861" i="11" a="1"/>
  <c r="AF861" i="11" s="1"/>
  <c r="AA954" i="11"/>
  <c r="AA212" i="11"/>
  <c r="AA1801" i="11"/>
  <c r="AA1295" i="11"/>
  <c r="AA1711" i="11"/>
  <c r="AA1084" i="11"/>
  <c r="AA1377"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405" i="11"/>
  <c r="AA229" i="11"/>
  <c r="AA1804" i="11"/>
  <c r="AA586" i="11"/>
  <c r="AA705" i="11"/>
  <c r="AA1193" i="11"/>
  <c r="AA420" i="11"/>
  <c r="AA1086" i="11"/>
  <c r="AA1470" i="11"/>
  <c r="AA910" i="11"/>
  <c r="AA1709" i="11"/>
  <c r="AA1959" i="11"/>
  <c r="AA143" i="11"/>
  <c r="AA1006" i="11"/>
  <c r="AA1181" i="11"/>
  <c r="AA252" i="11"/>
  <c r="AA435" i="11"/>
  <c r="AA1862" i="11"/>
  <c r="AA931" i="11"/>
  <c r="AA1646" i="11"/>
  <c r="AA1496" i="11"/>
  <c r="AA161" i="11"/>
  <c r="AA784" i="11"/>
  <c r="AA575" i="11"/>
  <c r="AA946" i="11"/>
  <c r="AA1547" i="11"/>
  <c r="AA1629" i="11"/>
  <c r="AA1017" i="11"/>
  <c r="AA999" i="11"/>
  <c r="AA604" i="11"/>
  <c r="AA1113" i="11"/>
  <c r="AA1273" i="11"/>
  <c r="AA1158" i="11"/>
  <c r="AA1199" i="11"/>
  <c r="AA342" i="11"/>
  <c r="AA1328" i="11"/>
  <c r="AA592" i="11"/>
  <c r="AA1102" i="11"/>
  <c r="AA166" i="11"/>
  <c r="AA665" i="11"/>
  <c r="AA1676" i="11"/>
  <c r="AA1137" i="11"/>
  <c r="AA701" i="11"/>
  <c r="AA620" i="11"/>
  <c r="AA594" i="11"/>
  <c r="AA1175"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806" i="11"/>
  <c r="AD417" i="11" a="1"/>
  <c r="AD417" i="11" s="1"/>
  <c r="AE417" i="11" s="1"/>
  <c r="AF1906" i="11" a="1"/>
  <c r="AF1906" i="11" s="1"/>
  <c r="AA1411" i="11"/>
  <c r="AA1635" i="11"/>
  <c r="AD797" i="11" a="1"/>
  <c r="AD797" i="11" s="1"/>
  <c r="AE797" i="11" s="1"/>
  <c r="AA1489" i="11"/>
  <c r="AF293" i="11" a="1"/>
  <c r="AF293" i="11" s="1"/>
  <c r="AF1658" i="11" a="1"/>
  <c r="AF1658" i="11" s="1"/>
  <c r="AA934" i="11"/>
  <c r="AD280" i="11" a="1"/>
  <c r="AD280" i="11" s="1"/>
  <c r="AE280" i="11" s="1"/>
  <c r="AF624" i="11" a="1"/>
  <c r="AF624" i="11" s="1"/>
  <c r="AD91" i="11" a="1"/>
  <c r="AD91" i="11" s="1"/>
  <c r="AE91" i="11" s="1"/>
  <c r="AF1397" i="11" a="1"/>
  <c r="AF1397" i="11" s="1"/>
  <c r="AF549" i="11" a="1"/>
  <c r="AF549" i="11" s="1"/>
  <c r="AA1450" i="11"/>
  <c r="AD1062" i="11" a="1"/>
  <c r="AD1062" i="11" s="1"/>
  <c r="AE1062" i="11" s="1"/>
  <c r="AD1645" i="11" a="1"/>
  <c r="AD1645" i="11" s="1"/>
  <c r="AE1645" i="11" s="1"/>
  <c r="AD25" i="11" a="1"/>
  <c r="AD25" i="11" s="1"/>
  <c r="AE25" i="11" s="1"/>
  <c r="AF1866" i="11" a="1"/>
  <c r="AF1866" i="11" s="1"/>
  <c r="AF1333" i="11" a="1"/>
  <c r="AF1333" i="11" s="1"/>
  <c r="AA1808" i="11"/>
  <c r="AA1139" i="11"/>
  <c r="AA1730" i="11"/>
  <c r="AF176" i="11" a="1"/>
  <c r="AF176" i="11" s="1"/>
  <c r="AA1572" i="11"/>
  <c r="AD202" i="11" a="1"/>
  <c r="AD202" i="11" s="1"/>
  <c r="AE202" i="11" s="1"/>
  <c r="AA1731" i="11"/>
  <c r="AD896" i="11" a="1"/>
  <c r="AD896" i="11" s="1"/>
  <c r="AE896" i="11" s="1"/>
  <c r="AA1983" i="11"/>
  <c r="AD1390" i="11" a="1"/>
  <c r="AD1390" i="11" s="1"/>
  <c r="AE1390" i="11" s="1"/>
  <c r="AF431" i="11" a="1"/>
  <c r="AF431" i="11" s="1"/>
  <c r="AF1400" i="11" a="1"/>
  <c r="AF1400" i="11" s="1"/>
  <c r="AF579" i="11" a="1"/>
  <c r="AF579" i="11" s="1"/>
  <c r="AA891" i="11"/>
  <c r="AD1463" i="11" a="1"/>
  <c r="AD1463" i="11" s="1"/>
  <c r="AE1463" i="11" s="1"/>
  <c r="AD905" i="11" a="1"/>
  <c r="AD905" i="11" s="1"/>
  <c r="AE905" i="11" s="1"/>
  <c r="AF1202" i="11" a="1"/>
  <c r="AF1202" i="11" s="1"/>
  <c r="AA1976" i="11"/>
  <c r="AA531" i="11"/>
  <c r="AA1305" i="11"/>
  <c r="AD18" i="11" a="1"/>
  <c r="AD18" i="11" s="1"/>
  <c r="AE18" i="11" s="1"/>
  <c r="AD1030" i="11" a="1"/>
  <c r="AD1030" i="11" s="1"/>
  <c r="AE1030" i="11" s="1"/>
  <c r="AA725" i="11"/>
  <c r="AA885" i="11"/>
  <c r="AD1000" i="11" a="1"/>
  <c r="AD1000" i="11" s="1"/>
  <c r="AE1000" i="11" s="1"/>
  <c r="AA398" i="11"/>
  <c r="AF47" i="11" a="1"/>
  <c r="AF47" i="11" s="1"/>
  <c r="AD866" i="11" a="1"/>
  <c r="AD866" i="11" s="1"/>
  <c r="AE866"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A216" i="11"/>
  <c r="AF1723" i="11" a="1"/>
  <c r="AF1723" i="11" s="1"/>
  <c r="AD1949" i="11" a="1"/>
  <c r="AD1949" i="11" s="1"/>
  <c r="AE1949" i="11" s="1"/>
  <c r="AA1003" i="11"/>
  <c r="AA1763" i="11"/>
  <c r="AA1908" i="11"/>
  <c r="AA347" i="11"/>
  <c r="AA339" i="11"/>
  <c r="AA1699" i="11"/>
  <c r="AA1043" i="11"/>
  <c r="AA871" i="11"/>
  <c r="AA988" i="11"/>
  <c r="AA344" i="11"/>
  <c r="AA846" i="11"/>
  <c r="AA1938" i="11"/>
  <c r="AA685" i="11"/>
  <c r="AA1020" i="11"/>
  <c r="AA874" i="11"/>
  <c r="AA422" i="11"/>
  <c r="AA1791" i="11"/>
  <c r="AA1900" i="11"/>
  <c r="AA265" i="11"/>
  <c r="AA1074" i="11"/>
  <c r="AA1437" i="11"/>
  <c r="AD308" i="11" a="1"/>
  <c r="AD308" i="11" s="1"/>
  <c r="AE308" i="11" s="1"/>
  <c r="AD1854" i="11" a="1"/>
  <c r="AD1854" i="11" s="1"/>
  <c r="AE1854" i="11" s="1"/>
  <c r="AA1832" i="11"/>
  <c r="AA1506" i="11"/>
  <c r="AA1391" i="11"/>
  <c r="AA295" i="11"/>
  <c r="AA599" i="11"/>
  <c r="AD912" i="11" a="1"/>
  <c r="AD912" i="11" s="1"/>
  <c r="AE912" i="11" s="1"/>
  <c r="AA1930" i="11"/>
  <c r="AA1522" i="11"/>
  <c r="AA378" i="11"/>
  <c r="AA1382" i="11"/>
  <c r="AA1851" i="11"/>
  <c r="AA1626" i="11"/>
  <c r="AA987" i="11"/>
  <c r="AA1031" i="11"/>
  <c r="AA450" i="11"/>
  <c r="AA1001" i="11"/>
  <c r="AA275" i="11"/>
  <c r="AA1054" i="11"/>
  <c r="AA1503" i="11"/>
  <c r="AA1144" i="11"/>
  <c r="AA507" i="11"/>
  <c r="AA1843" i="11"/>
  <c r="AA1142" i="11"/>
  <c r="AA790" i="11"/>
  <c r="AA854" i="11"/>
  <c r="AA310" i="11"/>
  <c r="AA1340" i="11"/>
  <c r="AA1223" i="11"/>
  <c r="AA1790" i="11"/>
  <c r="AA350" i="11"/>
  <c r="AA1230" i="11"/>
  <c r="AA1546" i="11"/>
  <c r="AA1063" i="11"/>
  <c r="AA1109" i="11"/>
  <c r="AA1736" i="11"/>
  <c r="AA1574" i="11"/>
  <c r="AA823" i="11"/>
  <c r="AA1259" i="11"/>
  <c r="AA1903" i="11"/>
  <c r="AA251" i="11"/>
  <c r="AA1515" i="11"/>
  <c r="AA877" i="11"/>
  <c r="AA147" i="11"/>
  <c r="AA1894" i="11"/>
  <c r="AA703" i="11"/>
  <c r="AA386" i="11"/>
  <c r="AA1650" i="11"/>
  <c r="AA1165" i="11"/>
  <c r="AA153" i="11"/>
  <c r="AA1082" i="11"/>
  <c r="AA1408" i="11"/>
  <c r="AA85" i="11"/>
  <c r="AA1570" i="11"/>
  <c r="AA1191" i="11"/>
  <c r="AA125" i="11"/>
  <c r="AA833" i="11"/>
  <c r="AA801" i="11"/>
  <c r="AA1918" i="11"/>
  <c r="AA1947" i="11"/>
  <c r="AA1826" i="11"/>
  <c r="AA622" i="11"/>
  <c r="AA1901" i="11"/>
  <c r="AA1309" i="11"/>
  <c r="AA1766" i="11"/>
  <c r="AA134" i="11"/>
  <c r="AA1926" i="11"/>
  <c r="AA1242" i="11"/>
  <c r="AA1552" i="11"/>
  <c r="AA1212" i="11"/>
  <c r="AA763" i="11"/>
  <c r="AA1584" i="11"/>
  <c r="AA669" i="11"/>
  <c r="AA1393" i="11"/>
  <c r="AA155" i="11"/>
  <c r="AA760" i="11"/>
  <c r="AA936" i="11"/>
  <c r="AA56" i="11"/>
  <c r="AA1206" i="11"/>
  <c r="AA1777" i="11"/>
  <c r="AA219" i="11"/>
  <c r="AA497" i="11"/>
  <c r="AA2011" i="11"/>
  <c r="AA1494" i="11"/>
  <c r="AA1462" i="11"/>
  <c r="AA299" i="11"/>
  <c r="AA640" i="11"/>
  <c r="AA475" i="11"/>
  <c r="AA215" i="11"/>
  <c r="AA686" i="11"/>
  <c r="AA595" i="11"/>
  <c r="AA964" i="11"/>
  <c r="AA1733" i="11"/>
  <c r="AA291" i="11"/>
  <c r="AA1995" i="11"/>
  <c r="AA1701" i="11"/>
  <c r="AA1425" i="11"/>
  <c r="AA1653" i="11"/>
  <c r="AA109" i="11"/>
  <c r="AA547" i="11"/>
  <c r="AA932" i="11"/>
  <c r="AA1883" i="11"/>
  <c r="AA842" i="11"/>
  <c r="AA1974" i="11"/>
  <c r="AA35" i="11"/>
  <c r="AA1962" i="11"/>
  <c r="AA1715" i="11"/>
  <c r="AA1446" i="11"/>
  <c r="AD374" i="11" a="1"/>
  <c r="AD374" i="11" s="1"/>
  <c r="AE374" i="11" s="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836" i="11"/>
  <c r="AD1405" i="11" a="1"/>
  <c r="AD1405" i="11" s="1"/>
  <c r="AE1405" i="11" s="1"/>
  <c r="AF348" i="11" a="1"/>
  <c r="AF348" i="11" s="1"/>
  <c r="AA1827" i="11"/>
  <c r="AA611" i="11"/>
  <c r="AA473" i="11"/>
  <c r="AF1870" i="11" a="1"/>
  <c r="AF1870" i="11" s="1"/>
  <c r="AA655" i="11"/>
  <c r="AF908" i="11" a="1"/>
  <c r="AF908" i="11" s="1"/>
  <c r="AA1157" i="11"/>
  <c r="AF1641" i="11" a="1"/>
  <c r="AF1641" i="11" s="1"/>
  <c r="AF419" i="11" a="1"/>
  <c r="AF419" i="11" s="1"/>
  <c r="AA71" i="11"/>
  <c r="AA1045" i="11"/>
  <c r="AF1443" i="11" a="1"/>
  <c r="AF1443" i="11" s="1"/>
  <c r="AD1344" i="11" a="1"/>
  <c r="AD1344" i="11" s="1"/>
  <c r="AE1344" i="11" s="1"/>
  <c r="AA1595" i="11"/>
  <c r="AD114" i="11" a="1"/>
  <c r="AD114" i="11" s="1"/>
  <c r="AE114" i="11" s="1"/>
  <c r="AA1466" i="11"/>
  <c r="AD1523" i="11" a="1"/>
  <c r="AD1523" i="11" s="1"/>
  <c r="AE1523" i="11" s="1"/>
  <c r="AD1754" i="11" a="1"/>
  <c r="AD1754" i="11" s="1"/>
  <c r="AE1754" i="11" s="1"/>
  <c r="AD1537" i="11" a="1"/>
  <c r="AD1537" i="11" s="1"/>
  <c r="AE1537" i="11" s="1"/>
  <c r="AF289" i="11" a="1"/>
  <c r="AF289" i="11" s="1"/>
  <c r="AD1468" i="11" a="1"/>
  <c r="AD1468" i="11" s="1"/>
  <c r="AE1468" i="11" s="1"/>
  <c r="AA36" i="11"/>
  <c r="AD1665" i="11" a="1"/>
  <c r="AD1665" i="11" s="1"/>
  <c r="AE1665" i="11" s="1"/>
  <c r="AA271" i="11"/>
  <c r="AA766" i="11"/>
  <c r="AF573" i="11" a="1"/>
  <c r="AF573" i="11" s="1"/>
  <c r="AD1748" i="11" a="1"/>
  <c r="AD1748" i="11" s="1"/>
  <c r="AE1748" i="11" s="1"/>
  <c r="AD1713" i="11" a="1"/>
  <c r="AD1713" i="11" s="1"/>
  <c r="AE1713" i="11" s="1"/>
  <c r="AA695" i="11"/>
  <c r="AD1859" i="11" a="1"/>
  <c r="AD1859" i="11" s="1"/>
  <c r="AE1859" i="11" s="1"/>
  <c r="AA1932" i="11"/>
  <c r="AF185" i="11" a="1"/>
  <c r="AF185" i="11" s="1"/>
  <c r="AF196" i="11" a="1"/>
  <c r="AF196" i="11" s="1"/>
  <c r="AD464" i="11" a="1"/>
  <c r="AD464" i="11" s="1"/>
  <c r="AE464" i="11" s="1"/>
  <c r="AA1601" i="11"/>
  <c r="AA1553" i="11"/>
  <c r="AF798" i="11" a="1"/>
  <c r="AF798" i="11" s="1"/>
  <c r="AF1264" i="11" a="1"/>
  <c r="AF1264" i="11" s="1"/>
  <c r="AF800" i="11" a="1"/>
  <c r="AF800" i="11" s="1"/>
  <c r="AA197" i="11"/>
  <c r="AF984" i="11" a="1"/>
  <c r="AF984" i="11" s="1"/>
  <c r="AD140" i="11" a="1"/>
  <c r="AD140" i="11" s="1"/>
  <c r="AE140" i="11" s="1"/>
  <c r="AF150" i="11" a="1"/>
  <c r="AF150" i="11" s="1"/>
  <c r="AF387" i="11" a="1"/>
  <c r="AF387" i="11" s="1"/>
  <c r="AD267" i="11" a="1"/>
  <c r="AD267" i="11" s="1"/>
  <c r="AE267" i="11" s="1"/>
  <c r="AD1886" i="11" a="1"/>
  <c r="AD1886" i="11" s="1"/>
  <c r="AE1886" i="11" s="1"/>
  <c r="AD707" i="11" a="1"/>
  <c r="AD707" i="11" s="1"/>
  <c r="AE707" i="11" s="1"/>
  <c r="AF1705" i="11" a="1"/>
  <c r="AF1705" i="11" s="1"/>
  <c r="AD400" i="11" a="1"/>
  <c r="AD400" i="11" s="1"/>
  <c r="AE400" i="11" s="1"/>
  <c r="AF1197" i="11" a="1"/>
  <c r="AF1197" i="11" s="1"/>
  <c r="AF716" i="11" a="1"/>
  <c r="AF716" i="11" s="1"/>
  <c r="AF343" i="11" a="1"/>
  <c r="AF343" i="11" s="1"/>
  <c r="AF1477" i="11" a="1"/>
  <c r="AF1477" i="11" s="1"/>
  <c r="AD956" i="11" a="1"/>
  <c r="AD956" i="11" s="1"/>
  <c r="AE956" i="11" s="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618" i="11" a="1"/>
  <c r="AF618" i="11" s="1"/>
  <c r="AA246" i="11"/>
  <c r="AD1663" i="11" a="1"/>
  <c r="AD1663" i="11" s="1"/>
  <c r="AE1663" i="11" s="1"/>
  <c r="AD1960" i="11" a="1"/>
  <c r="AD1960" i="11" s="1"/>
  <c r="AE1960" i="11" s="1"/>
  <c r="AA804" i="11"/>
  <c r="AD613" i="11" a="1"/>
  <c r="AD613" i="11" s="1"/>
  <c r="AE613" i="11" s="1"/>
  <c r="AA530" i="11"/>
  <c r="AA1726" i="11"/>
  <c r="AF1449" i="11" a="1"/>
  <c r="AF1449" i="11" s="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A1362" i="1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D1460" i="11" a="1"/>
  <c r="AD1460" i="11" s="1"/>
  <c r="AE1460"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A1716" i="11"/>
  <c r="AF1281" i="11" a="1"/>
  <c r="AF1281" i="11" s="1"/>
  <c r="AF664" i="11" a="1"/>
  <c r="AF664" i="11" s="1"/>
  <c r="AD493" i="11" a="1"/>
  <c r="AD493" i="11" s="1"/>
  <c r="AE493" i="11" s="1"/>
  <c r="AA1410" i="11"/>
  <c r="AD947" i="11" a="1"/>
  <c r="AD947" i="11" s="1"/>
  <c r="AE947" i="11" s="1"/>
  <c r="AD1323" i="11" a="1"/>
  <c r="AD1323" i="11" s="1"/>
  <c r="AE1323" i="11" s="1"/>
  <c r="AA1261" i="11"/>
  <c r="AA159" i="11"/>
  <c r="AD942" i="11" a="1"/>
  <c r="AD942" i="11" s="1"/>
  <c r="AE942" i="11" s="1"/>
  <c r="AA551" i="11"/>
  <c r="AF1106" i="11" a="1"/>
  <c r="AF1106" i="11" s="1"/>
  <c r="AA1786" i="11"/>
  <c r="AD1750" i="11" a="1"/>
  <c r="AD1750" i="11" s="1"/>
  <c r="AE1750" i="11" s="1"/>
  <c r="AD1317" i="11" a="1"/>
  <c r="AD1317" i="11" s="1"/>
  <c r="AE1317" i="11" s="1"/>
  <c r="AD1593" i="11" a="1"/>
  <c r="AD1593" i="11" s="1"/>
  <c r="AE1593" i="11" s="1"/>
  <c r="AA1236" i="11"/>
  <c r="AA941" i="11"/>
  <c r="AA1196" i="11"/>
  <c r="AA1910" i="11"/>
  <c r="AF1762" i="11" a="1"/>
  <c r="AF1762" i="11" s="1"/>
  <c r="AD1409" i="11" a="1"/>
  <c r="AD1409" i="11" s="1"/>
  <c r="AE1409" i="11" s="1"/>
  <c r="AF110" i="11" a="1"/>
  <c r="AF110" i="11" s="1"/>
  <c r="AD1691" i="11" a="1"/>
  <c r="AD1691" i="11" s="1"/>
  <c r="AE1691" i="11" s="1"/>
  <c r="AD1098" i="11" a="1"/>
  <c r="AD1098" i="11" s="1"/>
  <c r="AE1098" i="11" s="1"/>
  <c r="AD1797" i="11" a="1"/>
  <c r="AD1797" i="11" s="1"/>
  <c r="AE1797" i="11" s="1"/>
  <c r="AF1806" i="11" a="1"/>
  <c r="AF1806" i="11" s="1"/>
  <c r="AF1458" i="11" a="1"/>
  <c r="AF1458" i="11" s="1"/>
  <c r="AD406" i="11" a="1"/>
  <c r="AD406" i="11" s="1"/>
  <c r="AE406" i="11" s="1"/>
  <c r="AD816" i="11" a="1"/>
  <c r="AD816" i="11" s="1"/>
  <c r="AE816" i="11" s="1"/>
  <c r="AF1871" i="11" a="1"/>
  <c r="AF1871" i="11" s="1"/>
  <c r="AD1879" i="11" a="1"/>
  <c r="AD1879" i="11" s="1"/>
  <c r="AE1879" i="11" s="1"/>
  <c r="AD213" i="11" a="1"/>
  <c r="AD213" i="11" s="1"/>
  <c r="AE213" i="11" s="1"/>
  <c r="AA631" i="11"/>
  <c r="AF786" i="11" a="1"/>
  <c r="AF786" i="11" s="1"/>
  <c r="AF439" i="11" a="1"/>
  <c r="AF439" i="11" s="1"/>
  <c r="AF163" i="11" a="1"/>
  <c r="AF163" i="11" s="1"/>
  <c r="AA1953" i="11"/>
  <c r="AD357" i="11" a="1"/>
  <c r="AD357" i="11" s="1"/>
  <c r="AE357" i="11" s="1"/>
  <c r="AD815" i="11" a="1"/>
  <c r="AD815" i="11" s="1"/>
  <c r="AE815" i="11" s="1"/>
  <c r="AD1840" i="11" a="1"/>
  <c r="AD1840" i="11" s="1"/>
  <c r="AE1840" i="11" s="1"/>
  <c r="AA940" i="11"/>
  <c r="AF1857" i="11" a="1"/>
  <c r="AF1857" i="11" s="1"/>
  <c r="AF1007" i="11" a="1"/>
  <c r="AF1007" i="11" s="1"/>
  <c r="AA34" i="11"/>
  <c r="AD330" i="11" a="1"/>
  <c r="AD330" i="11" s="1"/>
  <c r="AE330" i="11" s="1"/>
  <c r="AA1492" i="11"/>
  <c r="AF1622" i="11" a="1"/>
  <c r="AF1622" i="11" s="1"/>
  <c r="AD1241" i="11" a="1"/>
  <c r="AD1241" i="11" s="1"/>
  <c r="AE1241" i="11" s="1"/>
  <c r="AD1209" i="11" a="1"/>
  <c r="AD1209" i="11" s="1"/>
  <c r="AE1209" i="11" s="1"/>
  <c r="AF160" i="11" a="1"/>
  <c r="AF160" i="11" s="1"/>
  <c r="AA950" i="11"/>
  <c r="AA651" i="11"/>
  <c r="AA1260" i="11"/>
  <c r="AF1289" i="11" a="1"/>
  <c r="AF1289" i="11" s="1"/>
  <c r="AF2015" i="11" a="1"/>
  <c r="AF2015" i="11" s="1"/>
  <c r="AF269" i="11" a="1"/>
  <c r="AF269" i="11" s="1"/>
  <c r="AA369" i="11"/>
  <c r="AD1990" i="11" a="1"/>
  <c r="AD1990" i="11" s="1"/>
  <c r="AE1990" i="11" s="1"/>
  <c r="AD1347" i="11" a="1"/>
  <c r="AD1347" i="11" s="1"/>
  <c r="AE1347" i="11" s="1"/>
  <c r="AA231" i="11"/>
  <c r="AA1105" i="11"/>
  <c r="AA1951" i="11"/>
  <c r="AD1300" i="11" a="1"/>
  <c r="AD1300" i="11" s="1"/>
  <c r="AE1300" i="11" s="1"/>
  <c r="AA388" i="11"/>
  <c r="AD103" i="11" a="1"/>
  <c r="AD103" i="11" s="1"/>
  <c r="AE103" i="11" s="1"/>
  <c r="AD448" i="11" a="1"/>
  <c r="AD448" i="11" s="1"/>
  <c r="AE448" i="11" s="1"/>
  <c r="AD1497" i="11" a="1"/>
  <c r="AD1497" i="11" s="1"/>
  <c r="AE1497" i="11" s="1"/>
  <c r="AA1359" i="11"/>
  <c r="AA195" i="11"/>
  <c r="AA772" i="11"/>
  <c r="AF1238" i="11" a="1"/>
  <c r="AF1238" i="11" s="1"/>
  <c r="AD1596" i="11" a="1"/>
  <c r="AD1596" i="11" s="1"/>
  <c r="AE1596" i="11" s="1"/>
  <c r="AF321" i="11" a="1"/>
  <c r="AF321" i="11" s="1"/>
  <c r="AA1758" i="11"/>
  <c r="AF1992" i="11" a="1"/>
  <c r="AF1992" i="11" s="1"/>
  <c r="AD1772" i="11" a="1"/>
  <c r="AD1772" i="11" s="1"/>
  <c r="AE1772" i="11" s="1"/>
  <c r="AA148" i="11"/>
  <c r="AF626" i="11" a="1"/>
  <c r="AF626" i="11" s="1"/>
  <c r="AA580" i="11"/>
  <c r="AF1208" i="11" a="1"/>
  <c r="AF1208" i="11" s="1"/>
  <c r="AD1589" i="11" a="1"/>
  <c r="AD1589" i="11" s="1"/>
  <c r="AE1589" i="11" s="1"/>
  <c r="AA40" i="11"/>
  <c r="AD1319" i="11" a="1"/>
  <c r="AD1319" i="11" s="1"/>
  <c r="AE1319" i="11" s="1"/>
  <c r="AD1177" i="11" a="1"/>
  <c r="AD1177" i="11" s="1"/>
  <c r="AE1177" i="11" s="1"/>
  <c r="AF1915" i="11" a="1"/>
  <c r="AF1915" i="11" s="1"/>
  <c r="AF465" i="11" a="1"/>
  <c r="AF465" i="11" s="1"/>
  <c r="AA1457" i="11"/>
  <c r="AD1495" i="11" a="1"/>
  <c r="AD1495" i="11" s="1"/>
  <c r="AE1495" i="11" s="1"/>
  <c r="AF607" i="11" a="1"/>
  <c r="AF607" i="11" s="1"/>
  <c r="AA156" i="11"/>
  <c r="AD1452" i="11" a="1"/>
  <c r="AD1452" i="11" s="1"/>
  <c r="AE1452" i="11" s="1"/>
  <c r="AA1439" i="11"/>
  <c r="AD1864" i="11" a="1"/>
  <c r="AD1864" i="11" s="1"/>
  <c r="AE1864" i="11" s="1"/>
  <c r="AF914" i="11" a="1"/>
  <c r="AF914" i="11" s="1"/>
  <c r="AD1855" i="11" a="1"/>
  <c r="AD1855" i="11" s="1"/>
  <c r="AE1855" i="11" s="1"/>
  <c r="AF1710" i="11" a="1"/>
  <c r="AF1710" i="11" s="1"/>
  <c r="AD1026" i="11" a="1"/>
  <c r="AD1026" i="11" s="1"/>
  <c r="AE1026" i="11" s="1"/>
  <c r="AD43" i="11" a="1"/>
  <c r="AD43" i="11" s="1"/>
  <c r="AE43" i="11" s="1"/>
  <c r="AA819" i="11"/>
  <c r="AD1275" i="11" a="1"/>
  <c r="AD1275" i="11" s="1"/>
  <c r="AE1275" i="11" s="1"/>
  <c r="AA111" i="11"/>
  <c r="AF1015" i="11" a="1"/>
  <c r="AF1015" i="11" s="1"/>
  <c r="AF443" i="11" a="1"/>
  <c r="AF443" i="11" s="1"/>
  <c r="AA210" i="11"/>
  <c r="AF1544" i="11" a="1"/>
  <c r="AF1544" i="11" s="1"/>
  <c r="AF2002" i="11" a="1"/>
  <c r="AF2002" i="11" s="1"/>
  <c r="AD2012" i="11" a="1"/>
  <c r="AD2012" i="11" s="1"/>
  <c r="AE2012" i="11" s="1"/>
  <c r="AF581" i="11" a="1"/>
  <c r="AF581" i="11" s="1"/>
  <c r="AF1712" i="11" a="1"/>
  <c r="AF1712" i="11" s="1"/>
  <c r="AF53" i="11" a="1"/>
  <c r="AF53" i="11" s="1"/>
  <c r="AD516" i="11" a="1"/>
  <c r="AD516" i="11" s="1"/>
  <c r="AE516" i="11" s="1"/>
  <c r="AD981" i="11" a="1"/>
  <c r="AD981" i="11" s="1"/>
  <c r="AE981" i="11" s="1"/>
  <c r="AF671" i="11" a="1"/>
  <c r="AF671" i="11" s="1"/>
  <c r="AD1998" i="11" a="1"/>
  <c r="AD1998" i="11" s="1"/>
  <c r="AE1998" i="11" s="1"/>
  <c r="AD647" i="11" a="1"/>
  <c r="AD647" i="11" s="1"/>
  <c r="AE647" i="11" s="1"/>
  <c r="AF744" i="11" a="1"/>
  <c r="AF744" i="11" s="1"/>
  <c r="AF17" i="11" a="1"/>
  <c r="AF17" i="11" s="1"/>
  <c r="AF2006" i="11" a="1"/>
  <c r="AF2006" i="11" s="1"/>
  <c r="AF1989" i="11" a="1"/>
  <c r="AF1989" i="11" s="1"/>
  <c r="AF1376" i="11" a="1"/>
  <c r="AF1376" i="11" s="1"/>
  <c r="AF1844" i="11" a="1"/>
  <c r="AF1844" i="11" s="1"/>
  <c r="AF226" i="11" a="1"/>
  <c r="AF226" i="11" s="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D1869" i="11" a="1"/>
  <c r="AD1869" i="11" s="1"/>
  <c r="AE1869" i="11" s="1"/>
  <c r="AD182" i="11" a="1"/>
  <c r="AD182" i="11" s="1"/>
  <c r="AE182" i="11" s="1"/>
  <c r="AF629" i="11" a="1"/>
  <c r="AF629" i="11" s="1"/>
  <c r="AF1155" i="11" a="1"/>
  <c r="AF1155" i="11" s="1"/>
  <c r="AF1632" i="11" a="1"/>
  <c r="AF1632" i="11" s="1"/>
  <c r="AA755" i="11"/>
  <c r="AA77" i="11"/>
  <c r="AF1815" i="11" a="1"/>
  <c r="AF1815" i="11" s="1"/>
  <c r="AF1795" i="11" a="1"/>
  <c r="AF1795" i="11" s="1"/>
  <c r="AD21" i="11" a="1"/>
  <c r="AD21" i="11" s="1"/>
  <c r="AE21" i="11" s="1"/>
  <c r="AF1239" i="11" a="1"/>
  <c r="AF1239" i="11" s="1"/>
  <c r="AF1037" i="11" a="1"/>
  <c r="AF1037" i="11" s="1"/>
  <c r="AF1533" i="11" a="1"/>
  <c r="AF1533" i="11" s="1"/>
  <c r="AD1606" i="11" a="1"/>
  <c r="AD1606" i="11" s="1"/>
  <c r="AE1606" i="11" s="1"/>
  <c r="AA81" i="11"/>
  <c r="AD1145" i="11" a="1"/>
  <c r="AD1145" i="11" s="1"/>
  <c r="AE1145" i="11" s="1"/>
  <c r="AD975" i="11" a="1"/>
  <c r="AD975" i="11" s="1"/>
  <c r="AE975" i="11" s="1"/>
  <c r="AF743" i="11" a="1"/>
  <c r="AF743" i="11" s="1"/>
  <c r="AD1349" i="11" a="1"/>
  <c r="AD1349" i="11" s="1"/>
  <c r="AE1349" i="11" s="1"/>
  <c r="AD1861" i="11" a="1"/>
  <c r="AD1861" i="11" s="1"/>
  <c r="AE1861" i="11" s="1"/>
  <c r="AA652" i="11"/>
  <c r="AD48" i="11" a="1"/>
  <c r="AD48" i="11" s="1"/>
  <c r="AE48" i="11" s="1"/>
  <c r="AA590" i="11"/>
  <c r="AA1605" i="11"/>
  <c r="AA718" i="11"/>
  <c r="AF1065" i="11" a="1"/>
  <c r="AF1065" i="11" s="1"/>
  <c r="AF70" i="11" a="1"/>
  <c r="AF70" i="11" s="1"/>
  <c r="AF1805" i="11" a="1"/>
  <c r="AF1805" i="11" s="1"/>
  <c r="AD1508" i="11" a="1"/>
  <c r="AD1508" i="11" s="1"/>
  <c r="AE1508" i="11" s="1"/>
  <c r="AF145" i="11" a="1"/>
  <c r="AF145" i="11" s="1"/>
  <c r="AF1150" i="11" a="1"/>
  <c r="AF1150" i="11" s="1"/>
  <c r="AF1573" i="11" a="1"/>
  <c r="AF1573" i="11" s="1"/>
  <c r="AD1454" i="11" a="1"/>
  <c r="AD1454" i="11" s="1"/>
  <c r="AE1454" i="11" s="1"/>
  <c r="AF888" i="11" a="1"/>
  <c r="AF888" i="11" s="1"/>
  <c r="AD683" i="11" a="1"/>
  <c r="AD683" i="11" s="1"/>
  <c r="AE683" i="11" s="1"/>
  <c r="AD242" i="11" a="1"/>
  <c r="AD242" i="11" s="1"/>
  <c r="AE242" i="11" s="1"/>
  <c r="AD83" i="11" a="1"/>
  <c r="AD83" i="11" s="1"/>
  <c r="AE83" i="11" s="1"/>
  <c r="AD1889" i="11" a="1"/>
  <c r="AD1889" i="11" s="1"/>
  <c r="AE1889" i="11" s="1"/>
  <c r="AD1919" i="11" a="1"/>
  <c r="AD1919" i="11" s="1"/>
  <c r="AE1919" i="11" s="1"/>
  <c r="AA1058" i="11"/>
  <c r="AF1948" i="11" a="1"/>
  <c r="AF1948" i="11" s="1"/>
  <c r="AD320" i="11" a="1"/>
  <c r="AD320" i="11" s="1"/>
  <c r="AE320" i="11" s="1"/>
  <c r="AD522" i="11" a="1"/>
  <c r="AD522" i="11" s="1"/>
  <c r="AE522" i="11" s="1"/>
  <c r="AD1169" i="11" a="1"/>
  <c r="AD1169" i="11" s="1"/>
  <c r="AE1169" i="11" s="1"/>
  <c r="AD709" i="11" a="1"/>
  <c r="AD709" i="11" s="1"/>
  <c r="AE709" i="11" s="1"/>
  <c r="AA728" i="11"/>
  <c r="AA1652" i="11"/>
  <c r="AA483" i="11"/>
  <c r="AA1285" i="11"/>
  <c r="AA1135" i="11"/>
  <c r="AA1277" i="11"/>
  <c r="AA1071" i="11"/>
  <c r="AA545" i="11"/>
  <c r="AA835" i="11"/>
  <c r="AA696" i="11"/>
  <c r="AA1687" i="11"/>
  <c r="AA1287" i="11"/>
  <c r="AA1032" i="11"/>
  <c r="AA1586" i="11"/>
  <c r="AA1361" i="11"/>
  <c r="AA1682" i="11"/>
  <c r="AA642" i="11"/>
  <c r="AA1884" i="11"/>
  <c r="AA324" i="11"/>
  <c r="AA997" i="11"/>
  <c r="AA583" i="11"/>
  <c r="AA1332" i="11"/>
  <c r="AA863" i="11"/>
  <c r="AA458" i="11"/>
  <c r="AA853" i="11"/>
  <c r="AA1897" i="11"/>
  <c r="AA536" i="11"/>
  <c r="AA1343" i="11"/>
  <c r="AA1436" i="11"/>
  <c r="AA1603" i="11"/>
  <c r="AA1946" i="11"/>
  <c r="AA1787" i="11"/>
  <c r="AA1253" i="11"/>
  <c r="AA1780" i="11"/>
  <c r="AA211" i="11"/>
  <c r="AA1156" i="11"/>
  <c r="AA1284" i="11"/>
  <c r="AA1977" i="11"/>
  <c r="AA297" i="11"/>
  <c r="AA1551" i="11"/>
  <c r="AA1163" i="11"/>
  <c r="AA1440" i="11"/>
  <c r="AA1079" i="11"/>
  <c r="AA1677" i="11"/>
  <c r="AA1257" i="11"/>
  <c r="AA1171" i="11"/>
  <c r="AA821" i="11"/>
  <c r="AA1221" i="11"/>
  <c r="AA37" i="11"/>
  <c r="AA1834" i="11"/>
  <c r="AA1207" i="11"/>
  <c r="AA1907" i="11"/>
  <c r="AA1060" i="11"/>
  <c r="AA1077" i="11"/>
  <c r="AA576" i="11"/>
  <c r="AA1683" i="11"/>
  <c r="AA978" i="11"/>
  <c r="AA329" i="11"/>
  <c r="AA1247" i="11"/>
  <c r="AA1567" i="11"/>
  <c r="AA411" i="11"/>
  <c r="AA907" i="11"/>
  <c r="AA715" i="11"/>
  <c r="AA787" i="11"/>
  <c r="AA1329" i="11"/>
  <c r="AA1937" i="11"/>
  <c r="AA1311" i="11"/>
  <c r="AA505" i="11"/>
  <c r="AA276" i="11"/>
  <c r="AA1674" i="11"/>
  <c r="AA1767" i="11"/>
  <c r="AD527" i="11" a="1"/>
  <c r="AD527" i="11" s="1"/>
  <c r="AE527" i="11" s="1"/>
  <c r="AD427" i="11" a="1"/>
  <c r="AD427" i="11" s="1"/>
  <c r="AE427" i="11" s="1"/>
  <c r="AD1856" i="11" a="1"/>
  <c r="AD1856" i="11" s="1"/>
  <c r="AE1856" i="11" s="1"/>
  <c r="AF1279" i="11" a="1"/>
  <c r="AF1279" i="11" s="1"/>
  <c r="AD1776" i="11" a="1"/>
  <c r="AD1776" i="11" s="1"/>
  <c r="AE1776" i="11" s="1"/>
  <c r="AD1280" i="11" a="1"/>
  <c r="AD1280" i="11" s="1"/>
  <c r="AE1280" i="11" s="1"/>
  <c r="AD1478" i="11" a="1"/>
  <c r="AD1478" i="11" s="1"/>
  <c r="AE1478" i="11" s="1"/>
  <c r="AA1837" i="11"/>
  <c r="AF656" i="11" a="1"/>
  <c r="AF656" i="11" s="1"/>
  <c r="AD1941" i="11" a="1"/>
  <c r="AD1941" i="11" s="1"/>
  <c r="AE1941" i="11" s="1"/>
  <c r="AF1597" i="11" a="1"/>
  <c r="AF1597" i="11" s="1"/>
  <c r="AD582" i="11" a="1"/>
  <c r="AD582" i="11" s="1"/>
  <c r="AE582" i="11" s="1"/>
  <c r="AF1734" i="11" a="1"/>
  <c r="AF1734" i="11" s="1"/>
  <c r="AF631" i="11" a="1"/>
  <c r="AF631" i="11" s="1"/>
  <c r="AD607" i="11" a="1"/>
  <c r="AD607" i="11" s="1"/>
  <c r="AE607" i="11" s="1"/>
  <c r="AA1209" i="11"/>
  <c r="AA465" i="11"/>
  <c r="AF940" i="11" a="1"/>
  <c r="AF940" i="11" s="1"/>
  <c r="AF1126" i="11" a="1"/>
  <c r="AF1126" i="11" s="1"/>
  <c r="AD626" i="11" a="1"/>
  <c r="AD626" i="11" s="1"/>
  <c r="AE626" i="11" s="1"/>
  <c r="AA2012" i="11"/>
  <c r="AF448" i="11" a="1"/>
  <c r="AF448" i="11" s="1"/>
  <c r="AD156" i="11" a="1"/>
  <c r="AD156" i="11" s="1"/>
  <c r="AE156" i="11" s="1"/>
  <c r="AF1863" i="11" a="1"/>
  <c r="AF1863" i="11" s="1"/>
  <c r="AD1992" i="11" a="1"/>
  <c r="AD1992" i="11" s="1"/>
  <c r="AE1992" i="11" s="1"/>
  <c r="AF1589" i="11" a="1"/>
  <c r="AF1589" i="11" s="1"/>
  <c r="AF181" i="11" a="1"/>
  <c r="AF181" i="11" s="1"/>
  <c r="AA1007" i="11"/>
  <c r="AA160" i="11"/>
  <c r="AD651" i="11" a="1"/>
  <c r="AD651" i="11" s="1"/>
  <c r="AE651" i="11" s="1"/>
  <c r="AD148" i="11" a="1"/>
  <c r="AD148" i="11" s="1"/>
  <c r="AE148" i="11" s="1"/>
  <c r="AF1105" i="11" a="1"/>
  <c r="AF1105" i="11" s="1"/>
  <c r="AF1347" i="11" a="1"/>
  <c r="AF1347" i="11" s="1"/>
  <c r="AF1596" i="11" a="1"/>
  <c r="AF1596" i="11" s="1"/>
  <c r="AF1833" i="11" a="1"/>
  <c r="AF1833" i="11" s="1"/>
  <c r="AF1492" i="11" a="1"/>
  <c r="AF1492" i="11" s="1"/>
  <c r="AD269" i="11" a="1"/>
  <c r="AD269" i="11" s="1"/>
  <c r="AE269" i="11" s="1"/>
  <c r="AA43" i="11"/>
  <c r="AA648" i="11"/>
  <c r="AA1990" i="11"/>
  <c r="AF1319" i="11" a="1"/>
  <c r="AF1319" i="11" s="1"/>
  <c r="AA225" i="11"/>
  <c r="AF357" i="11" a="1"/>
  <c r="AF357" i="11" s="1"/>
  <c r="AA1596" i="11"/>
  <c r="AD1758" i="11" a="1"/>
  <c r="AD1758" i="11" s="1"/>
  <c r="AE1758" i="11" s="1"/>
  <c r="AD1007" i="11" a="1"/>
  <c r="AD1007" i="11" s="1"/>
  <c r="AE1007" i="11" s="1"/>
  <c r="AA1376" i="11"/>
  <c r="AF231" i="11" a="1"/>
  <c r="AF231" i="11" s="1"/>
  <c r="AD950" i="11" a="1"/>
  <c r="AD950" i="11" s="1"/>
  <c r="AE950" i="11" s="1"/>
  <c r="AF148" i="11" a="1"/>
  <c r="AF148" i="11" s="1"/>
  <c r="AD1208" i="11" a="1"/>
  <c r="AD1208" i="11" s="1"/>
  <c r="AE1208" i="11" s="1"/>
  <c r="AF981" i="11" a="1"/>
  <c r="AF981" i="11" s="1"/>
  <c r="AF1096" i="11" a="1"/>
  <c r="AF1096" i="11" s="1"/>
  <c r="AD772" i="11" a="1"/>
  <c r="AD772" i="11" s="1"/>
  <c r="AE772" i="11" s="1"/>
  <c r="AD2006" i="11" a="1"/>
  <c r="AD2006" i="11" s="1"/>
  <c r="AE2006" i="11" s="1"/>
  <c r="AF242" i="11" a="1"/>
  <c r="AF242" i="11" s="1"/>
  <c r="AD1857" i="11" a="1"/>
  <c r="AD1857" i="11" s="1"/>
  <c r="AE1857"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A181" i="11"/>
  <c r="AF330" i="11" a="1"/>
  <c r="AF330" i="11" s="1"/>
  <c r="AA2015" i="11"/>
  <c r="AD691" i="11" a="1"/>
  <c r="AD691" i="11" s="1"/>
  <c r="AE691" i="11" s="1"/>
  <c r="AD117" i="11" a="1"/>
  <c r="AD117" i="11" s="1"/>
  <c r="AE117" i="11" s="1"/>
  <c r="AA117" i="11"/>
  <c r="AA815" i="11"/>
  <c r="AD1871" i="11" a="1"/>
  <c r="AD1871" i="11" s="1"/>
  <c r="AE1871" i="11" s="1"/>
  <c r="AF950" i="11" a="1"/>
  <c r="AF950" i="11" s="1"/>
  <c r="AD1289" i="11" a="1"/>
  <c r="AD1289" i="11" s="1"/>
  <c r="AE1289"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A1241" i="11"/>
  <c r="AF1879" i="11" a="1"/>
  <c r="AF1879" i="11" s="1"/>
  <c r="AF40" i="11" a="1"/>
  <c r="AF40" i="11" s="1"/>
  <c r="AD954" i="11" a="1"/>
  <c r="AD954" i="11" s="1"/>
  <c r="AE954" i="11" s="1"/>
  <c r="AD1711" i="11" a="1"/>
  <c r="AD1711" i="11" s="1"/>
  <c r="AE1711" i="11" s="1"/>
  <c r="AF278" i="11" a="1"/>
  <c r="AF278" i="11" s="1"/>
  <c r="AD871" i="11" a="1"/>
  <c r="AD871" i="11" s="1"/>
  <c r="AE871"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A1409" i="11"/>
  <c r="AF503" i="11" a="1"/>
  <c r="AF503" i="11" s="1"/>
  <c r="AA110" i="11"/>
  <c r="AF1409" i="11" a="1"/>
  <c r="AF1409" i="11" s="1"/>
  <c r="AF1830" i="11" a="1"/>
  <c r="AF1830" i="11" s="1"/>
  <c r="AD110" i="11" a="1"/>
  <c r="AD110" i="11" s="1"/>
  <c r="AE110" i="11" s="1"/>
  <c r="AA447" i="11"/>
  <c r="AF648" i="11" a="1"/>
  <c r="AF648" i="11" s="1"/>
  <c r="AA1871" i="11"/>
  <c r="AD439" i="11" a="1"/>
  <c r="AD439" i="11" s="1"/>
  <c r="AE439"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F2010" i="11" a="1"/>
  <c r="AF2010" i="11" s="1"/>
  <c r="AA1289" i="11"/>
  <c r="AA370" i="11"/>
  <c r="AA448" i="11"/>
  <c r="AD321" i="11" a="1"/>
  <c r="AD321" i="11" s="1"/>
  <c r="AE321" i="11" s="1"/>
  <c r="AA513" i="11"/>
  <c r="AA19" i="11"/>
  <c r="AA163" i="11"/>
  <c r="AA357" i="11"/>
  <c r="AA1855" i="11"/>
  <c r="AA1710" i="11"/>
  <c r="AA269" i="11"/>
  <c r="AF156" i="11" a="1"/>
  <c r="AF156" i="11" s="1"/>
  <c r="AD819" i="11" a="1"/>
  <c r="AD819" i="11" s="1"/>
  <c r="AE819" i="11" s="1"/>
  <c r="AA226" i="11"/>
  <c r="AA1262" i="11"/>
  <c r="AF447" i="11" a="1"/>
  <c r="AF447" i="11" s="1"/>
  <c r="AD1185" i="11" a="1"/>
  <c r="AD1185" i="11" s="1"/>
  <c r="AE1185" i="11" s="1"/>
  <c r="AF1457" i="11" a="1"/>
  <c r="AF1457" i="11" s="1"/>
  <c r="AA1495" i="11"/>
  <c r="AA1347" i="11"/>
  <c r="AD1544" i="11" a="1"/>
  <c r="AD1544" i="11" s="1"/>
  <c r="AE1544" i="11" s="1"/>
  <c r="AA1589" i="11"/>
  <c r="AF213" i="11" a="1"/>
  <c r="AF213" i="11" s="1"/>
  <c r="AD354" i="11" a="1"/>
  <c r="AD354" i="11" s="1"/>
  <c r="AE354" i="11" s="1"/>
  <c r="AF1758" i="11" a="1"/>
  <c r="AF1758" i="11" s="1"/>
  <c r="AA1989" i="11"/>
  <c r="AD1431" i="11" a="1"/>
  <c r="AD1431" i="11" s="1"/>
  <c r="AE1431" i="11" s="1"/>
  <c r="AD34" i="11" a="1"/>
  <c r="AD34" i="11" s="1"/>
  <c r="AE34" i="11" s="1"/>
  <c r="AF1241" i="11" a="1"/>
  <c r="AF1241" i="11" s="1"/>
  <c r="AA1879" i="11"/>
  <c r="AF1497" i="11" a="1"/>
  <c r="AF1497" i="11" s="1"/>
  <c r="AD786" i="11" a="1"/>
  <c r="AD786" i="11" s="1"/>
  <c r="AE786" i="11" s="1"/>
  <c r="AF369" i="11" a="1"/>
  <c r="AF369" i="11" s="1"/>
  <c r="AF772" i="11" a="1"/>
  <c r="AF772" i="11" s="1"/>
  <c r="AF210" i="11" a="1"/>
  <c r="AF210" i="11" s="1"/>
  <c r="AF370" i="11" a="1"/>
  <c r="AF370" i="11" s="1"/>
  <c r="AA1857" i="11"/>
  <c r="AD744" i="11" a="1"/>
  <c r="AD744" i="11" s="1"/>
  <c r="AE744" i="11" s="1"/>
  <c r="AF1275" i="11" a="1"/>
  <c r="AF1275" i="11" s="1"/>
  <c r="AA53" i="11"/>
  <c r="AD226" i="11" a="1"/>
  <c r="AD226" i="11" s="1"/>
  <c r="AE226" i="11" s="1"/>
  <c r="AF1263" i="11" a="1"/>
  <c r="AF1263" i="11" s="1"/>
  <c r="AD94" i="11" a="1"/>
  <c r="AD94" i="11" s="1"/>
  <c r="AE94" i="11" s="1"/>
  <c r="AA457" i="11"/>
  <c r="AF734" i="11" a="1"/>
  <c r="AF734" i="11" s="1"/>
  <c r="AD185" i="11" a="1"/>
  <c r="AD185" i="11" s="1"/>
  <c r="AE185" i="11" s="1"/>
  <c r="AD798" i="11" a="1"/>
  <c r="AD798" i="11" s="1"/>
  <c r="AE798" i="11" s="1"/>
  <c r="AF1748" i="11" a="1"/>
  <c r="AF1748" i="11" s="1"/>
  <c r="AA493" i="11"/>
  <c r="AF1656" i="11" a="1"/>
  <c r="AF1656" i="11" s="1"/>
  <c r="AA1936" i="11"/>
  <c r="AF1164" i="11" a="1"/>
  <c r="AF1164" i="11" s="1"/>
  <c r="AA1460" i="11"/>
  <c r="AD1106" i="11" a="1"/>
  <c r="AD1106" i="11" s="1"/>
  <c r="AE1106" i="11" s="1"/>
  <c r="AA947" i="11"/>
  <c r="AA1830" i="11"/>
  <c r="AA664" i="11"/>
  <c r="AD593" i="11" a="1"/>
  <c r="AD593" i="11" s="1"/>
  <c r="AE593" i="11" s="1"/>
  <c r="AD1149" i="11" a="1"/>
  <c r="AD1149" i="11" s="1"/>
  <c r="AE1149" i="11" s="1"/>
  <c r="AA1750" i="11"/>
  <c r="AF1468" i="11" a="1"/>
  <c r="AF1468" i="11" s="1"/>
  <c r="AD1656" i="11" a="1"/>
  <c r="AD1656" i="11" s="1"/>
  <c r="AE1656" i="11" s="1"/>
  <c r="AF1786" i="11" a="1"/>
  <c r="AF1786" i="11" s="1"/>
  <c r="AA1164" i="11"/>
  <c r="AF1716" i="11" a="1"/>
  <c r="AF1716" i="11" s="1"/>
  <c r="AA455" i="11"/>
  <c r="AA1317" i="11"/>
  <c r="AF947" i="11" a="1"/>
  <c r="AF947" i="11" s="1"/>
  <c r="AD1261" i="11" a="1"/>
  <c r="AD1261" i="11" s="1"/>
  <c r="AE1261" i="11" s="1"/>
  <c r="AF406" i="11" a="1"/>
  <c r="AF406" i="11" s="1"/>
  <c r="AA1358" i="11"/>
  <c r="AA593" i="11"/>
  <c r="AF1410" i="11" a="1"/>
  <c r="AF1410" i="11" s="1"/>
  <c r="AA750" i="11"/>
  <c r="AF187" i="11" a="1"/>
  <c r="AF187" i="11" s="1"/>
  <c r="AF1236" i="11" a="1"/>
  <c r="AF1236" i="11" s="1"/>
  <c r="AA1806" i="11"/>
  <c r="AD312" i="11" a="1"/>
  <c r="AD312" i="11" s="1"/>
  <c r="AE312" i="11" s="1"/>
  <c r="AF1910" i="11" a="1"/>
  <c r="AF1910" i="11" s="1"/>
  <c r="AF1460" i="11" a="1"/>
  <c r="AF1460" i="11" s="1"/>
  <c r="AA1944" i="11"/>
  <c r="AA1593" i="11"/>
  <c r="AA91" i="11"/>
  <c r="AD1976" i="11" a="1"/>
  <c r="AD1976" i="11" s="1"/>
  <c r="AE1976" i="11" s="1"/>
  <c r="AF249" i="11" a="1"/>
  <c r="AF249" i="11" s="1"/>
  <c r="AF1450" i="11" a="1"/>
  <c r="AF1450" i="11" s="1"/>
  <c r="AF1731" i="11" a="1"/>
  <c r="AF1731" i="11" s="1"/>
  <c r="AF1976" i="11" a="1"/>
  <c r="AF1976" i="11" s="1"/>
  <c r="AD1489" i="11" a="1"/>
  <c r="AD1489" i="11" s="1"/>
  <c r="AE1489" i="11" s="1"/>
  <c r="AD1450" i="11" a="1"/>
  <c r="AD1450" i="11" s="1"/>
  <c r="AE1450" i="11" s="1"/>
  <c r="AD1731" i="11" a="1"/>
  <c r="AD1731" i="11" s="1"/>
  <c r="AE1731" i="11" s="1"/>
  <c r="AD1658" i="11" a="1"/>
  <c r="AD1658" i="11" s="1"/>
  <c r="AE1658" i="11" s="1"/>
  <c r="AF202" i="11" a="1"/>
  <c r="AF202" i="11" s="1"/>
  <c r="AF905" i="11" a="1"/>
  <c r="AF905" i="11" s="1"/>
  <c r="AA1537" i="11"/>
  <c r="AA185" i="11"/>
  <c r="AA905" i="11"/>
  <c r="AA202" i="11"/>
  <c r="AF1859" i="11" a="1"/>
  <c r="AF1859" i="11" s="1"/>
  <c r="AA1859" i="11"/>
  <c r="AD1397" i="11" a="1"/>
  <c r="AD1397" i="11" s="1"/>
  <c r="AE1397" i="11" s="1"/>
  <c r="AA176" i="11"/>
  <c r="AA549" i="11"/>
  <c r="AD1730" i="11" a="1"/>
  <c r="AD1730" i="11" s="1"/>
  <c r="AE1730" i="11" s="1"/>
  <c r="AD1829" i="11" a="1"/>
  <c r="AD1829" i="11" s="1"/>
  <c r="AE1829" i="11" s="1"/>
  <c r="AA798" i="11"/>
  <c r="AF36" i="11" a="1"/>
  <c r="AF36" i="11" s="1"/>
  <c r="AD36" i="11" a="1"/>
  <c r="AD36" i="11" s="1"/>
  <c r="AE36" i="11" s="1"/>
  <c r="AA1468" i="11"/>
  <c r="AD1553" i="11" a="1"/>
  <c r="AD1553" i="11" s="1"/>
  <c r="AE1553" i="11" s="1"/>
  <c r="AF1932" i="11" a="1"/>
  <c r="AF1932" i="11" s="1"/>
  <c r="AD1983" i="11" a="1"/>
  <c r="AD1983" i="11" s="1"/>
  <c r="AE1983" i="11" s="1"/>
  <c r="AD176" i="11" a="1"/>
  <c r="AD176" i="11" s="1"/>
  <c r="AE176" i="11" s="1"/>
  <c r="AF1730" i="11" a="1"/>
  <c r="AF1730" i="11" s="1"/>
  <c r="AD695" i="11" a="1"/>
  <c r="AD695" i="11" s="1"/>
  <c r="AE695" i="11" s="1"/>
  <c r="AF993" i="11" a="1"/>
  <c r="AF993" i="11" s="1"/>
  <c r="AD343" i="11" a="1"/>
  <c r="AD343" i="11" s="1"/>
  <c r="AE343" i="11" s="1"/>
  <c r="AD1411" i="11" a="1"/>
  <c r="AD1411" i="11" s="1"/>
  <c r="AE1411" i="11" s="1"/>
  <c r="AF1473" i="11" a="1"/>
  <c r="AF1473" i="11" s="1"/>
  <c r="AA114" i="11"/>
  <c r="AA196" i="11"/>
  <c r="AF398" i="11" a="1"/>
  <c r="AF398" i="11" s="1"/>
  <c r="AA524" i="11"/>
  <c r="AF400" i="11" a="1"/>
  <c r="AF400" i="11" s="1"/>
  <c r="AA343" i="11"/>
  <c r="AD289" i="11" a="1"/>
  <c r="AD289" i="11" s="1"/>
  <c r="AE289" i="11" s="1"/>
  <c r="AF1983" i="11" a="1"/>
  <c r="AF1983" i="11" s="1"/>
  <c r="AA896" i="11"/>
  <c r="AF140" i="11" a="1"/>
  <c r="AF140" i="11" s="1"/>
  <c r="AF695" i="11" a="1"/>
  <c r="AF695" i="11" s="1"/>
  <c r="AF896" i="11" a="1"/>
  <c r="AF896" i="11" s="1"/>
  <c r="AF1601" i="11" a="1"/>
  <c r="AF1601" i="11" s="1"/>
  <c r="AD196" i="11" a="1"/>
  <c r="AD196" i="11" s="1"/>
  <c r="AE196" i="11" s="1"/>
  <c r="AD398" i="11" a="1"/>
  <c r="AD398" i="11" s="1"/>
  <c r="AE398" i="11" s="1"/>
  <c r="AF524" i="11" a="1"/>
  <c r="AF524" i="11" s="1"/>
  <c r="AD531" i="11" a="1"/>
  <c r="AD531" i="11" s="1"/>
  <c r="AE531" i="11" s="1"/>
  <c r="AF234" i="11" a="1"/>
  <c r="AF234" i="11" s="1"/>
  <c r="AD234" i="11" a="1"/>
  <c r="AD234" i="11" s="1"/>
  <c r="AE234" i="11" s="1"/>
  <c r="AA1996" i="11"/>
  <c r="AD1996" i="11" a="1"/>
  <c r="AD1996" i="11" s="1"/>
  <c r="AE1996" i="11" s="1"/>
  <c r="AF137" i="11" a="1"/>
  <c r="AF137" i="11" s="1"/>
  <c r="AA1872" i="11"/>
  <c r="AD1872" i="11" a="1"/>
  <c r="AD1872" i="11" s="1"/>
  <c r="AE1872" i="11" s="1"/>
  <c r="AF1872" i="11" a="1"/>
  <c r="AF1872" i="11" s="1"/>
  <c r="AA486" i="11"/>
  <c r="AF486" i="11" a="1"/>
  <c r="AF486" i="11" s="1"/>
  <c r="AD486" i="11" a="1"/>
  <c r="AD486" i="11" s="1"/>
  <c r="AE486" i="11" s="1"/>
  <c r="AA484" i="11"/>
  <c r="AD484" i="11" a="1"/>
  <c r="AD484" i="11" s="1"/>
  <c r="AE484" i="11" s="1"/>
  <c r="AF484" i="11" a="1"/>
  <c r="AF484" i="11" s="1"/>
  <c r="AF1665" i="11" a="1"/>
  <c r="AF1665" i="11" s="1"/>
  <c r="AA1665" i="11"/>
  <c r="AF553" i="11" a="1"/>
  <c r="AF553" i="11" s="1"/>
  <c r="AD553" i="11" a="1"/>
  <c r="AD553" i="11" s="1"/>
  <c r="AE553" i="11" s="1"/>
  <c r="AA829" i="11"/>
  <c r="AF829" i="11" a="1"/>
  <c r="AF829" i="11" s="1"/>
  <c r="AA1367" i="11"/>
  <c r="AF1367" i="11" a="1"/>
  <c r="AF1367" i="11" s="1"/>
  <c r="AF1360" i="11" a="1"/>
  <c r="AF1360" i="11" s="1"/>
  <c r="AA1360" i="11"/>
  <c r="AA1702" i="11"/>
  <c r="AD1702" i="11" a="1"/>
  <c r="AD1702" i="11" s="1"/>
  <c r="AE1702" i="11" s="1"/>
  <c r="AF1679" i="11" a="1"/>
  <c r="AF1679" i="11" s="1"/>
  <c r="AD404" i="11" a="1"/>
  <c r="AD404" i="11" s="1"/>
  <c r="AE404" i="11" s="1"/>
  <c r="AA404" i="11"/>
  <c r="AF404" i="11" a="1"/>
  <c r="AF404" i="11" s="1"/>
  <c r="AF1831" i="11" a="1"/>
  <c r="AF1831" i="11" s="1"/>
  <c r="AD1831" i="11" a="1"/>
  <c r="AD1831" i="11" s="1"/>
  <c r="AE1831" i="11" s="1"/>
  <c r="AA959" i="11"/>
  <c r="AD959" i="11" a="1"/>
  <c r="AD959" i="11" s="1"/>
  <c r="AE959" i="11" s="1"/>
  <c r="AD1202" i="11" a="1"/>
  <c r="AD1202" i="11" s="1"/>
  <c r="AE1202" i="11" s="1"/>
  <c r="AA1202" i="11"/>
  <c r="AF885" i="11" a="1"/>
  <c r="AF885" i="11" s="1"/>
  <c r="AD885" i="11" a="1"/>
  <c r="AD885" i="11" s="1"/>
  <c r="AE885" i="11" s="1"/>
  <c r="AD47" i="11" a="1"/>
  <c r="AD47" i="11" s="1"/>
  <c r="AE47" i="11" s="1"/>
  <c r="AA47" i="11"/>
  <c r="AD1858" i="11" a="1"/>
  <c r="AD1858" i="11" s="1"/>
  <c r="AE1858" i="11" s="1"/>
  <c r="AA1858" i="1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F1713" i="11" a="1"/>
  <c r="AF1713" i="11" s="1"/>
  <c r="AA1713" i="11"/>
  <c r="AD1784" i="11" a="1"/>
  <c r="AD1784" i="11" s="1"/>
  <c r="AE1784" i="11" s="1"/>
  <c r="AF1784" i="11" a="1"/>
  <c r="AF1784" i="11" s="1"/>
  <c r="AA1784" i="11"/>
  <c r="AA589" i="11"/>
  <c r="AF589" i="11" a="1"/>
  <c r="AF589" i="11" s="1"/>
  <c r="AD1705" i="11" a="1"/>
  <c r="AD1705" i="11" s="1"/>
  <c r="AE1705" i="11" s="1"/>
  <c r="AD568" i="11" a="1"/>
  <c r="AD568" i="11" s="1"/>
  <c r="AE568" i="11" s="1"/>
  <c r="AD1069" i="11" a="1"/>
  <c r="AD1069" i="11" s="1"/>
  <c r="AE1069" i="11" s="1"/>
  <c r="AF1480" i="11" a="1"/>
  <c r="AF1480" i="11" s="1"/>
  <c r="AD1480" i="11" a="1"/>
  <c r="AD1480" i="11" s="1"/>
  <c r="AE1480" i="11" s="1"/>
  <c r="AF1823" i="11" a="1"/>
  <c r="AF1823" i="11" s="1"/>
  <c r="AD1823" i="11" a="1"/>
  <c r="AD1823" i="11" s="1"/>
  <c r="AE1823" i="11" s="1"/>
  <c r="AA1823" i="11"/>
  <c r="AA140" i="11"/>
  <c r="AA1390" i="11"/>
  <c r="AF766" i="11" a="1"/>
  <c r="AF766" i="11" s="1"/>
  <c r="AF891" i="11" a="1"/>
  <c r="AF891" i="11" s="1"/>
  <c r="AA362" i="1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1828" i="11"/>
  <c r="AF1828" i="11" a="1"/>
  <c r="AF1828" i="11" s="1"/>
  <c r="AD1828" i="11" a="1"/>
  <c r="AD1828" i="11" s="1"/>
  <c r="AE1828" i="11" s="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F1886" i="11" a="1"/>
  <c r="AF1886" i="11" s="1"/>
  <c r="AD716" i="11" a="1"/>
  <c r="AD716" i="11" s="1"/>
  <c r="AE716" i="11" s="1"/>
  <c r="AD498" i="11" a="1"/>
  <c r="AD498" i="11" s="1"/>
  <c r="AE498" i="11" s="1"/>
  <c r="AD1256" i="11" a="1"/>
  <c r="AD1256" i="11" s="1"/>
  <c r="AE1256" i="11" s="1"/>
  <c r="AF1256" i="11" a="1"/>
  <c r="AF1256" i="11" s="1"/>
  <c r="AF1793" i="11" a="1"/>
  <c r="AF1793" i="11" s="1"/>
  <c r="AA25" i="11"/>
  <c r="AF956" i="11" a="1"/>
  <c r="AF956" i="11" s="1"/>
  <c r="AA18" i="11"/>
  <c r="AF502" i="11" a="1"/>
  <c r="AF502" i="11" s="1"/>
  <c r="AD579" i="11" a="1"/>
  <c r="AD579" i="11" s="1"/>
  <c r="AE579" i="11" s="1"/>
  <c r="AD1516" i="11" a="1"/>
  <c r="AD1516" i="11" s="1"/>
  <c r="AE1516" i="11" s="1"/>
  <c r="AD766" i="11" a="1"/>
  <c r="AD766" i="11" s="1"/>
  <c r="AE766" i="11" s="1"/>
  <c r="AF511" i="11" a="1"/>
  <c r="AF511" i="11" s="1"/>
  <c r="AD1808" i="11" a="1"/>
  <c r="AD1808" i="11" s="1"/>
  <c r="AE1808" i="11" s="1"/>
  <c r="AD501" i="11" a="1"/>
  <c r="AD501" i="11" s="1"/>
  <c r="AE501" i="11" s="1"/>
  <c r="AF197" i="11" a="1"/>
  <c r="AF197" i="11" s="1"/>
  <c r="AD806" i="11" a="1"/>
  <c r="AD806" i="11" s="1"/>
  <c r="AE806" i="11" s="1"/>
  <c r="AD1305" i="11" a="1"/>
  <c r="AD1305" i="11" s="1"/>
  <c r="AE1305" i="11" s="1"/>
  <c r="AF1933" i="11" a="1"/>
  <c r="AF1933" i="11" s="1"/>
  <c r="AF866" i="11" a="1"/>
  <c r="AF866" i="11" s="1"/>
  <c r="AA118" i="11"/>
  <c r="AA653" i="11"/>
  <c r="AD653" i="11" a="1"/>
  <c r="AD653" i="11" s="1"/>
  <c r="AE653" i="11" s="1"/>
  <c r="AA621" i="11"/>
  <c r="AD621" i="11" a="1"/>
  <c r="AD621" i="11" s="1"/>
  <c r="AE621" i="11" s="1"/>
  <c r="AA1752" i="11"/>
  <c r="AD1752" i="11" a="1"/>
  <c r="AD1752" i="11" s="1"/>
  <c r="AE1752" i="11" s="1"/>
  <c r="AF1752" i="11" a="1"/>
  <c r="AF1752" i="11" s="1"/>
  <c r="AA294" i="11"/>
  <c r="AD294" i="11" a="1"/>
  <c r="AD294" i="11" s="1"/>
  <c r="AE294" i="11" s="1"/>
  <c r="AF294" i="11" a="1"/>
  <c r="AF294" i="11" s="1"/>
  <c r="AA1520" i="11"/>
  <c r="AD1520" i="11" a="1"/>
  <c r="AD1520" i="11" s="1"/>
  <c r="AE1520" i="11" s="1"/>
  <c r="AF1520" i="11" a="1"/>
  <c r="AF1520" i="11" s="1"/>
  <c r="AD1288" i="11" a="1"/>
  <c r="AD1288" i="11" s="1"/>
  <c r="AE1288" i="11" s="1"/>
  <c r="AD1138" i="11" a="1"/>
  <c r="AD1138" i="11" s="1"/>
  <c r="AE1138" i="11" s="1"/>
  <c r="AF1138" i="11" a="1"/>
  <c r="AF1138" i="11" s="1"/>
  <c r="AA1138" i="1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F287" i="11" a="1"/>
  <c r="AF287" i="11" s="1"/>
  <c r="AA287" i="1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D1396" i="11" a="1"/>
  <c r="AD1396" i="11" s="1"/>
  <c r="AE1396" i="11" s="1"/>
  <c r="AA1396" i="11"/>
  <c r="AD1051" i="11" a="1"/>
  <c r="AD1051" i="11" s="1"/>
  <c r="AE1051" i="11" s="1"/>
  <c r="AA1051" i="11"/>
  <c r="AF1051" i="11" a="1"/>
  <c r="AF1051" i="11" s="1"/>
  <c r="AF464" i="11" a="1"/>
  <c r="AF464" i="11" s="1"/>
  <c r="AA464" i="11"/>
  <c r="AA984" i="11"/>
  <c r="AD984" i="11" a="1"/>
  <c r="AD984" i="11" s="1"/>
  <c r="AE984" i="11" s="1"/>
  <c r="AA615" i="11"/>
  <c r="AD615" i="11" a="1"/>
  <c r="AD615" i="11" s="1"/>
  <c r="AE615" i="11" s="1"/>
  <c r="AD1501" i="11" a="1"/>
  <c r="AD1501" i="11" s="1"/>
  <c r="AE1501" i="11" s="1"/>
  <c r="AA1501" i="11"/>
  <c r="AF1501" i="11" a="1"/>
  <c r="AF1501" i="11" s="1"/>
  <c r="AA387" i="11"/>
  <c r="AD387" i="11" a="1"/>
  <c r="AD387" i="11" s="1"/>
  <c r="AE387" i="11" s="1"/>
  <c r="AF267" i="11" a="1"/>
  <c r="AF267" i="11" s="1"/>
  <c r="AF707" i="11" a="1"/>
  <c r="AF707" i="11" s="1"/>
  <c r="AA707" i="11"/>
  <c r="AD1197" i="11" a="1"/>
  <c r="AD1197" i="11" s="1"/>
  <c r="AE1197" i="11" s="1"/>
  <c r="AA1197" i="11"/>
  <c r="AD1085" i="11" a="1"/>
  <c r="AD1085" i="11" s="1"/>
  <c r="AE1085" i="11" s="1"/>
  <c r="AD301" i="11" a="1"/>
  <c r="AD301" i="11" s="1"/>
  <c r="AE301" i="11" s="1"/>
  <c r="AA301" i="11"/>
  <c r="AF301" i="11" a="1"/>
  <c r="AF301" i="11" s="1"/>
  <c r="AD217" i="11" a="1"/>
  <c r="AD217" i="11" s="1"/>
  <c r="AE217" i="11" s="1"/>
  <c r="AF897" i="11" a="1"/>
  <c r="AF897" i="11" s="1"/>
  <c r="AD1355" i="11" a="1"/>
  <c r="AD1355" i="11" s="1"/>
  <c r="AE1355" i="11" s="1"/>
  <c r="AF1355" i="11" a="1"/>
  <c r="AF1355" i="11" s="1"/>
  <c r="AA1355" i="11"/>
  <c r="AF556" i="11" a="1"/>
  <c r="AF556" i="11" s="1"/>
  <c r="AD556" i="11" a="1"/>
  <c r="AD556" i="11" s="1"/>
  <c r="AE556" i="11" s="1"/>
  <c r="AA556" i="11"/>
  <c r="AF18" i="11" a="1"/>
  <c r="AF18" i="11" s="1"/>
  <c r="AD1601" i="11" a="1"/>
  <c r="AD1601" i="11" s="1"/>
  <c r="AE1601" i="11" s="1"/>
  <c r="AD1932" i="11" a="1"/>
  <c r="AD1932" i="11" s="1"/>
  <c r="AE1932" i="11" s="1"/>
  <c r="AA579" i="11"/>
  <c r="AF1139" i="11" a="1"/>
  <c r="AF1139" i="11" s="1"/>
  <c r="AF725" i="11" a="1"/>
  <c r="AF725" i="11" s="1"/>
  <c r="AA1645" i="11"/>
  <c r="AF25" i="11" a="1"/>
  <c r="AF25" i="11" s="1"/>
  <c r="AF1390" i="11" a="1"/>
  <c r="AF1390" i="11" s="1"/>
  <c r="AF1808" i="11" a="1"/>
  <c r="AF1808" i="11" s="1"/>
  <c r="AA501" i="11"/>
  <c r="AD891" i="11" a="1"/>
  <c r="AD891" i="11" s="1"/>
  <c r="AE891" i="11" s="1"/>
  <c r="AD1139" i="11" a="1"/>
  <c r="AD1139" i="11" s="1"/>
  <c r="AE1139" i="11" s="1"/>
  <c r="AF1396" i="11" a="1"/>
  <c r="AF1396" i="11" s="1"/>
  <c r="AA866" i="11"/>
  <c r="AD725" i="11" a="1"/>
  <c r="AD725" i="11" s="1"/>
  <c r="AE725" i="11" s="1"/>
  <c r="AF91" i="11" a="1"/>
  <c r="AF91" i="11" s="1"/>
  <c r="AA1397" i="11"/>
  <c r="AD549" i="11" a="1"/>
  <c r="AD549" i="11" s="1"/>
  <c r="AE549" i="11" s="1"/>
  <c r="AD322" i="11" a="1"/>
  <c r="AD322" i="11" s="1"/>
  <c r="AE322" i="11" s="1"/>
  <c r="AD1264" i="11" a="1"/>
  <c r="AD1264" i="11" s="1"/>
  <c r="AE1264" i="11" s="1"/>
  <c r="AF1000" i="11" a="1"/>
  <c r="AF1000" i="11" s="1"/>
  <c r="AF1645" i="11" a="1"/>
  <c r="AF1645" i="11" s="1"/>
  <c r="AF1553" i="11" a="1"/>
  <c r="AF1553" i="11" s="1"/>
  <c r="AA1264" i="11"/>
  <c r="AA1000" i="11"/>
  <c r="AD287" i="11" a="1"/>
  <c r="AD287" i="11" s="1"/>
  <c r="AE287" i="11" s="1"/>
  <c r="AA1831" i="11"/>
  <c r="AD197" i="11" a="1"/>
  <c r="AD197" i="11" s="1"/>
  <c r="AE197" i="11" s="1"/>
  <c r="AD1367" i="11" a="1"/>
  <c r="AD1367" i="11" s="1"/>
  <c r="AE1367" i="11" s="1"/>
  <c r="AF806" i="11" a="1"/>
  <c r="AF806" i="11" s="1"/>
  <c r="AF959" i="11" a="1"/>
  <c r="AF959" i="11" s="1"/>
  <c r="AF531" i="11" a="1"/>
  <c r="AF531" i="11" s="1"/>
  <c r="AF1305" i="11" a="1"/>
  <c r="AF1305" i="11" s="1"/>
  <c r="AA993" i="11"/>
  <c r="AA400" i="11"/>
  <c r="AA1477" i="11"/>
  <c r="AA289" i="11"/>
  <c r="AF1860" i="11" a="1"/>
  <c r="AF1860" i="11" s="1"/>
  <c r="AD228" i="11" a="1"/>
  <c r="AD228" i="11" s="1"/>
  <c r="AE228" i="11" s="1"/>
  <c r="AA861" i="11"/>
  <c r="AA1523" i="11"/>
  <c r="AF1635" i="11" a="1"/>
  <c r="AF1635" i="11" s="1"/>
  <c r="AF1489" i="11" a="1"/>
  <c r="AF1489" i="11" s="1"/>
  <c r="AF280" i="11" a="1"/>
  <c r="AF280" i="11" s="1"/>
  <c r="AD1360" i="11" a="1"/>
  <c r="AD1360" i="11" s="1"/>
  <c r="AE1360" i="11" s="1"/>
  <c r="AA1658" i="11"/>
  <c r="AD934" i="11" a="1"/>
  <c r="AD934" i="11" s="1"/>
  <c r="AE934" i="11" s="1"/>
  <c r="AA797" i="11"/>
  <c r="AD589" i="11" a="1"/>
  <c r="AD589" i="11" s="1"/>
  <c r="AE589" i="11" s="1"/>
  <c r="AA1030" i="11"/>
  <c r="AD193" i="11" a="1"/>
  <c r="AD193" i="11" s="1"/>
  <c r="AE193" i="11" s="1"/>
  <c r="AD1588" i="11" a="1"/>
  <c r="AD1588" i="11" s="1"/>
  <c r="AE1588" i="11" s="1"/>
  <c r="AA1994" i="11"/>
  <c r="AA553" i="11"/>
  <c r="AA417" i="11"/>
  <c r="AA1748" i="11"/>
  <c r="AF1085" i="11" a="1"/>
  <c r="AF1085" i="11" s="1"/>
  <c r="AF1858" i="11" a="1"/>
  <c r="AF1858" i="11" s="1"/>
  <c r="AF934" i="11" a="1"/>
  <c r="AF934" i="11" s="1"/>
  <c r="AA1906" i="11"/>
  <c r="AF797" i="11" a="1"/>
  <c r="AF797" i="11" s="1"/>
  <c r="AF615" i="11" a="1"/>
  <c r="AF615" i="11" s="1"/>
  <c r="AD1477" i="11" a="1"/>
  <c r="AD1477" i="11" s="1"/>
  <c r="AE1477" i="11" s="1"/>
  <c r="AF217" i="11" a="1"/>
  <c r="AF217" i="11" s="1"/>
  <c r="AF1030" i="11" a="1"/>
  <c r="AF1030" i="11" s="1"/>
  <c r="AF917" i="11" a="1"/>
  <c r="AF917" i="11" s="1"/>
  <c r="AF417" i="11" a="1"/>
  <c r="AF417" i="11" s="1"/>
  <c r="AF1702" i="11" a="1"/>
  <c r="AF1702" i="11" s="1"/>
  <c r="AA624" i="11"/>
  <c r="AD1906" i="11" a="1"/>
  <c r="AD1906" i="11" s="1"/>
  <c r="AE1906" i="11" s="1"/>
  <c r="AF1572" i="11" a="1"/>
  <c r="AF1572" i="11" s="1"/>
  <c r="AD1692" i="11" a="1"/>
  <c r="AD1692" i="11" s="1"/>
  <c r="AE1692" i="11" s="1"/>
  <c r="AF1776" i="11" a="1"/>
  <c r="AF1776" i="11" s="1"/>
  <c r="AD1572" i="11" a="1"/>
  <c r="AD1572" i="11" s="1"/>
  <c r="AE1572" i="11" s="1"/>
  <c r="AD1570" i="11" a="1"/>
  <c r="AD1570" i="11" s="1"/>
  <c r="AE1570" i="11" s="1"/>
  <c r="AD1733" i="11" a="1"/>
  <c r="AD1733" i="11" s="1"/>
  <c r="AE1733" i="11" s="1"/>
  <c r="AD244" i="11" a="1"/>
  <c r="AD244" i="11" s="1"/>
  <c r="AE244" i="11" s="1"/>
  <c r="AF790" i="11" a="1"/>
  <c r="AF790" i="11" s="1"/>
  <c r="AD147" i="11" a="1"/>
  <c r="AD147" i="11" s="1"/>
  <c r="AE147" i="11" s="1"/>
  <c r="AD395" i="11" a="1"/>
  <c r="AD395" i="11" s="1"/>
  <c r="AE395" i="11" s="1"/>
  <c r="AF1418" i="11" a="1"/>
  <c r="AF1418" i="11" s="1"/>
  <c r="AF314" i="11" a="1"/>
  <c r="AF314" i="11" s="1"/>
  <c r="AA909" i="11"/>
  <c r="AA976" i="11"/>
  <c r="AD1206" i="11" a="1"/>
  <c r="AD1206" i="11" s="1"/>
  <c r="AE1206" i="11" s="1"/>
  <c r="AF244" i="11" a="1"/>
  <c r="AF244" i="11" s="1"/>
  <c r="AD219" i="11" a="1"/>
  <c r="AD219" i="11" s="1"/>
  <c r="AE219" i="11" s="1"/>
  <c r="AD1229" i="11" a="1"/>
  <c r="AD1229" i="11" s="1"/>
  <c r="AE1229" i="11" s="1"/>
  <c r="AF1109" i="11" a="1"/>
  <c r="AF1109" i="11" s="1"/>
  <c r="AF1242" i="11" a="1"/>
  <c r="AF1242" i="11" s="1"/>
  <c r="AF1547" i="11" a="1"/>
  <c r="AF1547" i="11" s="1"/>
  <c r="AF61" i="11" a="1"/>
  <c r="AF61" i="11" s="1"/>
  <c r="AD1462" i="11" a="1"/>
  <c r="AD1462" i="11" s="1"/>
  <c r="AE1462" i="11" s="1"/>
  <c r="AF134" i="11" a="1"/>
  <c r="AF134" i="11" s="1"/>
  <c r="AF1945" i="11" a="1"/>
  <c r="AF1945" i="11" s="1"/>
  <c r="AF1540" i="11" a="1"/>
  <c r="AF1540" i="11" s="1"/>
  <c r="AD790" i="11" a="1"/>
  <c r="AD790" i="11" s="1"/>
  <c r="AE790" i="11" s="1"/>
  <c r="AD1947" i="11" a="1"/>
  <c r="AD1947" i="11" s="1"/>
  <c r="AE1947" i="11" s="1"/>
  <c r="AD964" i="11" a="1"/>
  <c r="AD964" i="11" s="1"/>
  <c r="AE964" i="11" s="1"/>
  <c r="AF219" i="11" a="1"/>
  <c r="AF219" i="11" s="1"/>
  <c r="AD2011" i="11" a="1"/>
  <c r="AD2011" i="11" s="1"/>
  <c r="AE2011" i="11" s="1"/>
  <c r="AF147" i="11" a="1"/>
  <c r="AF147" i="11" s="1"/>
  <c r="AF1462" i="11" a="1"/>
  <c r="AF1462" i="11" s="1"/>
  <c r="AF288" i="11" a="1"/>
  <c r="AF288"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F1736" i="11" a="1"/>
  <c r="AF1736" i="11" s="1"/>
  <c r="AF703" i="11" a="1"/>
  <c r="AF703" i="11" s="1"/>
  <c r="AF634" i="11" a="1"/>
  <c r="AF634" i="11" s="1"/>
  <c r="AF1206" i="11" a="1"/>
  <c r="AF1206" i="11" s="1"/>
  <c r="AF1393" i="11" a="1"/>
  <c r="AF1393" i="11" s="1"/>
  <c r="AD1425" i="11" a="1"/>
  <c r="AD1425" i="11" s="1"/>
  <c r="AE1425" i="11" s="1"/>
  <c r="AD1393" i="11" a="1"/>
  <c r="AD1393" i="11" s="1"/>
  <c r="AE1393" i="11" s="1"/>
  <c r="AD155" i="11" a="1"/>
  <c r="AD155" i="11" s="1"/>
  <c r="AE155" i="11" s="1"/>
  <c r="AF575" i="11" a="1"/>
  <c r="AF575" i="11" s="1"/>
  <c r="AD1175" i="11" a="1"/>
  <c r="AD1175" i="11" s="1"/>
  <c r="AE1175" i="11" s="1"/>
  <c r="AD310" i="11" a="1"/>
  <c r="AD310" i="11" s="1"/>
  <c r="AE310" i="11" s="1"/>
  <c r="AF1584" i="11" a="1"/>
  <c r="AF1584" i="11" s="1"/>
  <c r="AF1653" i="11" a="1"/>
  <c r="AF1653" i="11" s="1"/>
  <c r="AF497" i="11" a="1"/>
  <c r="AF497" i="11" s="1"/>
  <c r="AF1446" i="11" a="1"/>
  <c r="AF1446" i="11" s="1"/>
  <c r="AF1788" i="11" a="1"/>
  <c r="AF1788" i="11" s="1"/>
  <c r="AD1736" i="11" a="1"/>
  <c r="AD1736" i="11" s="1"/>
  <c r="AE1736" i="11" s="1"/>
  <c r="AD143" i="11" a="1"/>
  <c r="AD143" i="11" s="1"/>
  <c r="AE143" i="11" s="1"/>
  <c r="AF1175" i="11" a="1"/>
  <c r="AF1175" i="11" s="1"/>
  <c r="AF1425" i="11" a="1"/>
  <c r="AF1425" i="11" s="1"/>
  <c r="AF669" i="11" a="1"/>
  <c r="AF669" i="11" s="1"/>
  <c r="AD575" i="11" a="1"/>
  <c r="AD575" i="11" s="1"/>
  <c r="AE575" i="11" s="1"/>
  <c r="AD1223" i="11" a="1"/>
  <c r="AD1223" i="11" s="1"/>
  <c r="AE1223" i="11" s="1"/>
  <c r="AD380" i="11" a="1"/>
  <c r="AD380" i="11" s="1"/>
  <c r="AE380" i="11" s="1"/>
  <c r="AD803" i="11" a="1"/>
  <c r="AD803" i="11" s="1"/>
  <c r="AE803" i="11" s="1"/>
  <c r="AD109" i="11" a="1"/>
  <c r="AD109" i="11" s="1"/>
  <c r="AE109" i="11" s="1"/>
  <c r="AF701" i="11" a="1"/>
  <c r="AF701" i="11" s="1"/>
  <c r="AA374" i="11"/>
  <c r="AD1547" i="11" a="1"/>
  <c r="AD1547" i="11" s="1"/>
  <c r="AE1547" i="11" s="1"/>
  <c r="AF763" i="11" a="1"/>
  <c r="AF763" i="11" s="1"/>
  <c r="AD763" i="11" a="1"/>
  <c r="AD763" i="11" s="1"/>
  <c r="AE763" i="11" s="1"/>
  <c r="AD1017" i="11" a="1"/>
  <c r="AD1017" i="11" s="1"/>
  <c r="AE1017" i="11" s="1"/>
  <c r="AF161" i="11" a="1"/>
  <c r="AF161" i="11" s="1"/>
  <c r="AD1408" i="11" a="1"/>
  <c r="AD1408" i="11" s="1"/>
  <c r="AE1408" i="11" s="1"/>
  <c r="AD669" i="11" a="1"/>
  <c r="AD669" i="11" s="1"/>
  <c r="AE669" i="11" s="1"/>
  <c r="AF1826" i="11" a="1"/>
  <c r="AF1826" i="11" s="1"/>
  <c r="AD1082" i="11" a="1"/>
  <c r="AD1082" i="11" s="1"/>
  <c r="AE1082" i="11" s="1"/>
  <c r="AD350" i="11" a="1"/>
  <c r="AD350" i="11" s="1"/>
  <c r="AE350" i="11" s="1"/>
  <c r="AF1995" i="11" a="1"/>
  <c r="AF1995" i="11" s="1"/>
  <c r="AF1193" i="11" a="1"/>
  <c r="AF1193" i="11" s="1"/>
  <c r="AD1650" i="11" a="1"/>
  <c r="AD1650" i="11" s="1"/>
  <c r="AE1650" i="11" s="1"/>
  <c r="AD251" i="11" a="1"/>
  <c r="AD251" i="11" s="1"/>
  <c r="AE251" i="11" s="1"/>
  <c r="AF1212" i="11" a="1"/>
  <c r="AF1212" i="11" s="1"/>
  <c r="AD35" i="11" a="1"/>
  <c r="AD35" i="11" s="1"/>
  <c r="AE35" i="11" s="1"/>
  <c r="AF30" i="11" a="1"/>
  <c r="AF30"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1826" i="11" a="1"/>
  <c r="AD1826" i="11" s="1"/>
  <c r="AE1826" i="11" s="1"/>
  <c r="AF1082" i="11" a="1"/>
  <c r="AF1082"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1979" i="11" a="1"/>
  <c r="AD1979" i="11" s="1"/>
  <c r="AE1979" i="11" s="1"/>
  <c r="AD238" i="11" a="1"/>
  <c r="AD238" i="11" s="1"/>
  <c r="AE238" i="11" s="1"/>
  <c r="AD784" i="11" a="1"/>
  <c r="AD784" i="11" s="1"/>
  <c r="AE784" i="11" s="1"/>
  <c r="AD1416" i="11" a="1"/>
  <c r="AD1416" i="11" s="1"/>
  <c r="AE1416" i="11" s="1"/>
  <c r="AF1962" i="11" a="1"/>
  <c r="AF1962" i="11" s="1"/>
  <c r="AF1416" i="11" a="1"/>
  <c r="AF1416" i="11" s="1"/>
  <c r="AD1962" i="11" a="1"/>
  <c r="AD1962" i="11" s="1"/>
  <c r="AE1962" i="11" s="1"/>
  <c r="AF946" i="11" a="1"/>
  <c r="AF946" i="11" s="1"/>
  <c r="AD1142" i="11" a="1"/>
  <c r="AD1142" i="11" s="1"/>
  <c r="AE1142" i="11" s="1"/>
  <c r="AF1947" i="11" a="1"/>
  <c r="AF1947" i="11" s="1"/>
  <c r="AF1804" i="11" a="1"/>
  <c r="AF1804" i="11" s="1"/>
  <c r="AF964" i="11" a="1"/>
  <c r="AF964" i="11" s="1"/>
  <c r="AD328" i="11" a="1"/>
  <c r="AD328" i="11" s="1"/>
  <c r="AE328" i="11" s="1"/>
  <c r="AF2011" i="11" a="1"/>
  <c r="AF2011" i="11" s="1"/>
  <c r="AF1102" i="11" a="1"/>
  <c r="AF1102" i="11" s="1"/>
  <c r="AF877" i="11" a="1"/>
  <c r="AF877" i="11" s="1"/>
  <c r="AF801" i="11" a="1"/>
  <c r="AF801" i="11" s="1"/>
  <c r="AD1635" i="11" a="1"/>
  <c r="AD1635" i="11" s="1"/>
  <c r="AE1635" i="11" s="1"/>
  <c r="AD665" i="11" a="1"/>
  <c r="AD665" i="11" s="1"/>
  <c r="AE665" i="11" s="1"/>
  <c r="AF1494" i="11" a="1"/>
  <c r="AF1494" i="11" s="1"/>
  <c r="AF842" i="11" a="1"/>
  <c r="AF842" i="11" s="1"/>
  <c r="AD1193" i="11" a="1"/>
  <c r="AD1193" i="11" s="1"/>
  <c r="AE1193" i="11" s="1"/>
  <c r="AD166" i="11" a="1"/>
  <c r="AD166" i="11" s="1"/>
  <c r="AE166" i="11" s="1"/>
  <c r="AD1011" i="11" a="1"/>
  <c r="AD1011" i="11" s="1"/>
  <c r="AE1011" i="11" s="1"/>
  <c r="AD435" i="11" a="1"/>
  <c r="AD435" i="11" s="1"/>
  <c r="AE435" i="11" s="1"/>
  <c r="AD932" i="11" a="1"/>
  <c r="AD932" i="11" s="1"/>
  <c r="AE932" i="11" s="1"/>
  <c r="AD701" i="11" a="1"/>
  <c r="AD701" i="11" s="1"/>
  <c r="AE701" i="11" s="1"/>
  <c r="AF125" i="11" a="1"/>
  <c r="AF125" i="11" s="1"/>
  <c r="AF85" i="11" a="1"/>
  <c r="AF85" i="11" s="1"/>
  <c r="AD801" i="11" a="1"/>
  <c r="AD801" i="11" s="1"/>
  <c r="AE801" i="11" s="1"/>
  <c r="AD1894" i="11" a="1"/>
  <c r="AD1894" i="11" s="1"/>
  <c r="AE1894" i="11" s="1"/>
  <c r="AF1633" i="11" a="1"/>
  <c r="AF1633" i="11" s="1"/>
  <c r="AD1959" i="11" a="1"/>
  <c r="AD1959" i="11" s="1"/>
  <c r="AE1959" i="11" s="1"/>
  <c r="AF143" i="11" a="1"/>
  <c r="AF143" i="11" s="1"/>
  <c r="AD1054" i="11" a="1"/>
  <c r="AD1054" i="11" s="1"/>
  <c r="AE1054" i="11" s="1"/>
  <c r="AD1191" i="11" a="1"/>
  <c r="AD1191" i="11" s="1"/>
  <c r="AE1191" i="11" s="1"/>
  <c r="AF1715" i="11" a="1"/>
  <c r="AF1715" i="11" s="1"/>
  <c r="AF1733" i="11" a="1"/>
  <c r="AF1733" i="11" s="1"/>
  <c r="AF1646" i="11" a="1"/>
  <c r="AF1646" i="11" s="1"/>
  <c r="AF784" i="11" a="1"/>
  <c r="AF784" i="11" s="1"/>
  <c r="AD229" i="11" a="1"/>
  <c r="AD229" i="11" s="1"/>
  <c r="AE229" i="11" s="1"/>
  <c r="AD1804" i="11" a="1"/>
  <c r="AD1804" i="11" s="1"/>
  <c r="AE1804" i="11" s="1"/>
  <c r="AD1113" i="11" a="1"/>
  <c r="AD1113" i="11" s="1"/>
  <c r="AE1113" i="11" s="1"/>
  <c r="AF1273" i="11" a="1"/>
  <c r="AF1273" i="11" s="1"/>
  <c r="AF594" i="11" a="1"/>
  <c r="AF594" i="11" s="1"/>
  <c r="AF1223" i="11" a="1"/>
  <c r="AF1223" i="11" s="1"/>
  <c r="AD1546" i="11" a="1"/>
  <c r="AD1546" i="11" s="1"/>
  <c r="AE1546" i="11" s="1"/>
  <c r="AD705" i="11" a="1"/>
  <c r="AD705" i="11" s="1"/>
  <c r="AE705" i="11" s="1"/>
  <c r="AF592" i="11" a="1"/>
  <c r="AF592" i="11" s="1"/>
  <c r="AD1102" i="11" a="1"/>
  <c r="AD1102" i="11" s="1"/>
  <c r="AE1102" i="11" s="1"/>
  <c r="AD134" i="11" a="1"/>
  <c r="AD134" i="11" s="1"/>
  <c r="AE134" i="11" s="1"/>
  <c r="AD910" i="11" a="1"/>
  <c r="AD910" i="11" s="1"/>
  <c r="AE910" i="11" s="1"/>
  <c r="AD1515" i="11" a="1"/>
  <c r="AD1515" i="11" s="1"/>
  <c r="AE1515" i="11" s="1"/>
  <c r="AF1199" i="11" a="1"/>
  <c r="AF1199" i="11" s="1"/>
  <c r="AF620" i="11" a="1"/>
  <c r="AF620" i="11" s="1"/>
  <c r="AF1063" i="11" a="1"/>
  <c r="AF1063" i="11" s="1"/>
  <c r="AF999" i="11" a="1"/>
  <c r="AF999" i="11" s="1"/>
  <c r="AD760" i="11" a="1"/>
  <c r="AD760" i="11" s="1"/>
  <c r="AE760" i="11" s="1"/>
  <c r="AD703" i="11" a="1"/>
  <c r="AD703" i="11" s="1"/>
  <c r="AE703" i="11" s="1"/>
  <c r="AD1777" i="11" a="1"/>
  <c r="AD1777" i="11" s="1"/>
  <c r="AE1777" i="11" s="1"/>
  <c r="AF665" i="11" a="1"/>
  <c r="AF665" i="11" s="1"/>
  <c r="AD1883" i="11" a="1"/>
  <c r="AD1883" i="11" s="1"/>
  <c r="AE1883" i="11" s="1"/>
  <c r="AF1570" i="11" a="1"/>
  <c r="AF1570" i="11" s="1"/>
  <c r="AF1057" i="11" a="1"/>
  <c r="AF1057" i="11" s="1"/>
  <c r="AF291" i="11" a="1"/>
  <c r="AF291" i="11" s="1"/>
  <c r="AF1979" i="11" a="1"/>
  <c r="AF1979" i="11" s="1"/>
  <c r="AF374" i="11" a="1"/>
  <c r="AF374" i="11" s="1"/>
  <c r="AD1843" i="11" a="1"/>
  <c r="AD1843" i="11" s="1"/>
  <c r="AE1843" i="11" s="1"/>
  <c r="AD1901" i="11" a="1"/>
  <c r="AD1901" i="11" s="1"/>
  <c r="AE1901" i="11" s="1"/>
  <c r="AF405" i="11" a="1"/>
  <c r="AF405" i="11" s="1"/>
  <c r="AF229" i="11" a="1"/>
  <c r="AF229" i="11" s="1"/>
  <c r="AD1273" i="11" a="1"/>
  <c r="AD1273" i="11" s="1"/>
  <c r="AE1273" i="11" s="1"/>
  <c r="AF1158" i="11" a="1"/>
  <c r="AF1158" i="11" s="1"/>
  <c r="AD594" i="11" a="1"/>
  <c r="AD594" i="11" s="1"/>
  <c r="AE594" i="11" s="1"/>
  <c r="AF1790" i="11" a="1"/>
  <c r="AF1790" i="11" s="1"/>
  <c r="AF1546" i="11" a="1"/>
  <c r="AF1546" i="11" s="1"/>
  <c r="AD497" i="11" a="1"/>
  <c r="AD497" i="11" s="1"/>
  <c r="AE497" i="11" s="1"/>
  <c r="AF586" i="11" a="1"/>
  <c r="AF586" i="11" s="1"/>
  <c r="AF705" i="11" a="1"/>
  <c r="AF705" i="11" s="1"/>
  <c r="AD1328" i="11" a="1"/>
  <c r="AD1328" i="11" s="1"/>
  <c r="AE1328" i="11" s="1"/>
  <c r="AD592" i="11" a="1"/>
  <c r="AD592" i="11" s="1"/>
  <c r="AE592" i="11" s="1"/>
  <c r="AD1259" i="11" a="1"/>
  <c r="AD1259" i="11" s="1"/>
  <c r="AE1259" i="11" s="1"/>
  <c r="AD633" i="11" a="1"/>
  <c r="AD633" i="11" s="1"/>
  <c r="AE633" i="11" s="1"/>
  <c r="AF386" i="11" a="1"/>
  <c r="AF386" i="11" s="1"/>
  <c r="AF910" i="11" a="1"/>
  <c r="AF910" i="11" s="1"/>
  <c r="AF1515" i="11" a="1"/>
  <c r="AF1515" i="11" s="1"/>
  <c r="AF585" i="11" a="1"/>
  <c r="AF585" i="11" s="1"/>
  <c r="AD1199" i="11" a="1"/>
  <c r="AD1199" i="11" s="1"/>
  <c r="AE1199" i="11" s="1"/>
  <c r="AD620" i="11" a="1"/>
  <c r="AD620" i="11" s="1"/>
  <c r="AE620" i="11" s="1"/>
  <c r="AD1063" i="11" a="1"/>
  <c r="AD1063" i="11" s="1"/>
  <c r="AE1063" i="11" s="1"/>
  <c r="AD999" i="11" a="1"/>
  <c r="AD999" i="11" s="1"/>
  <c r="AE999" i="11" s="1"/>
  <c r="AD1903" i="11" a="1"/>
  <c r="AD1903" i="11" s="1"/>
  <c r="AE1903" i="11" s="1"/>
  <c r="AF760" i="11" a="1"/>
  <c r="AF760" i="11" s="1"/>
  <c r="AD640" i="11" a="1"/>
  <c r="AD640" i="11" s="1"/>
  <c r="AE640" i="11" s="1"/>
  <c r="AF547" i="11" a="1"/>
  <c r="AF547" i="11" s="1"/>
  <c r="AF73" i="11" a="1"/>
  <c r="AF73" i="11" s="1"/>
  <c r="AF1883" i="11" a="1"/>
  <c r="AF1883" i="11" s="1"/>
  <c r="AD291" i="11" a="1"/>
  <c r="AD291" i="11" s="1"/>
  <c r="AE291" i="11" s="1"/>
  <c r="AF1974" i="11" a="1"/>
  <c r="AF1974" i="11" s="1"/>
  <c r="AF622" i="11" a="1"/>
  <c r="AF622" i="11" s="1"/>
  <c r="AF1496" i="11" a="1"/>
  <c r="AF1496" i="11" s="1"/>
  <c r="AF1843" i="11" a="1"/>
  <c r="AF1843" i="11" s="1"/>
  <c r="AF1340" i="11" a="1"/>
  <c r="AF1340" i="11" s="1"/>
  <c r="AF327" i="11" a="1"/>
  <c r="AF327" i="11" s="1"/>
  <c r="AD405" i="11" a="1"/>
  <c r="AD405" i="11" s="1"/>
  <c r="AE405" i="11" s="1"/>
  <c r="AD1158" i="11" a="1"/>
  <c r="AD1158" i="11" s="1"/>
  <c r="AE1158" i="11" s="1"/>
  <c r="AD1790" i="11" a="1"/>
  <c r="AD1790" i="11" s="1"/>
  <c r="AE1790" i="11" s="1"/>
  <c r="AD586" i="11" a="1"/>
  <c r="AD586" i="11" s="1"/>
  <c r="AE586" i="11" s="1"/>
  <c r="AF342" i="11" a="1"/>
  <c r="AF342" i="11" s="1"/>
  <c r="AF1328" i="11" a="1"/>
  <c r="AF1328" i="11" s="1"/>
  <c r="AF1503" i="11" a="1"/>
  <c r="AF1503" i="11" s="1"/>
  <c r="AF1259" i="11" a="1"/>
  <c r="AF1259" i="11" s="1"/>
  <c r="AF1766" i="11" a="1"/>
  <c r="AF1766" i="11" s="1"/>
  <c r="AD386" i="11" a="1"/>
  <c r="AD386" i="11" s="1"/>
  <c r="AE386" i="11" s="1"/>
  <c r="AD1470" i="11" a="1"/>
  <c r="AD1470" i="11" s="1"/>
  <c r="AE1470" i="11" s="1"/>
  <c r="AF1552" i="11" a="1"/>
  <c r="AF1552" i="11" s="1"/>
  <c r="AF1006" i="11" a="1"/>
  <c r="AF1006" i="11" s="1"/>
  <c r="AD604" i="11" a="1"/>
  <c r="AD604" i="11" s="1"/>
  <c r="AE604" i="11" s="1"/>
  <c r="AF595" i="11" a="1"/>
  <c r="AF595" i="11" s="1"/>
  <c r="AF1903" i="11" a="1"/>
  <c r="AF1903" i="11" s="1"/>
  <c r="AD1309" i="11" a="1"/>
  <c r="AD1309" i="11" s="1"/>
  <c r="AE1309" i="11" s="1"/>
  <c r="AF833" i="11" a="1"/>
  <c r="AF833" i="11" s="1"/>
  <c r="AF640" i="11" a="1"/>
  <c r="AF640" i="11" s="1"/>
  <c r="AD547" i="11" a="1"/>
  <c r="AD547" i="11" s="1"/>
  <c r="AE547" i="11" s="1"/>
  <c r="AD252" i="11" a="1"/>
  <c r="AD252" i="11" s="1"/>
  <c r="AE252" i="11" s="1"/>
  <c r="AD1709" i="11" a="1"/>
  <c r="AD1709" i="11" s="1"/>
  <c r="AE1709"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340" i="11" a="1"/>
  <c r="AD1340" i="11" s="1"/>
  <c r="AE1340" i="11" s="1"/>
  <c r="AD316" i="11" a="1"/>
  <c r="AD316" i="11" s="1"/>
  <c r="AE316" i="11" s="1"/>
  <c r="AD327" i="11" a="1"/>
  <c r="AD327" i="11" s="1"/>
  <c r="AE327" i="11" s="1"/>
  <c r="AF350" i="11" a="1"/>
  <c r="AF350" i="11" s="1"/>
  <c r="AF1230" i="11" a="1"/>
  <c r="AF1230" i="11" s="1"/>
  <c r="AF1775" i="11" a="1"/>
  <c r="AF1775" i="11" s="1"/>
  <c r="AD342" i="11" a="1"/>
  <c r="AD342" i="11" s="1"/>
  <c r="AE342" i="11" s="1"/>
  <c r="AD1503" i="11" a="1"/>
  <c r="AD1503" i="11" s="1"/>
  <c r="AE1503" i="11" s="1"/>
  <c r="AD1766" i="11" a="1"/>
  <c r="AD1766" i="11" s="1"/>
  <c r="AE1766" i="11" s="1"/>
  <c r="AF686" i="11" a="1"/>
  <c r="AF686" i="11" s="1"/>
  <c r="AF1862" i="11" a="1"/>
  <c r="AF1862" i="11" s="1"/>
  <c r="AF1650" i="11" a="1"/>
  <c r="AF1650" i="11" s="1"/>
  <c r="AF1086" i="11" a="1"/>
  <c r="AF1086" i="11" s="1"/>
  <c r="AF1470" i="11" a="1"/>
  <c r="AF1470" i="11" s="1"/>
  <c r="AD1552" i="11" a="1"/>
  <c r="AD1552" i="11" s="1"/>
  <c r="AE1552" i="11" s="1"/>
  <c r="AD1212" i="11" a="1"/>
  <c r="AD1212" i="11" s="1"/>
  <c r="AE1212" i="11" s="1"/>
  <c r="AF35" i="11" a="1"/>
  <c r="AF35" i="11" s="1"/>
  <c r="AD1006" i="11" a="1"/>
  <c r="AD1006" i="11" s="1"/>
  <c r="AE1006" i="11" s="1"/>
  <c r="AF604" i="11" a="1"/>
  <c r="AF604" i="11" s="1"/>
  <c r="AD595" i="11" a="1"/>
  <c r="AD595" i="11" s="1"/>
  <c r="AE595" i="11" s="1"/>
  <c r="AF936" i="11" a="1"/>
  <c r="AF936" i="11" s="1"/>
  <c r="AF1309" i="11" a="1"/>
  <c r="AF1309" i="11" s="1"/>
  <c r="AF252" i="11" a="1"/>
  <c r="AF252" i="11" s="1"/>
  <c r="AF1709" i="11" a="1"/>
  <c r="AF1709" i="11" s="1"/>
  <c r="AD303" i="11" a="1"/>
  <c r="AD303" i="11" s="1"/>
  <c r="AE303" i="11" s="1"/>
  <c r="AF1676" i="11" a="1"/>
  <c r="AF1676" i="11" s="1"/>
  <c r="AF1918" i="11" a="1"/>
  <c r="AF1918" i="11" s="1"/>
  <c r="AF299" i="11" a="1"/>
  <c r="AF299" i="11" s="1"/>
  <c r="AD475" i="11" a="1"/>
  <c r="AD475" i="11" s="1"/>
  <c r="AE475" i="11" s="1"/>
  <c r="AD634" i="11" a="1"/>
  <c r="AD634" i="11" s="1"/>
  <c r="AE634" i="11" s="1"/>
  <c r="AD842" i="11" a="1"/>
  <c r="AD842" i="11" s="1"/>
  <c r="AE842" i="11" s="1"/>
  <c r="AF238" i="11" a="1"/>
  <c r="AF238" i="11" s="1"/>
  <c r="AD1862" i="11" a="1"/>
  <c r="AD1862" i="11" s="1"/>
  <c r="AE1862" i="11" s="1"/>
  <c r="AF420" i="11" a="1"/>
  <c r="AF420" i="11" s="1"/>
  <c r="AD1086" i="11" a="1"/>
  <c r="AD1086" i="11" s="1"/>
  <c r="AE1086" i="11" s="1"/>
  <c r="AF1181" i="11" a="1"/>
  <c r="AF1181" i="11" s="1"/>
  <c r="AF507" i="11" a="1"/>
  <c r="AF507" i="11" s="1"/>
  <c r="AD1144" i="11" a="1"/>
  <c r="AD1144" i="11" s="1"/>
  <c r="AE1144" i="11" s="1"/>
  <c r="AD1676" i="11" a="1"/>
  <c r="AD1676" i="11" s="1"/>
  <c r="AE1676" i="11" s="1"/>
  <c r="AD1918" i="11" a="1"/>
  <c r="AD1918" i="11" s="1"/>
  <c r="AE1918" i="11" s="1"/>
  <c r="AF475" i="11" a="1"/>
  <c r="AF475" i="11" s="1"/>
  <c r="AF153" i="11" a="1"/>
  <c r="AF153" i="11" s="1"/>
  <c r="AF316" i="11" a="1"/>
  <c r="AF316" i="11" s="1"/>
  <c r="AD161" i="11" a="1"/>
  <c r="AD161" i="11" s="1"/>
  <c r="AE161"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D877" i="11" a="1"/>
  <c r="AD877" i="11" s="1"/>
  <c r="AE877" i="11" s="1"/>
  <c r="AF1011" i="11" a="1"/>
  <c r="AF1011" i="11" s="1"/>
  <c r="AF932" i="11" a="1"/>
  <c r="AF932" i="11" s="1"/>
  <c r="AD1181" i="11" a="1"/>
  <c r="AD1181" i="11" s="1"/>
  <c r="AE1181" i="11" s="1"/>
  <c r="AD507" i="11" a="1"/>
  <c r="AD507" i="11" s="1"/>
  <c r="AE507" i="11" s="1"/>
  <c r="AF1144" i="11" a="1"/>
  <c r="AF1144" i="11" s="1"/>
  <c r="AD125" i="11" a="1"/>
  <c r="AD125" i="11" s="1"/>
  <c r="AE125" i="11" s="1"/>
  <c r="AD85" i="11" a="1"/>
  <c r="AD85" i="11" s="1"/>
  <c r="AE85" i="11" s="1"/>
  <c r="AF56" i="11" a="1"/>
  <c r="AF56" i="11" s="1"/>
  <c r="AF1701" i="11" a="1"/>
  <c r="AF1701" i="11" s="1"/>
  <c r="AF1894" i="11" a="1"/>
  <c r="AF1894" i="11" s="1"/>
  <c r="AD1633" i="11" a="1"/>
  <c r="AD1633" i="11" s="1"/>
  <c r="AE1633" i="11" s="1"/>
  <c r="AF1054" i="11" a="1"/>
  <c r="AF1054" i="11" s="1"/>
  <c r="AD1494" i="11" a="1"/>
  <c r="AD1494" i="11" s="1"/>
  <c r="AE1494" i="11" s="1"/>
  <c r="AF1191" i="11" a="1"/>
  <c r="AF1191" i="11" s="1"/>
  <c r="AD1715" i="11" a="1"/>
  <c r="AD1715" i="11" s="1"/>
  <c r="AE1715" i="11" s="1"/>
  <c r="AD478" i="11" a="1"/>
  <c r="AD478" i="11" s="1"/>
  <c r="AE478"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F1861" i="11" a="1"/>
  <c r="AF1861" i="11" s="1"/>
  <c r="AF1014" i="11" a="1"/>
  <c r="AF1014" i="11" s="1"/>
  <c r="AF1659" i="11" a="1"/>
  <c r="AF1659" i="11" s="1"/>
  <c r="AF755" i="11" a="1"/>
  <c r="AF755" i="11" s="1"/>
  <c r="AF718" i="11" a="1"/>
  <c r="AF718"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709" i="11" a="1"/>
  <c r="AF709" i="11" s="1"/>
  <c r="AF1186" i="11" a="1"/>
  <c r="AF1186" i="11" s="1"/>
  <c r="AF173" i="11" a="1"/>
  <c r="AF173" i="11" s="1"/>
  <c r="AF1459" i="11" a="1"/>
  <c r="AF1459" i="11" s="1"/>
  <c r="AF1234" i="11" a="1"/>
  <c r="AF1234" i="11" s="1"/>
  <c r="AD909" i="11" a="1"/>
  <c r="AD909" i="11" s="1"/>
  <c r="AE909" i="11" s="1"/>
  <c r="AF129" i="11" a="1"/>
  <c r="AF129" i="11" s="1"/>
  <c r="AD1388" i="11" a="1"/>
  <c r="AD1388" i="11" s="1"/>
  <c r="AE1388" i="11" s="1"/>
  <c r="AA975" i="11"/>
  <c r="AF83" i="11" a="1"/>
  <c r="AF83" i="11" s="1"/>
  <c r="AA1770" i="11"/>
  <c r="AF590" i="11" a="1"/>
  <c r="AF590" i="11" s="1"/>
  <c r="AD2000" i="11" a="1"/>
  <c r="AD2000" i="11" s="1"/>
  <c r="AE2000" i="11" s="1"/>
  <c r="AA1155" i="11"/>
  <c r="AF728" i="11" a="1"/>
  <c r="AF728" i="11" s="1"/>
  <c r="AA1919" i="11"/>
  <c r="AF48" i="11" a="1"/>
  <c r="AF48" i="11" s="1"/>
  <c r="AA1889" i="11"/>
  <c r="AA182" i="11"/>
  <c r="AD732" i="11" a="1"/>
  <c r="AD732" i="11" s="1"/>
  <c r="AE732" i="11" s="1"/>
  <c r="AF662" i="11" a="1"/>
  <c r="AF662" i="11" s="1"/>
  <c r="AF1606" i="11" a="1"/>
  <c r="AF1606" i="11" s="1"/>
  <c r="AA1795" i="11"/>
  <c r="AF21" i="11" a="1"/>
  <c r="AF21" i="11" s="1"/>
  <c r="AA1519" i="11"/>
  <c r="AD225" i="11" a="1"/>
  <c r="AD225" i="11" s="1"/>
  <c r="AE225" i="11" s="1"/>
  <c r="AF927" i="11" a="1"/>
  <c r="AF927" i="11" s="1"/>
  <c r="AA61" i="11"/>
  <c r="AA402" i="11"/>
  <c r="AA314" i="11"/>
  <c r="AA1991" i="11"/>
  <c r="AA743" i="11"/>
  <c r="AA1559" i="11"/>
  <c r="AF1812" i="11" a="1"/>
  <c r="AF1812" i="11" s="1"/>
  <c r="AD1150" i="11" a="1"/>
  <c r="AD1150" i="11" s="1"/>
  <c r="AE1150" i="11" s="1"/>
  <c r="AF1605" i="11" a="1"/>
  <c r="AF1605" i="11" s="1"/>
  <c r="AF732" i="11" a="1"/>
  <c r="AF732" i="11" s="1"/>
  <c r="AF986" i="11" a="1"/>
  <c r="AF986" i="11" s="1"/>
  <c r="AA1606" i="11"/>
  <c r="AA21" i="11"/>
  <c r="AA1348"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F1349" i="11" a="1"/>
  <c r="AF1349" i="11" s="1"/>
  <c r="AD1559" i="11" a="1"/>
  <c r="AD1559" i="11" s="1"/>
  <c r="AE1559" i="11" s="1"/>
  <c r="AA1454" i="11"/>
  <c r="AA1815" i="11"/>
  <c r="AF1292" i="11" a="1"/>
  <c r="AF1292" i="11" s="1"/>
  <c r="AD973" i="11" a="1"/>
  <c r="AD973" i="11" s="1"/>
  <c r="AE973" i="11" s="1"/>
  <c r="AA807" i="11"/>
  <c r="AD1573" i="11" a="1"/>
  <c r="AD1573" i="11" s="1"/>
  <c r="AE1573" i="11" s="1"/>
  <c r="AA1150" i="11"/>
  <c r="AF182" i="11" a="1"/>
  <c r="AF182" i="11" s="1"/>
  <c r="AA986" i="11"/>
  <c r="AF1145" i="11" a="1"/>
  <c r="AF1145" i="11" s="1"/>
  <c r="AF1348" i="11" a="1"/>
  <c r="AF1348" i="11" s="1"/>
  <c r="AF522" i="11" a="1"/>
  <c r="AF522" i="11" s="1"/>
  <c r="AA1065" i="11"/>
  <c r="AA617" i="11"/>
  <c r="AF1094" i="11" a="1"/>
  <c r="AF1094" i="11" s="1"/>
  <c r="AA1785" i="11"/>
  <c r="AF1120" i="11" a="1"/>
  <c r="AF1120" i="11" s="1"/>
  <c r="AA383" i="11"/>
  <c r="AD1058" i="11" a="1"/>
  <c r="AD1058" i="11" s="1"/>
  <c r="AE1058" i="11" s="1"/>
  <c r="AD1697" i="11" a="1"/>
  <c r="AD1697" i="11" s="1"/>
  <c r="AE1697" i="11" s="1"/>
  <c r="AF1384" i="11" a="1"/>
  <c r="AF1384" i="11" s="1"/>
  <c r="AD1805" i="11" a="1"/>
  <c r="AD1805" i="11" s="1"/>
  <c r="AE1805" i="11" s="1"/>
  <c r="AA1349" i="11"/>
  <c r="AF991" i="11" a="1"/>
  <c r="AF991" i="11" s="1"/>
  <c r="AF1454" i="11" a="1"/>
  <c r="AF1454" i="11" s="1"/>
  <c r="AA1632" i="11"/>
  <c r="AD1815" i="11" a="1"/>
  <c r="AD1815" i="11" s="1"/>
  <c r="AE1815" i="11" s="1"/>
  <c r="AF1169" i="11" a="1"/>
  <c r="AF1169" i="11" s="1"/>
  <c r="AD145" i="11" a="1"/>
  <c r="AD145" i="11" s="1"/>
  <c r="AE145" i="11" s="1"/>
  <c r="AF1518" i="11" a="1"/>
  <c r="AF1518" i="11" s="1"/>
  <c r="AD1065" i="11" a="1"/>
  <c r="AD1065" i="11" s="1"/>
  <c r="AE1065" i="11" s="1"/>
  <c r="AF1738" i="11" a="1"/>
  <c r="AF1738" i="11" s="1"/>
  <c r="AA1094" i="11"/>
  <c r="AF383" i="11" a="1"/>
  <c r="AF383" i="11" s="1"/>
  <c r="AF1966" i="11" a="1"/>
  <c r="AF1966" i="11" s="1"/>
  <c r="AF1058" i="11" a="1"/>
  <c r="AF1058" i="11" s="1"/>
  <c r="AA1810" i="11"/>
  <c r="AA1384" i="11"/>
  <c r="AA506" i="11"/>
  <c r="AA991" i="11"/>
  <c r="AD1632" i="11" a="1"/>
  <c r="AD1632" i="11" s="1"/>
  <c r="AE1632" i="11" s="1"/>
  <c r="AD70" i="11" a="1"/>
  <c r="AD70" i="11" s="1"/>
  <c r="AE70" i="11" s="1"/>
  <c r="AF77" i="11" a="1"/>
  <c r="AF77" i="11" s="1"/>
  <c r="AA1037" i="11"/>
  <c r="AA1169" i="11"/>
  <c r="AA683" i="11"/>
  <c r="AA888" i="11"/>
  <c r="AD63" i="11" a="1"/>
  <c r="AD63" i="11" s="1"/>
  <c r="AE63" i="11" s="1"/>
  <c r="AF652" i="11" a="1"/>
  <c r="AF652" i="11" s="1"/>
  <c r="AA1145" i="1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28" i="11" a="1"/>
  <c r="AD728" i="11" s="1"/>
  <c r="AE728" i="11" s="1"/>
  <c r="AD77" i="11" a="1"/>
  <c r="AD77" i="11" s="1"/>
  <c r="AE77" i="11" s="1"/>
  <c r="AF1919" i="11" a="1"/>
  <c r="AF1919" i="11" s="1"/>
  <c r="AF683" i="11" a="1"/>
  <c r="AF683" i="11" s="1"/>
  <c r="AD888" i="11" a="1"/>
  <c r="AD888" i="11" s="1"/>
  <c r="AE888" i="11" s="1"/>
  <c r="AD1948" i="11" a="1"/>
  <c r="AD1948" i="11" s="1"/>
  <c r="AE1948" i="11" s="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D1605" i="11" a="1"/>
  <c r="AD1605" i="11" s="1"/>
  <c r="AE1605" i="11" s="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A526" i="11"/>
  <c r="AF526" i="11" a="1"/>
  <c r="AF526" i="11" s="1"/>
  <c r="AD526" i="11" a="1"/>
  <c r="AD526" i="11" s="1"/>
  <c r="AE526" i="11" s="1"/>
  <c r="AD227" i="11" a="1"/>
  <c r="AD227" i="11" s="1"/>
  <c r="AE227" i="11" s="1"/>
  <c r="AA227" i="11"/>
  <c r="AF227" i="11" a="1"/>
  <c r="AF227"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F1824" i="11" a="1"/>
  <c r="AF1824" i="11" s="1"/>
  <c r="AA1824" i="11"/>
  <c r="AD1824" i="11" a="1"/>
  <c r="AD1824" i="11" s="1"/>
  <c r="AE1824" i="11" s="1"/>
  <c r="AA677" i="11"/>
  <c r="AF677" i="11" a="1"/>
  <c r="AF677" i="11" s="1"/>
  <c r="AD677" i="11" a="1"/>
  <c r="AD677" i="11" s="1"/>
  <c r="AE677" i="11" s="1"/>
  <c r="AD1321" i="11" a="1"/>
  <c r="AD1321" i="11" s="1"/>
  <c r="AE1321" i="11" s="1"/>
  <c r="AA1321" i="11"/>
  <c r="AF1321" i="11" a="1"/>
  <c r="AF1321" i="11" s="1"/>
  <c r="AF23" i="11" a="1"/>
  <c r="AF23" i="11" s="1"/>
  <c r="AD23" i="11" a="1"/>
  <c r="AD23" i="11" s="1"/>
  <c r="AE23" i="11" s="1"/>
  <c r="AA23" i="11"/>
  <c r="AD1853" i="11" a="1"/>
  <c r="AD1853" i="11" s="1"/>
  <c r="AE1853" i="11" s="1"/>
  <c r="AA1853" i="11"/>
  <c r="AF75" i="11" a="1"/>
  <c r="AF75" i="11" s="1"/>
  <c r="AF1200" i="11" a="1"/>
  <c r="AF1200" i="11" s="1"/>
  <c r="AD1597" i="11" a="1"/>
  <c r="AD1597" i="11" s="1"/>
  <c r="AE1597" i="11" s="1"/>
  <c r="AA1776" i="11"/>
  <c r="AA1280" i="1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D1211" i="11" a="1"/>
  <c r="AD1211" i="11" s="1"/>
  <c r="AE1211" i="11" s="1"/>
  <c r="AF1211" i="11" a="1"/>
  <c r="AF1211" i="11" s="1"/>
  <c r="AD971" i="11" a="1"/>
  <c r="AD971" i="11" s="1"/>
  <c r="AE971" i="11" s="1"/>
  <c r="AF971" i="11" a="1"/>
  <c r="AF971" i="11" s="1"/>
  <c r="AA971" i="11"/>
  <c r="AD1225" i="11" a="1"/>
  <c r="AD1225" i="11" s="1"/>
  <c r="AE1225" i="11" s="1"/>
  <c r="AA1225" i="11"/>
  <c r="AF1225" i="11" a="1"/>
  <c r="AF1225" i="11" s="1"/>
  <c r="AF235" i="11" a="1"/>
  <c r="AF235" i="11" s="1"/>
  <c r="AD75" i="11" a="1"/>
  <c r="AD75" i="11" s="1"/>
  <c r="AE75" i="11" s="1"/>
  <c r="AA1200" i="11"/>
  <c r="AD1279" i="11" a="1"/>
  <c r="AD1279" i="11" s="1"/>
  <c r="AE1279" i="11" s="1"/>
  <c r="AF1280" i="11" a="1"/>
  <c r="AF1280" i="11" s="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A966"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D858" i="11" a="1"/>
  <c r="AD858" i="11" s="1"/>
  <c r="AE858" i="11" s="1"/>
  <c r="AA858" i="11"/>
  <c r="AA746" i="11"/>
  <c r="AF746" i="11" a="1"/>
  <c r="AF746" i="11" s="1"/>
  <c r="AF1389" i="11" a="1"/>
  <c r="AF1389" i="11" s="1"/>
  <c r="AD1389" i="11" a="1"/>
  <c r="AD1389" i="11" s="1"/>
  <c r="AE1389" i="11" s="1"/>
  <c r="AA1389" i="11"/>
  <c r="AD479" i="11" a="1"/>
  <c r="AD479" i="11" s="1"/>
  <c r="AE479" i="11" s="1"/>
  <c r="AA479" i="11"/>
  <c r="AF541" i="11" a="1"/>
  <c r="AF541" i="11" s="1"/>
  <c r="AA541" i="11"/>
  <c r="AD541" i="11" a="1"/>
  <c r="AD541" i="11" s="1"/>
  <c r="AE541" i="11" s="1"/>
  <c r="AF645" i="11" a="1"/>
  <c r="AF645" i="11" s="1"/>
  <c r="AA645" i="11"/>
  <c r="AD645" i="11" a="1"/>
  <c r="AD645" i="11" s="1"/>
  <c r="AE645" i="11" s="1"/>
  <c r="AF1363" i="11" a="1"/>
  <c r="AF1363" i="11" s="1"/>
  <c r="AD1363" i="11" a="1"/>
  <c r="AD1363" i="11" s="1"/>
  <c r="AE1363" i="11" s="1"/>
  <c r="AD1841" i="11" a="1"/>
  <c r="AD1841" i="11" s="1"/>
  <c r="AE1841" i="11" s="1"/>
  <c r="AA1841" i="11"/>
  <c r="AF1841" i="11" a="1"/>
  <c r="AF1841" i="11" s="1"/>
  <c r="AD264" i="11" a="1"/>
  <c r="AD264" i="11" s="1"/>
  <c r="AE264" i="11" s="1"/>
  <c r="AA264" i="11"/>
  <c r="AF264" i="11" a="1"/>
  <c r="AF264" i="11" s="1"/>
  <c r="AF336" i="11" a="1"/>
  <c r="AF336" i="11" s="1"/>
  <c r="AA336" i="11"/>
  <c r="AD336" i="11" a="1"/>
  <c r="AD336" i="11" s="1"/>
  <c r="AE336" i="11" s="1"/>
  <c r="AA1279" i="11"/>
  <c r="AA1865"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F554" i="11" a="1"/>
  <c r="AF554" i="11" s="1"/>
  <c r="AA554" i="11"/>
  <c r="AD681" i="11" a="1"/>
  <c r="AD681" i="11" s="1"/>
  <c r="AE681" i="11" s="1"/>
  <c r="AF681" i="11" a="1"/>
  <c r="AF681" i="11" s="1"/>
  <c r="AA681" i="11"/>
  <c r="AA756" i="11"/>
  <c r="AF756" i="11" a="1"/>
  <c r="AF756" i="11" s="1"/>
  <c r="AD756" i="11" a="1"/>
  <c r="AD756" i="11" s="1"/>
  <c r="AE756" i="11" s="1"/>
  <c r="AD1385" i="11" a="1"/>
  <c r="AD1385" i="11" s="1"/>
  <c r="AE1385" i="11" s="1"/>
  <c r="AD805" i="11" a="1"/>
  <c r="AD805" i="11" s="1"/>
  <c r="AE805" i="11" s="1"/>
  <c r="AF487" i="11" a="1"/>
  <c r="AF487" i="11" s="1"/>
  <c r="AF2007" i="11" a="1"/>
  <c r="AF2007" i="11" s="1"/>
  <c r="AA1211" i="1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A1987" i="11"/>
  <c r="AF1987" i="11" a="1"/>
  <c r="AF1987" i="11" s="1"/>
  <c r="AA1407" i="11"/>
  <c r="AD1407" i="11" a="1"/>
  <c r="AD1407" i="11" s="1"/>
  <c r="AE1407" i="11" s="1"/>
  <c r="AF1407" i="11" a="1"/>
  <c r="AF1407" i="11" s="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D318" i="11" a="1"/>
  <c r="AD318" i="11" s="1"/>
  <c r="AE318" i="11" s="1"/>
  <c r="AF318" i="11" a="1"/>
  <c r="AF318" i="11" s="1"/>
  <c r="AA713" i="11"/>
  <c r="AA967" i="11"/>
  <c r="AA1385" i="11"/>
  <c r="AA1880" i="11"/>
  <c r="AF832" i="11" a="1"/>
  <c r="AF832" i="11" s="1"/>
  <c r="AA1403" i="11"/>
  <c r="AA1478" i="11"/>
  <c r="AD746" i="11" a="1"/>
  <c r="AD746" i="11" s="1"/>
  <c r="AE746" i="11" s="1"/>
  <c r="AD902" i="11" a="1"/>
  <c r="AD902" i="11" s="1"/>
  <c r="AE902" i="11" s="1"/>
  <c r="AF1978" i="11" a="1"/>
  <c r="AF1978" i="11" s="1"/>
  <c r="AF1642" i="11" a="1"/>
  <c r="AF1642" i="11" s="1"/>
  <c r="AF1853" i="11" a="1"/>
  <c r="AF1853"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D1475" i="11" a="1"/>
  <c r="AD1475" i="11" s="1"/>
  <c r="AE1475" i="11" s="1"/>
  <c r="AF1475" i="11" a="1"/>
  <c r="AF1475" i="11" s="1"/>
  <c r="AA1475" i="11"/>
  <c r="AD1354" i="11" a="1"/>
  <c r="AD1354" i="11" s="1"/>
  <c r="AE1354" i="11" s="1"/>
  <c r="AF1354" i="11" a="1"/>
  <c r="AF1354" i="11" s="1"/>
  <c r="AA1354" i="11"/>
  <c r="AA555" i="11"/>
  <c r="AF555" i="11" a="1"/>
  <c r="AF555" i="11" s="1"/>
  <c r="AD555" i="11" a="1"/>
  <c r="AD555" i="11" s="1"/>
  <c r="AE555" i="11" s="1"/>
  <c r="AF994" i="11" a="1"/>
  <c r="AF994" i="11" s="1"/>
  <c r="AA994" i="11"/>
  <c r="AD994" i="11" a="1"/>
  <c r="AD994" i="11" s="1"/>
  <c r="AE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A174" i="11"/>
  <c r="AD870" i="11" a="1"/>
  <c r="AD870" i="11" s="1"/>
  <c r="AE870" i="11" s="1"/>
  <c r="AD198" i="11" a="1"/>
  <c r="AD198" i="11" s="1"/>
  <c r="AE198" i="11" s="1"/>
  <c r="AD178" i="11" a="1"/>
  <c r="AD178" i="11" s="1"/>
  <c r="AE178" i="11" s="1"/>
  <c r="AD468" i="11" a="1"/>
  <c r="AD468" i="11" s="1"/>
  <c r="AE468" i="11" s="1"/>
  <c r="AD1985" i="11" a="1"/>
  <c r="AD1985" i="11" s="1"/>
  <c r="AE1985" i="11" s="1"/>
  <c r="AF429" i="11" a="1"/>
  <c r="AF429" i="11" s="1"/>
  <c r="AF1765" i="11" a="1"/>
  <c r="AF1765" i="11" s="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D1746" i="11" a="1"/>
  <c r="AD1746" i="11" s="1"/>
  <c r="AE1746" i="11" s="1"/>
  <c r="AF360" i="11" a="1"/>
  <c r="AF360" i="11" s="1"/>
  <c r="AF114" i="11" a="1"/>
  <c r="AF114" i="11" s="1"/>
  <c r="AD1623" i="11" a="1"/>
  <c r="AD1623" i="11" s="1"/>
  <c r="AE1623" i="11" s="1"/>
  <c r="AF774" i="11" a="1"/>
  <c r="AF774" i="11" s="1"/>
  <c r="AD720" i="11" a="1"/>
  <c r="AD720" i="11" s="1"/>
  <c r="AE720"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F1595" i="11" a="1"/>
  <c r="AF1595" i="11" s="1"/>
  <c r="AD1595" i="11" a="1"/>
  <c r="AD1595" i="11" s="1"/>
  <c r="AE1595" i="11" s="1"/>
  <c r="AD1724" i="11" a="1"/>
  <c r="AD1724" i="11" s="1"/>
  <c r="AE1724" i="11" s="1"/>
  <c r="AF188" i="11" a="1"/>
  <c r="AF188" i="11" s="1"/>
  <c r="AF1016" i="11" a="1"/>
  <c r="AF1016" i="11" s="1"/>
  <c r="AD838" i="11" a="1"/>
  <c r="AD838" i="11" s="1"/>
  <c r="AE838" i="11" s="1"/>
  <c r="AF1576" i="11" a="1"/>
  <c r="AF1576" i="11" s="1"/>
  <c r="AD782" i="11" a="1"/>
  <c r="AD782" i="11" s="1"/>
  <c r="AE782" i="11" s="1"/>
  <c r="AF1510" i="11" a="1"/>
  <c r="AF1510" i="11" s="1"/>
  <c r="AD611" i="11" a="1"/>
  <c r="AD611" i="11" s="1"/>
  <c r="AE611" i="11" s="1"/>
  <c r="AF1613" i="11" a="1"/>
  <c r="AF1613" i="11" s="1"/>
  <c r="AA1167" i="11"/>
  <c r="AA1822" i="11"/>
  <c r="AA1760" i="11"/>
  <c r="AA392" i="11"/>
  <c r="AA268" i="11"/>
  <c r="AA280"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A1641" i="1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A419" i="11"/>
  <c r="AA908" i="11"/>
  <c r="AA1405" i="11"/>
  <c r="AD1188" i="11" a="1"/>
  <c r="AD1188" i="11" s="1"/>
  <c r="AE1188" i="11" s="1"/>
  <c r="AA1346" i="11"/>
  <c r="AD419" i="11" a="1"/>
  <c r="AD419" i="11" s="1"/>
  <c r="AE419" i="11" s="1"/>
  <c r="AA1561" i="11"/>
  <c r="AF1996" i="11" a="1"/>
  <c r="AF1996" i="11" s="1"/>
  <c r="AA1269" i="11"/>
  <c r="AF944" i="11" a="1"/>
  <c r="AF944"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1300" i="11" a="1"/>
  <c r="AF1300" i="11" s="1"/>
  <c r="AF103" i="11" a="1"/>
  <c r="AF103" i="11" s="1"/>
  <c r="AA103" i="11"/>
  <c r="AA1222" i="11"/>
  <c r="AF649" i="11" a="1"/>
  <c r="AF649" i="11" s="1"/>
  <c r="AF1359" i="11" a="1"/>
  <c r="AF1359"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865" i="11" a="1"/>
  <c r="AF865" i="11" s="1"/>
  <c r="AF537" i="11" a="1"/>
  <c r="AF537" i="11" s="1"/>
  <c r="AD57" i="11" a="1"/>
  <c r="AD57" i="11" s="1"/>
  <c r="AE57" i="11" s="1"/>
  <c r="AD33" i="11" a="1"/>
  <c r="AD33" i="11" s="1"/>
  <c r="AE33" i="11" s="1"/>
  <c r="AA1231" i="11"/>
  <c r="AF898" i="11" a="1"/>
  <c r="AF898" i="11" s="1"/>
  <c r="AF1268" i="11" a="1"/>
  <c r="AF1268" i="11" s="1"/>
  <c r="AD865" i="11" a="1"/>
  <c r="AD865" i="11" s="1"/>
  <c r="AE865"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618" i="11"/>
  <c r="AF246" i="11" a="1"/>
  <c r="AF246" i="11" s="1"/>
  <c r="AA1386" i="11"/>
  <c r="AF679" i="11" a="1"/>
  <c r="AF679" i="11" s="1"/>
  <c r="AA1451"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618" i="11" a="1"/>
  <c r="AD618" i="11" s="1"/>
  <c r="AE618" i="11" s="1"/>
  <c r="AD246" i="11" a="1"/>
  <c r="AD246" i="11" s="1"/>
  <c r="AE246" i="11" s="1"/>
  <c r="AA460" i="11"/>
  <c r="AF1386" i="11" a="1"/>
  <c r="AF1386" i="11" s="1"/>
  <c r="AA115" i="11"/>
  <c r="AF1451" i="11" a="1"/>
  <c r="AF1451" i="11" s="1"/>
  <c r="AA1594" i="1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449" i="1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A2013" i="11"/>
  <c r="AD1070" i="11" a="1"/>
  <c r="AD1070" i="11" s="1"/>
  <c r="AE1070" i="11" s="1"/>
  <c r="AD606" i="11" a="1"/>
  <c r="AD606" i="11" s="1"/>
  <c r="AE606" i="11" s="1"/>
  <c r="AD1791" i="11" a="1"/>
  <c r="AD1791" i="11" s="1"/>
  <c r="AE1791" i="11" s="1"/>
  <c r="AA911" i="11"/>
  <c r="AF912" i="11" a="1"/>
  <c r="AF912" i="11" s="1"/>
  <c r="AF1791" i="11" a="1"/>
  <c r="AF1791" i="11" s="1"/>
  <c r="AF216" i="11" a="1"/>
  <c r="AF216" i="11" s="1"/>
  <c r="AA1854" i="11"/>
  <c r="AF685" i="11" a="1"/>
  <c r="AF685" i="11" s="1"/>
  <c r="AA912" i="11"/>
  <c r="AA1949" i="11"/>
  <c r="AD216" i="11" a="1"/>
  <c r="AD216" i="11" s="1"/>
  <c r="AE216" i="11" s="1"/>
  <c r="AF308" i="11" a="1"/>
  <c r="AF308" i="11" s="1"/>
  <c r="AF1854" i="11" a="1"/>
  <c r="AF1854"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2010" i="11"/>
  <c r="AA207" i="11"/>
  <c r="AA1263" i="11"/>
  <c r="AD1303" i="11" a="1"/>
  <c r="AD1303" i="11" s="1"/>
  <c r="AE1303" i="11" s="1"/>
  <c r="AF542" i="11" a="1"/>
  <c r="AF542" i="11" s="1"/>
  <c r="AD1350" i="11" a="1"/>
  <c r="AD1350" i="11" s="1"/>
  <c r="AE1350" i="11" s="1"/>
  <c r="AF1378" i="11" a="1"/>
  <c r="AF1378" i="11" s="1"/>
  <c r="AD207" i="11" a="1"/>
  <c r="AD207" i="11" s="1"/>
  <c r="AE207" i="11" s="1"/>
  <c r="AA670" i="11"/>
  <c r="AA1303" i="11"/>
  <c r="AD542" i="11" a="1"/>
  <c r="AD542" i="11" s="1"/>
  <c r="AE542" i="11" s="1"/>
  <c r="AF670" i="11" a="1"/>
  <c r="AF670" i="11" s="1"/>
  <c r="AA1668" i="11"/>
  <c r="AA1431" i="11"/>
  <c r="AD24" i="11" a="1"/>
  <c r="AD24" i="11" s="1"/>
  <c r="AE24" i="11" s="1"/>
  <c r="AA1126" i="11"/>
  <c r="AA456" i="11"/>
  <c r="AA1628" i="11"/>
  <c r="AA1039" i="11"/>
  <c r="AF456" i="11" a="1"/>
  <c r="AF456" i="11" s="1"/>
  <c r="AF1628" i="11" a="1"/>
  <c r="AF1628" i="11" s="1"/>
  <c r="AF1039" i="11" a="1"/>
  <c r="AF1039" i="11" s="1"/>
  <c r="AD1419" i="11" a="1"/>
  <c r="AD1419" i="11" s="1"/>
  <c r="AE1419" i="11" s="1"/>
  <c r="AF1620" i="11" a="1"/>
  <c r="AF1620" i="11" s="1"/>
  <c r="AD1620" i="11" a="1"/>
  <c r="AD1620" i="11" s="1"/>
  <c r="AE1620" i="11" s="1"/>
  <c r="AA1620" i="11"/>
  <c r="AA192" i="11"/>
  <c r="AF192" i="11" a="1"/>
  <c r="AF192" i="11" s="1"/>
  <c r="AD192" i="11" a="1"/>
  <c r="AD192" i="11" s="1"/>
  <c r="AE192" i="11" s="1"/>
  <c r="AF1447" i="11" a="1"/>
  <c r="AF1447" i="11" s="1"/>
  <c r="AD1447" i="11" a="1"/>
  <c r="AD1447" i="11" s="1"/>
  <c r="AE1447" i="11" s="1"/>
  <c r="AA1447" i="11"/>
  <c r="AA453"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F101" i="11" a="1"/>
  <c r="AF101" i="11" s="1"/>
  <c r="AF1180" i="11" a="1"/>
  <c r="AF1180" i="11" s="1"/>
  <c r="AA1671" i="11"/>
  <c r="AA101" i="11"/>
  <c r="AD1180" i="11" a="1"/>
  <c r="AD1180" i="11" s="1"/>
  <c r="AE1180" i="11" s="1"/>
  <c r="AF1671" i="11" a="1"/>
  <c r="AF1671"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A789" i="11" l="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G389" i="11"/>
  <c r="AG1202" i="11"/>
  <c r="AH1202" i="11" s="1"/>
  <c r="AJ1202" i="11" s="1"/>
  <c r="AG962" i="11"/>
  <c r="AH962" i="11" s="1"/>
  <c r="AJ962" i="11" s="1"/>
  <c r="AG696" i="11"/>
  <c r="AG328" i="11"/>
  <c r="AG226" i="11"/>
  <c r="AH226" i="11" s="1"/>
  <c r="AJ226" i="11" s="1"/>
  <c r="AG556" i="11"/>
  <c r="AG161" i="11"/>
  <c r="AG297" i="11"/>
  <c r="AG28" i="11"/>
  <c r="AG339" i="11"/>
  <c r="AG1210" i="11"/>
  <c r="AG417" i="11"/>
  <c r="AG920" i="11"/>
  <c r="AH920" i="11" s="1"/>
  <c r="AJ920" i="11" s="1"/>
  <c r="AG1470" i="11"/>
  <c r="AH1470" i="11" s="1"/>
  <c r="AJ1470" i="11" s="1"/>
  <c r="AG865" i="11"/>
  <c r="AG132" i="11"/>
  <c r="AG197" i="11"/>
  <c r="AH197" i="11" s="1"/>
  <c r="AJ197" i="11" s="1"/>
  <c r="AG150" i="11"/>
  <c r="AG1222" i="11"/>
  <c r="AG1326" i="11"/>
  <c r="AG728" i="11"/>
  <c r="AG573" i="11"/>
  <c r="AG171" i="11"/>
  <c r="AG233" i="11"/>
  <c r="AG826" i="11"/>
  <c r="AH826" i="11" s="1"/>
  <c r="AJ826" i="11" s="1"/>
  <c r="AG488" i="11"/>
  <c r="AH488" i="11" s="1"/>
  <c r="AJ488" i="11" s="1"/>
  <c r="AG500" i="11"/>
  <c r="AG1146" i="11"/>
  <c r="AG1436" i="11"/>
  <c r="AG1633" i="11"/>
  <c r="AG206" i="11"/>
  <c r="AG837" i="11"/>
  <c r="AG953" i="11"/>
  <c r="AG33" i="11"/>
  <c r="AG331" i="11"/>
  <c r="AG1282" i="11"/>
  <c r="AG1495" i="11"/>
  <c r="AH1495" i="11" s="1"/>
  <c r="AJ1495" i="11" s="1"/>
  <c r="AG94" i="11"/>
  <c r="AH94" i="11" s="1"/>
  <c r="AJ94" i="11" s="1"/>
  <c r="AG904" i="11"/>
  <c r="AG1679" i="11"/>
  <c r="AG416" i="11"/>
  <c r="AH416" i="11" s="1"/>
  <c r="AJ416" i="11" s="1"/>
  <c r="AG305" i="11"/>
  <c r="AG1913" i="11"/>
  <c r="AG1371" i="11"/>
  <c r="AG191" i="11"/>
  <c r="AG1414" i="11"/>
  <c r="AG647" i="11"/>
  <c r="AG1084" i="11"/>
  <c r="AG708" i="11"/>
  <c r="AH708" i="11" s="1"/>
  <c r="AJ708" i="11" s="1"/>
  <c r="AG1132" i="11"/>
  <c r="AH1132" i="11" s="1"/>
  <c r="AJ1132" i="11" s="1"/>
  <c r="AG133" i="11"/>
  <c r="AG202" i="11"/>
  <c r="AG517" i="11"/>
  <c r="AH517" i="11" s="1"/>
  <c r="AQ517" i="11" s="1"/>
  <c r="AG907" i="11"/>
  <c r="AG394" i="11"/>
  <c r="AG1924" i="11"/>
  <c r="AG1444" i="11"/>
  <c r="AH1444" i="11" s="1"/>
  <c r="AJ1444" i="11" s="1"/>
  <c r="AG244" i="11"/>
  <c r="AG392" i="11"/>
  <c r="AG758" i="11"/>
  <c r="AG449" i="11"/>
  <c r="AH449" i="11" s="1"/>
  <c r="AJ449" i="11" s="1"/>
  <c r="AG512" i="11"/>
  <c r="AH512" i="11" s="1"/>
  <c r="AJ512" i="11" s="1"/>
  <c r="AG859" i="11"/>
  <c r="AG1402" i="11"/>
  <c r="AG465" i="11"/>
  <c r="AH465" i="11" s="1"/>
  <c r="AJ465" i="11" s="1"/>
  <c r="AG1698" i="11"/>
  <c r="AG1521" i="11"/>
  <c r="AG393" i="11"/>
  <c r="AG157" i="11"/>
  <c r="AG759" i="11"/>
  <c r="AG201" i="11"/>
  <c r="AG614" i="11"/>
  <c r="AG238" i="11"/>
  <c r="AH238" i="11" s="1"/>
  <c r="AJ238" i="11" s="1"/>
  <c r="AG139" i="11"/>
  <c r="AH139" i="11" s="1"/>
  <c r="AJ139" i="11" s="1"/>
  <c r="AG497" i="11"/>
  <c r="AG1289" i="11"/>
  <c r="AG134" i="11"/>
  <c r="AH134" i="11" s="1"/>
  <c r="AJ134" i="11" s="1"/>
  <c r="AG75" i="11"/>
  <c r="AG725" i="11"/>
  <c r="AG527" i="11"/>
  <c r="AG1849" i="11"/>
  <c r="AG21" i="11"/>
  <c r="AG559" i="11"/>
  <c r="AG965" i="11"/>
  <c r="AG808" i="11"/>
  <c r="AH808" i="11" s="1"/>
  <c r="AJ808" i="11" s="1"/>
  <c r="AG764" i="11"/>
  <c r="AH764" i="11" s="1"/>
  <c r="AJ764" i="11" s="1"/>
  <c r="AG288" i="11"/>
  <c r="AG721" i="11"/>
  <c r="AG25" i="11"/>
  <c r="AH25" i="11" s="1"/>
  <c r="AJ25" i="11" s="1"/>
  <c r="AG1765" i="11"/>
  <c r="AG283" i="11"/>
  <c r="AG713" i="11"/>
  <c r="AG1817" i="11"/>
  <c r="AH1817" i="11" s="1"/>
  <c r="AJ1817" i="11" s="1"/>
  <c r="AG267" i="11"/>
  <c r="AG785" i="11"/>
  <c r="AG237" i="11"/>
  <c r="AG457" i="11"/>
  <c r="AH457" i="11" s="1"/>
  <c r="AJ457" i="11" s="1"/>
  <c r="AG620" i="11"/>
  <c r="AH620" i="11" s="1"/>
  <c r="AJ620" i="11" s="1"/>
  <c r="AG684" i="11"/>
  <c r="AG511" i="11"/>
  <c r="AG1103" i="11"/>
  <c r="AH1103" i="11" s="1"/>
  <c r="AJ1103" i="11" s="1"/>
  <c r="AG655" i="11"/>
  <c r="AG1025" i="11"/>
  <c r="AG549" i="11"/>
  <c r="AG483" i="11"/>
  <c r="AH483" i="11" s="1"/>
  <c r="AJ483" i="11" s="1"/>
  <c r="AG325" i="11"/>
  <c r="AG247" i="11"/>
  <c r="AG1050" i="11"/>
  <c r="AG922" i="11"/>
  <c r="AH922" i="11" s="1"/>
  <c r="AJ922" i="11" s="1"/>
  <c r="AG57" i="11"/>
  <c r="AH57" i="11" s="1"/>
  <c r="AJ57" i="11" s="1"/>
  <c r="AM57" i="11" s="1"/>
  <c r="AL57" i="11" s="1"/>
  <c r="AG327" i="11"/>
  <c r="AG98" i="11"/>
  <c r="AG1527" i="11"/>
  <c r="AH1527" i="11" s="1"/>
  <c r="AJ1527" i="11" s="1"/>
  <c r="AG678" i="11"/>
  <c r="AG1104" i="11"/>
  <c r="AG612" i="11"/>
  <c r="AG886" i="11"/>
  <c r="AH886" i="11" s="1"/>
  <c r="AJ886" i="11" s="1"/>
  <c r="AG195" i="11"/>
  <c r="AG1943" i="11"/>
  <c r="AG284" i="11"/>
  <c r="AG669" i="11"/>
  <c r="AH669" i="11" s="1"/>
  <c r="AJ669" i="11" s="1"/>
  <c r="AG340" i="11"/>
  <c r="AH340" i="11" s="1"/>
  <c r="AJ340" i="11" s="1"/>
  <c r="AG430" i="11"/>
  <c r="AG447" i="11"/>
  <c r="AG944" i="11"/>
  <c r="AH944" i="11" s="1"/>
  <c r="AJ944" i="11" s="1"/>
  <c r="AG269" i="11"/>
  <c r="AG654" i="11"/>
  <c r="AG544" i="11"/>
  <c r="AG350" i="11"/>
  <c r="AG1749" i="11"/>
  <c r="AG803" i="11"/>
  <c r="AG1452" i="11"/>
  <c r="AG471" i="11"/>
  <c r="AH471" i="11" s="1"/>
  <c r="AJ471" i="11" s="1"/>
  <c r="AG26" i="11"/>
  <c r="AH26" i="11" s="1"/>
  <c r="AJ26" i="11" s="1"/>
  <c r="AG583" i="11"/>
  <c r="AG1090" i="11"/>
  <c r="AG460" i="11"/>
  <c r="AH460" i="11" s="1"/>
  <c r="AJ460" i="11" s="1"/>
  <c r="AG611" i="11"/>
  <c r="AG236" i="11"/>
  <c r="AG1421" i="11"/>
  <c r="AG464" i="11"/>
  <c r="AG658" i="11"/>
  <c r="AG765" i="11"/>
  <c r="AG390" i="11"/>
  <c r="AG1983" i="11"/>
  <c r="AH1983" i="11" s="1"/>
  <c r="AJ1983" i="11" s="1"/>
  <c r="AG1974" i="11"/>
  <c r="AH1974" i="11" s="1"/>
  <c r="AJ1974" i="11" s="1"/>
  <c r="AG700" i="11"/>
  <c r="AG1115" i="11"/>
  <c r="AG659" i="11"/>
  <c r="AH659" i="11" s="1"/>
  <c r="AJ659" i="11" s="1"/>
  <c r="AG709" i="11"/>
  <c r="AG596" i="11"/>
  <c r="AG950" i="11"/>
  <c r="AG187" i="11"/>
  <c r="AG508" i="11"/>
  <c r="AG309" i="11"/>
  <c r="AG334" i="11"/>
  <c r="AG1656" i="11"/>
  <c r="AH1656" i="11" s="1"/>
  <c r="AJ1656" i="11" s="1"/>
  <c r="AG882" i="11"/>
  <c r="AH882" i="11" s="1"/>
  <c r="AJ882" i="11" s="1"/>
  <c r="AG423" i="11"/>
  <c r="AG281" i="11"/>
  <c r="AG1392" i="11"/>
  <c r="AH1392" i="11" s="1"/>
  <c r="AJ1392" i="11" s="1"/>
  <c r="AG719" i="11"/>
  <c r="AG55" i="11"/>
  <c r="AG1166" i="11"/>
  <c r="AG413" i="11"/>
  <c r="AG501" i="11"/>
  <c r="AG1201" i="11"/>
  <c r="AG257" i="11"/>
  <c r="AG92" i="11"/>
  <c r="AH92" i="11" s="1"/>
  <c r="AJ92" i="11" s="1"/>
  <c r="AG251" i="11"/>
  <c r="AH251" i="11" s="1"/>
  <c r="AJ251" i="11" s="1"/>
  <c r="AG539" i="11"/>
  <c r="AG1828" i="11"/>
  <c r="AG868" i="11"/>
  <c r="AG1233" i="11"/>
  <c r="AG515" i="11"/>
  <c r="AG772" i="11"/>
  <c r="AG628" i="11"/>
  <c r="AG427" i="11"/>
  <c r="AG1016" i="11"/>
  <c r="AG58" i="11"/>
  <c r="AG848" i="11"/>
  <c r="AH848" i="11" s="1"/>
  <c r="AJ848" i="11" s="1"/>
  <c r="AG341" i="11"/>
  <c r="AH341" i="11" s="1"/>
  <c r="AJ341" i="11" s="1"/>
  <c r="AG431" i="11"/>
  <c r="AG1635" i="11"/>
  <c r="AG1087" i="11"/>
  <c r="AH1087" i="11" s="1"/>
  <c r="AJ1087" i="11" s="1"/>
  <c r="AG356" i="11"/>
  <c r="AG711" i="11"/>
  <c r="AG1209" i="11"/>
  <c r="AG994" i="11"/>
  <c r="AG1080" i="11"/>
  <c r="AG1250" i="11"/>
  <c r="AG557" i="11"/>
  <c r="AG1861" i="11"/>
  <c r="AH1861" i="11" s="1"/>
  <c r="AJ1861" i="11" s="1"/>
  <c r="AG1675" i="11"/>
  <c r="AH1675" i="11" s="1"/>
  <c r="AJ1675" i="11" s="1"/>
  <c r="AG66" i="11"/>
  <c r="AG816" i="11"/>
  <c r="AG701" i="11"/>
  <c r="AG744" i="11"/>
  <c r="AG1844" i="11"/>
  <c r="AG375" i="11"/>
  <c r="AG1024" i="11"/>
  <c r="AH1024" i="11" s="1"/>
  <c r="AJ1024" i="11" s="1"/>
  <c r="AG357" i="11"/>
  <c r="AG602" i="11"/>
  <c r="AG674" i="11"/>
  <c r="AG1034" i="11"/>
  <c r="AH1034" i="11" s="1"/>
  <c r="AJ1034" i="11" s="1"/>
  <c r="AG1247" i="11"/>
  <c r="AH1247" i="11" s="1"/>
  <c r="AJ1247" i="11" s="1"/>
  <c r="AG825" i="11"/>
  <c r="AG446" i="11"/>
  <c r="AG205" i="11"/>
  <c r="AG310" i="11"/>
  <c r="AG1352" i="11"/>
  <c r="AG1059" i="11"/>
  <c r="AG1320" i="11"/>
  <c r="AG887" i="11"/>
  <c r="AG1347" i="11"/>
  <c r="AG407" i="1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G1880" i="11"/>
  <c r="AH1880" i="11" s="1"/>
  <c r="AJ1880" i="11" s="1"/>
  <c r="AG1010" i="11"/>
  <c r="AH1010" i="11" s="1"/>
  <c r="AJ1010" i="11" s="1"/>
  <c r="AG1864" i="11"/>
  <c r="AG818" i="11"/>
  <c r="AG933" i="11"/>
  <c r="AH933" i="11" s="1"/>
  <c r="AJ933" i="11" s="1"/>
  <c r="AG897" i="11"/>
  <c r="AG144" i="11"/>
  <c r="AG524" i="11"/>
  <c r="AG1740" i="11"/>
  <c r="AG1580" i="11"/>
  <c r="AG699" i="11"/>
  <c r="AG378" i="11"/>
  <c r="AG845" i="11"/>
  <c r="AH845" i="11" s="1"/>
  <c r="AJ845" i="11" s="1"/>
  <c r="AG428" i="11"/>
  <c r="AH428" i="11" s="1"/>
  <c r="AJ428" i="11" s="1"/>
  <c r="AG1874" i="11"/>
  <c r="AG514" i="11"/>
  <c r="AG1131" i="11"/>
  <c r="AH1131" i="11" s="1"/>
  <c r="AG155" i="11"/>
  <c r="AG1790" i="11"/>
  <c r="AG622" i="11"/>
  <c r="AG1292" i="11"/>
  <c r="AG1176" i="11"/>
  <c r="AG122" i="11"/>
  <c r="AG152" i="11"/>
  <c r="AG1279" i="11"/>
  <c r="AH1279" i="11" s="1"/>
  <c r="AJ1279" i="11" s="1"/>
  <c r="AG1560" i="11"/>
  <c r="AH1560" i="11" s="1"/>
  <c r="AJ1560" i="11" s="1"/>
  <c r="AG942" i="11"/>
  <c r="AG657" i="11"/>
  <c r="AG1998" i="11"/>
  <c r="AH1998" i="11" s="1"/>
  <c r="AJ1998" i="11" s="1"/>
  <c r="AG1321" i="11"/>
  <c r="AG1355" i="11"/>
  <c r="AG1962" i="11"/>
  <c r="AG479" i="11"/>
  <c r="AG1598" i="11"/>
  <c r="AG62" i="11"/>
  <c r="AG159" i="11"/>
  <c r="AG349" i="11"/>
  <c r="AH349" i="11" s="1"/>
  <c r="AJ349" i="11" s="1"/>
  <c r="AG403" i="11"/>
  <c r="AH403" i="11" s="1"/>
  <c r="AJ403" i="11" s="1"/>
  <c r="AG140" i="11"/>
  <c r="AG1557" i="11"/>
  <c r="AG1805" i="11"/>
  <c r="AG296" i="11"/>
  <c r="AG263" i="11"/>
  <c r="AG260" i="11"/>
  <c r="AG955" i="11"/>
  <c r="AH955" i="11" s="1"/>
  <c r="AJ955" i="11" s="1"/>
  <c r="AG552" i="11"/>
  <c r="AG367" i="11"/>
  <c r="AH367" i="11" s="1"/>
  <c r="AJ367" i="11" s="1"/>
  <c r="AG623" i="11"/>
  <c r="AH623" i="11" s="1"/>
  <c r="AJ623" i="11" s="1"/>
  <c r="AG1187" i="11"/>
  <c r="AG169" i="11"/>
  <c r="AH169" i="11" s="1"/>
  <c r="AJ169" i="11" s="1"/>
  <c r="AG400" i="11"/>
  <c r="AG164" i="11"/>
  <c r="AG1107" i="11"/>
  <c r="AG1746" i="11"/>
  <c r="AG250" i="11"/>
  <c r="AG1127" i="11"/>
  <c r="AG1060" i="11"/>
  <c r="AH1060" i="11" s="1"/>
  <c r="AJ1060" i="11" s="1"/>
  <c r="AG1490" i="11"/>
  <c r="AG734" i="11"/>
  <c r="AH734" i="11" s="1"/>
  <c r="AJ734" i="11" s="1"/>
  <c r="AG1585" i="11"/>
  <c r="AH1585" i="11" s="1"/>
  <c r="AJ1585" i="11" s="1"/>
  <c r="AG176" i="11"/>
  <c r="AH176" i="11" s="1"/>
  <c r="AJ176" i="11" s="1"/>
  <c r="AG668" i="11"/>
  <c r="AH668" i="11" s="1"/>
  <c r="AJ668" i="11" s="1"/>
  <c r="AG1128" i="11"/>
  <c r="AG578" i="11"/>
  <c r="AG1835" i="11"/>
  <c r="AG1496" i="11"/>
  <c r="AG1753" i="1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H581" i="11" s="1"/>
  <c r="AJ581" i="11" s="1"/>
  <c r="AG682" i="1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187" i="11"/>
  <c r="AJ1187" i="11" s="1"/>
  <c r="AM1187" i="11" s="1"/>
  <c r="AL1187" i="11" s="1"/>
  <c r="AH1064" i="11"/>
  <c r="AJ1064" i="11" s="1"/>
  <c r="AM1064" i="11" s="1"/>
  <c r="AL1064"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1844" i="11"/>
  <c r="AJ1844" i="11" s="1"/>
  <c r="AH713" i="11"/>
  <c r="AJ713" i="11" s="1"/>
  <c r="AH267" i="11"/>
  <c r="AJ267" i="11" s="1"/>
  <c r="AH830" i="11"/>
  <c r="AJ830" i="11" s="1"/>
  <c r="AH602" i="11"/>
  <c r="AJ602" i="11" s="1"/>
  <c r="AH237" i="11"/>
  <c r="AJ237" i="11" s="1"/>
  <c r="AH458" i="11"/>
  <c r="AJ458" i="11" s="1"/>
  <c r="AH1054" i="11"/>
  <c r="AJ1054" i="11" s="1"/>
  <c r="AH825" i="11"/>
  <c r="AJ825" i="11" s="1"/>
  <c r="AH511" i="11"/>
  <c r="AJ511" i="11" s="1"/>
  <c r="AH234" i="11"/>
  <c r="AJ234" i="11" s="1"/>
  <c r="AH309" i="11"/>
  <c r="AJ309" i="11" s="1"/>
  <c r="AH310" i="11"/>
  <c r="AJ310" i="11" s="1"/>
  <c r="AH330" i="11"/>
  <c r="AJ330" i="11" s="1"/>
  <c r="AH657" i="11"/>
  <c r="AJ657"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1067" i="11"/>
  <c r="AJ1067" i="11" s="1"/>
  <c r="AH261" i="11"/>
  <c r="AJ261" i="11" s="1"/>
  <c r="AH784" i="11"/>
  <c r="AJ784" i="11" s="1"/>
  <c r="AH1046" i="11"/>
  <c r="AJ1046" i="11" s="1"/>
  <c r="AH1039" i="11"/>
  <c r="AJ1039" i="11" s="1"/>
  <c r="AH998" i="11"/>
  <c r="AJ998" i="11" s="1"/>
  <c r="AH383" i="11"/>
  <c r="AJ383" i="11" s="1"/>
  <c r="AH227" i="11"/>
  <c r="AJ227" i="11" s="1"/>
  <c r="AH1728" i="11"/>
  <c r="AJ1728" i="11" s="1"/>
  <c r="AH1340" i="11"/>
  <c r="AJ1340" i="11" s="1"/>
  <c r="AH792" i="11"/>
  <c r="AJ792"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389" i="11"/>
  <c r="AJ389"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699" i="11"/>
  <c r="AJ699" i="11" s="1"/>
  <c r="AH1104" i="11"/>
  <c r="AJ1104" i="11" s="1"/>
  <c r="AH339" i="11"/>
  <c r="AJ339" i="11" s="1"/>
  <c r="AH417" i="11"/>
  <c r="AJ417" i="11" s="1"/>
  <c r="AH1943" i="11"/>
  <c r="AJ1943" i="11" s="1"/>
  <c r="AH132" i="11"/>
  <c r="AJ132" i="11" s="1"/>
  <c r="AH1790" i="11"/>
  <c r="AJ1790" i="11" s="1"/>
  <c r="AH430" i="11"/>
  <c r="AJ430" i="11" s="1"/>
  <c r="AH150" i="11"/>
  <c r="AJ150" i="11" s="1"/>
  <c r="AH1292" i="11"/>
  <c r="AJ1292" i="11" s="1"/>
  <c r="AH1326" i="11"/>
  <c r="AJ1326" i="11" s="1"/>
  <c r="AH122" i="11"/>
  <c r="AJ122" i="11" s="1"/>
  <c r="AH573" i="11"/>
  <c r="AJ573" i="11" s="1"/>
  <c r="AH1084" i="11"/>
  <c r="AJ1084"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1805" i="11"/>
  <c r="AJ1805"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707" i="11"/>
  <c r="AJ707" i="11" s="1"/>
  <c r="AH876" i="11"/>
  <c r="AJ876" i="11" s="1"/>
  <c r="AH303" i="11"/>
  <c r="AJ303" i="11" s="1"/>
  <c r="AH272" i="11"/>
  <c r="AJ272" i="11" s="1"/>
  <c r="AH316" i="11"/>
  <c r="AJ316"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390" i="11"/>
  <c r="AJ390" i="11" s="1"/>
  <c r="AH287" i="11"/>
  <c r="AJ287" i="11" s="1"/>
  <c r="AH904" i="11"/>
  <c r="AJ904" i="11" s="1"/>
  <c r="AH1485" i="11"/>
  <c r="AJ1485" i="11" s="1"/>
  <c r="AH1115" i="11"/>
  <c r="AJ1115"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044" i="11"/>
  <c r="AJ1044" i="11" s="1"/>
  <c r="AH407" i="11"/>
  <c r="AJ407" i="11" s="1"/>
  <c r="AH1250" i="11"/>
  <c r="AJ1250" i="11" s="1"/>
  <c r="AH572" i="11"/>
  <c r="AJ572" i="11" s="1"/>
  <c r="AH413" i="11"/>
  <c r="AJ413" i="11" s="1"/>
  <c r="AH615" i="11"/>
  <c r="AJ615" i="11" s="1"/>
  <c r="AH87" i="11"/>
  <c r="AJ87" i="11" s="1"/>
  <c r="AH62" i="11"/>
  <c r="AH682" i="11"/>
  <c r="AJ682" i="11" s="1"/>
  <c r="AH1872" i="11"/>
  <c r="AJ1872" i="11" s="1"/>
  <c r="AH1835" i="11"/>
  <c r="AH318" i="11"/>
  <c r="AJ318" i="11" s="1"/>
  <c r="AH495" i="11"/>
  <c r="AJ495" i="11" s="1"/>
  <c r="AH54" i="11"/>
  <c r="AJ54" i="11" s="1"/>
  <c r="AH631" i="11"/>
  <c r="AJ63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758" i="11"/>
  <c r="AJ758"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614" i="11"/>
  <c r="AJ614" i="11" s="1"/>
  <c r="AH771" i="11"/>
  <c r="AJ771" i="11" s="1"/>
  <c r="AH497" i="11"/>
  <c r="AJ497" i="11" s="1"/>
  <c r="AH1493" i="11"/>
  <c r="AJ1493" i="11" s="1"/>
  <c r="AH1749" i="11"/>
  <c r="AJ1749" i="11" s="1"/>
  <c r="AH1109" i="11"/>
  <c r="AJ1109" i="11" s="1"/>
  <c r="AH97" i="11"/>
  <c r="AJ97" i="11" s="1"/>
  <c r="AH1452" i="11"/>
  <c r="AJ1452" i="11" s="1"/>
  <c r="AH361" i="11"/>
  <c r="AJ361" i="11" s="1"/>
  <c r="AH1240" i="11"/>
  <c r="AJ1240" i="11" s="1"/>
  <c r="AH1321" i="11"/>
  <c r="AJ1321" i="11" s="1"/>
  <c r="AH1209" i="11"/>
  <c r="AJ1209" i="11" s="1"/>
  <c r="AH833" i="11"/>
  <c r="AJ833" i="11" s="1"/>
  <c r="AH1050" i="11"/>
  <c r="AJ1050"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63" i="11"/>
  <c r="AJ563" i="11" s="1"/>
  <c r="AH536" i="11"/>
  <c r="AJ536" i="11" s="1"/>
  <c r="AH494" i="11"/>
  <c r="AJ494" i="11" s="1"/>
  <c r="AH1929" i="11"/>
  <c r="AJ1929" i="11" s="1"/>
  <c r="AH43" i="11"/>
  <c r="AJ43" i="11" s="1"/>
  <c r="AH1372" i="11"/>
  <c r="AJ1372" i="11" s="1"/>
  <c r="AH301" i="11"/>
  <c r="AJ301" i="11" s="1"/>
  <c r="AH632" i="11"/>
  <c r="AJ632" i="11" s="1"/>
  <c r="AH395" i="11"/>
  <c r="AJ395" i="11" s="1"/>
  <c r="AH229" i="11"/>
  <c r="AJ229" i="11" s="1"/>
  <c r="AH560" i="11"/>
  <c r="AJ560" i="11" s="1"/>
  <c r="AH1079" i="11"/>
  <c r="AJ107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1591" i="11"/>
  <c r="AJ1591" i="11" s="1"/>
  <c r="AH538" i="11"/>
  <c r="AJ538"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416" i="11"/>
  <c r="AJ1416" i="11" s="1"/>
  <c r="AH357" i="11"/>
  <c r="AJ357" i="11" s="1"/>
  <c r="AH785" i="11"/>
  <c r="AJ785" i="11" s="1"/>
  <c r="AH1692" i="11"/>
  <c r="AJ1692" i="11" s="1"/>
  <c r="AH674" i="11"/>
  <c r="AQ674"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1128" i="11"/>
  <c r="AJ1128" i="11" s="1"/>
  <c r="AH965" i="11"/>
  <c r="AJ965" i="11" s="1"/>
  <c r="AH611" i="11"/>
  <c r="AJ611" i="11" s="1"/>
  <c r="AH625" i="11"/>
  <c r="AJ625" i="11" s="1"/>
  <c r="AH841" i="11"/>
  <c r="AJ841" i="11" s="1"/>
  <c r="AH554" i="11"/>
  <c r="AJ554" i="11" s="1"/>
  <c r="AH591" i="11"/>
  <c r="AJ591" i="11" s="1"/>
  <c r="AH598" i="11"/>
  <c r="AJ598" i="11" s="1"/>
  <c r="AH65" i="11"/>
  <c r="AJ65" i="11" s="1"/>
  <c r="AH566" i="11"/>
  <c r="AJ566" i="11" s="1"/>
  <c r="AH368" i="11"/>
  <c r="AJ368" i="11" s="1"/>
  <c r="AH304" i="11"/>
  <c r="AJ304" i="11" s="1"/>
  <c r="AH909" i="11"/>
  <c r="AJ909" i="11" s="1"/>
  <c r="AH553" i="11"/>
  <c r="AJ553" i="11" s="1"/>
  <c r="AH923" i="11"/>
  <c r="AJ923" i="11" s="1"/>
  <c r="AH409" i="11"/>
  <c r="AJ409" i="11" s="1"/>
  <c r="AH336" i="11"/>
  <c r="AJ336" i="11" s="1"/>
  <c r="AH1779" i="11"/>
  <c r="AJ1779" i="11" s="1"/>
  <c r="AH386" i="11"/>
  <c r="AJ386" i="11" s="1"/>
  <c r="AH78" i="11"/>
  <c r="AJ78" i="11" s="1"/>
  <c r="AH180" i="11"/>
  <c r="AJ180" i="11" s="1"/>
  <c r="AH1424" i="11"/>
  <c r="AJ1424" i="11" s="1"/>
  <c r="AH827" i="11"/>
  <c r="AJ827" i="11" s="1"/>
  <c r="AH1294" i="11"/>
  <c r="AJ1294" i="11" s="1"/>
  <c r="AH1327" i="11"/>
  <c r="AJ1327" i="11" s="1"/>
  <c r="AH875" i="11"/>
  <c r="AJ875" i="11" s="1"/>
  <c r="AH720" i="11"/>
  <c r="AJ720" i="11" s="1"/>
  <c r="AH242" i="11"/>
  <c r="AJ242" i="11" s="1"/>
  <c r="AH454" i="11"/>
  <c r="AJ454"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239" i="11"/>
  <c r="AJ1239" i="11" s="1"/>
  <c r="AH818" i="11"/>
  <c r="AQ818" i="11" s="1"/>
  <c r="AH1793" i="11"/>
  <c r="AJ1793" i="11" s="1"/>
  <c r="AH696" i="11"/>
  <c r="AJ696" i="11" s="1"/>
  <c r="AH897" i="11"/>
  <c r="AJ897" i="11" s="1"/>
  <c r="AH680" i="11"/>
  <c r="AJ680" i="11" s="1"/>
  <c r="AH524" i="11"/>
  <c r="AJ524" i="11" s="1"/>
  <c r="AH941" i="11"/>
  <c r="AJ941" i="11" s="1"/>
  <c r="AH161" i="11"/>
  <c r="AJ161" i="11" s="1"/>
  <c r="AH1580" i="11"/>
  <c r="AJ1580" i="11" s="1"/>
  <c r="AH678" i="11"/>
  <c r="AJ678" i="11" s="1"/>
  <c r="AH28" i="11"/>
  <c r="AJ28" i="11" s="1"/>
  <c r="AH378" i="11"/>
  <c r="AJ378" i="11" s="1"/>
  <c r="AH612" i="11"/>
  <c r="AJ612" i="11" s="1"/>
  <c r="AH1210" i="11"/>
  <c r="AJ1210" i="11" s="1"/>
  <c r="AH195" i="11"/>
  <c r="AJ195" i="11" s="1"/>
  <c r="AH514" i="11"/>
  <c r="AJ514" i="11" s="1"/>
  <c r="AH284" i="11"/>
  <c r="AJ284" i="11" s="1"/>
  <c r="AH865" i="11"/>
  <c r="AJ865" i="11" s="1"/>
  <c r="AH155" i="11"/>
  <c r="AJ155" i="11" s="1"/>
  <c r="AH622" i="11"/>
  <c r="AJ622" i="11" s="1"/>
  <c r="AH447" i="11"/>
  <c r="AJ447" i="11" s="1"/>
  <c r="AH1222" i="11"/>
  <c r="AQ1222" i="11" s="1"/>
  <c r="AH1176" i="11"/>
  <c r="AJ1176" i="11" s="1"/>
  <c r="AH269" i="11"/>
  <c r="AJ269" i="11" s="1"/>
  <c r="AH728" i="11"/>
  <c r="AJ728" i="11" s="1"/>
  <c r="AH152" i="11"/>
  <c r="AJ152"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282" i="11"/>
  <c r="AJ1282"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334" i="11"/>
  <c r="AJ334" i="11" s="1"/>
  <c r="AH233" i="11"/>
  <c r="AJ233" i="11" s="1"/>
  <c r="AH1352" i="11"/>
  <c r="AJ1352"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185" i="11"/>
  <c r="AJ185" i="11" s="1"/>
  <c r="AH964" i="11"/>
  <c r="AJ964" i="11" s="1"/>
  <c r="AH219" i="11"/>
  <c r="AJ219" i="11" s="1"/>
  <c r="AH19" i="11"/>
  <c r="AJ19" i="11" s="1"/>
  <c r="AH1875" i="11"/>
  <c r="AJ1875" i="11" s="1"/>
  <c r="AH582" i="11"/>
  <c r="AJ582" i="11" s="1"/>
  <c r="AH258" i="11"/>
  <c r="AJ258" i="11" s="1"/>
  <c r="AH1577" i="11"/>
  <c r="AJ1577" i="11" s="1"/>
  <c r="AH1834" i="11"/>
  <c r="AJ1834" i="11" s="1"/>
  <c r="AH159" i="11"/>
  <c r="AJ159"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257" i="11"/>
  <c r="AJ257"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58" i="11"/>
  <c r="AJ58"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119" i="11"/>
  <c r="AJ119" i="11" s="1"/>
  <c r="AH557" i="11"/>
  <c r="AJ557" i="11" s="1"/>
  <c r="AH521" i="11"/>
  <c r="AJ521" i="11" s="1"/>
  <c r="AH91" i="11"/>
  <c r="AJ91" i="11" s="1"/>
  <c r="AH273" i="11"/>
  <c r="AJ273" i="11" s="1"/>
  <c r="AH871" i="11"/>
  <c r="AJ871" i="11" s="1"/>
  <c r="AH1413" i="11"/>
  <c r="AJ1413" i="11" s="1"/>
  <c r="AH1688" i="11"/>
  <c r="AJ1688" i="11" s="1"/>
  <c r="AH418" i="11"/>
  <c r="AJ418" i="11" s="1"/>
  <c r="AH525" i="11"/>
  <c r="AJ525" i="11" s="1"/>
  <c r="AH17" i="11"/>
  <c r="AH116" i="11"/>
  <c r="AJ116" i="11" s="1"/>
  <c r="AH694" i="11"/>
  <c r="AJ694" i="11" s="1"/>
  <c r="AH151" i="11"/>
  <c r="AJ151" i="11" s="1"/>
  <c r="AH1932" i="11"/>
  <c r="AJ1932" i="11" s="1"/>
  <c r="AH358" i="11"/>
  <c r="AJ358" i="11" s="1"/>
  <c r="AH990" i="11"/>
  <c r="AJ990" i="11" s="1"/>
  <c r="AH1822" i="11"/>
  <c r="AJ1822" i="11" s="1"/>
  <c r="AH319" i="11"/>
  <c r="AJ319" i="11" s="1"/>
  <c r="AH599" i="11"/>
  <c r="AJ599" i="11" s="1"/>
  <c r="AH102" i="11"/>
  <c r="AJ102" i="11" s="1"/>
  <c r="AH384" i="11"/>
  <c r="AJ384" i="11" s="1"/>
  <c r="AH1484" i="11"/>
  <c r="AJ1484"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J517" i="11"/>
  <c r="AM517" i="11" s="1"/>
  <c r="AL517" i="11" s="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K1755" i="11"/>
  <c r="K1756" i="14" s="1"/>
  <c r="Q1756" i="14" s="1"/>
  <c r="AM426" i="11"/>
  <c r="AL426" i="11" s="1"/>
  <c r="AM674" i="11"/>
  <c r="AL674" i="11" s="1"/>
  <c r="AM1556" i="11"/>
  <c r="AL1556" i="11" s="1"/>
  <c r="AM837" i="11"/>
  <c r="AL837" i="11" s="1"/>
  <c r="AM1935" i="11"/>
  <c r="AL1935" i="11" s="1"/>
  <c r="AM62" i="11"/>
  <c r="AL62" i="11" s="1"/>
  <c r="AM199" i="11"/>
  <c r="AL199" i="11" s="1"/>
  <c r="AM1162" i="11"/>
  <c r="AL1162" i="11" s="1"/>
  <c r="AM1530" i="11"/>
  <c r="AL1530" i="11" s="1"/>
  <c r="AM702" i="11"/>
  <c r="AL702" i="11" s="1"/>
  <c r="AM714" i="11"/>
  <c r="AL714" i="11" s="1"/>
  <c r="AM1739" i="11"/>
  <c r="AL1739" i="11" s="1"/>
  <c r="AM1131" i="11"/>
  <c r="AL1131"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AP339" i="11"/>
  <c r="L340" i="14"/>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B116" i="24" a="1"/>
  <c r="L2006" i="14" l="1"/>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<sst xmlns="http://schemas.openxmlformats.org/spreadsheetml/2006/main" count="3175" uniqueCount="611">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</sst>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0.3</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0.1796315363978227</v>
      </c>
      <c r="L7" s="108">
        <f>расчет!F9</f>
        <v>5</v>
      </c>
      <c r="M7" s="302" t="str">
        <f>расчет!G9</f>
        <v>Отгрузка клиенту</v>
      </c>
      <c r="N7" s="113">
        <f>расчет!J9</f>
        <v>0.7</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1.361752173831086</v>
      </c>
      <c r="L8" s="110" t="str">
        <f>расчет!F10</f>
        <v>текст:</v>
      </c>
      <c r="M8" s="111" t="str">
        <f>расчет!G10</f>
        <v>частичная оплата: 30%-аванс в течении 5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349672.30999999994</v>
      </c>
      <c r="I12" s="230">
        <f t="shared" ref="I12:I35" si="4">H12/H$12</f>
        <v>1</v>
      </c>
      <c r="J12" s="231">
        <f>расчет!AL13</f>
        <v>419606.77999999985</v>
      </c>
      <c r="K12" s="232">
        <f>J12-H12</f>
        <v>69934.469999999914</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0.73434801075929224</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92891.144733893423</v>
      </c>
      <c r="I14" s="218">
        <f t="shared" si="4"/>
        <v>0.26565198924070776</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5.7196407688100909E-3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1000</v>
      </c>
      <c r="I16" s="87">
        <f t="shared" si="4"/>
        <v>2.8598203844050455E-3</v>
      </c>
      <c r="M16" s="83" t="str">
        <f>'КП open book'!O9</f>
        <v>Условия оплаты:</v>
      </c>
      <c r="N16" s="592" t="str">
        <f>'КП open book'!Q9</f>
        <v>частичная оплата: 30%-аванс в течении 5 календарных дней с даты подписания спецификации</v>
      </c>
      <c r="O16" s="592"/>
      <c r="P16" s="84"/>
      <c r="Q16" s="314">
        <f t="shared" si="0"/>
        <v>52</v>
      </c>
      <c r="R16" s="297" t="s">
        <v>240</v>
      </c>
      <c r="S16" s="339">
        <f t="shared" si="1"/>
        <v>7686.558386829056</v>
      </c>
      <c r="T16" s="340">
        <f t="shared" si="5"/>
        <v>2.9934276444549001E-2</v>
      </c>
      <c r="U16" s="298"/>
      <c r="V16" s="298">
        <f>S16</f>
        <v>7686.558386829056</v>
      </c>
      <c r="W16" s="348">
        <f t="shared" si="2"/>
        <v>7686.558386829056</v>
      </c>
      <c r="X16" s="315">
        <f t="shared" si="3"/>
        <v>0</v>
      </c>
    </row>
    <row r="17" spans="2:24" x14ac:dyDescent="0.2">
      <c r="B17" s="83" t="str">
        <v>Валюта закупки</v>
      </c>
      <c r="C17" s="84">
        <v>9</v>
      </c>
      <c r="D17" s="85">
        <v>0</v>
      </c>
      <c r="G17" s="214" t="str">
        <f>расчет!V4</f>
        <v>РФ (граница)  - "КУДА"</v>
      </c>
      <c r="H17" s="215">
        <f>расчет!W4</f>
        <v>1500</v>
      </c>
      <c r="I17" s="87">
        <f t="shared" si="4"/>
        <v>4.2897305766075684E-3</v>
      </c>
      <c r="N17" s="592" t="str">
        <f>H9</f>
        <v>частичная оплата: 30%-аванс в течении 5 календарных дней с даты подписания спецификации</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2.8598203844050452E-4</v>
      </c>
      <c r="Q18" s="314">
        <f t="shared" si="0"/>
        <v>19</v>
      </c>
      <c r="R18" s="179" t="s">
        <v>127</v>
      </c>
      <c r="S18" s="335">
        <f t="shared" si="1"/>
        <v>0</v>
      </c>
      <c r="T18" s="336">
        <f t="shared" si="5"/>
        <v>0</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5.7196407688100905E-4</v>
      </c>
      <c r="Q19" s="314">
        <f t="shared" si="0"/>
        <v>20</v>
      </c>
      <c r="R19" s="179" t="s">
        <v>128</v>
      </c>
      <c r="S19" s="335">
        <f t="shared" si="1"/>
        <v>2499.9999999999995</v>
      </c>
      <c r="T19" s="336">
        <f t="shared" si="5"/>
        <v>9.735916563075056E-3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8.5794611532151357E-4</v>
      </c>
      <c r="Q20" s="314">
        <f t="shared" si="0"/>
        <v>21</v>
      </c>
      <c r="R20" s="295" t="s">
        <v>129</v>
      </c>
      <c r="S20" s="337">
        <f t="shared" si="1"/>
        <v>6123.1999999999971</v>
      </c>
      <c r="T20" s="338">
        <f t="shared" si="5"/>
        <v>2.3845985719608463E-2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1.1439281537620181E-3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1.4299101922025227E-3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3.5232987135870158E-4</v>
      </c>
      <c r="Q23" s="314">
        <f t="shared" si="0"/>
        <v>24</v>
      </c>
      <c r="R23" s="295" t="s">
        <v>58</v>
      </c>
      <c r="S23" s="337">
        <f t="shared" si="1"/>
        <v>9657.6899999999987</v>
      </c>
      <c r="T23" s="338">
        <f t="shared" si="5"/>
        <v>3.7610585612817736E-2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6123.1999999999971</v>
      </c>
      <c r="I24" s="87">
        <f t="shared" si="4"/>
        <v>1.7511252177788966E-2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9657.6899999999987</v>
      </c>
      <c r="I25" s="87">
        <f t="shared" si="4"/>
        <v>2.7619258728264758E-2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280248.61999999988</v>
      </c>
      <c r="T26" s="336">
        <f t="shared" si="5"/>
        <v>1.0913908724947705</v>
      </c>
      <c r="U26" s="294"/>
      <c r="V26" s="294"/>
      <c r="W26" s="348">
        <f t="shared" si="2"/>
        <v>0</v>
      </c>
      <c r="X26" s="315">
        <f t="shared" si="3"/>
        <v>0</v>
      </c>
    </row>
    <row r="27" spans="2:24" x14ac:dyDescent="0.2">
      <c r="B27" s="83" t="str">
        <v>Логистика ЕС+ТР</v>
      </c>
      <c r="C27" s="84">
        <v>19</v>
      </c>
      <c r="D27" s="85">
        <v>0</v>
      </c>
      <c r="G27" s="223" t="s">
        <v>236</v>
      </c>
      <c r="H27" s="224">
        <f>+SUM(H13,H24:H26)</f>
        <v>272562.0552661065</v>
      </c>
      <c r="I27" s="225">
        <f t="shared" si="4"/>
        <v>0.77947852166534592</v>
      </c>
      <c r="Q27" s="314">
        <f t="shared" si="0"/>
        <v>28</v>
      </c>
      <c r="R27" s="179" t="s">
        <v>62</v>
      </c>
      <c r="S27" s="341">
        <f t="shared" si="1"/>
        <v>0.19000007921537643</v>
      </c>
      <c r="T27" s="336">
        <f t="shared" si="5"/>
        <v>7.3992996728742249E-7</v>
      </c>
      <c r="U27" s="294"/>
      <c r="V27" s="294"/>
      <c r="W27" s="348">
        <f t="shared" si="2"/>
        <v>0</v>
      </c>
      <c r="X27" s="315">
        <f t="shared" si="3"/>
        <v>0</v>
      </c>
    </row>
    <row r="28" spans="2:24" ht="13.5" thickBot="1" x14ac:dyDescent="0.25">
      <c r="B28" s="83" t="str">
        <v>Логистика РФ</v>
      </c>
      <c r="C28" s="84">
        <v>20</v>
      </c>
      <c r="D28" s="85">
        <v>2499.9999999999995</v>
      </c>
      <c r="G28" s="216" t="s">
        <v>220</v>
      </c>
      <c r="H28" s="217">
        <f>H14-SUM(H24,H25:H26)</f>
        <v>77110.254733893424</v>
      </c>
      <c r="I28" s="218">
        <f t="shared" si="4"/>
        <v>0.22052147833465405</v>
      </c>
      <c r="J28" s="226">
        <f>H12-H27</f>
        <v>77110.254733893438</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6123.1999999999971</v>
      </c>
      <c r="G29" s="83" t="s">
        <v>183</v>
      </c>
      <c r="H29" s="85">
        <f>VLOOKUP(G29,B:D,3,FALSE)</f>
        <v>5991.7834217142836</v>
      </c>
      <c r="I29" s="87">
        <f t="shared" si="4"/>
        <v>1.7135424368358722E-2</v>
      </c>
      <c r="J29" s="580">
        <f>[1]расчет!AI11</f>
        <v>0.02</v>
      </c>
      <c r="K29" s="97"/>
      <c r="Q29" s="314">
        <f t="shared" si="0"/>
        <v>30</v>
      </c>
      <c r="R29" s="179" t="s">
        <v>235</v>
      </c>
      <c r="S29" s="335">
        <f t="shared" si="1"/>
        <v>333495.87999999977</v>
      </c>
      <c r="T29" s="336">
        <f t="shared" si="5"/>
        <v>1.2987552247237157</v>
      </c>
      <c r="U29" s="294"/>
      <c r="V29" s="294"/>
      <c r="W29" s="348">
        <f t="shared" si="2"/>
        <v>0</v>
      </c>
      <c r="X29" s="315">
        <f t="shared" si="3"/>
        <v>0</v>
      </c>
    </row>
    <row r="30" spans="2:24" x14ac:dyDescent="0.2">
      <c r="B30" s="83" t="str">
        <v>Код ТН ВЭД</v>
      </c>
      <c r="C30" s="84">
        <v>22</v>
      </c>
      <c r="D30" s="85">
        <v>0</v>
      </c>
      <c r="G30" s="83" t="s">
        <v>265</v>
      </c>
      <c r="H30" s="85">
        <f>VLOOKUP(G30,B:D,3,FALSE)</f>
        <v>10184.629902651437</v>
      </c>
      <c r="I30" s="87">
        <f t="shared" si="4"/>
        <v>2.9126212203223752E-2</v>
      </c>
      <c r="J30" s="580">
        <f>[1]расчет!AH11</f>
        <v>1.4999999999999999E-2</v>
      </c>
      <c r="K30" s="97"/>
      <c r="Q30" s="314">
        <f t="shared" si="0"/>
        <v>31</v>
      </c>
      <c r="R30" s="299" t="s">
        <v>232</v>
      </c>
      <c r="S30" s="342">
        <f t="shared" si="1"/>
        <v>53247.26</v>
      </c>
      <c r="T30" s="343">
        <f t="shared" si="5"/>
        <v>0.20736435222894559</v>
      </c>
      <c r="U30" s="300"/>
      <c r="V30" s="300">
        <f>S30</f>
        <v>53247.26</v>
      </c>
      <c r="W30" s="349">
        <f t="shared" si="2"/>
        <v>53247.26</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9657.6899999999987</v>
      </c>
      <c r="G32" s="83" t="s">
        <v>240</v>
      </c>
      <c r="H32" s="85">
        <f>VLOOKUP(G32,B:D,3,FALSE)</f>
        <v>7686.558386829056</v>
      </c>
      <c r="I32" s="87">
        <f t="shared" si="4"/>
        <v>2.1982176360573296E-2</v>
      </c>
      <c r="Q32" s="314">
        <f t="shared" si="0"/>
        <v>33</v>
      </c>
      <c r="R32" s="297" t="s">
        <v>265</v>
      </c>
      <c r="S32" s="339">
        <f t="shared" si="1"/>
        <v>10184.629902651437</v>
      </c>
      <c r="T32" s="340">
        <f t="shared" si="5"/>
        <v>3.9662682783205457E-2</v>
      </c>
      <c r="U32" s="298"/>
      <c r="V32" s="298">
        <f>S32</f>
        <v>10184.629902651437</v>
      </c>
      <c r="W32" s="348">
        <f t="shared" si="2"/>
        <v>10184.629902651437</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5991.7834217142836</v>
      </c>
      <c r="T33" s="340">
        <f t="shared" si="5"/>
        <v>2.3334201383130655E-2</v>
      </c>
      <c r="U33" s="298"/>
      <c r="V33" s="298">
        <f>S33</f>
        <v>5991.7834217142836</v>
      </c>
      <c r="W33" s="348">
        <f t="shared" si="2"/>
        <v>5991.7834217142836</v>
      </c>
      <c r="X33" s="315">
        <f t="shared" si="3"/>
        <v>0</v>
      </c>
    </row>
    <row r="34" spans="2:24" x14ac:dyDescent="0.2">
      <c r="B34" s="83" t="str">
        <v>Себестоимость, шт. (без НДС)</v>
      </c>
      <c r="C34" s="84">
        <v>26</v>
      </c>
      <c r="D34" s="85">
        <v>0</v>
      </c>
      <c r="G34" s="220" t="s">
        <v>287</v>
      </c>
      <c r="H34" s="221">
        <f>SUM(H29:H33)</f>
        <v>23862.971711194776</v>
      </c>
      <c r="I34" s="222">
        <f t="shared" si="4"/>
        <v>6.824381293215577E-2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280248.61999999988</v>
      </c>
      <c r="G35" s="268" t="s">
        <v>221</v>
      </c>
      <c r="H35" s="269">
        <f>H28-H34</f>
        <v>53247.283022698648</v>
      </c>
      <c r="I35" s="270">
        <f t="shared" si="4"/>
        <v>0.15227766540249829</v>
      </c>
      <c r="J35" s="271">
        <f>VLOOKUP(L35,B:D,3,FALSE)</f>
        <v>53247.26</v>
      </c>
      <c r="K35" s="351">
        <f>ROUND(J35,1)-ROUND(H35,1)</f>
        <v>0</v>
      </c>
      <c r="L35" s="83" t="str">
        <f>расчет!AF14</f>
        <v>Профит чистый (без НДС и фин. расходов и отката)</v>
      </c>
      <c r="Q35" s="314">
        <f t="shared" si="0"/>
        <v>36</v>
      </c>
      <c r="R35" s="179" t="s">
        <v>192</v>
      </c>
      <c r="S35" s="335">
        <f t="shared" si="1"/>
        <v>349672.30999999994</v>
      </c>
      <c r="T35" s="336">
        <f t="shared" si="5"/>
        <v>1.361752173831086</v>
      </c>
      <c r="U35" s="301">
        <f>'КП open book'!Q2017</f>
        <v>0</v>
      </c>
      <c r="V35" s="294"/>
      <c r="W35" s="348">
        <f t="shared" si="2"/>
        <v>0</v>
      </c>
      <c r="X35" s="315">
        <f t="shared" si="3"/>
        <v>0</v>
      </c>
    </row>
    <row r="36" spans="2:24" x14ac:dyDescent="0.2">
      <c r="B36" s="83" t="str">
        <v>Наценка Общая в %</v>
      </c>
      <c r="C36" s="84">
        <v>28</v>
      </c>
      <c r="D36" s="85">
        <v>0.19000007921537643</v>
      </c>
      <c r="Q36" s="314">
        <f t="shared" si="0"/>
        <v>37</v>
      </c>
      <c r="R36" s="179" t="s">
        <v>180</v>
      </c>
      <c r="S36" s="344">
        <f t="shared" si="1"/>
        <v>419606.77999999985</v>
      </c>
      <c r="T36" s="336">
        <f t="shared" si="5"/>
        <v>1.634102639752236</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333495.87999999977</v>
      </c>
      <c r="G38" s="83" t="s">
        <v>68</v>
      </c>
      <c r="H38" s="85">
        <f>VLOOKUP(G38,B:D,3,FALSE)</f>
        <v>261916.78999999995</v>
      </c>
      <c r="I38" s="90">
        <f>H38/J38-1</f>
        <v>2.0000005563380441E-2</v>
      </c>
      <c r="J38" s="88">
        <f>H13</f>
        <v>256781.16526610652</v>
      </c>
      <c r="K38" s="88"/>
      <c r="Q38" s="314">
        <f t="shared" si="0"/>
        <v>39</v>
      </c>
      <c r="R38" s="179" t="s">
        <v>190</v>
      </c>
      <c r="S38" s="335">
        <f t="shared" si="1"/>
        <v>69934.47000000003</v>
      </c>
      <c r="T38" s="336">
        <f t="shared" si="5"/>
        <v>0.27235046592115042</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53247.26</v>
      </c>
      <c r="H39" s="85">
        <f>VLOOKUP(G39,B:D,3,FALSE)</f>
        <v>0</v>
      </c>
      <c r="I39" s="83" t="s">
        <v>226</v>
      </c>
      <c r="Q39" s="314">
        <f t="shared" si="0"/>
        <v>40</v>
      </c>
      <c r="R39" s="179" t="s">
        <v>89</v>
      </c>
      <c r="S39" s="335">
        <f t="shared" si="1"/>
        <v>55039.536</v>
      </c>
      <c r="T39" s="336">
        <f t="shared" si="5"/>
        <v>0.21434413206654634</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69934.47000000003</v>
      </c>
      <c r="I40" s="93">
        <f>H40-J40</f>
        <v>8.0000000452855602E-3</v>
      </c>
      <c r="J40" s="93">
        <f>H12*0.2</f>
        <v>69934.461999999985</v>
      </c>
      <c r="K40" s="93"/>
      <c r="Q40" s="314">
        <f t="shared" si="0"/>
        <v>41</v>
      </c>
      <c r="R40" s="179" t="s">
        <v>191</v>
      </c>
      <c r="S40" s="335">
        <f t="shared" si="1"/>
        <v>14894.933999999997</v>
      </c>
      <c r="T40" s="336">
        <f t="shared" si="5"/>
        <v>5.8006333854603916E-2</v>
      </c>
      <c r="U40" s="294"/>
      <c r="V40" s="294"/>
      <c r="W40" s="348">
        <f t="shared" si="2"/>
        <v>0</v>
      </c>
      <c r="X40" s="315">
        <f t="shared" si="3"/>
        <v>0</v>
      </c>
    </row>
    <row r="41" spans="2:24" x14ac:dyDescent="0.2">
      <c r="B41" s="83" t="str">
        <v>Резерв на отриц. курсовую разницу (3% в договоре)</v>
      </c>
      <c r="C41" s="84">
        <v>33</v>
      </c>
      <c r="D41" s="85">
        <v>10184.629902651437</v>
      </c>
      <c r="G41" s="91" t="s">
        <v>89</v>
      </c>
      <c r="H41" s="92">
        <f>VLOOKUP(G41,B:D,3,FALSE)</f>
        <v>55039.536</v>
      </c>
      <c r="I41" s="93">
        <f t="shared" ref="I41:I42" si="6">H41-J41</f>
        <v>724.64000000001397</v>
      </c>
      <c r="J41" s="93">
        <f>0.2*(H38+H25+H26)</f>
        <v>54314.895999999986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5991.7834217142836</v>
      </c>
      <c r="G42" s="91" t="s">
        <v>191</v>
      </c>
      <c r="H42" s="92">
        <f>VLOOKUP(G42,B:D,3,FALSE)</f>
        <v>14894.933999999997</v>
      </c>
      <c r="I42" s="93">
        <f t="shared" si="6"/>
        <v>-724.63200000000143</v>
      </c>
      <c r="J42" s="93">
        <f>J40-J41</f>
        <v>15619.565999999999</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77110.231711194778</v>
      </c>
      <c r="W43" s="180">
        <f t="shared" si="2"/>
        <v>77110.231711194778</v>
      </c>
      <c r="X43" s="179"/>
    </row>
    <row r="44" spans="2:24" x14ac:dyDescent="0.2">
      <c r="B44" s="83" t="str">
        <v>Сумма продажи без НДС</v>
      </c>
      <c r="C44" s="84">
        <v>36</v>
      </c>
      <c r="D44" s="85">
        <v>349672.30999999994</v>
      </c>
      <c r="Q44" s="181"/>
      <c r="R44" s="181"/>
      <c r="S44" s="181"/>
      <c r="T44" s="181"/>
      <c r="U44" s="179"/>
      <c r="V44" s="179"/>
      <c r="W44" s="179"/>
      <c r="X44" s="179"/>
    </row>
    <row r="45" spans="2:24" x14ac:dyDescent="0.2">
      <c r="B45" s="83" t="str">
        <v>Итого Сумма Продажи с НДС</v>
      </c>
      <c r="C45" s="84">
        <v>37</v>
      </c>
      <c r="D45" s="85">
        <v>419606.77999999985</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69934.47000000003</v>
      </c>
      <c r="Q47" s="181"/>
      <c r="R47" s="181" t="s">
        <v>290</v>
      </c>
      <c r="S47" s="236">
        <f>расчет!J5</f>
        <v>0.3</v>
      </c>
      <c r="T47" s="179"/>
      <c r="U47" s="179"/>
      <c r="V47" s="179"/>
      <c r="W47" s="180"/>
      <c r="X47" s="179"/>
    </row>
    <row r="48" spans="2:24" x14ac:dyDescent="0.2">
      <c r="B48" s="83" t="str">
        <v>НДС (при импорте в РФ)</v>
      </c>
      <c r="C48" s="84">
        <v>40</v>
      </c>
      <c r="D48" s="85">
        <v>55039.536</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14894.933999999997</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-77110.231711194778</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77110.231711194778</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53247.26</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7686.558386829056</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10184.629902651437</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5991.7834217142836</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7686.558386829056</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J6" sqref="J6"/>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6123.2</v>
      </c>
      <c r="BF1" s="646" t="s">
        <v>275</v>
      </c>
      <c r="BG1" s="647"/>
      <c r="BH1" s="647"/>
      <c r="BI1" s="647"/>
      <c r="BJ1" s="648"/>
      <c r="BK1" s="638" t="s">
        <v>280</v>
      </c>
      <c r="BL1" s="639"/>
    </row>
    <row r="2" spans="1:64" ht="12" customHeight="1" x14ac:dyDescent="0.2">
      <c r="B2" s="362" t="s">
        <v>93</v>
      </c>
      <c r="E2" s="156"/>
      <c r="K2" s="152"/>
      <c r="L2" s="152"/>
      <c r="Q2" s="156"/>
      <c r="V2" s="200" t="s">
        <v>184</v>
      </c>
      <c r="W2" s="201">
        <v>2000</v>
      </c>
      <c r="X2" s="662" t="s">
        <v>272</v>
      </c>
      <c r="AF2" s="651" t="s">
        <v>152</v>
      </c>
      <c r="AG2" s="652"/>
      <c r="AH2" s="653"/>
      <c r="BF2" s="596" t="s">
        <v>271</v>
      </c>
      <c r="BG2" s="597"/>
      <c r="BH2" s="253">
        <f>(BJ2*(1+avg_cap)+BJ3)*(1+IF(seller_region="RU",rate_vatRu,0))</f>
        <v>399030.84890957986</v>
      </c>
      <c r="BI2" s="363" t="s">
        <v>269</v>
      </c>
      <c r="BJ2" s="364">
        <f>+SUM(S13,V13:Z13)</f>
        <v>272562.0552661065</v>
      </c>
      <c r="BK2" s="640"/>
      <c r="BL2" s="641"/>
    </row>
    <row r="3" spans="1:64" s="156" customFormat="1" ht="36" x14ac:dyDescent="0.2">
      <c r="A3" s="365"/>
      <c r="B3" s="272" t="s">
        <v>91</v>
      </c>
      <c r="C3" s="273" t="s">
        <v>92</v>
      </c>
      <c r="F3" s="654" t="s">
        <v>142</v>
      </c>
      <c r="G3" s="655"/>
      <c r="H3" s="655"/>
      <c r="I3" s="655"/>
      <c r="J3" s="655"/>
      <c r="K3" s="366"/>
      <c r="L3" s="366"/>
      <c r="M3" s="366"/>
      <c r="N3" s="366"/>
      <c r="O3" s="366"/>
      <c r="P3" s="152"/>
      <c r="V3" s="200" t="s">
        <v>210</v>
      </c>
      <c r="W3" s="201">
        <v>1000</v>
      </c>
      <c r="X3" s="662"/>
      <c r="Z3" s="65"/>
      <c r="AB3" s="68"/>
      <c r="AC3" s="354"/>
      <c r="AD3" s="69"/>
      <c r="AF3" s="367"/>
      <c r="AG3" s="163" t="s">
        <v>153</v>
      </c>
      <c r="AH3" s="368" t="s">
        <v>154</v>
      </c>
      <c r="AR3" s="152"/>
      <c r="BF3" s="596" t="str">
        <f>"Ожидаемый аванс от Заказчика "&amp;TEXT(J5,"0%")</f>
        <v>Ожидаемый аванс от Заказчика 30%</v>
      </c>
      <c r="BG3" s="597"/>
      <c r="BH3" s="253" cm="1">
        <f t="array" ref="BH3">BH2*_xlfn.IFS($A$10="pmt_1",1,$A$10="pmt_2",0,$A$10="pmt_3",$J$5,$A$10="заполнить",0)</f>
        <v>119709.25467287395</v>
      </c>
      <c r="BI3" s="369" t="s">
        <v>270</v>
      </c>
      <c r="BJ3" s="253">
        <f>BJ2*rate_forex_risk+IF(AG3="Фикс",AG4,BJ2*AG6)</f>
        <v>8176.8616579831951</v>
      </c>
      <c r="BK3" s="370" t="s">
        <v>467</v>
      </c>
      <c r="BL3" s="371">
        <f>BH4-BH3</f>
        <v>240953.94241284026</v>
      </c>
    </row>
    <row r="4" spans="1:64" ht="23.45" customHeight="1" x14ac:dyDescent="0.2">
      <c r="B4" s="155" t="s">
        <v>143</v>
      </c>
      <c r="F4" s="372" t="s">
        <v>100</v>
      </c>
      <c r="G4" s="663" t="s">
        <v>94</v>
      </c>
      <c r="H4" s="663"/>
      <c r="I4" s="663"/>
      <c r="J4" s="372" t="s">
        <v>95</v>
      </c>
      <c r="K4" s="372" t="s">
        <v>263</v>
      </c>
      <c r="L4" s="606" t="s">
        <v>122</v>
      </c>
      <c r="M4" s="607"/>
      <c r="N4" s="607"/>
      <c r="O4" s="608"/>
      <c r="Q4" s="156"/>
      <c r="V4" s="202" t="s">
        <v>213</v>
      </c>
      <c r="W4" s="201">
        <v>1500</v>
      </c>
      <c r="X4" s="662"/>
      <c r="AF4" s="367" t="s">
        <v>153</v>
      </c>
      <c r="AG4" s="164"/>
      <c r="AH4" s="373" t="s">
        <v>155</v>
      </c>
      <c r="BF4" s="609" t="s">
        <v>466</v>
      </c>
      <c r="BG4" s="610"/>
      <c r="BH4" s="254">
        <f>SUM(AZ13,T13)*(1+rate_fin_comm)+SUM(Y13,Z13,AO13)</f>
        <v>360663.1970857142</v>
      </c>
      <c r="BI4" s="255">
        <f>IFERROR(BH3/BH4,"")</f>
        <v>0.33191425030379296</v>
      </c>
      <c r="BJ4" s="374" t="s">
        <v>211</v>
      </c>
      <c r="BK4" s="375" t="s">
        <v>268</v>
      </c>
      <c r="BL4" s="256">
        <f>BL3+BL3*rate_loan_interest_daily*offer_post_pmt_due</f>
        <v>240953.94241284026</v>
      </c>
    </row>
    <row r="5" spans="1:64" x14ac:dyDescent="0.2">
      <c r="A5" s="376" t="str">
        <f>_xlfn.XLOOKUP(seller_company,Table9[Column1],Table9[Страна],0,0)</f>
        <v>RU</v>
      </c>
      <c r="B5" s="642" t="s">
        <v>262</v>
      </c>
      <c r="C5" s="643"/>
      <c r="D5" s="250" t="s">
        <v>207</v>
      </c>
      <c r="F5" s="377">
        <v>1</v>
      </c>
      <c r="G5" s="644" t="s">
        <v>149</v>
      </c>
      <c r="H5" s="644"/>
      <c r="I5" s="644"/>
      <c r="J5" s="160">
        <v>0.3</v>
      </c>
      <c r="K5" s="352">
        <v>5</v>
      </c>
      <c r="L5" s="598" t="str">
        <f>"календарных дней с даты "&amp;IF(A10="pmt_2","подписания спецификации.","зачисления аванса")</f>
        <v>календарных дней с даты зачисления аванса</v>
      </c>
      <c r="M5" s="599"/>
      <c r="N5" s="599"/>
      <c r="O5" s="600"/>
      <c r="Q5" s="378"/>
      <c r="V5" s="200" t="s">
        <v>214</v>
      </c>
      <c r="W5" s="201">
        <v>100</v>
      </c>
      <c r="X5" s="662"/>
      <c r="AF5" s="367" t="s">
        <v>156</v>
      </c>
      <c r="AG5" s="379"/>
      <c r="AH5" s="373"/>
      <c r="BF5" s="601" t="str">
        <f>B11</f>
        <v>Размер аванса Поставщику</v>
      </c>
      <c r="BG5" s="602"/>
      <c r="BH5" s="257">
        <f>D11</f>
        <v>1</v>
      </c>
      <c r="BI5" s="380"/>
      <c r="BJ5" s="381"/>
      <c r="BK5" s="382" t="s">
        <v>279</v>
      </c>
      <c r="BL5" s="383">
        <f>BL4-BL3</f>
        <v>0</v>
      </c>
    </row>
    <row r="6" spans="1:64" x14ac:dyDescent="0.2">
      <c r="A6" s="384"/>
      <c r="B6" s="642" t="s">
        <v>18</v>
      </c>
      <c r="C6" s="643"/>
      <c r="D6" s="159" t="s">
        <v>1</v>
      </c>
      <c r="E6" s="385" t="s">
        <v>1</v>
      </c>
      <c r="F6" s="377">
        <v>2</v>
      </c>
      <c r="G6" s="645" t="s">
        <v>96</v>
      </c>
      <c r="H6" s="645"/>
      <c r="I6" s="645"/>
      <c r="J6" s="161"/>
      <c r="K6" s="352"/>
      <c r="L6" s="603" t="s">
        <v>218</v>
      </c>
      <c r="M6" s="604"/>
      <c r="N6" s="604"/>
      <c r="O6" s="605"/>
      <c r="Q6" s="378"/>
      <c r="V6" s="203" t="s">
        <v>215</v>
      </c>
      <c r="W6" s="201">
        <v>200</v>
      </c>
      <c r="X6" s="662"/>
      <c r="AF6" s="386" t="s">
        <v>157</v>
      </c>
      <c r="AG6" s="165"/>
      <c r="AH6" s="373" t="s">
        <v>158</v>
      </c>
      <c r="BF6" s="649" t="s">
        <v>276</v>
      </c>
      <c r="BG6" s="650"/>
      <c r="BH6" s="258">
        <f>AZ13*BH5*(1+rate_fin_comm)</f>
        <v>295965.97108571423</v>
      </c>
      <c r="BI6" s="387" t="s">
        <v>268</v>
      </c>
      <c r="BJ6" s="388" t="s">
        <v>267</v>
      </c>
      <c r="BK6" s="389"/>
      <c r="BL6" s="390"/>
    </row>
    <row r="7" spans="1:64" x14ac:dyDescent="0.2">
      <c r="A7" s="384"/>
      <c r="B7" s="642" t="s">
        <v>17</v>
      </c>
      <c r="C7" s="643"/>
      <c r="D7" s="159" t="s">
        <v>30</v>
      </c>
      <c r="E7" s="376" t="s">
        <v>2</v>
      </c>
      <c r="F7" s="377">
        <v>3</v>
      </c>
      <c r="G7" s="644" t="s">
        <v>97</v>
      </c>
      <c r="H7" s="644"/>
      <c r="I7" s="644"/>
      <c r="J7" s="161"/>
      <c r="K7" s="352"/>
      <c r="L7" s="598"/>
      <c r="M7" s="599"/>
      <c r="N7" s="599"/>
      <c r="O7" s="600"/>
      <c r="V7" s="203" t="s">
        <v>251</v>
      </c>
      <c r="W7" s="201">
        <v>300</v>
      </c>
      <c r="X7" s="662"/>
      <c r="AF7" s="391" t="s">
        <v>159</v>
      </c>
      <c r="AG7" s="77">
        <f>AG6*AB13</f>
        <v>0</v>
      </c>
      <c r="AH7" s="392"/>
      <c r="BF7" s="611" t="s">
        <v>212</v>
      </c>
      <c r="BG7" s="612"/>
      <c r="BH7" s="259">
        <f>IF(BH3&gt;0,IF(BH3&gt;=BH6,0,BH6-BH3),BH6)</f>
        <v>176256.71641284029</v>
      </c>
      <c r="BI7" s="260">
        <f>BH7+BH7*rate_loan_interest_daily*offer_turnaround_time</f>
        <v>183500.14311473785</v>
      </c>
      <c r="BJ7" s="393">
        <f>BI7-BH7</f>
        <v>7243.4267018975515</v>
      </c>
      <c r="BK7" s="389"/>
      <c r="BL7" s="390"/>
    </row>
    <row r="8" spans="1:64" ht="12" customHeight="1" x14ac:dyDescent="0.2">
      <c r="A8" s="384"/>
      <c r="B8" s="642" t="s">
        <v>144</v>
      </c>
      <c r="C8" s="643"/>
      <c r="D8" s="159" t="s">
        <v>74</v>
      </c>
      <c r="E8" s="376"/>
      <c r="F8" s="377">
        <v>4</v>
      </c>
      <c r="G8" s="644" t="s">
        <v>99</v>
      </c>
      <c r="H8" s="644"/>
      <c r="I8" s="644"/>
      <c r="J8" s="161"/>
      <c r="K8" s="352"/>
      <c r="L8" s="598"/>
      <c r="M8" s="599"/>
      <c r="N8" s="599"/>
      <c r="O8" s="600"/>
      <c r="V8" s="200" t="s">
        <v>185</v>
      </c>
      <c r="W8" s="201">
        <v>400</v>
      </c>
      <c r="X8" s="662"/>
      <c r="BF8" s="613" t="s">
        <v>465</v>
      </c>
      <c r="BG8" s="614"/>
      <c r="BH8" s="261">
        <f>BH4-BH6</f>
        <v>64697.225999999966</v>
      </c>
      <c r="BI8" s="262"/>
      <c r="BJ8" s="394"/>
      <c r="BK8" s="390"/>
      <c r="BL8" s="390"/>
    </row>
    <row r="9" spans="1:64" x14ac:dyDescent="0.2">
      <c r="A9" s="384"/>
      <c r="B9" s="642" t="s">
        <v>264</v>
      </c>
      <c r="C9" s="643"/>
      <c r="D9" s="233">
        <v>60</v>
      </c>
      <c r="E9" s="376"/>
      <c r="F9" s="377">
        <v>5</v>
      </c>
      <c r="G9" s="644" t="s">
        <v>98</v>
      </c>
      <c r="H9" s="644"/>
      <c r="I9" s="644"/>
      <c r="J9" s="360">
        <f>1-SUM(J5:J8)</f>
        <v>0.7</v>
      </c>
      <c r="K9" s="352"/>
      <c r="L9" s="598" t="s">
        <v>150</v>
      </c>
      <c r="M9" s="599"/>
      <c r="N9" s="599"/>
      <c r="O9" s="600"/>
      <c r="V9" s="203" t="s">
        <v>186</v>
      </c>
      <c r="W9" s="201">
        <v>500</v>
      </c>
      <c r="X9" s="395" t="s">
        <v>273</v>
      </c>
      <c r="AH9" s="65"/>
      <c r="AK9" s="152"/>
      <c r="BF9" s="615" t="s">
        <v>239</v>
      </c>
      <c r="BG9" s="616"/>
      <c r="BH9" s="263" cm="1">
        <f t="array" ref="BH9">_xlfn.IFS(S13=0,0,$A$10="pmt_1",0,$A$10="pmt_2",0,$A$10="pmt_3",SUM(J6:J8))*BH2</f>
        <v>0</v>
      </c>
      <c r="BI9" s="262"/>
      <c r="BJ9" s="394"/>
      <c r="BK9" s="390"/>
      <c r="BL9" s="264"/>
    </row>
    <row r="10" spans="1:64" ht="12" customHeight="1" x14ac:dyDescent="0.2">
      <c r="A10" s="385" t="str">
        <f>_xlfn.IFNA(VLOOKUP(D10,terms[],2,FALSE),"заполнить")</f>
        <v>pmt_3</v>
      </c>
      <c r="B10" s="642" t="s">
        <v>134</v>
      </c>
      <c r="C10" s="643"/>
      <c r="D10" s="159" t="s">
        <v>133</v>
      </c>
      <c r="E10" s="185" t="str" cm="1">
        <f t="array" aca="1" ref="E10" ca="1">INDIRECT(A10)</f>
        <v>adv2ven_100</v>
      </c>
      <c r="F10" s="41" t="s">
        <v>193</v>
      </c>
      <c r="G10" s="629"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30%-аванс в течении 5 календарных дней с даты подписания спецификации</v>
      </c>
      <c r="H10" s="629"/>
      <c r="I10" s="629"/>
      <c r="J10" s="629"/>
      <c r="K10" s="629"/>
      <c r="L10" s="629"/>
      <c r="M10" s="629"/>
      <c r="N10" s="629"/>
      <c r="O10" s="629"/>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1" t="s">
        <v>216</v>
      </c>
      <c r="BG10" s="612"/>
      <c r="BH10" s="265">
        <f>IF((BH9+IF(BH3&gt;BH6,BH3-BH6,0))&gt;BH8,0,BH8-(BH9+IF(BH3&gt;BH6,BH3-BH6,0)))</f>
        <v>64697.225999999966</v>
      </c>
      <c r="BI10" s="260">
        <f>BH10+BH10*rate_loan_interest_daily*customs_logistics_pmt_due</f>
        <v>65140.35768493147</v>
      </c>
      <c r="BJ10" s="393">
        <f>BI10-BH10</f>
        <v>443.13168493150442</v>
      </c>
      <c r="BK10" s="390"/>
      <c r="BL10" s="400"/>
    </row>
    <row r="11" spans="1:64" x14ac:dyDescent="0.2">
      <c r="A11" s="185" t="str">
        <f>"adv2ven_"&amp;advance_to_vendor*100</f>
        <v>adv2ven_100</v>
      </c>
      <c r="B11" s="642" t="s">
        <v>135</v>
      </c>
      <c r="C11" s="664"/>
      <c r="D11" s="274">
        <v>1</v>
      </c>
      <c r="E11" s="376"/>
      <c r="F11" s="157"/>
      <c r="G11" s="630"/>
      <c r="H11" s="630"/>
      <c r="I11" s="630"/>
      <c r="J11" s="631"/>
      <c r="K11" s="631"/>
      <c r="L11" s="631"/>
      <c r="M11" s="631"/>
      <c r="N11" s="631"/>
      <c r="O11" s="631"/>
      <c r="P11" s="157"/>
      <c r="Q11" s="157"/>
      <c r="V11" s="401">
        <f>+W2+W3+W5+W8+W10</f>
        <v>3623.2</v>
      </c>
      <c r="W11" s="199">
        <f>+W1-V11</f>
        <v>2500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7686.558386829056</v>
      </c>
      <c r="BK11" s="390"/>
      <c r="BL11" s="400"/>
    </row>
    <row r="12" spans="1:64" s="155" customFormat="1" ht="14.45" customHeight="1" x14ac:dyDescent="0.2">
      <c r="A12" s="406"/>
      <c r="D12" s="407"/>
      <c r="E12" s="408"/>
      <c r="F12" s="408"/>
      <c r="G12" s="408"/>
      <c r="H12" s="408"/>
      <c r="I12" s="409"/>
      <c r="J12" s="617" t="s">
        <v>151</v>
      </c>
      <c r="K12" s="618"/>
      <c r="L12" s="618"/>
      <c r="M12" s="618"/>
      <c r="N12" s="618"/>
      <c r="O12" s="618"/>
      <c r="P12" s="618"/>
      <c r="Q12" s="618"/>
      <c r="R12" s="618"/>
      <c r="S12" s="619"/>
      <c r="T12" s="620" t="s">
        <v>55</v>
      </c>
      <c r="U12" s="621"/>
      <c r="V12" s="622"/>
      <c r="W12" s="659" t="s">
        <v>148</v>
      </c>
      <c r="X12" s="660"/>
      <c r="Y12" s="660"/>
      <c r="Z12" s="661"/>
      <c r="AA12" s="157"/>
      <c r="AB12" s="157"/>
      <c r="AC12" s="410">
        <f>IFERROR(AVERAGEIF(AC16:AC2015,"&gt;"&amp;0),0)</f>
        <v>0.19000000000000003</v>
      </c>
      <c r="AD12" s="623" t="s">
        <v>181</v>
      </c>
      <c r="AE12" s="624"/>
      <c r="AF12" s="625"/>
      <c r="AG12" s="626" t="s">
        <v>182</v>
      </c>
      <c r="AH12" s="627"/>
      <c r="AI12" s="628"/>
      <c r="AJ12" s="656" t="s">
        <v>146</v>
      </c>
      <c r="AK12" s="657"/>
      <c r="AL12" s="657"/>
      <c r="AM12" s="658"/>
      <c r="AN12" s="422">
        <f>rate_vatRu</f>
        <v>0.2</v>
      </c>
      <c r="AO12" s="422">
        <f>IF(offer_sale_type&lt;&gt;"экспорт",rate_vatRu,0)</f>
        <v>0.2</v>
      </c>
      <c r="AP12" s="152"/>
      <c r="AQ12" s="152"/>
      <c r="AR12" s="362"/>
      <c r="AS12" s="157"/>
      <c r="AV12" s="157"/>
      <c r="AW12" s="635" t="s">
        <v>145</v>
      </c>
      <c r="AX12" s="636"/>
      <c r="AY12" s="637"/>
      <c r="AZ12" s="632" t="s">
        <v>274</v>
      </c>
      <c r="BA12" s="633"/>
      <c r="BB12" s="634"/>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131"/>
      <c r="U13" s="72">
        <f t="shared" ref="T13:AQ13" si="0">SUM(U16:U2015)</f>
        <v>2499.9999999999995</v>
      </c>
      <c r="V13" s="120">
        <f t="shared" si="0"/>
        <v>6123.1999999999971</v>
      </c>
      <c r="W13" s="190"/>
      <c r="X13" s="186"/>
      <c r="Y13" s="73">
        <f t="shared" si="0"/>
        <v>9657.6899999999987</v>
      </c>
      <c r="Z13" s="187">
        <f t="shared" si="0"/>
        <v>0</v>
      </c>
      <c r="AA13" s="190"/>
      <c r="AB13" s="72">
        <f t="shared" si="0"/>
        <v>280248.61999999988</v>
      </c>
      <c r="AC13" s="355">
        <f>IFERROR(AE13/IF(offer_sale_type="поставка",AB13,S13)-1,0)</f>
        <v>0.19000007921537643</v>
      </c>
      <c r="AD13" s="412"/>
      <c r="AE13" s="72">
        <f t="shared" si="0"/>
        <v>333495.87999999977</v>
      </c>
      <c r="AF13" s="120">
        <f t="shared" si="0"/>
        <v>53247.26</v>
      </c>
      <c r="AG13" s="131">
        <f>SUM(AG16:AG2015)</f>
        <v>0</v>
      </c>
      <c r="AH13" s="72">
        <f>SUM(AH16:AH2015)</f>
        <v>10184.629902651437</v>
      </c>
      <c r="AI13" s="120">
        <f>SUM(AI16:AI2015)</f>
        <v>5991.7834217142836</v>
      </c>
      <c r="AJ13" s="152"/>
      <c r="AK13" s="73">
        <f>SUM(AK16:AK2015)</f>
        <v>349672.30999999994</v>
      </c>
      <c r="AL13" s="266">
        <f t="shared" si="0"/>
        <v>419606.77999999985</v>
      </c>
      <c r="AM13" s="267"/>
      <c r="AN13" s="131">
        <f t="shared" si="0"/>
        <v>69934.47000000003</v>
      </c>
      <c r="AO13" s="72">
        <f>SUM(AO16:AO2015)</f>
        <v>55039.536</v>
      </c>
      <c r="AP13" s="120">
        <f>SUM(AP16:AP2015)</f>
        <v>14894.933999999997</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7686.558386829056</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 t="shared" ref="T16" si="59">$BC16*V$11</f>
        <v>269.85955859306932</v>
      </c>
      <c r="U16" s="76">
        <f t="shared" ref="U16" si="60">$BC16*W$11</f>
        <v>186.20249958121917</v>
      </c>
      <c r="V16" s="123">
        <f>+SUM(T16:U16)</f>
        <v>456.0620581742885</v>
      </c>
      <c r="W16" s="166">
        <v>8708913509</v>
      </c>
      <c r="X16" s="170">
        <v>0.05</v>
      </c>
      <c r="Y16" s="74">
        <f t="shared" ref="Y16:Y47" si="61">ROUND(IF(offer_incoterms="DDP",X16*(AY16+T16),0),2)</f>
        <v>988.88</v>
      </c>
      <c r="Z16" s="188"/>
      <c r="AA16" s="130">
        <f>IFERROR(AB16/E16,0)</f>
        <v>21142.76</v>
      </c>
      <c r="AB16" s="74">
        <f>ROUND(SUM(S16,V16,Y16:Z16,BA16:BB16),2)</f>
        <v>21142.76</v>
      </c>
      <c r="AC16" s="356">
        <v>0.19</v>
      </c>
      <c r="AD16" s="130" cm="1">
        <f t="array" ref="AD16">IFERROR(ROUND((_xlfn.IFS(offer_sale_type="поставка",AB16,offer_sale_type="транзит",S16)*(1+AC16))/E16,2),0)</f>
        <v>25159.88</v>
      </c>
      <c r="AE16" s="74">
        <f t="shared" ref="AE16" si="62">AD16*E16</f>
        <v>25159.88</v>
      </c>
      <c r="AF16" s="123" cm="1">
        <f t="array" ref="AF16">IFERROR(ROUND(_xlfn.IFS(offer_sale_type="поставка",AB16,offer_sale_type="транзит",S16)*AC16,2),0)</f>
        <v>4017.12</v>
      </c>
      <c r="AG16" s="130">
        <f t="shared" ref="AG16:AG207" si="63">$BD16*VLOOKUP($AG$3,$AF$4:$AG$7,2,FALSE)</f>
        <v>0</v>
      </c>
      <c r="AH16" s="74">
        <f t="shared" ref="AH16:AH79" si="64">SUM(AE16,AG16,AI16)*rate_forex_risk</f>
        <v>768.18462060087006</v>
      </c>
      <c r="AI16" s="123">
        <f t="shared" ref="AI16:AI79" si="65">IF(OR(seller_region="TR",offer_sale_type="экспорт"),0,rate_fin_comm)*SUM(AZ16,AZ16*AW16,T16)</f>
        <v>446.27402002900425</v>
      </c>
      <c r="AJ16" s="118">
        <f>IFERROR(ROUND(SUM(AB16,AF16:AI16)/E16,2),0)</f>
        <v>26374.34</v>
      </c>
      <c r="AK16" s="74">
        <f>AJ16*E16</f>
        <v>26374.34</v>
      </c>
      <c r="AL16" s="174">
        <f>ROUND(IFERROR(AM16*E16,0),2)</f>
        <v>31649.21</v>
      </c>
      <c r="AM16" s="175">
        <f t="shared" ref="AM16:AM79" si="66">ROUND(AJ16*(1+IF(offer_incoterms="DDP",rate_vatRu,0)),2)</f>
        <v>31649.21</v>
      </c>
      <c r="AN16" s="130">
        <f>AL16-AK16</f>
        <v>5274.869999999999</v>
      </c>
      <c r="AO16" s="74">
        <f t="shared" ref="AO16:AO79" si="67">SUM(AY16,Y16:Z16,T16)*IF(AND(offer_incoterms="DDP",offer_sale_type&lt;&gt;"экспорт"),rate_vatRu,0)</f>
        <v>4153.3119117186143</v>
      </c>
      <c r="AP16" s="123">
        <f t="shared" ref="AP16" si="68">AN16-AO16</f>
        <v>1121.5580882813847</v>
      </c>
      <c r="AQ16" s="118">
        <f>IF(offer_sale_type="транзит",SUM(AF16:AI16,BA16,BB16),0)</f>
        <v>0</v>
      </c>
      <c r="AR16" s="82" t="str">
        <f t="shared" ref="AR16" si="69">HYPERLINK("https://www.alta.ru/tnved/code/")&amp;W16&amp;"/"</f>
        <v>https://www.alta.ru/tnved/code/8708913509/</v>
      </c>
      <c r="AS16" s="579"/>
      <c r="AT16" s="162"/>
      <c r="AU16" s="74">
        <f>IF(ISBLANK(AT16),0,AJ16-AT16)</f>
        <v>0</v>
      </c>
      <c r="AV16" s="157"/>
      <c r="AW16" s="75">
        <f>_xlfn.IFNA(VLOOKUP(L16,list_vat[],3,FALSE),0)</f>
        <v>0.02</v>
      </c>
      <c r="AX16" s="74">
        <f t="shared" ref="AX16" si="70">IFERROR(ROUND(S16*(1+AW16)/E16,2),0)</f>
        <v>19507.82</v>
      </c>
      <c r="AY16" s="74">
        <f t="shared" ref="AY16" si="71">E16*AX16</f>
        <v>19507.82</v>
      </c>
      <c r="AZ16" s="130">
        <f t="shared" ref="AZ16" si="72">S16*(1+M16)</f>
        <v>21611.609257703079</v>
      </c>
      <c r="BA16" s="74">
        <f t="shared" ref="BA16:BA79" si="73">cost_fin_total*$BD16</f>
        <v>572.50255392182157</v>
      </c>
      <c r="BB16" s="193">
        <f t="shared" ref="BB16" si="74">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5">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6">IF(AND(ISNUMBER(E17),ISNUMBER(Q17)),E17*R17,0)</f>
        <v>16493.0756302521</v>
      </c>
      <c r="T17" s="192">
        <f t="shared" ref="T17:T80" si="77">$BC17*V$11</f>
        <v>232.71843774679311</v>
      </c>
      <c r="U17" s="76">
        <f t="shared" ref="U17:U80" si="78">$BC17*W$11</f>
        <v>160.57520820462099</v>
      </c>
      <c r="V17" s="123">
        <f t="shared" ref="V17:V80" si="79">+SUM(T17:U17)</f>
        <v>393.29364595141408</v>
      </c>
      <c r="W17" s="166">
        <v>8409990009</v>
      </c>
      <c r="X17" s="170">
        <v>0.05</v>
      </c>
      <c r="Y17" s="74">
        <f t="shared" si="61"/>
        <v>852.78</v>
      </c>
      <c r="Z17" s="188"/>
      <c r="AA17" s="130">
        <f t="shared" ref="AA17:AA80" si="80">IFERROR(AB17/E17,0)</f>
        <v>18232.86</v>
      </c>
      <c r="AB17" s="74">
        <f t="shared" ref="AB17:AB80" si="81">ROUND(SUM(S17,V17,Y17:Z17,BA17:BB17),2)</f>
        <v>18232.86</v>
      </c>
      <c r="AC17" s="356">
        <v>0.19</v>
      </c>
      <c r="AD17" s="130" cm="1">
        <f t="array" ref="AD17">IFERROR(ROUND((_xlfn.IFS(offer_sale_type="поставка",AB17,offer_sale_type="транзит",S17)*(1+AC17))/E17,2),0)</f>
        <v>21697.1</v>
      </c>
      <c r="AE17" s="74">
        <f t="shared" ref="AE17:AE80" si="82">AD17*E17</f>
        <v>21697.1</v>
      </c>
      <c r="AF17" s="123" cm="1">
        <f t="array" ref="AF17">IFERROR(ROUND(_xlfn.IFS(offer_sale_type="поставка",AB17,offer_sale_type="транзит",S17)*AC17,2),0)</f>
        <v>3464.24</v>
      </c>
      <c r="AG17" s="130">
        <f t="shared" si="63"/>
        <v>0</v>
      </c>
      <c r="AH17" s="74">
        <f t="shared" si="64"/>
        <v>662.45858244550516</v>
      </c>
      <c r="AI17" s="123">
        <f t="shared" si="65"/>
        <v>384.85274818350723</v>
      </c>
      <c r="AJ17" s="118">
        <f t="shared" ref="AJ17:AJ80" si="83">IFERROR(ROUND(SUM(AB17,AF17:AI17)/E17,2),0)</f>
        <v>22744.41</v>
      </c>
      <c r="AK17" s="74">
        <f t="shared" ref="AK17:AK80" si="84">AJ17*E17</f>
        <v>22744.41</v>
      </c>
      <c r="AL17" s="174">
        <f t="shared" ref="AL17:AL80" si="85">ROUND(IFERROR(AM17*E17,0),2)</f>
        <v>27293.29</v>
      </c>
      <c r="AM17" s="175">
        <f t="shared" si="66"/>
        <v>27293.29</v>
      </c>
      <c r="AN17" s="130">
        <f t="shared" ref="AN17:AN80" si="86">AL17-AK17</f>
        <v>4548.880000000001</v>
      </c>
      <c r="AO17" s="74">
        <f t="shared" si="67"/>
        <v>3581.6876875493581</v>
      </c>
      <c r="AP17" s="123">
        <f t="shared" ref="AP17:AP80" si="87">AN17-AO17</f>
        <v>967.19231245064293</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0.02</v>
      </c>
      <c r="AX17" s="74">
        <f t="shared" ref="AX17:AX80" si="91">IFERROR(ROUND(S17*(1+AW17)/E17,2),0)</f>
        <v>16822.939999999999</v>
      </c>
      <c r="AY17" s="74">
        <f t="shared" ref="AY17:AY80" si="92">E17*AX17</f>
        <v>16822.939999999999</v>
      </c>
      <c r="AZ17" s="130">
        <f t="shared" ref="AZ17:AZ80" si="93">S17*(1+M17)</f>
        <v>18637.17546218487</v>
      </c>
      <c r="BA17" s="74">
        <f t="shared" si="73"/>
        <v>493.70828533682055</v>
      </c>
      <c r="BB17" s="193">
        <f t="shared" ref="BB17:BB80" si="94">credit_sales_interest*BD17</f>
        <v>0</v>
      </c>
      <c r="BC17" s="102">
        <f t="shared" ref="BC17:BC80" si="95">IFERROR(IF($I$13&gt;0,$I17/$I$13,$S17/$S$13),0)</f>
        <v>6.4230083281848399E-2</v>
      </c>
      <c r="BD17" s="102">
        <f t="shared" ref="BD17:BD80" si="96">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5"/>
        <v>0</v>
      </c>
      <c r="J18" s="195"/>
      <c r="K18" s="162">
        <v>115457.41</v>
      </c>
      <c r="L18" s="168" t="s">
        <v>22</v>
      </c>
      <c r="M18" s="75">
        <f>_xlfn.XLOOKUP(L18,list_vat[Страна],list_vat[Ставка НДС %],0,0)</f>
        <v>0.13</v>
      </c>
      <c r="N18" s="162">
        <f t="shared" si="57"/>
        <v>115457.41</v>
      </c>
      <c r="O18" s="169"/>
      <c r="P18" s="74">
        <f t="shared" ref="P18:P81" si="97">N18*(1-O18)</f>
        <v>115457.41</v>
      </c>
      <c r="Q18" s="162">
        <v>7.14</v>
      </c>
      <c r="R18" s="162">
        <f t="shared" si="58"/>
        <v>16170.505602240897</v>
      </c>
      <c r="S18" s="196">
        <f t="shared" si="76"/>
        <v>16170.505602240897</v>
      </c>
      <c r="T18" s="192">
        <f t="shared" si="77"/>
        <v>228.16695234373012</v>
      </c>
      <c r="U18" s="76">
        <f t="shared" si="78"/>
        <v>157.43469332615516</v>
      </c>
      <c r="V18" s="123">
        <f t="shared" si="79"/>
        <v>385.60164566988527</v>
      </c>
      <c r="W18" s="166">
        <v>8409990009</v>
      </c>
      <c r="X18" s="170">
        <v>0.05</v>
      </c>
      <c r="Y18" s="74">
        <f t="shared" si="61"/>
        <v>836.1</v>
      </c>
      <c r="Z18" s="188"/>
      <c r="AA18" s="130">
        <f t="shared" si="80"/>
        <v>17876.259999999998</v>
      </c>
      <c r="AB18" s="74">
        <f t="shared" si="81"/>
        <v>17876.259999999998</v>
      </c>
      <c r="AC18" s="356">
        <v>0.19</v>
      </c>
      <c r="AD18" s="130" cm="1">
        <f t="array" ref="AD18">IFERROR(ROUND((_xlfn.IFS(offer_sale_type="поставка",AB18,offer_sale_type="транзит",S18)*(1+AC18))/E18,2),0)</f>
        <v>21272.75</v>
      </c>
      <c r="AE18" s="74">
        <f t="shared" si="82"/>
        <v>21272.75</v>
      </c>
      <c r="AF18" s="123" cm="1">
        <f t="array" ref="AF18">IFERROR(ROUND(_xlfn.IFS(offer_sale_type="поставка",AB18,offer_sale_type="транзит",S18)*AC18,2),0)</f>
        <v>3396.49</v>
      </c>
      <c r="AG18" s="130">
        <f t="shared" si="63"/>
        <v>0</v>
      </c>
      <c r="AH18" s="74">
        <f t="shared" si="64"/>
        <v>649.50227502569192</v>
      </c>
      <c r="AI18" s="123">
        <f t="shared" si="65"/>
        <v>377.32583418973178</v>
      </c>
      <c r="AJ18" s="118">
        <f t="shared" si="83"/>
        <v>22299.58</v>
      </c>
      <c r="AK18" s="74">
        <f t="shared" si="84"/>
        <v>22299.58</v>
      </c>
      <c r="AL18" s="174">
        <f t="shared" si="85"/>
        <v>26759.5</v>
      </c>
      <c r="AM18" s="175">
        <f t="shared" si="66"/>
        <v>26759.5</v>
      </c>
      <c r="AN18" s="130">
        <f t="shared" si="86"/>
        <v>4459.9199999999983</v>
      </c>
      <c r="AO18" s="74">
        <f t="shared" si="67"/>
        <v>3511.6373904687457</v>
      </c>
      <c r="AP18" s="123">
        <f t="shared" si="87"/>
        <v>948.28260953125255</v>
      </c>
      <c r="AQ18" s="118">
        <f t="shared" si="88"/>
        <v>0</v>
      </c>
      <c r="AR18" s="82" t="str">
        <f t="shared" si="89"/>
        <v>https://www.alta.ru/tnved/code/8409990009/</v>
      </c>
      <c r="AS18" s="579"/>
      <c r="AT18" s="162"/>
      <c r="AU18" s="74">
        <f t="shared" si="90"/>
        <v>0</v>
      </c>
      <c r="AV18" s="157"/>
      <c r="AW18" s="75">
        <f>_xlfn.IFNA(VLOOKUP(L18,list_vat[],3,FALSE),0)</f>
        <v>0.02</v>
      </c>
      <c r="AX18" s="74">
        <f t="shared" si="91"/>
        <v>16493.919999999998</v>
      </c>
      <c r="AY18" s="74">
        <f t="shared" si="92"/>
        <v>16493.919999999998</v>
      </c>
      <c r="AZ18" s="130">
        <f t="shared" si="93"/>
        <v>18272.671330532212</v>
      </c>
      <c r="BA18" s="74">
        <f t="shared" si="73"/>
        <v>484.05238494560729</v>
      </c>
      <c r="BB18" s="193">
        <f t="shared" si="94"/>
        <v>0</v>
      </c>
      <c r="BC18" s="102">
        <f t="shared" si="95"/>
        <v>6.2973877330462058E-2</v>
      </c>
      <c r="BD18" s="102">
        <f t="shared" si="96"/>
        <v>6.2973877330462058E-2</v>
      </c>
      <c r="BE18" s="413" t="s">
        <v>69</v>
      </c>
    </row>
    <row r="19" spans="1:57" s="65" customFormat="1" x14ac:dyDescent="0.2">
      <c r="A19" s="43">
        <v>4</v>
      </c>
      <c r="B19" s="166" t="s">
        <v>469</v>
      </c>
      <c r="C19" s="166" t="s">
        <v>475</v>
      </c>
      <c r="D19" s="578" t="s">
        <v>476</v>
      </c>
      <c r="E19" s="162">
        <v>1</v>
      </c>
      <c r="F19" s="166"/>
      <c r="G19" s="162"/>
      <c r="H19" s="162"/>
      <c r="I19" s="189">
        <f t="shared" si="75"/>
        <v>0</v>
      </c>
      <c r="J19" s="195"/>
      <c r="K19" s="162">
        <v>102373</v>
      </c>
      <c r="L19" s="168" t="s">
        <v>22</v>
      </c>
      <c r="M19" s="75">
        <f>_xlfn.XLOOKUP(L19,list_vat[Страна],list_vat[Ставка НДС %],0,0)</f>
        <v>0.13</v>
      </c>
      <c r="N19" s="162">
        <f t="shared" si="57"/>
        <v>102373</v>
      </c>
      <c r="O19" s="169"/>
      <c r="P19" s="74">
        <f t="shared" si="97"/>
        <v>102373</v>
      </c>
      <c r="Q19" s="162">
        <v>7.14</v>
      </c>
      <c r="R19" s="162">
        <f t="shared" si="58"/>
        <v>14337.95518207283</v>
      </c>
      <c r="S19" s="196">
        <f t="shared" si="76"/>
        <v>14337.95518207283</v>
      </c>
      <c r="T19" s="192">
        <f t="shared" si="77"/>
        <v>202.30953918232433</v>
      </c>
      <c r="U19" s="76">
        <f t="shared" si="78"/>
        <v>139.59313533777072</v>
      </c>
      <c r="V19" s="123">
        <f t="shared" si="79"/>
        <v>341.90267452009505</v>
      </c>
      <c r="W19" s="166">
        <v>8708913509</v>
      </c>
      <c r="X19" s="170">
        <v>0.05</v>
      </c>
      <c r="Y19" s="74">
        <f t="shared" si="61"/>
        <v>741.35</v>
      </c>
      <c r="Z19" s="188"/>
      <c r="AA19" s="130">
        <f t="shared" si="80"/>
        <v>15850.4</v>
      </c>
      <c r="AB19" s="74">
        <f t="shared" si="81"/>
        <v>15850.4</v>
      </c>
      <c r="AC19" s="356">
        <v>0.19</v>
      </c>
      <c r="AD19" s="130" cm="1">
        <f t="array" ref="AD19">IFERROR(ROUND((_xlfn.IFS(offer_sale_type="поставка",AB19,offer_sale_type="транзит",S19)*(1+AC19))/E19,2),0)</f>
        <v>18861.98</v>
      </c>
      <c r="AE19" s="74">
        <f t="shared" si="82"/>
        <v>18861.98</v>
      </c>
      <c r="AF19" s="123" cm="1">
        <f t="array" ref="AF19">IFERROR(ROUND(_xlfn.IFS(offer_sale_type="поставка",AB19,offer_sale_type="транзит",S19)*AC19,2),0)</f>
        <v>3011.58</v>
      </c>
      <c r="AG19" s="130">
        <f t="shared" si="63"/>
        <v>0</v>
      </c>
      <c r="AH19" s="74">
        <f t="shared" si="64"/>
        <v>575.89634200922364</v>
      </c>
      <c r="AI19" s="123">
        <f t="shared" si="65"/>
        <v>334.56473364078926</v>
      </c>
      <c r="AJ19" s="118">
        <f t="shared" si="83"/>
        <v>19772.439999999999</v>
      </c>
      <c r="AK19" s="74">
        <f t="shared" si="84"/>
        <v>19772.439999999999</v>
      </c>
      <c r="AL19" s="174">
        <f t="shared" si="85"/>
        <v>23726.93</v>
      </c>
      <c r="AM19" s="175">
        <f t="shared" si="66"/>
        <v>23726.93</v>
      </c>
      <c r="AN19" s="130">
        <f t="shared" si="86"/>
        <v>3954.4900000000016</v>
      </c>
      <c r="AO19" s="74">
        <f t="shared" si="67"/>
        <v>3113.6739078364649</v>
      </c>
      <c r="AP19" s="123">
        <f t="shared" si="87"/>
        <v>840.81609216353672</v>
      </c>
      <c r="AQ19" s="118">
        <f t="shared" si="88"/>
        <v>0</v>
      </c>
      <c r="AR19" s="82" t="str">
        <f t="shared" si="89"/>
        <v>https://www.alta.ru/tnved/code/8708913509/</v>
      </c>
      <c r="AS19" s="579"/>
      <c r="AT19" s="162"/>
      <c r="AU19" s="74">
        <f t="shared" si="90"/>
        <v>0</v>
      </c>
      <c r="AV19" s="157"/>
      <c r="AW19" s="75">
        <f>_xlfn.IFNA(VLOOKUP(L19,list_vat[],3,FALSE),0)</f>
        <v>0.02</v>
      </c>
      <c r="AX19" s="74">
        <f t="shared" si="91"/>
        <v>14624.71</v>
      </c>
      <c r="AY19" s="74">
        <f t="shared" si="92"/>
        <v>14624.71</v>
      </c>
      <c r="AZ19" s="130">
        <f t="shared" si="93"/>
        <v>16201.889355742296</v>
      </c>
      <c r="BA19" s="74">
        <f t="shared" si="73"/>
        <v>429.19631406972201</v>
      </c>
      <c r="BB19" s="193">
        <f t="shared" si="94"/>
        <v>0</v>
      </c>
      <c r="BC19" s="102">
        <f t="shared" si="95"/>
        <v>5.5837254135108288E-2</v>
      </c>
      <c r="BD19" s="102">
        <f t="shared" si="96"/>
        <v>5.5837254135108288E-2</v>
      </c>
      <c r="BE19" s="413" t="s">
        <v>69</v>
      </c>
    </row>
    <row r="20" spans="1:57" s="65" customFormat="1" x14ac:dyDescent="0.2">
      <c r="A20" s="43">
        <v>5</v>
      </c>
      <c r="B20" s="166" t="s">
        <v>469</v>
      </c>
      <c r="C20" s="166" t="s">
        <v>477</v>
      </c>
      <c r="D20" s="166" t="s">
        <v>478</v>
      </c>
      <c r="E20" s="162">
        <v>1</v>
      </c>
      <c r="F20" s="166"/>
      <c r="G20" s="162"/>
      <c r="H20" s="162"/>
      <c r="I20" s="189">
        <f t="shared" si="75"/>
        <v>0</v>
      </c>
      <c r="J20" s="195"/>
      <c r="K20" s="162">
        <v>55356.99</v>
      </c>
      <c r="L20" s="168" t="s">
        <v>22</v>
      </c>
      <c r="M20" s="75">
        <f>_xlfn.XLOOKUP(L20,list_vat[Страна],list_vat[Ставка НДС %],0,0)</f>
        <v>0.13</v>
      </c>
      <c r="N20" s="162">
        <f t="shared" si="57"/>
        <v>55356.99</v>
      </c>
      <c r="O20" s="169"/>
      <c r="P20" s="74">
        <f t="shared" si="97"/>
        <v>55356.99</v>
      </c>
      <c r="Q20" s="162">
        <v>7.14</v>
      </c>
      <c r="R20" s="162">
        <f t="shared" si="58"/>
        <v>7753.0798319327732</v>
      </c>
      <c r="S20" s="196">
        <f t="shared" si="76"/>
        <v>7753.0798319327732</v>
      </c>
      <c r="T20" s="192">
        <f t="shared" si="77"/>
        <v>109.39649260469592</v>
      </c>
      <c r="U20" s="76">
        <f t="shared" si="78"/>
        <v>75.48333835055746</v>
      </c>
      <c r="V20" s="123">
        <f t="shared" si="79"/>
        <v>184.8798309552534</v>
      </c>
      <c r="W20" s="166">
        <v>8414900000</v>
      </c>
      <c r="X20" s="170">
        <v>0</v>
      </c>
      <c r="Y20" s="74">
        <f t="shared" si="61"/>
        <v>0</v>
      </c>
      <c r="Z20" s="188"/>
      <c r="AA20" s="130">
        <f t="shared" si="80"/>
        <v>8170.04</v>
      </c>
      <c r="AB20" s="74">
        <f t="shared" si="81"/>
        <v>8170.04</v>
      </c>
      <c r="AC20" s="356">
        <v>0.19</v>
      </c>
      <c r="AD20" s="130" cm="1">
        <f t="array" ref="AD20">IFERROR(ROUND((_xlfn.IFS(offer_sale_type="поставка",AB20,offer_sale_type="транзит",S20)*(1+AC20))/E20,2),0)</f>
        <v>9722.35</v>
      </c>
      <c r="AE20" s="74">
        <f t="shared" si="82"/>
        <v>9722.35</v>
      </c>
      <c r="AF20" s="123" cm="1">
        <f t="array" ref="AF20">IFERROR(ROUND(_xlfn.IFS(offer_sale_type="поставка",AB20,offer_sale_type="транзит",S20)*AC20,2),0)</f>
        <v>1552.31</v>
      </c>
      <c r="AG20" s="130">
        <f t="shared" si="63"/>
        <v>0</v>
      </c>
      <c r="AH20" s="74">
        <f t="shared" si="64"/>
        <v>297.09785778413419</v>
      </c>
      <c r="AI20" s="123">
        <f t="shared" si="65"/>
        <v>180.91192613780819</v>
      </c>
      <c r="AJ20" s="118">
        <f t="shared" si="83"/>
        <v>10200.36</v>
      </c>
      <c r="AK20" s="74">
        <f t="shared" si="84"/>
        <v>10200.36</v>
      </c>
      <c r="AL20" s="174">
        <f t="shared" si="85"/>
        <v>12240.43</v>
      </c>
      <c r="AM20" s="175">
        <f t="shared" si="66"/>
        <v>12240.43</v>
      </c>
      <c r="AN20" s="130">
        <f t="shared" si="86"/>
        <v>2040.0699999999997</v>
      </c>
      <c r="AO20" s="74">
        <f t="shared" si="67"/>
        <v>1603.5072985209392</v>
      </c>
      <c r="AP20" s="123">
        <f t="shared" si="87"/>
        <v>436.56270147906048</v>
      </c>
      <c r="AQ20" s="118">
        <f t="shared" si="88"/>
        <v>0</v>
      </c>
      <c r="AR20" s="82" t="str">
        <f t="shared" si="89"/>
        <v>https://www.alta.ru/tnved/code/8414900000/</v>
      </c>
      <c r="AS20" s="157"/>
      <c r="AT20" s="162"/>
      <c r="AU20" s="74">
        <f t="shared" si="90"/>
        <v>0</v>
      </c>
      <c r="AV20" s="157"/>
      <c r="AW20" s="75">
        <f>_xlfn.IFNA(VLOOKUP(L20,list_vat[],3,FALSE),0)</f>
        <v>0.02</v>
      </c>
      <c r="AX20" s="74">
        <f t="shared" si="91"/>
        <v>7908.14</v>
      </c>
      <c r="AY20" s="74">
        <f t="shared" si="92"/>
        <v>7908.14</v>
      </c>
      <c r="AZ20" s="130">
        <f t="shared" si="93"/>
        <v>8760.9802100840334</v>
      </c>
      <c r="BA20" s="74">
        <f t="shared" si="73"/>
        <v>232.08283498573311</v>
      </c>
      <c r="BB20" s="193">
        <f t="shared" si="94"/>
        <v>0</v>
      </c>
      <c r="BC20" s="102">
        <f t="shared" si="95"/>
        <v>3.0193335340222987E-2</v>
      </c>
      <c r="BD20" s="102">
        <f t="shared" si="96"/>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5"/>
        <v>0</v>
      </c>
      <c r="J21" s="195"/>
      <c r="K21" s="162">
        <v>47124.13</v>
      </c>
      <c r="L21" s="168" t="s">
        <v>22</v>
      </c>
      <c r="M21" s="75">
        <f>_xlfn.XLOOKUP(L21,list_vat[Страна],list_vat[Ставка НДС %],0,0)</f>
        <v>0.13</v>
      </c>
      <c r="N21" s="162">
        <f t="shared" si="57"/>
        <v>47124.13</v>
      </c>
      <c r="O21" s="169"/>
      <c r="P21" s="74">
        <f t="shared" si="97"/>
        <v>47124.13</v>
      </c>
      <c r="Q21" s="162">
        <v>7.14</v>
      </c>
      <c r="R21" s="162">
        <f t="shared" si="58"/>
        <v>6600.018207282913</v>
      </c>
      <c r="S21" s="196">
        <f t="shared" si="76"/>
        <v>6600.018207282913</v>
      </c>
      <c r="T21" s="192">
        <f t="shared" si="77"/>
        <v>93.126713339141617</v>
      </c>
      <c r="U21" s="76">
        <f t="shared" si="78"/>
        <v>64.257226580882659</v>
      </c>
      <c r="V21" s="123">
        <f t="shared" si="79"/>
        <v>157.38393992002426</v>
      </c>
      <c r="W21" s="166">
        <v>8481201009</v>
      </c>
      <c r="X21" s="170">
        <v>0.08</v>
      </c>
      <c r="Y21" s="74">
        <f t="shared" si="61"/>
        <v>546.01</v>
      </c>
      <c r="Z21" s="188"/>
      <c r="AA21" s="130">
        <f t="shared" si="80"/>
        <v>7500.98</v>
      </c>
      <c r="AB21" s="74">
        <f t="shared" si="81"/>
        <v>7500.98</v>
      </c>
      <c r="AC21" s="356">
        <v>0.19</v>
      </c>
      <c r="AD21" s="130" cm="1">
        <f t="array" ref="AD21">IFERROR(ROUND((_xlfn.IFS(offer_sale_type="поставка",AB21,offer_sale_type="транзит",S21)*(1+AC21))/E21,2),0)</f>
        <v>8926.17</v>
      </c>
      <c r="AE21" s="74">
        <f t="shared" si="82"/>
        <v>8926.17</v>
      </c>
      <c r="AF21" s="123" cm="1">
        <f t="array" ref="AF21">IFERROR(ROUND(_xlfn.IFS(offer_sale_type="поставка",AB21,offer_sale_type="транзит",S21)*AC21,2),0)</f>
        <v>1425.19</v>
      </c>
      <c r="AG21" s="130">
        <f t="shared" si="63"/>
        <v>0</v>
      </c>
      <c r="AH21" s="74">
        <f t="shared" si="64"/>
        <v>272.40528461943205</v>
      </c>
      <c r="AI21" s="123">
        <f t="shared" si="65"/>
        <v>154.00615398106854</v>
      </c>
      <c r="AJ21" s="118">
        <f t="shared" si="83"/>
        <v>9352.58</v>
      </c>
      <c r="AK21" s="74">
        <f t="shared" si="84"/>
        <v>9352.58</v>
      </c>
      <c r="AL21" s="174">
        <f t="shared" si="85"/>
        <v>11223.1</v>
      </c>
      <c r="AM21" s="175">
        <f t="shared" si="66"/>
        <v>11223.1</v>
      </c>
      <c r="AN21" s="130">
        <f t="shared" si="86"/>
        <v>1870.5200000000004</v>
      </c>
      <c r="AO21" s="74">
        <f t="shared" si="67"/>
        <v>1474.2313426678286</v>
      </c>
      <c r="AP21" s="123">
        <f t="shared" si="87"/>
        <v>396.28865733217185</v>
      </c>
      <c r="AQ21" s="118">
        <f t="shared" si="88"/>
        <v>0</v>
      </c>
      <c r="AR21" s="82" t="str">
        <f t="shared" si="89"/>
        <v>https://www.alta.ru/tnved/code/8481201009/</v>
      </c>
      <c r="AS21" s="157"/>
      <c r="AT21" s="162"/>
      <c r="AU21" s="74">
        <f t="shared" si="90"/>
        <v>0</v>
      </c>
      <c r="AV21" s="157"/>
      <c r="AW21" s="75">
        <f>_xlfn.IFNA(VLOOKUP(L21,list_vat[],3,FALSE),0)</f>
        <v>0.02</v>
      </c>
      <c r="AX21" s="74">
        <f t="shared" si="91"/>
        <v>6732.02</v>
      </c>
      <c r="AY21" s="74">
        <f t="shared" si="92"/>
        <v>6732.02</v>
      </c>
      <c r="AZ21" s="130">
        <f t="shared" si="93"/>
        <v>7458.0205742296912</v>
      </c>
      <c r="BA21" s="74">
        <f t="shared" si="73"/>
        <v>197.56676955586343</v>
      </c>
      <c r="BB21" s="193">
        <f t="shared" si="94"/>
        <v>0</v>
      </c>
      <c r="BC21" s="102">
        <f t="shared" si="95"/>
        <v>2.5702890632353065E-2</v>
      </c>
      <c r="BD21" s="102">
        <f t="shared" si="96"/>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5"/>
        <v>0</v>
      </c>
      <c r="J22" s="195"/>
      <c r="K22" s="162">
        <v>47490.33</v>
      </c>
      <c r="L22" s="168" t="s">
        <v>22</v>
      </c>
      <c r="M22" s="75">
        <f>_xlfn.XLOOKUP(L22,list_vat[Страна],list_vat[Ставка НДС %],0,0)</f>
        <v>0.13</v>
      </c>
      <c r="N22" s="162">
        <f t="shared" si="57"/>
        <v>47490.33</v>
      </c>
      <c r="O22" s="169"/>
      <c r="P22" s="74">
        <f t="shared" si="97"/>
        <v>47490.33</v>
      </c>
      <c r="Q22" s="162">
        <v>7.14</v>
      </c>
      <c r="R22" s="162">
        <f t="shared" si="58"/>
        <v>6651.3067226890762</v>
      </c>
      <c r="S22" s="196">
        <f t="shared" si="76"/>
        <v>6651.3067226890762</v>
      </c>
      <c r="T22" s="192">
        <f t="shared" si="77"/>
        <v>93.850397838458505</v>
      </c>
      <c r="U22" s="76">
        <f t="shared" si="78"/>
        <v>64.756567287521051</v>
      </c>
      <c r="V22" s="123">
        <f t="shared" si="79"/>
        <v>158.60696512597957</v>
      </c>
      <c r="W22" s="166">
        <v>8414801100</v>
      </c>
      <c r="X22" s="170">
        <v>0</v>
      </c>
      <c r="Y22" s="74">
        <f t="shared" si="61"/>
        <v>0</v>
      </c>
      <c r="Z22" s="188"/>
      <c r="AA22" s="130">
        <f t="shared" si="80"/>
        <v>7009.02</v>
      </c>
      <c r="AB22" s="74">
        <f t="shared" si="81"/>
        <v>7009.02</v>
      </c>
      <c r="AC22" s="356">
        <v>0.19</v>
      </c>
      <c r="AD22" s="130" cm="1">
        <f t="array" ref="AD22">IFERROR(ROUND((_xlfn.IFS(offer_sale_type="поставка",AB22,offer_sale_type="транзит",S22)*(1+AC22))/E22,2),0)</f>
        <v>8340.73</v>
      </c>
      <c r="AE22" s="74">
        <f t="shared" si="82"/>
        <v>8340.73</v>
      </c>
      <c r="AF22" s="123" cm="1">
        <f t="array" ref="AF22">IFERROR(ROUND(_xlfn.IFS(offer_sale_type="поставка",AB22,offer_sale_type="транзит",S22)*AC22,2),0)</f>
        <v>1331.71</v>
      </c>
      <c r="AG22" s="130">
        <f t="shared" si="63"/>
        <v>0</v>
      </c>
      <c r="AH22" s="74">
        <f t="shared" si="64"/>
        <v>254.87798791584589</v>
      </c>
      <c r="AI22" s="123">
        <f t="shared" si="65"/>
        <v>155.20293052819775</v>
      </c>
      <c r="AJ22" s="118">
        <f t="shared" si="83"/>
        <v>8750.81</v>
      </c>
      <c r="AK22" s="74">
        <f t="shared" si="84"/>
        <v>8750.81</v>
      </c>
      <c r="AL22" s="174">
        <f t="shared" si="85"/>
        <v>10500.97</v>
      </c>
      <c r="AM22" s="175">
        <f t="shared" si="66"/>
        <v>10500.97</v>
      </c>
      <c r="AN22" s="130">
        <f t="shared" si="86"/>
        <v>1750.1599999999999</v>
      </c>
      <c r="AO22" s="74">
        <f t="shared" si="67"/>
        <v>1375.6360795676919</v>
      </c>
      <c r="AP22" s="123">
        <f t="shared" si="87"/>
        <v>374.52392043230793</v>
      </c>
      <c r="AQ22" s="118">
        <f t="shared" si="88"/>
        <v>0</v>
      </c>
      <c r="AR22" s="82" t="str">
        <f t="shared" si="89"/>
        <v>https://www.alta.ru/tnved/code/8414801100/</v>
      </c>
      <c r="AS22" s="157"/>
      <c r="AT22" s="162"/>
      <c r="AU22" s="74">
        <f t="shared" si="90"/>
        <v>0</v>
      </c>
      <c r="AV22" s="157"/>
      <c r="AW22" s="75">
        <f>_xlfn.IFNA(VLOOKUP(L22,list_vat[],3,FALSE),0)</f>
        <v>0.02</v>
      </c>
      <c r="AX22" s="74">
        <f t="shared" si="91"/>
        <v>6784.33</v>
      </c>
      <c r="AY22" s="74">
        <f t="shared" si="92"/>
        <v>6784.33</v>
      </c>
      <c r="AZ22" s="130">
        <f t="shared" si="93"/>
        <v>7515.9765966386558</v>
      </c>
      <c r="BA22" s="74">
        <f t="shared" si="73"/>
        <v>199.10205415446202</v>
      </c>
      <c r="BB22" s="193">
        <f t="shared" si="94"/>
        <v>0</v>
      </c>
      <c r="BC22" s="102">
        <f t="shared" si="95"/>
        <v>2.5902626915008421E-2</v>
      </c>
      <c r="BD22" s="102">
        <f t="shared" si="96"/>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5"/>
        <v>0</v>
      </c>
      <c r="J23" s="195"/>
      <c r="K23" s="162">
        <v>52349.75</v>
      </c>
      <c r="L23" s="168" t="s">
        <v>22</v>
      </c>
      <c r="M23" s="75">
        <f>_xlfn.XLOOKUP(L23,list_vat[Страна],list_vat[Ставка НДС %],0,0)</f>
        <v>0.13</v>
      </c>
      <c r="N23" s="162">
        <f t="shared" si="57"/>
        <v>52349.75</v>
      </c>
      <c r="O23" s="169"/>
      <c r="P23" s="74">
        <f t="shared" si="97"/>
        <v>52349.75</v>
      </c>
      <c r="Q23" s="162">
        <v>7.14</v>
      </c>
      <c r="R23" s="162">
        <f t="shared" si="58"/>
        <v>7331.8977591036419</v>
      </c>
      <c r="S23" s="196">
        <f t="shared" si="76"/>
        <v>7331.8977591036419</v>
      </c>
      <c r="T23" s="192">
        <f t="shared" si="77"/>
        <v>103.45358442958478</v>
      </c>
      <c r="U23" s="76">
        <f t="shared" si="78"/>
        <v>71.382744831630049</v>
      </c>
      <c r="V23" s="123">
        <f t="shared" si="79"/>
        <v>174.83632926121481</v>
      </c>
      <c r="W23" s="166">
        <v>8414801100</v>
      </c>
      <c r="X23" s="170">
        <v>0</v>
      </c>
      <c r="Y23" s="74">
        <f t="shared" si="61"/>
        <v>0</v>
      </c>
      <c r="Z23" s="188"/>
      <c r="AA23" s="130">
        <f t="shared" si="80"/>
        <v>7726.21</v>
      </c>
      <c r="AB23" s="74">
        <f t="shared" si="81"/>
        <v>7726.21</v>
      </c>
      <c r="AC23" s="356">
        <v>0.19</v>
      </c>
      <c r="AD23" s="130" cm="1">
        <f t="array" ref="AD23">IFERROR(ROUND((_xlfn.IFS(offer_sale_type="поставка",AB23,offer_sale_type="транзит",S23)*(1+AC23))/E23,2),0)</f>
        <v>9194.19</v>
      </c>
      <c r="AE23" s="74">
        <f t="shared" si="82"/>
        <v>9194.19</v>
      </c>
      <c r="AF23" s="123" cm="1">
        <f t="array" ref="AF23">IFERROR(ROUND(_xlfn.IFS(offer_sale_type="поставка",AB23,offer_sale_type="транзит",S23)*AC23,2),0)</f>
        <v>1467.98</v>
      </c>
      <c r="AG23" s="130">
        <f t="shared" si="63"/>
        <v>0</v>
      </c>
      <c r="AH23" s="74">
        <f t="shared" si="64"/>
        <v>280.95821936494349</v>
      </c>
      <c r="AI23" s="123">
        <f t="shared" si="65"/>
        <v>171.08397883144883</v>
      </c>
      <c r="AJ23" s="118">
        <f t="shared" si="83"/>
        <v>9646.23</v>
      </c>
      <c r="AK23" s="74">
        <f t="shared" si="84"/>
        <v>9646.23</v>
      </c>
      <c r="AL23" s="174">
        <f t="shared" si="85"/>
        <v>11575.48</v>
      </c>
      <c r="AM23" s="175">
        <f t="shared" si="66"/>
        <v>11575.48</v>
      </c>
      <c r="AN23" s="130">
        <f t="shared" si="86"/>
        <v>1929.25</v>
      </c>
      <c r="AO23" s="74">
        <f t="shared" si="67"/>
        <v>1516.3987168859171</v>
      </c>
      <c r="AP23" s="123">
        <f t="shared" si="87"/>
        <v>412.85128311408289</v>
      </c>
      <c r="AQ23" s="118">
        <f t="shared" si="88"/>
        <v>0</v>
      </c>
      <c r="AR23" s="82" t="str">
        <f t="shared" si="89"/>
        <v>https://www.alta.ru/tnved/code/8414801100/</v>
      </c>
      <c r="AS23" s="157"/>
      <c r="AT23" s="162"/>
      <c r="AU23" s="74">
        <f t="shared" si="90"/>
        <v>0</v>
      </c>
      <c r="AV23" s="157"/>
      <c r="AW23" s="75">
        <f>_xlfn.IFNA(VLOOKUP(L23,list_vat[],3,FALSE),0)</f>
        <v>0.02</v>
      </c>
      <c r="AX23" s="74">
        <f t="shared" si="91"/>
        <v>7478.54</v>
      </c>
      <c r="AY23" s="74">
        <f t="shared" si="92"/>
        <v>7478.54</v>
      </c>
      <c r="AZ23" s="130">
        <f t="shared" si="93"/>
        <v>8285.0444677871146</v>
      </c>
      <c r="BA23" s="74">
        <f t="shared" si="73"/>
        <v>219.47505438417775</v>
      </c>
      <c r="BB23" s="193">
        <f t="shared" si="94"/>
        <v>0</v>
      </c>
      <c r="BC23" s="102">
        <f t="shared" si="95"/>
        <v>2.8553097932652018E-2</v>
      </c>
      <c r="BD23" s="102">
        <f t="shared" si="96"/>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5"/>
        <v>0</v>
      </c>
      <c r="J24" s="195"/>
      <c r="K24" s="162">
        <v>46403.65</v>
      </c>
      <c r="L24" s="168" t="s">
        <v>22</v>
      </c>
      <c r="M24" s="75">
        <f>_xlfn.XLOOKUP(L24,list_vat[Страна],list_vat[Ставка НДС %],0,0)</f>
        <v>0.13</v>
      </c>
      <c r="N24" s="162">
        <f t="shared" si="57"/>
        <v>46403.65</v>
      </c>
      <c r="O24" s="169"/>
      <c r="P24" s="74">
        <f t="shared" si="97"/>
        <v>46403.65</v>
      </c>
      <c r="Q24" s="162">
        <v>7.14</v>
      </c>
      <c r="R24" s="162">
        <f t="shared" si="58"/>
        <v>6499.1106442577038</v>
      </c>
      <c r="S24" s="196">
        <f t="shared" si="76"/>
        <v>6499.1106442577038</v>
      </c>
      <c r="T24" s="192">
        <f t="shared" si="77"/>
        <v>91.702900646438664</v>
      </c>
      <c r="U24" s="76">
        <f t="shared" si="78"/>
        <v>63.274798966685985</v>
      </c>
      <c r="V24" s="123">
        <f t="shared" si="79"/>
        <v>154.97769961312466</v>
      </c>
      <c r="W24" s="191">
        <v>8413302008</v>
      </c>
      <c r="X24" s="170">
        <v>0</v>
      </c>
      <c r="Y24" s="74">
        <f t="shared" si="61"/>
        <v>0</v>
      </c>
      <c r="Z24" s="188"/>
      <c r="AA24" s="130">
        <f t="shared" si="80"/>
        <v>6848.63</v>
      </c>
      <c r="AB24" s="74">
        <f t="shared" si="81"/>
        <v>6848.63</v>
      </c>
      <c r="AC24" s="356">
        <v>0.19</v>
      </c>
      <c r="AD24" s="130" cm="1">
        <f t="array" ref="AD24">IFERROR(ROUND((_xlfn.IFS(offer_sale_type="поставка",AB24,offer_sale_type="транзит",S24)*(1+AC24))/E24,2),0)</f>
        <v>8149.87</v>
      </c>
      <c r="AE24" s="74">
        <f t="shared" si="82"/>
        <v>8149.87</v>
      </c>
      <c r="AF24" s="123" cm="1">
        <f t="array" ref="AF24">IFERROR(ROUND(_xlfn.IFS(offer_sale_type="поставка",AB24,offer_sale_type="транзит",S24)*AC24,2),0)</f>
        <v>1301.24</v>
      </c>
      <c r="AG24" s="130">
        <f t="shared" si="63"/>
        <v>0</v>
      </c>
      <c r="AH24" s="74">
        <f t="shared" si="64"/>
        <v>249.04564669753071</v>
      </c>
      <c r="AI24" s="123">
        <f t="shared" si="65"/>
        <v>151.65155658435737</v>
      </c>
      <c r="AJ24" s="118">
        <f t="shared" si="83"/>
        <v>8550.57</v>
      </c>
      <c r="AK24" s="74">
        <f t="shared" si="84"/>
        <v>8550.57</v>
      </c>
      <c r="AL24" s="174">
        <f t="shared" si="85"/>
        <v>10260.68</v>
      </c>
      <c r="AM24" s="175">
        <f t="shared" si="66"/>
        <v>10260.68</v>
      </c>
      <c r="AN24" s="130">
        <f t="shared" si="86"/>
        <v>1710.1100000000006</v>
      </c>
      <c r="AO24" s="74">
        <f t="shared" si="67"/>
        <v>1344.1585801292879</v>
      </c>
      <c r="AP24" s="123">
        <f t="shared" si="87"/>
        <v>365.9514198707127</v>
      </c>
      <c r="AQ24" s="118">
        <f t="shared" si="88"/>
        <v>0</v>
      </c>
      <c r="AR24" s="82" t="str">
        <f t="shared" si="89"/>
        <v>https://www.alta.ru/tnved/code/8413302008/</v>
      </c>
      <c r="AS24" s="157"/>
      <c r="AT24" s="162"/>
      <c r="AU24" s="74">
        <f t="shared" si="90"/>
        <v>0</v>
      </c>
      <c r="AV24" s="157"/>
      <c r="AW24" s="75">
        <f>_xlfn.IFNA(VLOOKUP(L24,list_vat[],3,FALSE),0)</f>
        <v>0.02</v>
      </c>
      <c r="AX24" s="74">
        <f t="shared" si="91"/>
        <v>6629.09</v>
      </c>
      <c r="AY24" s="74">
        <f t="shared" si="92"/>
        <v>6629.09</v>
      </c>
      <c r="AZ24" s="130">
        <f t="shared" si="93"/>
        <v>7343.9950280112043</v>
      </c>
      <c r="BA24" s="74">
        <f t="shared" si="73"/>
        <v>194.54617466892105</v>
      </c>
      <c r="BB24" s="193">
        <f t="shared" si="94"/>
        <v>0</v>
      </c>
      <c r="BC24" s="102">
        <f t="shared" si="95"/>
        <v>2.5309919586674393E-2</v>
      </c>
      <c r="BD24" s="102">
        <f t="shared" si="96"/>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5"/>
        <v>0</v>
      </c>
      <c r="J25" s="195"/>
      <c r="K25" s="162">
        <v>40274.800000000003</v>
      </c>
      <c r="L25" s="168" t="s">
        <v>22</v>
      </c>
      <c r="M25" s="75">
        <f>_xlfn.XLOOKUP(L25,list_vat[Страна],list_vat[Ставка НДС %],0,0)</f>
        <v>0.13</v>
      </c>
      <c r="N25" s="162">
        <f t="shared" si="57"/>
        <v>40274.800000000003</v>
      </c>
      <c r="O25" s="169"/>
      <c r="P25" s="74">
        <f t="shared" si="97"/>
        <v>40274.800000000003</v>
      </c>
      <c r="Q25" s="162">
        <v>7.14</v>
      </c>
      <c r="R25" s="162">
        <f t="shared" si="58"/>
        <v>5640.7282913165272</v>
      </c>
      <c r="S25" s="196">
        <f t="shared" si="76"/>
        <v>5640.7282913165272</v>
      </c>
      <c r="T25" s="192">
        <f t="shared" si="77"/>
        <v>79.591066283690779</v>
      </c>
      <c r="U25" s="76">
        <f t="shared" si="78"/>
        <v>54.917659999234644</v>
      </c>
      <c r="V25" s="123">
        <f t="shared" si="79"/>
        <v>134.50872628292541</v>
      </c>
      <c r="W25" s="191">
        <v>8481201009</v>
      </c>
      <c r="X25" s="170">
        <v>0.08</v>
      </c>
      <c r="Y25" s="74">
        <f t="shared" si="61"/>
        <v>466.65</v>
      </c>
      <c r="Z25" s="188"/>
      <c r="AA25" s="130">
        <f t="shared" si="80"/>
        <v>6410.74</v>
      </c>
      <c r="AB25" s="74">
        <f t="shared" si="81"/>
        <v>6410.74</v>
      </c>
      <c r="AC25" s="356">
        <v>0.19</v>
      </c>
      <c r="AD25" s="130" cm="1">
        <f t="array" ref="AD25">IFERROR(ROUND((_xlfn.IFS(offer_sale_type="поставка",AB25,offer_sale_type="транзит",S25)*(1+AC25))/E25,2),0)</f>
        <v>7628.78</v>
      </c>
      <c r="AE25" s="74">
        <f t="shared" si="82"/>
        <v>7628.78</v>
      </c>
      <c r="AF25" s="123" cm="1">
        <f t="array" ref="AF25">IFERROR(ROUND(_xlfn.IFS(offer_sale_type="поставка",AB25,offer_sale_type="транзит",S25)*AC25,2),0)</f>
        <v>1218.04</v>
      </c>
      <c r="AG25" s="130">
        <f t="shared" si="63"/>
        <v>0</v>
      </c>
      <c r="AH25" s="74">
        <f t="shared" si="64"/>
        <v>232.81205669691303</v>
      </c>
      <c r="AI25" s="123">
        <f t="shared" si="65"/>
        <v>131.62188989710236</v>
      </c>
      <c r="AJ25" s="118">
        <f t="shared" si="83"/>
        <v>7993.21</v>
      </c>
      <c r="AK25" s="74">
        <f t="shared" si="84"/>
        <v>7993.21</v>
      </c>
      <c r="AL25" s="174">
        <f t="shared" si="85"/>
        <v>9591.85</v>
      </c>
      <c r="AM25" s="175">
        <f t="shared" si="66"/>
        <v>9591.85</v>
      </c>
      <c r="AN25" s="130">
        <f t="shared" si="86"/>
        <v>1598.6400000000003</v>
      </c>
      <c r="AO25" s="74">
        <f t="shared" si="67"/>
        <v>1259.956213256738</v>
      </c>
      <c r="AP25" s="123">
        <f t="shared" si="87"/>
        <v>338.68378674326232</v>
      </c>
      <c r="AQ25" s="118">
        <f t="shared" si="88"/>
        <v>0</v>
      </c>
      <c r="AR25" s="82" t="str">
        <f t="shared" si="89"/>
        <v>https://www.alta.ru/tnved/code/8481201009/</v>
      </c>
      <c r="AS25" s="157"/>
      <c r="AT25" s="162"/>
      <c r="AU25" s="74">
        <f t="shared" si="90"/>
        <v>0</v>
      </c>
      <c r="AV25" s="157"/>
      <c r="AW25" s="75">
        <f>_xlfn.IFNA(VLOOKUP(L25,list_vat[],3,FALSE),0)</f>
        <v>0.02</v>
      </c>
      <c r="AX25" s="74">
        <f t="shared" si="91"/>
        <v>5753.54</v>
      </c>
      <c r="AY25" s="74">
        <f t="shared" si="92"/>
        <v>5753.54</v>
      </c>
      <c r="AZ25" s="130">
        <f t="shared" si="93"/>
        <v>6374.0229691876748</v>
      </c>
      <c r="BA25" s="74">
        <f t="shared" si="73"/>
        <v>168.85112002085745</v>
      </c>
      <c r="BB25" s="193">
        <f t="shared" si="94"/>
        <v>0</v>
      </c>
      <c r="BC25" s="102">
        <f t="shared" si="95"/>
        <v>2.1967063999693857E-2</v>
      </c>
      <c r="BD25" s="102">
        <f t="shared" si="96"/>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5"/>
        <v>0</v>
      </c>
      <c r="J26" s="195"/>
      <c r="K26" s="162">
        <v>19132.349999999999</v>
      </c>
      <c r="L26" s="168" t="s">
        <v>22</v>
      </c>
      <c r="M26" s="75">
        <f>_xlfn.XLOOKUP(L26,list_vat[Страна],list_vat[Ставка НДС %],0,0)</f>
        <v>0.13</v>
      </c>
      <c r="N26" s="162">
        <f t="shared" si="57"/>
        <v>19132.349999999999</v>
      </c>
      <c r="O26" s="169"/>
      <c r="P26" s="74">
        <f t="shared" si="97"/>
        <v>19132.349999999999</v>
      </c>
      <c r="Q26" s="162">
        <v>7.14</v>
      </c>
      <c r="R26" s="162">
        <f t="shared" si="58"/>
        <v>2679.6008403361343</v>
      </c>
      <c r="S26" s="196">
        <f t="shared" si="76"/>
        <v>2679.6008403361343</v>
      </c>
      <c r="T26" s="192">
        <f t="shared" si="77"/>
        <v>37.809353169047917</v>
      </c>
      <c r="U26" s="76">
        <f t="shared" si="78"/>
        <v>26.08837020385841</v>
      </c>
      <c r="V26" s="123">
        <f t="shared" si="79"/>
        <v>63.897723372906327</v>
      </c>
      <c r="W26" s="191">
        <v>8414801100</v>
      </c>
      <c r="X26" s="170">
        <v>0</v>
      </c>
      <c r="Y26" s="74">
        <f t="shared" si="61"/>
        <v>0</v>
      </c>
      <c r="Z26" s="188"/>
      <c r="AA26" s="130">
        <f t="shared" si="80"/>
        <v>2823.71</v>
      </c>
      <c r="AB26" s="74">
        <f t="shared" si="81"/>
        <v>2823.71</v>
      </c>
      <c r="AC26" s="356">
        <v>0.19</v>
      </c>
      <c r="AD26" s="130" cm="1">
        <f t="array" ref="AD26">IFERROR(ROUND((_xlfn.IFS(offer_sale_type="поставка",AB26,offer_sale_type="транзит",S26)*(1+AC26))/E26,2),0)</f>
        <v>3360.21</v>
      </c>
      <c r="AE26" s="74">
        <f t="shared" si="82"/>
        <v>3360.21</v>
      </c>
      <c r="AF26" s="123" cm="1">
        <f t="array" ref="AF26">IFERROR(ROUND(_xlfn.IFS(offer_sale_type="поставка",AB26,offer_sale_type="транзит",S26)*AC26,2),0)</f>
        <v>536.5</v>
      </c>
      <c r="AG26" s="130">
        <f t="shared" si="63"/>
        <v>0</v>
      </c>
      <c r="AH26" s="74">
        <f t="shared" si="64"/>
        <v>102.68209036904427</v>
      </c>
      <c r="AI26" s="123">
        <f t="shared" si="65"/>
        <v>62.526345634809523</v>
      </c>
      <c r="AJ26" s="118">
        <f t="shared" si="83"/>
        <v>3525.42</v>
      </c>
      <c r="AK26" s="74">
        <f t="shared" si="84"/>
        <v>3525.42</v>
      </c>
      <c r="AL26" s="174">
        <f t="shared" si="85"/>
        <v>4230.5</v>
      </c>
      <c r="AM26" s="175">
        <f t="shared" si="66"/>
        <v>4230.5</v>
      </c>
      <c r="AN26" s="130">
        <f t="shared" si="86"/>
        <v>705.07999999999993</v>
      </c>
      <c r="AO26" s="74">
        <f t="shared" si="67"/>
        <v>554.19987063380961</v>
      </c>
      <c r="AP26" s="123">
        <f t="shared" si="87"/>
        <v>150.88012936619032</v>
      </c>
      <c r="AQ26" s="118">
        <f t="shared" si="88"/>
        <v>0</v>
      </c>
      <c r="AR26" s="82" t="str">
        <f t="shared" si="89"/>
        <v>https://www.alta.ru/tnved/code/8414801100/</v>
      </c>
      <c r="AS26" s="157"/>
      <c r="AT26" s="162"/>
      <c r="AU26" s="74">
        <f t="shared" si="90"/>
        <v>0</v>
      </c>
      <c r="AV26" s="157"/>
      <c r="AW26" s="75">
        <f>_xlfn.IFNA(VLOOKUP(L26,list_vat[],3,FALSE),0)</f>
        <v>0.02</v>
      </c>
      <c r="AX26" s="74">
        <f t="shared" si="91"/>
        <v>2733.19</v>
      </c>
      <c r="AY26" s="74">
        <f t="shared" si="92"/>
        <v>2733.19</v>
      </c>
      <c r="AZ26" s="130">
        <f t="shared" si="93"/>
        <v>3027.9489495798316</v>
      </c>
      <c r="BA26" s="74">
        <f t="shared" si="73"/>
        <v>80.211912315667647</v>
      </c>
      <c r="BB26" s="193">
        <f t="shared" si="94"/>
        <v>0</v>
      </c>
      <c r="BC26" s="102">
        <f t="shared" si="95"/>
        <v>1.0435348081543365E-2</v>
      </c>
      <c r="BD26" s="102">
        <f t="shared" si="96"/>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5"/>
        <v>0</v>
      </c>
      <c r="J27" s="195"/>
      <c r="K27" s="162">
        <v>28179.69</v>
      </c>
      <c r="L27" s="168" t="s">
        <v>22</v>
      </c>
      <c r="M27" s="75">
        <f>_xlfn.XLOOKUP(L27,list_vat[Страна],list_vat[Ставка НДС %],0,0)</f>
        <v>0.13</v>
      </c>
      <c r="N27" s="162">
        <f t="shared" si="57"/>
        <v>28179.69</v>
      </c>
      <c r="O27" s="169"/>
      <c r="P27" s="74">
        <f t="shared" si="97"/>
        <v>28179.69</v>
      </c>
      <c r="Q27" s="162">
        <v>7.14</v>
      </c>
      <c r="R27" s="162">
        <f t="shared" si="58"/>
        <v>3946.7352941176468</v>
      </c>
      <c r="S27" s="196">
        <f t="shared" si="76"/>
        <v>3946.7352941176468</v>
      </c>
      <c r="T27" s="192">
        <f t="shared" si="77"/>
        <v>55.688707942531259</v>
      </c>
      <c r="U27" s="76">
        <f t="shared" si="78"/>
        <v>38.425085520072905</v>
      </c>
      <c r="V27" s="123">
        <f t="shared" si="79"/>
        <v>94.113793462604164</v>
      </c>
      <c r="W27" s="191">
        <v>8413302008</v>
      </c>
      <c r="X27" s="170">
        <v>0</v>
      </c>
      <c r="Y27" s="74">
        <f t="shared" si="61"/>
        <v>0</v>
      </c>
      <c r="Z27" s="188"/>
      <c r="AA27" s="130">
        <f t="shared" si="80"/>
        <v>4158.99</v>
      </c>
      <c r="AB27" s="74">
        <f t="shared" si="81"/>
        <v>4158.99</v>
      </c>
      <c r="AC27" s="356">
        <v>0.19</v>
      </c>
      <c r="AD27" s="130" cm="1">
        <f t="array" ref="AD27">IFERROR(ROUND((_xlfn.IFS(offer_sale_type="поставка",AB27,offer_sale_type="транзит",S27)*(1+AC27))/E27,2),0)</f>
        <v>4949.2</v>
      </c>
      <c r="AE27" s="74">
        <f t="shared" si="82"/>
        <v>4949.2</v>
      </c>
      <c r="AF27" s="123" cm="1">
        <f t="array" ref="AF27">IFERROR(ROUND(_xlfn.IFS(offer_sale_type="поставка",AB27,offer_sale_type="транзит",S27)*AC27,2),0)</f>
        <v>790.21</v>
      </c>
      <c r="AG27" s="130">
        <f t="shared" si="63"/>
        <v>0</v>
      </c>
      <c r="AH27" s="74">
        <f t="shared" si="64"/>
        <v>151.23881748476549</v>
      </c>
      <c r="AI27" s="123">
        <f t="shared" si="65"/>
        <v>92.093916158850604</v>
      </c>
      <c r="AJ27" s="118">
        <f t="shared" si="83"/>
        <v>5192.53</v>
      </c>
      <c r="AK27" s="74">
        <f t="shared" si="84"/>
        <v>5192.53</v>
      </c>
      <c r="AL27" s="174">
        <f t="shared" si="85"/>
        <v>6231.04</v>
      </c>
      <c r="AM27" s="175">
        <f t="shared" si="66"/>
        <v>6231.04</v>
      </c>
      <c r="AN27" s="130">
        <f t="shared" si="86"/>
        <v>1038.5100000000002</v>
      </c>
      <c r="AO27" s="74">
        <f t="shared" si="67"/>
        <v>816.2717415885063</v>
      </c>
      <c r="AP27" s="123">
        <f t="shared" si="87"/>
        <v>222.23825841149392</v>
      </c>
      <c r="AQ27" s="118">
        <f t="shared" si="88"/>
        <v>0</v>
      </c>
      <c r="AR27" s="82" t="str">
        <f t="shared" si="89"/>
        <v>https://www.alta.ru/tnved/code/8413302008/</v>
      </c>
      <c r="AS27" s="157"/>
      <c r="AT27" s="162"/>
      <c r="AU27" s="74">
        <f t="shared" si="90"/>
        <v>0</v>
      </c>
      <c r="AV27" s="157"/>
      <c r="AW27" s="75">
        <f>_xlfn.IFNA(VLOOKUP(L27,list_vat[],3,FALSE),0)</f>
        <v>0.02</v>
      </c>
      <c r="AX27" s="74">
        <f t="shared" si="91"/>
        <v>4025.67</v>
      </c>
      <c r="AY27" s="74">
        <f t="shared" si="92"/>
        <v>4025.67</v>
      </c>
      <c r="AZ27" s="130">
        <f t="shared" si="93"/>
        <v>4459.8108823529401</v>
      </c>
      <c r="BA27" s="74">
        <f t="shared" si="73"/>
        <v>118.14266534757604</v>
      </c>
      <c r="BB27" s="193">
        <f t="shared" si="94"/>
        <v>0</v>
      </c>
      <c r="BC27" s="102">
        <f t="shared" si="95"/>
        <v>1.5370034208029163E-2</v>
      </c>
      <c r="BD27" s="102">
        <f t="shared" si="96"/>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5"/>
        <v>0</v>
      </c>
      <c r="J28" s="195"/>
      <c r="K28" s="162">
        <v>32390.71</v>
      </c>
      <c r="L28" s="168" t="s">
        <v>22</v>
      </c>
      <c r="M28" s="75">
        <f>_xlfn.XLOOKUP(L28,list_vat[Страна],list_vat[Ставка НДС %],0,0)</f>
        <v>0.13</v>
      </c>
      <c r="N28" s="162">
        <f t="shared" si="57"/>
        <v>32390.71</v>
      </c>
      <c r="O28" s="169"/>
      <c r="P28" s="74">
        <f t="shared" si="97"/>
        <v>32390.71</v>
      </c>
      <c r="Q28" s="162">
        <v>7.14</v>
      </c>
      <c r="R28" s="162">
        <f t="shared" si="58"/>
        <v>4536.514005602241</v>
      </c>
      <c r="S28" s="196">
        <f t="shared" si="76"/>
        <v>4536.514005602241</v>
      </c>
      <c r="T28" s="192">
        <f t="shared" si="77"/>
        <v>64.010526348630052</v>
      </c>
      <c r="U28" s="76">
        <f t="shared" si="78"/>
        <v>44.167121845764832</v>
      </c>
      <c r="V28" s="123">
        <f t="shared" si="79"/>
        <v>108.17764819439489</v>
      </c>
      <c r="W28" s="191">
        <v>8414801100</v>
      </c>
      <c r="X28" s="170">
        <v>0</v>
      </c>
      <c r="Y28" s="74">
        <f t="shared" si="61"/>
        <v>0</v>
      </c>
      <c r="Z28" s="188"/>
      <c r="AA28" s="130">
        <f t="shared" si="80"/>
        <v>4780.49</v>
      </c>
      <c r="AB28" s="74">
        <f t="shared" si="81"/>
        <v>4780.49</v>
      </c>
      <c r="AC28" s="356">
        <v>0.19</v>
      </c>
      <c r="AD28" s="130" cm="1">
        <f t="array" ref="AD28">IFERROR(ROUND((_xlfn.IFS(offer_sale_type="поставка",AB28,offer_sale_type="транзит",S28)*(1+AC28))/E28,2),0)</f>
        <v>5688.78</v>
      </c>
      <c r="AE28" s="74">
        <f t="shared" si="82"/>
        <v>5688.78</v>
      </c>
      <c r="AF28" s="123" cm="1">
        <f t="array" ref="AF28">IFERROR(ROUND(_xlfn.IFS(offer_sale_type="поставка",AB28,offer_sale_type="транзит",S28)*AC28,2),0)</f>
        <v>908.29</v>
      </c>
      <c r="AG28" s="130">
        <f t="shared" si="63"/>
        <v>0</v>
      </c>
      <c r="AH28" s="74">
        <f t="shared" si="64"/>
        <v>173.83907794152344</v>
      </c>
      <c r="AI28" s="123">
        <f t="shared" si="65"/>
        <v>105.85593138411546</v>
      </c>
      <c r="AJ28" s="118">
        <f t="shared" si="83"/>
        <v>5968.48</v>
      </c>
      <c r="AK28" s="74">
        <f t="shared" si="84"/>
        <v>5968.48</v>
      </c>
      <c r="AL28" s="174">
        <f t="shared" si="85"/>
        <v>7162.18</v>
      </c>
      <c r="AM28" s="175">
        <f t="shared" si="66"/>
        <v>7162.18</v>
      </c>
      <c r="AN28" s="130">
        <f t="shared" si="86"/>
        <v>1193.7000000000007</v>
      </c>
      <c r="AO28" s="74">
        <f t="shared" si="67"/>
        <v>938.25010526972608</v>
      </c>
      <c r="AP28" s="123">
        <f t="shared" si="87"/>
        <v>255.44989473027465</v>
      </c>
      <c r="AQ28" s="118">
        <f t="shared" si="88"/>
        <v>0</v>
      </c>
      <c r="AR28" s="82" t="str">
        <f t="shared" si="89"/>
        <v>https://www.alta.ru/tnved/code/8414801100/</v>
      </c>
      <c r="AS28" s="157"/>
      <c r="AT28" s="162"/>
      <c r="AU28" s="74">
        <f t="shared" si="90"/>
        <v>0</v>
      </c>
      <c r="AV28" s="157"/>
      <c r="AW28" s="75">
        <f>_xlfn.IFNA(VLOOKUP(L28,list_vat[],3,FALSE),0)</f>
        <v>0.02</v>
      </c>
      <c r="AX28" s="74">
        <f t="shared" si="91"/>
        <v>4627.24</v>
      </c>
      <c r="AY28" s="74">
        <f t="shared" si="92"/>
        <v>4627.24</v>
      </c>
      <c r="AZ28" s="130">
        <f t="shared" si="93"/>
        <v>5126.2608263305319</v>
      </c>
      <c r="BA28" s="74">
        <f t="shared" si="73"/>
        <v>135.79726433826579</v>
      </c>
      <c r="BB28" s="193">
        <f t="shared" si="94"/>
        <v>0</v>
      </c>
      <c r="BC28" s="102">
        <f t="shared" si="95"/>
        <v>1.7666848738305933E-2</v>
      </c>
      <c r="BD28" s="102">
        <f t="shared" si="96"/>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5"/>
        <v>0</v>
      </c>
      <c r="J29" s="195"/>
      <c r="K29" s="162">
        <v>28587.74</v>
      </c>
      <c r="L29" s="168" t="s">
        <v>22</v>
      </c>
      <c r="M29" s="75">
        <f>_xlfn.XLOOKUP(L29,list_vat[Страна],list_vat[Ставка НДС %],0,0)</f>
        <v>0.13</v>
      </c>
      <c r="N29" s="162">
        <f t="shared" si="57"/>
        <v>28587.74</v>
      </c>
      <c r="O29" s="169"/>
      <c r="P29" s="74">
        <f t="shared" si="97"/>
        <v>28587.74</v>
      </c>
      <c r="Q29" s="162">
        <v>7.14</v>
      </c>
      <c r="R29" s="162">
        <f t="shared" si="58"/>
        <v>4003.8851540616251</v>
      </c>
      <c r="S29" s="196">
        <f t="shared" si="76"/>
        <v>4003.8851540616251</v>
      </c>
      <c r="T29" s="192">
        <f t="shared" si="77"/>
        <v>56.495096418626993</v>
      </c>
      <c r="U29" s="76">
        <f t="shared" si="78"/>
        <v>38.981491788078905</v>
      </c>
      <c r="V29" s="123">
        <f t="shared" si="79"/>
        <v>95.476588206705898</v>
      </c>
      <c r="W29" s="191">
        <v>8708913509</v>
      </c>
      <c r="X29" s="170">
        <v>0.05</v>
      </c>
      <c r="Y29" s="74">
        <f t="shared" si="61"/>
        <v>207.02</v>
      </c>
      <c r="Z29" s="188"/>
      <c r="AA29" s="130">
        <f t="shared" si="80"/>
        <v>4426.24</v>
      </c>
      <c r="AB29" s="74">
        <f t="shared" si="81"/>
        <v>4426.24</v>
      </c>
      <c r="AC29" s="356">
        <v>0.19</v>
      </c>
      <c r="AD29" s="130" cm="1">
        <f t="array" ref="AD29">IFERROR(ROUND((_xlfn.IFS(offer_sale_type="поставка",AB29,offer_sale_type="транзит",S29)*(1+AC29))/E29,2),0)</f>
        <v>5267.23</v>
      </c>
      <c r="AE29" s="74">
        <f t="shared" si="82"/>
        <v>5267.23</v>
      </c>
      <c r="AF29" s="123" cm="1">
        <f t="array" ref="AF29">IFERROR(ROUND(_xlfn.IFS(offer_sale_type="поставка",AB29,offer_sale_type="транзит",S29)*AC29,2),0)</f>
        <v>840.99</v>
      </c>
      <c r="AG29" s="130">
        <f t="shared" si="63"/>
        <v>0</v>
      </c>
      <c r="AH29" s="74">
        <f t="shared" si="64"/>
        <v>160.81972387499403</v>
      </c>
      <c r="AI29" s="123">
        <f t="shared" si="65"/>
        <v>93.427462499801109</v>
      </c>
      <c r="AJ29" s="118">
        <f t="shared" si="83"/>
        <v>5521.48</v>
      </c>
      <c r="AK29" s="74">
        <f t="shared" si="84"/>
        <v>5521.48</v>
      </c>
      <c r="AL29" s="174">
        <f t="shared" si="85"/>
        <v>6625.78</v>
      </c>
      <c r="AM29" s="175">
        <f t="shared" si="66"/>
        <v>6625.78</v>
      </c>
      <c r="AN29" s="130">
        <f t="shared" si="86"/>
        <v>1104.3000000000002</v>
      </c>
      <c r="AO29" s="74">
        <f t="shared" si="67"/>
        <v>869.49501928372558</v>
      </c>
      <c r="AP29" s="123">
        <f t="shared" si="87"/>
        <v>234.8049807162746</v>
      </c>
      <c r="AQ29" s="118">
        <f t="shared" si="88"/>
        <v>0</v>
      </c>
      <c r="AR29" s="82" t="str">
        <f t="shared" si="89"/>
        <v>https://www.alta.ru/tnved/code/8708913509/</v>
      </c>
      <c r="AS29" s="157"/>
      <c r="AT29" s="162"/>
      <c r="AU29" s="74">
        <f t="shared" si="90"/>
        <v>0</v>
      </c>
      <c r="AV29" s="157"/>
      <c r="AW29" s="75">
        <f>_xlfn.IFNA(VLOOKUP(L29,list_vat[],3,FALSE),0)</f>
        <v>0.02</v>
      </c>
      <c r="AX29" s="74">
        <f t="shared" si="91"/>
        <v>4083.96</v>
      </c>
      <c r="AY29" s="74">
        <f t="shared" si="92"/>
        <v>4083.96</v>
      </c>
      <c r="AZ29" s="130">
        <f t="shared" si="93"/>
        <v>4524.3902240896359</v>
      </c>
      <c r="BA29" s="74">
        <f t="shared" si="73"/>
        <v>119.85340505390634</v>
      </c>
      <c r="BB29" s="193">
        <f t="shared" si="94"/>
        <v>0</v>
      </c>
      <c r="BC29" s="102">
        <f t="shared" si="95"/>
        <v>1.5592596715231562E-2</v>
      </c>
      <c r="BD29" s="102">
        <f t="shared" si="96"/>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5"/>
        <v>0</v>
      </c>
      <c r="J30" s="195"/>
      <c r="K30" s="162">
        <v>34702.370000000003</v>
      </c>
      <c r="L30" s="168" t="s">
        <v>22</v>
      </c>
      <c r="M30" s="75">
        <f>_xlfn.XLOOKUP(L30,list_vat[Страна],list_vat[Ставка НДС %],0,0)</f>
        <v>0.13</v>
      </c>
      <c r="N30" s="162">
        <f t="shared" si="57"/>
        <v>34702.370000000003</v>
      </c>
      <c r="O30" s="169"/>
      <c r="P30" s="74">
        <f t="shared" si="97"/>
        <v>34702.370000000003</v>
      </c>
      <c r="Q30" s="162">
        <v>7.14</v>
      </c>
      <c r="R30" s="162">
        <f t="shared" si="58"/>
        <v>4860.2759103641465</v>
      </c>
      <c r="S30" s="196">
        <f t="shared" si="76"/>
        <v>4860.2759103641465</v>
      </c>
      <c r="T30" s="192">
        <f t="shared" si="77"/>
        <v>68.578829215071522</v>
      </c>
      <c r="U30" s="76">
        <f t="shared" si="78"/>
        <v>47.319240736828995</v>
      </c>
      <c r="V30" s="123">
        <f t="shared" si="79"/>
        <v>115.89806995190051</v>
      </c>
      <c r="W30" s="191">
        <v>8409990009</v>
      </c>
      <c r="X30" s="170">
        <v>0.05</v>
      </c>
      <c r="Y30" s="74">
        <f t="shared" si="61"/>
        <v>251.3</v>
      </c>
      <c r="Z30" s="188"/>
      <c r="AA30" s="130">
        <f t="shared" si="80"/>
        <v>5372.96</v>
      </c>
      <c r="AB30" s="74">
        <f t="shared" si="81"/>
        <v>5372.96</v>
      </c>
      <c r="AC30" s="356">
        <v>0.19</v>
      </c>
      <c r="AD30" s="130" cm="1">
        <f t="array" ref="AD30">IFERROR(ROUND((_xlfn.IFS(offer_sale_type="поставка",AB30,offer_sale_type="транзит",S30)*(1+AC30))/E30,2),0)</f>
        <v>6393.82</v>
      </c>
      <c r="AE30" s="74">
        <f t="shared" si="82"/>
        <v>6393.82</v>
      </c>
      <c r="AF30" s="123" cm="1">
        <f t="array" ref="AF30">IFERROR(ROUND(_xlfn.IFS(offer_sale_type="поставка",AB30,offer_sale_type="транзит",S30)*AC30,2),0)</f>
        <v>1020.86</v>
      </c>
      <c r="AG30" s="130">
        <f t="shared" si="63"/>
        <v>0</v>
      </c>
      <c r="AH30" s="74">
        <f t="shared" si="64"/>
        <v>195.21691970610044</v>
      </c>
      <c r="AI30" s="123">
        <f t="shared" si="65"/>
        <v>113.41065687001574</v>
      </c>
      <c r="AJ30" s="118">
        <f t="shared" si="83"/>
        <v>6702.45</v>
      </c>
      <c r="AK30" s="74">
        <f t="shared" si="84"/>
        <v>6702.45</v>
      </c>
      <c r="AL30" s="174">
        <f t="shared" si="85"/>
        <v>8042.94</v>
      </c>
      <c r="AM30" s="175">
        <f t="shared" si="66"/>
        <v>8042.94</v>
      </c>
      <c r="AN30" s="130">
        <f t="shared" si="86"/>
        <v>1340.4899999999998</v>
      </c>
      <c r="AO30" s="74">
        <f t="shared" si="67"/>
        <v>1055.4717658430143</v>
      </c>
      <c r="AP30" s="123">
        <f t="shared" si="87"/>
        <v>285.0182341569855</v>
      </c>
      <c r="AQ30" s="118">
        <f t="shared" si="88"/>
        <v>0</v>
      </c>
      <c r="AR30" s="82" t="str">
        <f t="shared" si="89"/>
        <v>https://www.alta.ru/tnved/code/8409990009/</v>
      </c>
      <c r="AS30" s="157"/>
      <c r="AT30" s="162"/>
      <c r="AU30" s="74">
        <f t="shared" si="90"/>
        <v>0</v>
      </c>
      <c r="AV30" s="157"/>
      <c r="AW30" s="75">
        <f>_xlfn.IFNA(VLOOKUP(L30,list_vat[],3,FALSE),0)</f>
        <v>0.02</v>
      </c>
      <c r="AX30" s="74">
        <f t="shared" si="91"/>
        <v>4957.4799999999996</v>
      </c>
      <c r="AY30" s="74">
        <f t="shared" si="92"/>
        <v>4957.4799999999996</v>
      </c>
      <c r="AZ30" s="130">
        <f t="shared" si="93"/>
        <v>5492.1117787114854</v>
      </c>
      <c r="BA30" s="74">
        <f t="shared" si="73"/>
        <v>145.4888426976224</v>
      </c>
      <c r="BB30" s="193">
        <f t="shared" si="94"/>
        <v>0</v>
      </c>
      <c r="BC30" s="102">
        <f t="shared" si="95"/>
        <v>1.8927696294731598E-2</v>
      </c>
      <c r="BD30" s="102">
        <f t="shared" si="96"/>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5"/>
        <v>0</v>
      </c>
      <c r="J31" s="195"/>
      <c r="K31" s="162">
        <v>31356.47</v>
      </c>
      <c r="L31" s="168" t="s">
        <v>22</v>
      </c>
      <c r="M31" s="75">
        <f>_xlfn.XLOOKUP(L31,list_vat[Страна],list_vat[Ставка НДС %],0,0)</f>
        <v>0.13</v>
      </c>
      <c r="N31" s="162">
        <f t="shared" si="57"/>
        <v>31356.47</v>
      </c>
      <c r="O31" s="169"/>
      <c r="P31" s="74">
        <f t="shared" si="97"/>
        <v>31356.47</v>
      </c>
      <c r="Q31" s="162">
        <v>7.14</v>
      </c>
      <c r="R31" s="162">
        <f t="shared" si="58"/>
        <v>4391.662464985995</v>
      </c>
      <c r="S31" s="196">
        <f t="shared" si="76"/>
        <v>4391.662464985995</v>
      </c>
      <c r="T31" s="192">
        <f t="shared" si="77"/>
        <v>61.966661093104413</v>
      </c>
      <c r="U31" s="76">
        <f t="shared" si="78"/>
        <v>42.75685933229218</v>
      </c>
      <c r="V31" s="123">
        <f t="shared" si="79"/>
        <v>104.7235204253966</v>
      </c>
      <c r="W31" s="191">
        <v>8413302008</v>
      </c>
      <c r="X31" s="170">
        <v>0</v>
      </c>
      <c r="Y31" s="74">
        <f t="shared" si="61"/>
        <v>0</v>
      </c>
      <c r="Z31" s="188"/>
      <c r="AA31" s="130">
        <f t="shared" si="80"/>
        <v>4627.8500000000004</v>
      </c>
      <c r="AB31" s="74">
        <f t="shared" si="81"/>
        <v>4627.8500000000004</v>
      </c>
      <c r="AC31" s="356">
        <v>0.19</v>
      </c>
      <c r="AD31" s="130" cm="1">
        <f t="array" ref="AD31">IFERROR(ROUND((_xlfn.IFS(offer_sale_type="поставка",AB31,offer_sale_type="транзит",S31)*(1+AC31))/E31,2),0)</f>
        <v>5507.14</v>
      </c>
      <c r="AE31" s="74">
        <f t="shared" si="82"/>
        <v>5507.14</v>
      </c>
      <c r="AF31" s="123" cm="1">
        <f t="array" ref="AF31">IFERROR(ROUND(_xlfn.IFS(offer_sale_type="поставка",AB31,offer_sale_type="транзит",S31)*AC31,2),0)</f>
        <v>879.29</v>
      </c>
      <c r="AG31" s="130">
        <f t="shared" si="63"/>
        <v>0</v>
      </c>
      <c r="AH31" s="74">
        <f t="shared" si="64"/>
        <v>168.28847809094157</v>
      </c>
      <c r="AI31" s="123">
        <f t="shared" si="65"/>
        <v>102.47593636471925</v>
      </c>
      <c r="AJ31" s="118">
        <f t="shared" si="83"/>
        <v>5777.9</v>
      </c>
      <c r="AK31" s="74">
        <f t="shared" si="84"/>
        <v>5777.9</v>
      </c>
      <c r="AL31" s="174">
        <f t="shared" si="85"/>
        <v>6933.48</v>
      </c>
      <c r="AM31" s="175">
        <f t="shared" si="66"/>
        <v>6933.48</v>
      </c>
      <c r="AN31" s="130">
        <f t="shared" si="86"/>
        <v>1155.58</v>
      </c>
      <c r="AO31" s="74">
        <f t="shared" si="67"/>
        <v>908.29333221862089</v>
      </c>
      <c r="AP31" s="123">
        <f t="shared" si="87"/>
        <v>247.28666778137904</v>
      </c>
      <c r="AQ31" s="118">
        <f t="shared" si="88"/>
        <v>0</v>
      </c>
      <c r="AR31" s="82" t="str">
        <f t="shared" si="89"/>
        <v>https://www.alta.ru/tnved/code/8413302008/</v>
      </c>
      <c r="AS31" s="157"/>
      <c r="AT31" s="162"/>
      <c r="AU31" s="74">
        <f t="shared" si="90"/>
        <v>0</v>
      </c>
      <c r="AV31" s="157"/>
      <c r="AW31" s="75">
        <f>_xlfn.IFNA(VLOOKUP(L31,list_vat[],3,FALSE),0)</f>
        <v>0.02</v>
      </c>
      <c r="AX31" s="74">
        <f t="shared" si="91"/>
        <v>4479.5</v>
      </c>
      <c r="AY31" s="74">
        <f t="shared" si="92"/>
        <v>4479.5</v>
      </c>
      <c r="AZ31" s="130">
        <f t="shared" si="93"/>
        <v>4962.5785854341739</v>
      </c>
      <c r="BA31" s="74">
        <f t="shared" si="73"/>
        <v>131.46123827804027</v>
      </c>
      <c r="BB31" s="193">
        <f t="shared" si="94"/>
        <v>0</v>
      </c>
      <c r="BC31" s="102">
        <f t="shared" si="95"/>
        <v>1.7102743732916873E-2</v>
      </c>
      <c r="BD31" s="102">
        <f t="shared" si="96"/>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5"/>
        <v>0</v>
      </c>
      <c r="J32" s="195"/>
      <c r="K32" s="162">
        <v>30977.61</v>
      </c>
      <c r="L32" s="168" t="s">
        <v>22</v>
      </c>
      <c r="M32" s="75">
        <f>_xlfn.XLOOKUP(L32,list_vat[Страна],list_vat[Ставка НДС %],0,0)</f>
        <v>0.13</v>
      </c>
      <c r="N32" s="162">
        <f t="shared" si="57"/>
        <v>30977.61</v>
      </c>
      <c r="O32" s="169"/>
      <c r="P32" s="74">
        <f t="shared" si="97"/>
        <v>30977.61</v>
      </c>
      <c r="Q32" s="162">
        <v>7.14</v>
      </c>
      <c r="R32" s="162">
        <f t="shared" si="58"/>
        <v>4338.6008403361348</v>
      </c>
      <c r="S32" s="196">
        <f t="shared" si="76"/>
        <v>4338.6008403361348</v>
      </c>
      <c r="T32" s="192">
        <f t="shared" si="77"/>
        <v>61.217957899736859</v>
      </c>
      <c r="U32" s="76">
        <f t="shared" si="78"/>
        <v>42.240255781999934</v>
      </c>
      <c r="V32" s="123">
        <f t="shared" si="79"/>
        <v>103.45821368173679</v>
      </c>
      <c r="W32" s="191">
        <v>8482500009</v>
      </c>
      <c r="X32" s="170">
        <v>0.1</v>
      </c>
      <c r="Y32" s="74">
        <f t="shared" si="61"/>
        <v>448.66</v>
      </c>
      <c r="Z32" s="188"/>
      <c r="AA32" s="130">
        <f t="shared" si="80"/>
        <v>5020.59</v>
      </c>
      <c r="AB32" s="74">
        <f t="shared" si="81"/>
        <v>5020.59</v>
      </c>
      <c r="AC32" s="356">
        <v>0.19</v>
      </c>
      <c r="AD32" s="130" cm="1">
        <f t="array" ref="AD32">IFERROR(ROUND((_xlfn.IFS(offer_sale_type="поставка",AB32,offer_sale_type="транзит",S32)*(1+AC32))/E32,2),0)</f>
        <v>5974.5</v>
      </c>
      <c r="AE32" s="74">
        <f t="shared" si="82"/>
        <v>5974.5</v>
      </c>
      <c r="AF32" s="123" cm="1">
        <f t="array" ref="AF32">IFERROR(ROUND(_xlfn.IFS(offer_sale_type="поставка",AB32,offer_sale_type="транзит",S32)*AC32,2),0)</f>
        <v>953.91</v>
      </c>
      <c r="AG32" s="130">
        <f t="shared" si="63"/>
        <v>0</v>
      </c>
      <c r="AH32" s="74">
        <f t="shared" si="64"/>
        <v>182.27213357188268</v>
      </c>
      <c r="AI32" s="123">
        <f t="shared" si="65"/>
        <v>101.23778572942331</v>
      </c>
      <c r="AJ32" s="118">
        <f t="shared" si="83"/>
        <v>6258.01</v>
      </c>
      <c r="AK32" s="74">
        <f t="shared" si="84"/>
        <v>6258.01</v>
      </c>
      <c r="AL32" s="174">
        <f t="shared" si="85"/>
        <v>7509.61</v>
      </c>
      <c r="AM32" s="175">
        <f t="shared" si="66"/>
        <v>7509.61</v>
      </c>
      <c r="AN32" s="130">
        <f t="shared" si="86"/>
        <v>1251.5999999999995</v>
      </c>
      <c r="AO32" s="74">
        <f t="shared" si="67"/>
        <v>987.04959157994733</v>
      </c>
      <c r="AP32" s="123">
        <f t="shared" si="87"/>
        <v>264.55040842005212</v>
      </c>
      <c r="AQ32" s="118">
        <f t="shared" si="88"/>
        <v>0</v>
      </c>
      <c r="AR32" s="82" t="str">
        <f t="shared" si="89"/>
        <v>https://www.alta.ru/tnved/code/8482500009/</v>
      </c>
      <c r="AS32" s="157"/>
      <c r="AT32" s="162"/>
      <c r="AU32" s="74">
        <f t="shared" si="90"/>
        <v>0</v>
      </c>
      <c r="AV32" s="157"/>
      <c r="AW32" s="75">
        <f>_xlfn.IFNA(VLOOKUP(L32,list_vat[],3,FALSE),0)</f>
        <v>0.02</v>
      </c>
      <c r="AX32" s="74">
        <f t="shared" si="91"/>
        <v>4425.37</v>
      </c>
      <c r="AY32" s="74">
        <f t="shared" si="92"/>
        <v>4425.37</v>
      </c>
      <c r="AZ32" s="130">
        <f t="shared" si="93"/>
        <v>4902.6189495798317</v>
      </c>
      <c r="BA32" s="74">
        <f t="shared" si="73"/>
        <v>129.87287693717445</v>
      </c>
      <c r="BB32" s="193">
        <f t="shared" si="94"/>
        <v>0</v>
      </c>
      <c r="BC32" s="102">
        <f t="shared" si="95"/>
        <v>1.6896102312799973E-2</v>
      </c>
      <c r="BD32" s="102">
        <f t="shared" si="96"/>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5"/>
        <v>0</v>
      </c>
      <c r="J33" s="195"/>
      <c r="K33" s="162">
        <v>30170.7</v>
      </c>
      <c r="L33" s="168" t="s">
        <v>22</v>
      </c>
      <c r="M33" s="75">
        <f>_xlfn.XLOOKUP(L33,list_vat[Страна],list_vat[Ставка НДС %],0,0)</f>
        <v>0.13</v>
      </c>
      <c r="N33" s="162">
        <f t="shared" si="57"/>
        <v>30170.7</v>
      </c>
      <c r="O33" s="169"/>
      <c r="P33" s="74">
        <f t="shared" si="97"/>
        <v>30170.7</v>
      </c>
      <c r="Q33" s="162">
        <v>7.14</v>
      </c>
      <c r="R33" s="162">
        <f t="shared" si="58"/>
        <v>4225.588235294118</v>
      </c>
      <c r="S33" s="196">
        <f t="shared" si="76"/>
        <v>4225.588235294118</v>
      </c>
      <c r="T33" s="192">
        <f t="shared" si="77"/>
        <v>59.623342227034016</v>
      </c>
      <c r="U33" s="76">
        <f t="shared" si="78"/>
        <v>41.139974488735106</v>
      </c>
      <c r="V33" s="123">
        <f t="shared" si="79"/>
        <v>100.76331671576912</v>
      </c>
      <c r="W33" s="191">
        <v>8409990009</v>
      </c>
      <c r="X33" s="170">
        <v>0.05</v>
      </c>
      <c r="Y33" s="74">
        <f t="shared" si="61"/>
        <v>218.49</v>
      </c>
      <c r="Z33" s="188"/>
      <c r="AA33" s="130">
        <f t="shared" si="80"/>
        <v>4671.33</v>
      </c>
      <c r="AB33" s="74">
        <f t="shared" si="81"/>
        <v>4671.33</v>
      </c>
      <c r="AC33" s="356">
        <v>0.19</v>
      </c>
      <c r="AD33" s="130" cm="1">
        <f t="array" ref="AD33">IFERROR(ROUND((_xlfn.IFS(offer_sale_type="поставка",AB33,offer_sale_type="транзит",S33)*(1+AC33))/E33,2),0)</f>
        <v>5558.88</v>
      </c>
      <c r="AE33" s="74">
        <f t="shared" si="82"/>
        <v>5558.88</v>
      </c>
      <c r="AF33" s="123" cm="1">
        <f t="array" ref="AF33">IFERROR(ROUND(_xlfn.IFS(offer_sale_type="поставка",AB33,offer_sale_type="транзит",S33)*AC33,2),0)</f>
        <v>887.55</v>
      </c>
      <c r="AG33" s="130">
        <f t="shared" si="63"/>
        <v>0</v>
      </c>
      <c r="AH33" s="74">
        <f t="shared" si="64"/>
        <v>169.72442180533622</v>
      </c>
      <c r="AI33" s="123">
        <f t="shared" si="65"/>
        <v>98.600726844540674</v>
      </c>
      <c r="AJ33" s="118">
        <f t="shared" si="83"/>
        <v>5827.21</v>
      </c>
      <c r="AK33" s="74">
        <f t="shared" si="84"/>
        <v>5827.21</v>
      </c>
      <c r="AL33" s="174">
        <f t="shared" si="85"/>
        <v>6992.65</v>
      </c>
      <c r="AM33" s="175">
        <f t="shared" si="66"/>
        <v>6992.65</v>
      </c>
      <c r="AN33" s="130">
        <f t="shared" si="86"/>
        <v>1165.4399999999996</v>
      </c>
      <c r="AO33" s="74">
        <f t="shared" si="67"/>
        <v>917.64266844540691</v>
      </c>
      <c r="AP33" s="123">
        <f t="shared" si="87"/>
        <v>247.79733155459269</v>
      </c>
      <c r="AQ33" s="118">
        <f t="shared" si="88"/>
        <v>0</v>
      </c>
      <c r="AR33" s="82" t="str">
        <f t="shared" si="89"/>
        <v>https://www.alta.ru/tnved/code/8409990009/</v>
      </c>
      <c r="AS33" s="157"/>
      <c r="AT33" s="162"/>
      <c r="AU33" s="74">
        <f t="shared" si="90"/>
        <v>0</v>
      </c>
      <c r="AV33" s="157"/>
      <c r="AW33" s="75">
        <f>_xlfn.IFNA(VLOOKUP(L33,list_vat[],3,FALSE),0)</f>
        <v>0.02</v>
      </c>
      <c r="AX33" s="74">
        <f t="shared" si="91"/>
        <v>4310.1000000000004</v>
      </c>
      <c r="AY33" s="74">
        <f t="shared" si="92"/>
        <v>4310.1000000000004</v>
      </c>
      <c r="AZ33" s="130">
        <f t="shared" si="93"/>
        <v>4774.9147058823528</v>
      </c>
      <c r="BA33" s="74">
        <f t="shared" si="73"/>
        <v>126.4899263761281</v>
      </c>
      <c r="BB33" s="193">
        <f t="shared" si="94"/>
        <v>0</v>
      </c>
      <c r="BC33" s="102">
        <f t="shared" si="95"/>
        <v>1.6455989795494043E-2</v>
      </c>
      <c r="BD33" s="102">
        <f t="shared" si="96"/>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5"/>
        <v>0</v>
      </c>
      <c r="J34" s="195"/>
      <c r="K34" s="162">
        <v>28417.48</v>
      </c>
      <c r="L34" s="168" t="s">
        <v>22</v>
      </c>
      <c r="M34" s="75">
        <f>_xlfn.XLOOKUP(L34,list_vat[Страна],list_vat[Ставка НДС %],0,0)</f>
        <v>0.13</v>
      </c>
      <c r="N34" s="162">
        <f t="shared" si="57"/>
        <v>28417.48</v>
      </c>
      <c r="O34" s="169"/>
      <c r="P34" s="74">
        <f t="shared" si="97"/>
        <v>28417.48</v>
      </c>
      <c r="Q34" s="162">
        <v>7.14</v>
      </c>
      <c r="R34" s="162">
        <f t="shared" si="58"/>
        <v>3980.0392156862745</v>
      </c>
      <c r="S34" s="196">
        <f t="shared" si="76"/>
        <v>3980.0392156862745</v>
      </c>
      <c r="T34" s="192">
        <f t="shared" si="77"/>
        <v>56.158628579048361</v>
      </c>
      <c r="U34" s="76">
        <f t="shared" si="78"/>
        <v>38.749329721688262</v>
      </c>
      <c r="V34" s="123">
        <f t="shared" si="79"/>
        <v>94.907958300736624</v>
      </c>
      <c r="W34" s="191">
        <v>8413302008</v>
      </c>
      <c r="X34" s="170">
        <v>0</v>
      </c>
      <c r="Y34" s="74">
        <f t="shared" si="61"/>
        <v>0</v>
      </c>
      <c r="Z34" s="188"/>
      <c r="AA34" s="130">
        <f t="shared" si="80"/>
        <v>4194.09</v>
      </c>
      <c r="AB34" s="74">
        <f t="shared" si="81"/>
        <v>4194.09</v>
      </c>
      <c r="AC34" s="356">
        <v>0.19</v>
      </c>
      <c r="AD34" s="130" cm="1">
        <f t="array" ref="AD34">IFERROR(ROUND((_xlfn.IFS(offer_sale_type="поставка",AB34,offer_sale_type="транзит",S34)*(1+AC34))/E34,2),0)</f>
        <v>4990.97</v>
      </c>
      <c r="AE34" s="74">
        <f t="shared" si="82"/>
        <v>4990.97</v>
      </c>
      <c r="AF34" s="123" cm="1">
        <f t="array" ref="AF34">IFERROR(ROUND(_xlfn.IFS(offer_sale_type="поставка",AB34,offer_sale_type="транзит",S34)*AC34,2),0)</f>
        <v>796.88</v>
      </c>
      <c r="AG34" s="130">
        <f t="shared" si="63"/>
        <v>0</v>
      </c>
      <c r="AH34" s="74">
        <f t="shared" si="64"/>
        <v>152.51523109714742</v>
      </c>
      <c r="AI34" s="123">
        <f t="shared" si="65"/>
        <v>92.871036571580959</v>
      </c>
      <c r="AJ34" s="118">
        <f t="shared" si="83"/>
        <v>5236.3599999999997</v>
      </c>
      <c r="AK34" s="74">
        <f t="shared" si="84"/>
        <v>5236.3599999999997</v>
      </c>
      <c r="AL34" s="174">
        <f t="shared" si="85"/>
        <v>6283.63</v>
      </c>
      <c r="AM34" s="175">
        <f t="shared" si="66"/>
        <v>6283.63</v>
      </c>
      <c r="AN34" s="130">
        <f t="shared" si="86"/>
        <v>1047.2700000000004</v>
      </c>
      <c r="AO34" s="74">
        <f t="shared" si="67"/>
        <v>823.15972571580971</v>
      </c>
      <c r="AP34" s="123">
        <f t="shared" si="87"/>
        <v>224.11027428419072</v>
      </c>
      <c r="AQ34" s="118">
        <f t="shared" si="88"/>
        <v>0</v>
      </c>
      <c r="AR34" s="82" t="str">
        <f t="shared" si="89"/>
        <v>https://www.alta.ru/tnved/code/8413302008/</v>
      </c>
      <c r="AS34" s="157"/>
      <c r="AT34" s="162"/>
      <c r="AU34" s="74">
        <f t="shared" si="90"/>
        <v>0</v>
      </c>
      <c r="AV34" s="157"/>
      <c r="AW34" s="75">
        <f>_xlfn.IFNA(VLOOKUP(L34,list_vat[],3,FALSE),0)</f>
        <v>0.02</v>
      </c>
      <c r="AX34" s="74">
        <f t="shared" si="91"/>
        <v>4059.64</v>
      </c>
      <c r="AY34" s="74">
        <f t="shared" si="92"/>
        <v>4059.64</v>
      </c>
      <c r="AZ34" s="130">
        <f t="shared" si="93"/>
        <v>4497.4443137254893</v>
      </c>
      <c r="BA34" s="74">
        <f t="shared" si="73"/>
        <v>119.13959414249892</v>
      </c>
      <c r="BB34" s="193">
        <f t="shared" si="94"/>
        <v>0</v>
      </c>
      <c r="BC34" s="102">
        <f t="shared" si="95"/>
        <v>1.5499731888675304E-2</v>
      </c>
      <c r="BD34" s="102">
        <f t="shared" si="96"/>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5"/>
        <v>0</v>
      </c>
      <c r="J35" s="195"/>
      <c r="K35" s="162">
        <v>27172.799999999999</v>
      </c>
      <c r="L35" s="168" t="s">
        <v>22</v>
      </c>
      <c r="M35" s="75">
        <f>_xlfn.XLOOKUP(L35,list_vat[Страна],list_vat[Ставка НДС %],0,0)</f>
        <v>0.13</v>
      </c>
      <c r="N35" s="162">
        <f t="shared" si="57"/>
        <v>27172.799999999999</v>
      </c>
      <c r="O35" s="169"/>
      <c r="P35" s="74">
        <f t="shared" si="97"/>
        <v>27172.799999999999</v>
      </c>
      <c r="Q35" s="162">
        <v>7.14</v>
      </c>
      <c r="R35" s="162">
        <f t="shared" si="58"/>
        <v>3805.7142857142858</v>
      </c>
      <c r="S35" s="196">
        <f t="shared" si="76"/>
        <v>3805.7142857142858</v>
      </c>
      <c r="T35" s="192">
        <f t="shared" si="77"/>
        <v>53.698891761435753</v>
      </c>
      <c r="U35" s="76">
        <f t="shared" si="78"/>
        <v>37.052116748617074</v>
      </c>
      <c r="V35" s="123">
        <f t="shared" si="79"/>
        <v>90.751008510052827</v>
      </c>
      <c r="W35" s="191">
        <v>8414801100</v>
      </c>
      <c r="X35" s="170">
        <v>0</v>
      </c>
      <c r="Y35" s="74">
        <f t="shared" si="61"/>
        <v>0</v>
      </c>
      <c r="Z35" s="188"/>
      <c r="AA35" s="130">
        <f t="shared" si="80"/>
        <v>4010.39</v>
      </c>
      <c r="AB35" s="74">
        <f t="shared" si="81"/>
        <v>4010.39</v>
      </c>
      <c r="AC35" s="356">
        <v>0.19</v>
      </c>
      <c r="AD35" s="130" cm="1">
        <f t="array" ref="AD35">IFERROR(ROUND((_xlfn.IFS(offer_sale_type="поставка",AB35,offer_sale_type="транзит",S35)*(1+AC35))/E35,2),0)</f>
        <v>4772.3599999999997</v>
      </c>
      <c r="AE35" s="74">
        <f t="shared" si="82"/>
        <v>4772.3599999999997</v>
      </c>
      <c r="AF35" s="123" cm="1">
        <f t="array" ref="AF35">IFERROR(ROUND(_xlfn.IFS(offer_sale_type="поставка",AB35,offer_sale_type="транзит",S35)*AC35,2),0)</f>
        <v>761.97</v>
      </c>
      <c r="AG35" s="130">
        <f t="shared" si="63"/>
        <v>0</v>
      </c>
      <c r="AH35" s="74">
        <f t="shared" si="64"/>
        <v>145.83489910648541</v>
      </c>
      <c r="AI35" s="123">
        <f t="shared" si="65"/>
        <v>88.803303549514425</v>
      </c>
      <c r="AJ35" s="118">
        <f t="shared" si="83"/>
        <v>5007</v>
      </c>
      <c r="AK35" s="74">
        <f t="shared" si="84"/>
        <v>5007</v>
      </c>
      <c r="AL35" s="174">
        <f t="shared" si="85"/>
        <v>6008.4</v>
      </c>
      <c r="AM35" s="175">
        <f t="shared" si="66"/>
        <v>6008.4</v>
      </c>
      <c r="AN35" s="130">
        <f t="shared" si="86"/>
        <v>1001.3999999999996</v>
      </c>
      <c r="AO35" s="74">
        <f t="shared" si="67"/>
        <v>787.10577835228719</v>
      </c>
      <c r="AP35" s="123">
        <f t="shared" si="87"/>
        <v>214.29422164771245</v>
      </c>
      <c r="AQ35" s="118">
        <f t="shared" si="88"/>
        <v>0</v>
      </c>
      <c r="AR35" s="82" t="str">
        <f t="shared" si="89"/>
        <v>https://www.alta.ru/tnved/code/8414801100/</v>
      </c>
      <c r="AS35" s="157"/>
      <c r="AT35" s="162"/>
      <c r="AU35" s="74">
        <f t="shared" si="90"/>
        <v>0</v>
      </c>
      <c r="AV35" s="157"/>
      <c r="AW35" s="75">
        <f>_xlfn.IFNA(VLOOKUP(L35,list_vat[],3,FALSE),0)</f>
        <v>0.02</v>
      </c>
      <c r="AX35" s="74">
        <f t="shared" si="91"/>
        <v>3881.83</v>
      </c>
      <c r="AY35" s="74">
        <f t="shared" si="92"/>
        <v>3881.83</v>
      </c>
      <c r="AZ35" s="130">
        <f t="shared" si="93"/>
        <v>4300.4571428571426</v>
      </c>
      <c r="BA35" s="74">
        <f t="shared" si="73"/>
        <v>113.92130349754076</v>
      </c>
      <c r="BB35" s="193">
        <f t="shared" si="94"/>
        <v>0</v>
      </c>
      <c r="BC35" s="102">
        <f t="shared" si="95"/>
        <v>1.4820846699446831E-2</v>
      </c>
      <c r="BD35" s="102">
        <f t="shared" si="96"/>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5"/>
        <v>0</v>
      </c>
      <c r="J36" s="195"/>
      <c r="K36" s="162">
        <v>30582.37</v>
      </c>
      <c r="L36" s="168" t="s">
        <v>22</v>
      </c>
      <c r="M36" s="75">
        <f>_xlfn.XLOOKUP(L36,list_vat[Страна],list_vat[Ставка НДС %],0,0)</f>
        <v>0.13</v>
      </c>
      <c r="N36" s="162">
        <f t="shared" si="57"/>
        <v>30582.37</v>
      </c>
      <c r="O36" s="169"/>
      <c r="P36" s="74">
        <f t="shared" si="97"/>
        <v>30582.37</v>
      </c>
      <c r="Q36" s="162">
        <v>7.14</v>
      </c>
      <c r="R36" s="162">
        <f t="shared" si="58"/>
        <v>4283.2450980392159</v>
      </c>
      <c r="S36" s="196">
        <f t="shared" si="76"/>
        <v>4283.2450980392159</v>
      </c>
      <c r="T36" s="192">
        <f t="shared" si="77"/>
        <v>60.436884547716105</v>
      </c>
      <c r="U36" s="76">
        <f t="shared" si="78"/>
        <v>41.70131689371005</v>
      </c>
      <c r="V36" s="123">
        <f t="shared" si="79"/>
        <v>102.13820144142616</v>
      </c>
      <c r="W36" s="191">
        <v>8414801100</v>
      </c>
      <c r="X36" s="170">
        <v>0</v>
      </c>
      <c r="Y36" s="74">
        <f t="shared" si="61"/>
        <v>0</v>
      </c>
      <c r="Z36" s="188"/>
      <c r="AA36" s="130">
        <f t="shared" si="80"/>
        <v>4513.6000000000004</v>
      </c>
      <c r="AB36" s="74">
        <f t="shared" si="81"/>
        <v>4513.6000000000004</v>
      </c>
      <c r="AC36" s="356">
        <v>0.19</v>
      </c>
      <c r="AD36" s="130" cm="1">
        <f t="array" ref="AD36">IFERROR(ROUND((_xlfn.IFS(offer_sale_type="поставка",AB36,offer_sale_type="транзит",S36)*(1+AC36))/E36,2),0)</f>
        <v>5371.18</v>
      </c>
      <c r="AE36" s="74">
        <f t="shared" si="82"/>
        <v>5371.18</v>
      </c>
      <c r="AF36" s="123" cm="1">
        <f t="array" ref="AF36">IFERROR(ROUND(_xlfn.IFS(offer_sale_type="поставка",AB36,offer_sale_type="транзит",S36)*AC36,2),0)</f>
        <v>857.58</v>
      </c>
      <c r="AG36" s="130">
        <f t="shared" si="63"/>
        <v>0</v>
      </c>
      <c r="AH36" s="74">
        <f t="shared" si="64"/>
        <v>164.13378311072864</v>
      </c>
      <c r="AI36" s="123">
        <f t="shared" si="65"/>
        <v>99.946103690954331</v>
      </c>
      <c r="AJ36" s="118">
        <f t="shared" si="83"/>
        <v>5635.26</v>
      </c>
      <c r="AK36" s="74">
        <f t="shared" si="84"/>
        <v>5635.26</v>
      </c>
      <c r="AL36" s="174">
        <f t="shared" si="85"/>
        <v>6762.31</v>
      </c>
      <c r="AM36" s="175">
        <f t="shared" si="66"/>
        <v>6762.31</v>
      </c>
      <c r="AN36" s="130">
        <f t="shared" si="86"/>
        <v>1127.0500000000002</v>
      </c>
      <c r="AO36" s="74">
        <f t="shared" si="67"/>
        <v>885.86937690954335</v>
      </c>
      <c r="AP36" s="123">
        <f t="shared" si="87"/>
        <v>241.18062309045683</v>
      </c>
      <c r="AQ36" s="118">
        <f t="shared" si="88"/>
        <v>0</v>
      </c>
      <c r="AR36" s="82" t="str">
        <f t="shared" si="89"/>
        <v>https://www.alta.ru/tnved/code/8414801100/</v>
      </c>
      <c r="AS36" s="157"/>
      <c r="AT36" s="162"/>
      <c r="AU36" s="74">
        <f t="shared" si="90"/>
        <v>0</v>
      </c>
      <c r="AV36" s="157"/>
      <c r="AW36" s="75">
        <f>_xlfn.IFNA(VLOOKUP(L36,list_vat[],3,FALSE),0)</f>
        <v>0.02</v>
      </c>
      <c r="AX36" s="74">
        <f t="shared" si="91"/>
        <v>4368.91</v>
      </c>
      <c r="AY36" s="74">
        <f t="shared" si="92"/>
        <v>4368.91</v>
      </c>
      <c r="AZ36" s="130">
        <f t="shared" si="93"/>
        <v>4840.0669607843138</v>
      </c>
      <c r="BA36" s="74">
        <f t="shared" si="73"/>
        <v>128.21584284446527</v>
      </c>
      <c r="BB36" s="193">
        <f t="shared" si="94"/>
        <v>0</v>
      </c>
      <c r="BC36" s="102">
        <f t="shared" si="95"/>
        <v>1.6680526757484021E-2</v>
      </c>
      <c r="BD36" s="102">
        <f t="shared" si="96"/>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5"/>
        <v>0</v>
      </c>
      <c r="J37" s="195"/>
      <c r="K37" s="162">
        <v>26992.39</v>
      </c>
      <c r="L37" s="168" t="s">
        <v>22</v>
      </c>
      <c r="M37" s="75">
        <f>_xlfn.XLOOKUP(L37,list_vat[Страна],list_vat[Ставка НДС %],0,0)</f>
        <v>0.13</v>
      </c>
      <c r="N37" s="162">
        <f t="shared" si="57"/>
        <v>26992.39</v>
      </c>
      <c r="O37" s="169"/>
      <c r="P37" s="74">
        <f t="shared" si="97"/>
        <v>26992.39</v>
      </c>
      <c r="Q37" s="162">
        <v>7.14</v>
      </c>
      <c r="R37" s="162">
        <f t="shared" si="58"/>
        <v>3780.4467787114845</v>
      </c>
      <c r="S37" s="196">
        <f t="shared" si="76"/>
        <v>3780.4467787114845</v>
      </c>
      <c r="T37" s="192">
        <f t="shared" si="77"/>
        <v>53.342365490213034</v>
      </c>
      <c r="U37" s="76">
        <f t="shared" si="78"/>
        <v>36.806114408680891</v>
      </c>
      <c r="V37" s="123">
        <f t="shared" si="79"/>
        <v>90.148479898893925</v>
      </c>
      <c r="W37" s="191">
        <v>8414801100</v>
      </c>
      <c r="X37" s="170">
        <v>0</v>
      </c>
      <c r="Y37" s="74">
        <f t="shared" si="61"/>
        <v>0</v>
      </c>
      <c r="Z37" s="188"/>
      <c r="AA37" s="130">
        <f t="shared" si="80"/>
        <v>3983.76</v>
      </c>
      <c r="AB37" s="74">
        <f t="shared" si="81"/>
        <v>3983.76</v>
      </c>
      <c r="AC37" s="356">
        <v>0.19</v>
      </c>
      <c r="AD37" s="130" cm="1">
        <f t="array" ref="AD37">IFERROR(ROUND((_xlfn.IFS(offer_sale_type="поставка",AB37,offer_sale_type="транзит",S37)*(1+AC37))/E37,2),0)</f>
        <v>4740.67</v>
      </c>
      <c r="AE37" s="74">
        <f t="shared" si="82"/>
        <v>4740.67</v>
      </c>
      <c r="AF37" s="123" cm="1">
        <f t="array" ref="AF37">IFERROR(ROUND(_xlfn.IFS(offer_sale_type="поставка",AB37,offer_sale_type="транзит",S37)*AC37,2),0)</f>
        <v>756.91</v>
      </c>
      <c r="AG37" s="130">
        <f t="shared" si="63"/>
        <v>0</v>
      </c>
      <c r="AH37" s="74">
        <f t="shared" si="64"/>
        <v>144.86651119357984</v>
      </c>
      <c r="AI37" s="123">
        <f t="shared" si="65"/>
        <v>88.213706452661398</v>
      </c>
      <c r="AJ37" s="118">
        <f t="shared" si="83"/>
        <v>4973.75</v>
      </c>
      <c r="AK37" s="74">
        <f t="shared" si="84"/>
        <v>4973.75</v>
      </c>
      <c r="AL37" s="174">
        <f t="shared" si="85"/>
        <v>5968.5</v>
      </c>
      <c r="AM37" s="175">
        <f t="shared" si="66"/>
        <v>5968.5</v>
      </c>
      <c r="AN37" s="130">
        <f t="shared" si="86"/>
        <v>994.75</v>
      </c>
      <c r="AO37" s="74">
        <f t="shared" si="67"/>
        <v>781.88047309804267</v>
      </c>
      <c r="AP37" s="123">
        <f t="shared" si="87"/>
        <v>212.86952690195733</v>
      </c>
      <c r="AQ37" s="118">
        <f t="shared" si="88"/>
        <v>0</v>
      </c>
      <c r="AR37" s="82" t="str">
        <f t="shared" si="89"/>
        <v>https://www.alta.ru/tnved/code/8414801100/</v>
      </c>
      <c r="AS37" s="157"/>
      <c r="AT37" s="162"/>
      <c r="AU37" s="74">
        <f t="shared" si="90"/>
        <v>0</v>
      </c>
      <c r="AV37" s="157"/>
      <c r="AW37" s="75">
        <f>_xlfn.IFNA(VLOOKUP(L37,list_vat[],3,FALSE),0)</f>
        <v>0.02</v>
      </c>
      <c r="AX37" s="74">
        <f t="shared" si="91"/>
        <v>3856.06</v>
      </c>
      <c r="AY37" s="74">
        <f t="shared" si="92"/>
        <v>3856.06</v>
      </c>
      <c r="AZ37" s="130">
        <f t="shared" si="93"/>
        <v>4271.9048599439775</v>
      </c>
      <c r="BA37" s="74">
        <f t="shared" si="73"/>
        <v>113.16493895785433</v>
      </c>
      <c r="BB37" s="193">
        <f t="shared" si="94"/>
        <v>0</v>
      </c>
      <c r="BC37" s="102">
        <f t="shared" si="95"/>
        <v>1.4722445763472355E-2</v>
      </c>
      <c r="BD37" s="102">
        <f t="shared" si="96"/>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5"/>
        <v>0</v>
      </c>
      <c r="J38" s="195"/>
      <c r="K38" s="162">
        <v>24261.14</v>
      </c>
      <c r="L38" s="168" t="s">
        <v>22</v>
      </c>
      <c r="M38" s="75">
        <f>_xlfn.XLOOKUP(L38,list_vat[Страна],list_vat[Ставка НДС %],0,0)</f>
        <v>0.13</v>
      </c>
      <c r="N38" s="162">
        <f t="shared" si="57"/>
        <v>24261.14</v>
      </c>
      <c r="O38" s="169"/>
      <c r="P38" s="74">
        <f t="shared" si="97"/>
        <v>24261.14</v>
      </c>
      <c r="Q38" s="162">
        <v>7.14</v>
      </c>
      <c r="R38" s="162">
        <f t="shared" si="58"/>
        <v>3397.9187675070029</v>
      </c>
      <c r="S38" s="196">
        <f t="shared" si="76"/>
        <v>3397.9187675070029</v>
      </c>
      <c r="T38" s="192">
        <f t="shared" si="77"/>
        <v>47.944868797806606</v>
      </c>
      <c r="U38" s="76">
        <f t="shared" si="78"/>
        <v>33.081853608555015</v>
      </c>
      <c r="V38" s="123">
        <f t="shared" si="79"/>
        <v>81.026722406361614</v>
      </c>
      <c r="W38" s="191">
        <v>8413603100</v>
      </c>
      <c r="X38" s="170">
        <v>0</v>
      </c>
      <c r="Y38" s="74">
        <f t="shared" si="61"/>
        <v>0</v>
      </c>
      <c r="Z38" s="188"/>
      <c r="AA38" s="130">
        <f t="shared" si="80"/>
        <v>3580.66</v>
      </c>
      <c r="AB38" s="74">
        <f t="shared" si="81"/>
        <v>3580.66</v>
      </c>
      <c r="AC38" s="356">
        <v>0.19</v>
      </c>
      <c r="AD38" s="130" cm="1">
        <f t="array" ref="AD38">IFERROR(ROUND((_xlfn.IFS(offer_sale_type="поставка",AB38,offer_sale_type="транзит",S38)*(1+AC38))/E38,2),0)</f>
        <v>4260.99</v>
      </c>
      <c r="AE38" s="74">
        <f t="shared" si="82"/>
        <v>4260.99</v>
      </c>
      <c r="AF38" s="123" cm="1">
        <f t="array" ref="AF38">IFERROR(ROUND(_xlfn.IFS(offer_sale_type="поставка",AB38,offer_sale_type="транзит",S38)*AC38,2),0)</f>
        <v>680.33</v>
      </c>
      <c r="AG38" s="130">
        <f t="shared" si="63"/>
        <v>0</v>
      </c>
      <c r="AH38" s="74">
        <f t="shared" si="64"/>
        <v>130.20833162413581</v>
      </c>
      <c r="AI38" s="123">
        <f t="shared" si="65"/>
        <v>79.287720804527552</v>
      </c>
      <c r="AJ38" s="118">
        <f t="shared" si="83"/>
        <v>4470.49</v>
      </c>
      <c r="AK38" s="74">
        <f t="shared" si="84"/>
        <v>4470.49</v>
      </c>
      <c r="AL38" s="174">
        <f t="shared" si="85"/>
        <v>5364.59</v>
      </c>
      <c r="AM38" s="175">
        <f t="shared" si="66"/>
        <v>5364.59</v>
      </c>
      <c r="AN38" s="130">
        <f t="shared" si="86"/>
        <v>894.10000000000036</v>
      </c>
      <c r="AO38" s="74">
        <f t="shared" si="67"/>
        <v>702.76497375956137</v>
      </c>
      <c r="AP38" s="123">
        <f t="shared" si="87"/>
        <v>191.33502624043899</v>
      </c>
      <c r="AQ38" s="118">
        <f t="shared" si="88"/>
        <v>0</v>
      </c>
      <c r="AR38" s="82" t="str">
        <f t="shared" si="89"/>
        <v>https://www.alta.ru/tnved/code/8413603100/</v>
      </c>
      <c r="AS38" s="157"/>
      <c r="AT38" s="162"/>
      <c r="AU38" s="74">
        <f t="shared" si="90"/>
        <v>0</v>
      </c>
      <c r="AV38" s="157"/>
      <c r="AW38" s="75">
        <f>_xlfn.IFNA(VLOOKUP(L38,list_vat[],3,FALSE),0)</f>
        <v>0.02</v>
      </c>
      <c r="AX38" s="74">
        <f t="shared" si="91"/>
        <v>3465.88</v>
      </c>
      <c r="AY38" s="74">
        <f t="shared" si="92"/>
        <v>3465.88</v>
      </c>
      <c r="AZ38" s="130">
        <f t="shared" si="93"/>
        <v>3839.6482072829131</v>
      </c>
      <c r="BA38" s="74">
        <f t="shared" si="73"/>
        <v>101.71423972267584</v>
      </c>
      <c r="BB38" s="193">
        <f t="shared" si="94"/>
        <v>0</v>
      </c>
      <c r="BC38" s="102">
        <f t="shared" si="95"/>
        <v>1.3232741443422005E-2</v>
      </c>
      <c r="BD38" s="102">
        <f t="shared" si="96"/>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5"/>
        <v>0</v>
      </c>
      <c r="J39" s="195"/>
      <c r="K39" s="162">
        <v>22562.07</v>
      </c>
      <c r="L39" s="168" t="s">
        <v>22</v>
      </c>
      <c r="M39" s="75">
        <f>_xlfn.XLOOKUP(L39,list_vat[Страна],list_vat[Ставка НДС %],0,0)</f>
        <v>0.13</v>
      </c>
      <c r="N39" s="162">
        <f t="shared" si="57"/>
        <v>22562.07</v>
      </c>
      <c r="O39" s="169"/>
      <c r="P39" s="74">
        <f t="shared" si="97"/>
        <v>22562.07</v>
      </c>
      <c r="Q39" s="162">
        <v>7.14</v>
      </c>
      <c r="R39" s="162">
        <f t="shared" si="58"/>
        <v>3159.953781512605</v>
      </c>
      <c r="S39" s="196">
        <f t="shared" si="76"/>
        <v>3159.953781512605</v>
      </c>
      <c r="T39" s="192">
        <f t="shared" si="77"/>
        <v>44.587166388592152</v>
      </c>
      <c r="U39" s="76">
        <f t="shared" si="78"/>
        <v>30.765046359980232</v>
      </c>
      <c r="V39" s="123">
        <f t="shared" si="79"/>
        <v>75.352212748572384</v>
      </c>
      <c r="W39" s="191">
        <v>8483508000</v>
      </c>
      <c r="X39" s="170">
        <v>0.05</v>
      </c>
      <c r="Y39" s="74">
        <f t="shared" si="61"/>
        <v>163.38999999999999</v>
      </c>
      <c r="Z39" s="188"/>
      <c r="AA39" s="130">
        <f t="shared" si="80"/>
        <v>3493.29</v>
      </c>
      <c r="AB39" s="74">
        <f t="shared" si="81"/>
        <v>3493.29</v>
      </c>
      <c r="AC39" s="356">
        <v>0.19</v>
      </c>
      <c r="AD39" s="130" cm="1">
        <f t="array" ref="AD39">IFERROR(ROUND((_xlfn.IFS(offer_sale_type="поставка",AB39,offer_sale_type="транзит",S39)*(1+AC39))/E39,2),0)</f>
        <v>4157.0200000000004</v>
      </c>
      <c r="AE39" s="74">
        <f t="shared" si="82"/>
        <v>4157.0200000000004</v>
      </c>
      <c r="AF39" s="123" cm="1">
        <f t="array" ref="AF39">IFERROR(ROUND(_xlfn.IFS(offer_sale_type="поставка",AB39,offer_sale_type="транзит",S39)*AC39,2),0)</f>
        <v>663.73</v>
      </c>
      <c r="AG39" s="130">
        <f t="shared" si="63"/>
        <v>0</v>
      </c>
      <c r="AH39" s="74">
        <f t="shared" si="64"/>
        <v>126.92264993697603</v>
      </c>
      <c r="AI39" s="123">
        <f t="shared" si="65"/>
        <v>73.734997899200422</v>
      </c>
      <c r="AJ39" s="118">
        <f t="shared" si="83"/>
        <v>4357.68</v>
      </c>
      <c r="AK39" s="74">
        <f t="shared" si="84"/>
        <v>4357.68</v>
      </c>
      <c r="AL39" s="174">
        <f t="shared" si="85"/>
        <v>5229.22</v>
      </c>
      <c r="AM39" s="175">
        <f t="shared" si="66"/>
        <v>5229.22</v>
      </c>
      <c r="AN39" s="130">
        <f t="shared" si="86"/>
        <v>871.54</v>
      </c>
      <c r="AO39" s="74">
        <f t="shared" si="67"/>
        <v>686.22543327771848</v>
      </c>
      <c r="AP39" s="123">
        <f t="shared" si="87"/>
        <v>185.31456672228148</v>
      </c>
      <c r="AQ39" s="118">
        <f t="shared" si="88"/>
        <v>0</v>
      </c>
      <c r="AR39" s="82" t="str">
        <f t="shared" si="89"/>
        <v>https://www.alta.ru/tnved/code/8483508000/</v>
      </c>
      <c r="AS39" s="157"/>
      <c r="AT39" s="162"/>
      <c r="AU39" s="74">
        <f t="shared" si="90"/>
        <v>0</v>
      </c>
      <c r="AV39" s="157"/>
      <c r="AW39" s="75">
        <f>_xlfn.IFNA(VLOOKUP(L39,list_vat[],3,FALSE),0)</f>
        <v>0.02</v>
      </c>
      <c r="AX39" s="74">
        <f t="shared" si="91"/>
        <v>3223.15</v>
      </c>
      <c r="AY39" s="74">
        <f t="shared" si="92"/>
        <v>3223.15</v>
      </c>
      <c r="AZ39" s="130">
        <f t="shared" si="93"/>
        <v>3570.7477731092436</v>
      </c>
      <c r="BA39" s="74">
        <f t="shared" si="73"/>
        <v>94.590930047796306</v>
      </c>
      <c r="BB39" s="193">
        <f t="shared" si="94"/>
        <v>0</v>
      </c>
      <c r="BC39" s="102">
        <f t="shared" si="95"/>
        <v>1.2306018543992093E-2</v>
      </c>
      <c r="BD39" s="102">
        <f t="shared" si="96"/>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5"/>
        <v>0</v>
      </c>
      <c r="J40" s="195"/>
      <c r="K40" s="162">
        <v>18842.8</v>
      </c>
      <c r="L40" s="168" t="s">
        <v>22</v>
      </c>
      <c r="M40" s="75">
        <f>_xlfn.XLOOKUP(L40,list_vat[Страна],list_vat[Ставка НДС %],0,0)</f>
        <v>0.13</v>
      </c>
      <c r="N40" s="162">
        <f t="shared" si="57"/>
        <v>18842.8</v>
      </c>
      <c r="O40" s="169"/>
      <c r="P40" s="74">
        <f t="shared" si="97"/>
        <v>18842.8</v>
      </c>
      <c r="Q40" s="162">
        <v>7.14</v>
      </c>
      <c r="R40" s="162">
        <f t="shared" si="58"/>
        <v>2639.0476190476193</v>
      </c>
      <c r="S40" s="196">
        <f t="shared" si="76"/>
        <v>2639.0476190476193</v>
      </c>
      <c r="T40" s="192">
        <f t="shared" si="77"/>
        <v>37.237144412146762</v>
      </c>
      <c r="U40" s="76">
        <f t="shared" si="78"/>
        <v>25.693547425029507</v>
      </c>
      <c r="V40" s="123">
        <f t="shared" si="79"/>
        <v>62.930691837176269</v>
      </c>
      <c r="W40" s="191">
        <v>8708923509</v>
      </c>
      <c r="X40" s="170">
        <v>0.05</v>
      </c>
      <c r="Y40" s="74">
        <f t="shared" si="61"/>
        <v>136.44999999999999</v>
      </c>
      <c r="Z40" s="188"/>
      <c r="AA40" s="130">
        <f t="shared" si="80"/>
        <v>2917.43</v>
      </c>
      <c r="AB40" s="74">
        <f t="shared" si="81"/>
        <v>2917.43</v>
      </c>
      <c r="AC40" s="356">
        <v>0.19</v>
      </c>
      <c r="AD40" s="130" cm="1">
        <f t="array" ref="AD40">IFERROR(ROUND((_xlfn.IFS(offer_sale_type="поставка",AB40,offer_sale_type="транзит",S40)*(1+AC40))/E40,2),0)</f>
        <v>3471.74</v>
      </c>
      <c r="AE40" s="74">
        <f t="shared" si="82"/>
        <v>3471.74</v>
      </c>
      <c r="AF40" s="123" cm="1">
        <f t="array" ref="AF40">IFERROR(ROUND(_xlfn.IFS(offer_sale_type="поставка",AB40,offer_sale_type="транзит",S40)*AC40,2),0)</f>
        <v>554.30999999999995</v>
      </c>
      <c r="AG40" s="130">
        <f t="shared" si="63"/>
        <v>0</v>
      </c>
      <c r="AH40" s="74">
        <f t="shared" si="64"/>
        <v>105.99960205807585</v>
      </c>
      <c r="AI40" s="123">
        <f t="shared" si="65"/>
        <v>61.580068602528655</v>
      </c>
      <c r="AJ40" s="118">
        <f t="shared" si="83"/>
        <v>3639.32</v>
      </c>
      <c r="AK40" s="74">
        <f t="shared" si="84"/>
        <v>3639.32</v>
      </c>
      <c r="AL40" s="174">
        <f t="shared" si="85"/>
        <v>4367.18</v>
      </c>
      <c r="AM40" s="175">
        <f t="shared" si="66"/>
        <v>4367.18</v>
      </c>
      <c r="AN40" s="130">
        <f t="shared" si="86"/>
        <v>727.86000000000013</v>
      </c>
      <c r="AO40" s="74">
        <f t="shared" si="67"/>
        <v>573.10342888242928</v>
      </c>
      <c r="AP40" s="123">
        <f t="shared" si="87"/>
        <v>154.75657111757084</v>
      </c>
      <c r="AQ40" s="118">
        <f t="shared" si="88"/>
        <v>0</v>
      </c>
      <c r="AR40" s="82" t="str">
        <f t="shared" si="89"/>
        <v>https://www.alta.ru/tnved/code/8708923509/</v>
      </c>
      <c r="AS40" s="157"/>
      <c r="AT40" s="162"/>
      <c r="AU40" s="74">
        <f t="shared" si="90"/>
        <v>0</v>
      </c>
      <c r="AV40" s="157"/>
      <c r="AW40" s="75">
        <f>_xlfn.IFNA(VLOOKUP(L40,list_vat[],3,FALSE),0)</f>
        <v>0.02</v>
      </c>
      <c r="AX40" s="74">
        <f t="shared" si="91"/>
        <v>2691.83</v>
      </c>
      <c r="AY40" s="74">
        <f t="shared" si="92"/>
        <v>2691.83</v>
      </c>
      <c r="AZ40" s="130">
        <f t="shared" si="93"/>
        <v>2982.1238095238095</v>
      </c>
      <c r="BA40" s="74">
        <f t="shared" si="73"/>
        <v>78.997980978900273</v>
      </c>
      <c r="BB40" s="193">
        <f t="shared" si="94"/>
        <v>0</v>
      </c>
      <c r="BC40" s="102">
        <f t="shared" si="95"/>
        <v>1.0277418970011803E-2</v>
      </c>
      <c r="BD40" s="102">
        <f t="shared" si="96"/>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5"/>
        <v>0</v>
      </c>
      <c r="J41" s="195"/>
      <c r="K41" s="162">
        <v>20003.7</v>
      </c>
      <c r="L41" s="168" t="s">
        <v>22</v>
      </c>
      <c r="M41" s="75">
        <f>_xlfn.XLOOKUP(L41,list_vat[Страна],list_vat[Ставка НДС %],0,0)</f>
        <v>0.13</v>
      </c>
      <c r="N41" s="162">
        <f t="shared" si="57"/>
        <v>20003.7</v>
      </c>
      <c r="O41" s="169"/>
      <c r="P41" s="74">
        <f t="shared" si="97"/>
        <v>20003.7</v>
      </c>
      <c r="Q41" s="162">
        <v>7.14</v>
      </c>
      <c r="R41" s="162">
        <f t="shared" si="58"/>
        <v>2801.6386554621849</v>
      </c>
      <c r="S41" s="196">
        <f t="shared" si="76"/>
        <v>2801.6386554621849</v>
      </c>
      <c r="T41" s="192">
        <f t="shared" si="77"/>
        <v>39.531315180188727</v>
      </c>
      <c r="U41" s="76">
        <f t="shared" si="78"/>
        <v>27.276520189465618</v>
      </c>
      <c r="V41" s="123">
        <f t="shared" si="79"/>
        <v>66.807835369654342</v>
      </c>
      <c r="W41" s="191">
        <v>8414598000</v>
      </c>
      <c r="X41" s="170">
        <v>0</v>
      </c>
      <c r="Y41" s="74">
        <f t="shared" si="61"/>
        <v>0</v>
      </c>
      <c r="Z41" s="188"/>
      <c r="AA41" s="130">
        <f t="shared" si="80"/>
        <v>2952.31</v>
      </c>
      <c r="AB41" s="74">
        <f t="shared" si="81"/>
        <v>2952.31</v>
      </c>
      <c r="AC41" s="356">
        <v>0.19</v>
      </c>
      <c r="AD41" s="130" cm="1">
        <f t="array" ref="AD41">IFERROR(ROUND((_xlfn.IFS(offer_sale_type="поставка",AB41,offer_sale_type="транзит",S41)*(1+AC41))/E41,2),0)</f>
        <v>3513.25</v>
      </c>
      <c r="AE41" s="74">
        <f t="shared" si="82"/>
        <v>3513.25</v>
      </c>
      <c r="AF41" s="123" cm="1">
        <f t="array" ref="AF41">IFERROR(ROUND(_xlfn.IFS(offer_sale_type="поставка",AB41,offer_sale_type="транзит",S41)*AC41,2),0)</f>
        <v>560.94000000000005</v>
      </c>
      <c r="AG41" s="130">
        <f t="shared" si="63"/>
        <v>0</v>
      </c>
      <c r="AH41" s="74">
        <f t="shared" si="64"/>
        <v>107.35872001767954</v>
      </c>
      <c r="AI41" s="123">
        <f t="shared" si="65"/>
        <v>65.374000589318058</v>
      </c>
      <c r="AJ41" s="118">
        <f t="shared" si="83"/>
        <v>3685.98</v>
      </c>
      <c r="AK41" s="74">
        <f t="shared" si="84"/>
        <v>3685.98</v>
      </c>
      <c r="AL41" s="174">
        <f t="shared" si="85"/>
        <v>4423.18</v>
      </c>
      <c r="AM41" s="175">
        <f t="shared" si="66"/>
        <v>4423.18</v>
      </c>
      <c r="AN41" s="130">
        <f t="shared" si="86"/>
        <v>737.20000000000027</v>
      </c>
      <c r="AO41" s="74">
        <f t="shared" si="67"/>
        <v>579.44026303603778</v>
      </c>
      <c r="AP41" s="123">
        <f t="shared" si="87"/>
        <v>157.7597369639625</v>
      </c>
      <c r="AQ41" s="118">
        <f t="shared" si="88"/>
        <v>0</v>
      </c>
      <c r="AR41" s="82" t="str">
        <f t="shared" si="89"/>
        <v>https://www.alta.ru/tnved/code/8414598000/</v>
      </c>
      <c r="AS41" s="157"/>
      <c r="AT41" s="162"/>
      <c r="AU41" s="74">
        <f t="shared" si="90"/>
        <v>0</v>
      </c>
      <c r="AV41" s="157"/>
      <c r="AW41" s="75">
        <f>_xlfn.IFNA(VLOOKUP(L41,list_vat[],3,FALSE),0)</f>
        <v>0.02</v>
      </c>
      <c r="AX41" s="74">
        <f t="shared" si="91"/>
        <v>2857.67</v>
      </c>
      <c r="AY41" s="74">
        <f t="shared" si="92"/>
        <v>2857.67</v>
      </c>
      <c r="AZ41" s="130">
        <f t="shared" si="93"/>
        <v>3165.8516806722687</v>
      </c>
      <c r="BA41" s="74">
        <f t="shared" si="73"/>
        <v>83.865026010339605</v>
      </c>
      <c r="BB41" s="193">
        <f t="shared" si="94"/>
        <v>0</v>
      </c>
      <c r="BC41" s="102">
        <f t="shared" si="95"/>
        <v>1.0910608075786248E-2</v>
      </c>
      <c r="BD41" s="102">
        <f t="shared" si="96"/>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5"/>
        <v>0</v>
      </c>
      <c r="J42" s="195"/>
      <c r="K42" s="162">
        <v>20008.740000000002</v>
      </c>
      <c r="L42" s="168" t="s">
        <v>22</v>
      </c>
      <c r="M42" s="75">
        <f>_xlfn.XLOOKUP(L42,list_vat[Страна],list_vat[Ставка НДС %],0,0)</f>
        <v>0.13</v>
      </c>
      <c r="N42" s="162">
        <f t="shared" si="57"/>
        <v>20008.740000000002</v>
      </c>
      <c r="O42" s="169"/>
      <c r="P42" s="74">
        <f t="shared" si="97"/>
        <v>20008.740000000002</v>
      </c>
      <c r="Q42" s="162">
        <v>7.14</v>
      </c>
      <c r="R42" s="162">
        <f t="shared" si="58"/>
        <v>2802.3445378151264</v>
      </c>
      <c r="S42" s="196">
        <f t="shared" si="76"/>
        <v>2802.3445378151264</v>
      </c>
      <c r="T42" s="192">
        <f t="shared" si="77"/>
        <v>39.541275229005109</v>
      </c>
      <c r="U42" s="76">
        <f t="shared" si="78"/>
        <v>27.283392601157203</v>
      </c>
      <c r="V42" s="123">
        <f t="shared" si="79"/>
        <v>66.824667830162312</v>
      </c>
      <c r="W42" s="191">
        <v>8409990009</v>
      </c>
      <c r="X42" s="170">
        <v>0.05</v>
      </c>
      <c r="Y42" s="74">
        <f t="shared" si="61"/>
        <v>144.9</v>
      </c>
      <c r="Z42" s="188"/>
      <c r="AA42" s="130">
        <f t="shared" si="80"/>
        <v>3097.96</v>
      </c>
      <c r="AB42" s="74">
        <f t="shared" si="81"/>
        <v>3097.96</v>
      </c>
      <c r="AC42" s="356">
        <v>0.19</v>
      </c>
      <c r="AD42" s="130" cm="1">
        <f t="array" ref="AD42">IFERROR(ROUND((_xlfn.IFS(offer_sale_type="поставка",AB42,offer_sale_type="транзит",S42)*(1+AC42))/E42,2),0)</f>
        <v>3686.57</v>
      </c>
      <c r="AE42" s="74">
        <f t="shared" si="82"/>
        <v>3686.57</v>
      </c>
      <c r="AF42" s="123" cm="1">
        <f t="array" ref="AF42">IFERROR(ROUND(_xlfn.IFS(offer_sale_type="поставка",AB42,offer_sale_type="транзит",S42)*AC42,2),0)</f>
        <v>588.61</v>
      </c>
      <c r="AG42" s="130">
        <f t="shared" si="63"/>
        <v>0</v>
      </c>
      <c r="AH42" s="74">
        <f t="shared" si="64"/>
        <v>112.55881415370882</v>
      </c>
      <c r="AI42" s="123">
        <f t="shared" si="65"/>
        <v>65.390471790294384</v>
      </c>
      <c r="AJ42" s="118">
        <f t="shared" si="83"/>
        <v>3864.52</v>
      </c>
      <c r="AK42" s="74">
        <f t="shared" si="84"/>
        <v>3864.52</v>
      </c>
      <c r="AL42" s="174">
        <f t="shared" si="85"/>
        <v>4637.42</v>
      </c>
      <c r="AM42" s="175">
        <f t="shared" si="66"/>
        <v>4637.42</v>
      </c>
      <c r="AN42" s="130">
        <f t="shared" si="86"/>
        <v>772.90000000000009</v>
      </c>
      <c r="AO42" s="74">
        <f t="shared" si="67"/>
        <v>608.56625504580097</v>
      </c>
      <c r="AP42" s="123">
        <f t="shared" si="87"/>
        <v>164.33374495419912</v>
      </c>
      <c r="AQ42" s="118">
        <f t="shared" si="88"/>
        <v>0</v>
      </c>
      <c r="AR42" s="82" t="str">
        <f t="shared" si="89"/>
        <v>https://www.alta.ru/tnved/code/8409990009/</v>
      </c>
      <c r="AS42" s="157"/>
      <c r="AT42" s="162"/>
      <c r="AU42" s="74">
        <f t="shared" si="90"/>
        <v>0</v>
      </c>
      <c r="AV42" s="157"/>
      <c r="AW42" s="75">
        <f>_xlfn.IFNA(VLOOKUP(L42,list_vat[],3,FALSE),0)</f>
        <v>0.02</v>
      </c>
      <c r="AX42" s="74">
        <f t="shared" si="91"/>
        <v>2858.39</v>
      </c>
      <c r="AY42" s="74">
        <f t="shared" si="92"/>
        <v>2858.39</v>
      </c>
      <c r="AZ42" s="130">
        <f t="shared" si="93"/>
        <v>3166.6493277310924</v>
      </c>
      <c r="BA42" s="74">
        <f t="shared" si="73"/>
        <v>83.886156087829889</v>
      </c>
      <c r="BB42" s="193">
        <f t="shared" si="94"/>
        <v>0</v>
      </c>
      <c r="BC42" s="102">
        <f t="shared" si="95"/>
        <v>1.0913357040462882E-2</v>
      </c>
      <c r="BD42" s="102">
        <f t="shared" si="96"/>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5"/>
        <v>0</v>
      </c>
      <c r="J43" s="195"/>
      <c r="K43" s="162">
        <v>19371.990000000002</v>
      </c>
      <c r="L43" s="168" t="s">
        <v>22</v>
      </c>
      <c r="M43" s="75">
        <f>_xlfn.XLOOKUP(L43,list_vat[Страна],list_vat[Ставка НДС %],0,0)</f>
        <v>0.13</v>
      </c>
      <c r="N43" s="162">
        <f t="shared" si="57"/>
        <v>19371.990000000002</v>
      </c>
      <c r="O43" s="169"/>
      <c r="P43" s="74">
        <f t="shared" si="97"/>
        <v>19371.990000000002</v>
      </c>
      <c r="Q43" s="162">
        <v>7.14</v>
      </c>
      <c r="R43" s="162">
        <f t="shared" si="58"/>
        <v>2713.1638655462189</v>
      </c>
      <c r="S43" s="196">
        <f t="shared" si="76"/>
        <v>2713.1638655462189</v>
      </c>
      <c r="T43" s="192">
        <f t="shared" si="77"/>
        <v>38.282929775864687</v>
      </c>
      <c r="U43" s="76">
        <f t="shared" si="78"/>
        <v>26.415137016908183</v>
      </c>
      <c r="V43" s="123">
        <f t="shared" si="79"/>
        <v>64.698066792772863</v>
      </c>
      <c r="W43" s="191">
        <v>8413603100</v>
      </c>
      <c r="X43" s="170">
        <v>0</v>
      </c>
      <c r="Y43" s="74">
        <f t="shared" si="61"/>
        <v>0</v>
      </c>
      <c r="Z43" s="188"/>
      <c r="AA43" s="130">
        <f t="shared" si="80"/>
        <v>2859.08</v>
      </c>
      <c r="AB43" s="74">
        <f t="shared" si="81"/>
        <v>2859.08</v>
      </c>
      <c r="AC43" s="356">
        <v>0.19</v>
      </c>
      <c r="AD43" s="130" cm="1">
        <f t="array" ref="AD43">IFERROR(ROUND((_xlfn.IFS(offer_sale_type="поставка",AB43,offer_sale_type="транзит",S43)*(1+AC43))/E43,2),0)</f>
        <v>3402.31</v>
      </c>
      <c r="AE43" s="74">
        <f t="shared" si="82"/>
        <v>3402.31</v>
      </c>
      <c r="AF43" s="123" cm="1">
        <f t="array" ref="AF43">IFERROR(ROUND(_xlfn.IFS(offer_sale_type="поставка",AB43,offer_sale_type="транзит",S43)*AC43,2),0)</f>
        <v>543.23</v>
      </c>
      <c r="AG43" s="130">
        <f t="shared" si="63"/>
        <v>0</v>
      </c>
      <c r="AH43" s="74">
        <f t="shared" si="64"/>
        <v>103.96858536072266</v>
      </c>
      <c r="AI43" s="123">
        <f t="shared" si="65"/>
        <v>63.30951202408874</v>
      </c>
      <c r="AJ43" s="118">
        <f t="shared" si="83"/>
        <v>3569.59</v>
      </c>
      <c r="AK43" s="74">
        <f t="shared" si="84"/>
        <v>3569.59</v>
      </c>
      <c r="AL43" s="174">
        <f t="shared" si="85"/>
        <v>4283.51</v>
      </c>
      <c r="AM43" s="175">
        <f t="shared" si="66"/>
        <v>4283.51</v>
      </c>
      <c r="AN43" s="130">
        <f t="shared" si="86"/>
        <v>713.92000000000007</v>
      </c>
      <c r="AO43" s="74">
        <f t="shared" si="67"/>
        <v>561.14258595517299</v>
      </c>
      <c r="AP43" s="123">
        <f t="shared" si="87"/>
        <v>152.77741404482708</v>
      </c>
      <c r="AQ43" s="118">
        <f t="shared" si="88"/>
        <v>0</v>
      </c>
      <c r="AR43" s="82" t="str">
        <f t="shared" si="89"/>
        <v>https://www.alta.ru/tnved/code/8413603100/</v>
      </c>
      <c r="AS43" s="157"/>
      <c r="AT43" s="162"/>
      <c r="AU43" s="74">
        <f t="shared" si="90"/>
        <v>0</v>
      </c>
      <c r="AV43" s="157"/>
      <c r="AW43" s="75">
        <f>_xlfn.IFNA(VLOOKUP(L43,list_vat[],3,FALSE),0)</f>
        <v>0.02</v>
      </c>
      <c r="AX43" s="74">
        <f t="shared" si="91"/>
        <v>2767.43</v>
      </c>
      <c r="AY43" s="74">
        <f t="shared" si="92"/>
        <v>2767.43</v>
      </c>
      <c r="AZ43" s="130">
        <f t="shared" si="93"/>
        <v>3065.8751680672272</v>
      </c>
      <c r="BA43" s="74">
        <f t="shared" si="73"/>
        <v>81.216597190621698</v>
      </c>
      <c r="BB43" s="193">
        <f t="shared" si="94"/>
        <v>0</v>
      </c>
      <c r="BC43" s="102">
        <f t="shared" si="95"/>
        <v>1.0566054806763273E-2</v>
      </c>
      <c r="BD43" s="102">
        <f t="shared" si="96"/>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5"/>
        <v>0</v>
      </c>
      <c r="J44" s="195"/>
      <c r="K44" s="162">
        <v>17919.28</v>
      </c>
      <c r="L44" s="168" t="s">
        <v>22</v>
      </c>
      <c r="M44" s="75">
        <f>_xlfn.XLOOKUP(L44,list_vat[Страна],list_vat[Ставка НДС %],0,0)</f>
        <v>0.13</v>
      </c>
      <c r="N44" s="162">
        <f t="shared" si="57"/>
        <v>17919.28</v>
      </c>
      <c r="O44" s="169"/>
      <c r="P44" s="74">
        <f t="shared" si="97"/>
        <v>17919.28</v>
      </c>
      <c r="Q44" s="162">
        <v>7.14</v>
      </c>
      <c r="R44" s="162">
        <f t="shared" si="58"/>
        <v>2509.7030812324929</v>
      </c>
      <c r="S44" s="196">
        <f t="shared" si="76"/>
        <v>2509.7030812324929</v>
      </c>
      <c r="T44" s="192">
        <f t="shared" si="77"/>
        <v>35.412084038555477</v>
      </c>
      <c r="U44" s="76">
        <f t="shared" si="78"/>
        <v>24.434259796971929</v>
      </c>
      <c r="V44" s="123">
        <f t="shared" si="79"/>
        <v>59.846343835527406</v>
      </c>
      <c r="W44" s="191">
        <v>8409990009</v>
      </c>
      <c r="X44" s="170">
        <v>0.05</v>
      </c>
      <c r="Y44" s="74">
        <f t="shared" si="61"/>
        <v>129.77000000000001</v>
      </c>
      <c r="Z44" s="188"/>
      <c r="AA44" s="130">
        <f t="shared" si="80"/>
        <v>2774.45</v>
      </c>
      <c r="AB44" s="74">
        <f t="shared" si="81"/>
        <v>2774.45</v>
      </c>
      <c r="AC44" s="356">
        <v>0.19</v>
      </c>
      <c r="AD44" s="130" cm="1">
        <f t="array" ref="AD44">IFERROR(ROUND((_xlfn.IFS(offer_sale_type="поставка",AB44,offer_sale_type="транзит",S44)*(1+AC44))/E44,2),0)</f>
        <v>3301.6</v>
      </c>
      <c r="AE44" s="74">
        <f t="shared" si="82"/>
        <v>3301.6</v>
      </c>
      <c r="AF44" s="123" cm="1">
        <f t="array" ref="AF44">IFERROR(ROUND(_xlfn.IFS(offer_sale_type="поставка",AB44,offer_sale_type="транзит",S44)*AC44,2),0)</f>
        <v>527.15</v>
      </c>
      <c r="AG44" s="130">
        <f t="shared" si="63"/>
        <v>0</v>
      </c>
      <c r="AH44" s="74">
        <f t="shared" si="64"/>
        <v>100.80485751328027</v>
      </c>
      <c r="AI44" s="123">
        <f t="shared" si="65"/>
        <v>58.561917109342524</v>
      </c>
      <c r="AJ44" s="118">
        <f t="shared" si="83"/>
        <v>3460.97</v>
      </c>
      <c r="AK44" s="74">
        <f t="shared" si="84"/>
        <v>3460.97</v>
      </c>
      <c r="AL44" s="174">
        <f t="shared" si="85"/>
        <v>4153.16</v>
      </c>
      <c r="AM44" s="175">
        <f t="shared" si="66"/>
        <v>4153.16</v>
      </c>
      <c r="AN44" s="130">
        <f t="shared" si="86"/>
        <v>692.19</v>
      </c>
      <c r="AO44" s="74">
        <f t="shared" si="67"/>
        <v>545.01641680771115</v>
      </c>
      <c r="AP44" s="123">
        <f t="shared" si="87"/>
        <v>147.1735831922889</v>
      </c>
      <c r="AQ44" s="118">
        <f t="shared" si="88"/>
        <v>0</v>
      </c>
      <c r="AR44" s="82" t="str">
        <f t="shared" si="89"/>
        <v>https://www.alta.ru/tnved/code/8409990009/</v>
      </c>
      <c r="AS44" s="157"/>
      <c r="AT44" s="162"/>
      <c r="AU44" s="74">
        <f t="shared" si="90"/>
        <v>0</v>
      </c>
      <c r="AV44" s="157"/>
      <c r="AW44" s="75">
        <f>_xlfn.IFNA(VLOOKUP(L44,list_vat[],3,FALSE),0)</f>
        <v>0.02</v>
      </c>
      <c r="AX44" s="74">
        <f t="shared" si="91"/>
        <v>2559.9</v>
      </c>
      <c r="AY44" s="74">
        <f t="shared" si="92"/>
        <v>2559.9</v>
      </c>
      <c r="AZ44" s="130">
        <f t="shared" si="93"/>
        <v>2835.9644817927165</v>
      </c>
      <c r="BA44" s="74">
        <f t="shared" si="73"/>
        <v>75.126145827349845</v>
      </c>
      <c r="BB44" s="193">
        <f t="shared" si="94"/>
        <v>0</v>
      </c>
      <c r="BC44" s="102">
        <f t="shared" si="95"/>
        <v>9.7737039187887724E-3</v>
      </c>
      <c r="BD44" s="102">
        <f t="shared" si="96"/>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5"/>
        <v>0</v>
      </c>
      <c r="J45" s="195"/>
      <c r="K45" s="162">
        <v>0</v>
      </c>
      <c r="L45" s="168" t="s">
        <v>22</v>
      </c>
      <c r="M45" s="75">
        <f>_xlfn.XLOOKUP(L45,list_vat[Страна],list_vat[Ставка НДС %],0,0)</f>
        <v>0.13</v>
      </c>
      <c r="N45" s="162">
        <f t="shared" si="57"/>
        <v>0</v>
      </c>
      <c r="O45" s="169"/>
      <c r="P45" s="74">
        <f t="shared" si="97"/>
        <v>0</v>
      </c>
      <c r="Q45" s="162">
        <v>7.14</v>
      </c>
      <c r="R45" s="162">
        <f t="shared" si="58"/>
        <v>0</v>
      </c>
      <c r="S45" s="196">
        <f t="shared" si="76"/>
        <v>0</v>
      </c>
      <c r="T45" s="192">
        <f t="shared" si="77"/>
        <v>0</v>
      </c>
      <c r="U45" s="76">
        <f t="shared" si="78"/>
        <v>0</v>
      </c>
      <c r="V45" s="123">
        <f t="shared" si="79"/>
        <v>0</v>
      </c>
      <c r="W45" s="191">
        <v>8413603100</v>
      </c>
      <c r="X45" s="170">
        <v>0</v>
      </c>
      <c r="Y45" s="74">
        <f t="shared" si="61"/>
        <v>0</v>
      </c>
      <c r="Z45" s="188"/>
      <c r="AA45" s="130">
        <f t="shared" si="80"/>
        <v>0</v>
      </c>
      <c r="AB45" s="74">
        <f t="shared" si="81"/>
        <v>0</v>
      </c>
      <c r="AC45" s="356">
        <v>0.19</v>
      </c>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3"/>
        <v>0</v>
      </c>
      <c r="AH45" s="74">
        <f t="shared" si="64"/>
        <v>0</v>
      </c>
      <c r="AI45" s="123">
        <f t="shared" si="65"/>
        <v>0</v>
      </c>
      <c r="AJ45" s="118">
        <f t="shared" si="83"/>
        <v>0</v>
      </c>
      <c r="AK45" s="74">
        <f t="shared" si="84"/>
        <v>0</v>
      </c>
      <c r="AL45" s="174">
        <f t="shared" si="85"/>
        <v>0</v>
      </c>
      <c r="AM45" s="175">
        <f t="shared" si="66"/>
        <v>0</v>
      </c>
      <c r="AN45" s="130">
        <f t="shared" si="86"/>
        <v>0</v>
      </c>
      <c r="AO45" s="74">
        <f t="shared" si="67"/>
        <v>0</v>
      </c>
      <c r="AP45" s="123">
        <f t="shared" si="87"/>
        <v>0</v>
      </c>
      <c r="AQ45" s="118">
        <f t="shared" si="88"/>
        <v>0</v>
      </c>
      <c r="AR45" s="82" t="str">
        <f t="shared" si="89"/>
        <v>https://www.alta.ru/tnved/code/8413603100/</v>
      </c>
      <c r="AS45" s="157"/>
      <c r="AT45" s="162"/>
      <c r="AU45" s="74">
        <f t="shared" si="90"/>
        <v>0</v>
      </c>
      <c r="AV45" s="157"/>
      <c r="AW45" s="75">
        <f>_xlfn.IFNA(VLOOKUP(L45,list_vat[],3,FALSE),0)</f>
        <v>0.02</v>
      </c>
      <c r="AX45" s="74">
        <f t="shared" si="91"/>
        <v>0</v>
      </c>
      <c r="AY45" s="74">
        <f t="shared" si="92"/>
        <v>0</v>
      </c>
      <c r="AZ45" s="130">
        <f t="shared" si="93"/>
        <v>0</v>
      </c>
      <c r="BA45" s="74">
        <f t="shared" si="73"/>
        <v>0</v>
      </c>
      <c r="BB45" s="193">
        <f t="shared" si="94"/>
        <v>0</v>
      </c>
      <c r="BC45" s="102">
        <f t="shared" si="95"/>
        <v>0</v>
      </c>
      <c r="BD45" s="102">
        <f t="shared" si="96"/>
        <v>0</v>
      </c>
      <c r="BE45" s="413" t="s">
        <v>69</v>
      </c>
    </row>
    <row r="46" spans="1:57" s="65" customFormat="1" ht="12" customHeight="1" x14ac:dyDescent="0.2">
      <c r="A46" s="43">
        <v>31</v>
      </c>
      <c r="B46" s="166" t="s">
        <v>469</v>
      </c>
      <c r="C46" s="166" t="s">
        <v>517</v>
      </c>
      <c r="D46" s="166" t="s">
        <v>518</v>
      </c>
      <c r="E46" s="162">
        <v>1</v>
      </c>
      <c r="F46" s="166"/>
      <c r="G46" s="162"/>
      <c r="H46" s="162"/>
      <c r="I46" s="189">
        <f t="shared" si="75"/>
        <v>0</v>
      </c>
      <c r="J46" s="195"/>
      <c r="K46" s="162">
        <v>0</v>
      </c>
      <c r="L46" s="168" t="s">
        <v>22</v>
      </c>
      <c r="M46" s="75">
        <f>_xlfn.XLOOKUP(L46,list_vat[Страна],list_vat[Ставка НДС %],0,0)</f>
        <v>0.13</v>
      </c>
      <c r="N46" s="162">
        <f t="shared" si="57"/>
        <v>0</v>
      </c>
      <c r="O46" s="169"/>
      <c r="P46" s="74">
        <f t="shared" si="97"/>
        <v>0</v>
      </c>
      <c r="Q46" s="162">
        <v>7.14</v>
      </c>
      <c r="R46" s="162">
        <f t="shared" si="58"/>
        <v>0</v>
      </c>
      <c r="S46" s="196">
        <f t="shared" si="76"/>
        <v>0</v>
      </c>
      <c r="T46" s="192">
        <f t="shared" si="77"/>
        <v>0</v>
      </c>
      <c r="U46" s="76">
        <f t="shared" si="78"/>
        <v>0</v>
      </c>
      <c r="V46" s="123">
        <f t="shared" si="79"/>
        <v>0</v>
      </c>
      <c r="W46" s="191">
        <v>8481201009</v>
      </c>
      <c r="X46" s="170">
        <v>0.08</v>
      </c>
      <c r="Y46" s="74">
        <f t="shared" si="61"/>
        <v>0</v>
      </c>
      <c r="Z46" s="188"/>
      <c r="AA46" s="130">
        <f t="shared" si="80"/>
        <v>0</v>
      </c>
      <c r="AB46" s="74">
        <f t="shared" si="81"/>
        <v>0</v>
      </c>
      <c r="AC46" s="356">
        <v>0.19</v>
      </c>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3"/>
        <v>0</v>
      </c>
      <c r="AH46" s="74">
        <f t="shared" si="64"/>
        <v>0</v>
      </c>
      <c r="AI46" s="123">
        <f t="shared" si="65"/>
        <v>0</v>
      </c>
      <c r="AJ46" s="118">
        <f t="shared" si="83"/>
        <v>0</v>
      </c>
      <c r="AK46" s="74">
        <f t="shared" si="84"/>
        <v>0</v>
      </c>
      <c r="AL46" s="174">
        <f t="shared" si="85"/>
        <v>0</v>
      </c>
      <c r="AM46" s="175">
        <f t="shared" si="66"/>
        <v>0</v>
      </c>
      <c r="AN46" s="130">
        <f t="shared" si="86"/>
        <v>0</v>
      </c>
      <c r="AO46" s="74">
        <f t="shared" si="67"/>
        <v>0</v>
      </c>
      <c r="AP46" s="123">
        <f t="shared" si="87"/>
        <v>0</v>
      </c>
      <c r="AQ46" s="118">
        <f t="shared" si="88"/>
        <v>0</v>
      </c>
      <c r="AR46" s="82" t="str">
        <f t="shared" si="89"/>
        <v>https://www.alta.ru/tnved/code/8481201009/</v>
      </c>
      <c r="AS46" s="157"/>
      <c r="AT46" s="162"/>
      <c r="AU46" s="74">
        <f t="shared" si="90"/>
        <v>0</v>
      </c>
      <c r="AV46" s="157"/>
      <c r="AW46" s="75">
        <f>_xlfn.IFNA(VLOOKUP(L46,list_vat[],3,FALSE),0)</f>
        <v>0.02</v>
      </c>
      <c r="AX46" s="74">
        <f t="shared" si="91"/>
        <v>0</v>
      </c>
      <c r="AY46" s="74">
        <f t="shared" si="92"/>
        <v>0</v>
      </c>
      <c r="AZ46" s="130">
        <f t="shared" si="93"/>
        <v>0</v>
      </c>
      <c r="BA46" s="74">
        <f t="shared" si="73"/>
        <v>0</v>
      </c>
      <c r="BB46" s="193">
        <f t="shared" si="94"/>
        <v>0</v>
      </c>
      <c r="BC46" s="102">
        <f t="shared" si="95"/>
        <v>0</v>
      </c>
      <c r="BD46" s="102">
        <f t="shared" si="96"/>
        <v>0</v>
      </c>
      <c r="BE46" s="413" t="s">
        <v>69</v>
      </c>
    </row>
    <row r="47" spans="1:57" s="65" customFormat="1" ht="12" customHeight="1" x14ac:dyDescent="0.2">
      <c r="A47" s="43">
        <v>32</v>
      </c>
      <c r="B47" s="166" t="s">
        <v>469</v>
      </c>
      <c r="C47" s="166" t="s">
        <v>519</v>
      </c>
      <c r="D47" s="166" t="s">
        <v>520</v>
      </c>
      <c r="E47" s="162">
        <v>1</v>
      </c>
      <c r="F47" s="166"/>
      <c r="G47" s="162"/>
      <c r="H47" s="162"/>
      <c r="I47" s="189">
        <f t="shared" si="75"/>
        <v>0</v>
      </c>
      <c r="J47" s="195"/>
      <c r="K47" s="162">
        <v>20493.439999999999</v>
      </c>
      <c r="L47" s="168" t="s">
        <v>22</v>
      </c>
      <c r="M47" s="75">
        <f>_xlfn.XLOOKUP(L47,list_vat[Страна],list_vat[Ставка НДС %],0,0)</f>
        <v>0.13</v>
      </c>
      <c r="N47" s="162">
        <f t="shared" si="57"/>
        <v>20493.439999999999</v>
      </c>
      <c r="O47" s="169"/>
      <c r="P47" s="74">
        <f t="shared" si="97"/>
        <v>20493.439999999999</v>
      </c>
      <c r="Q47" s="162">
        <v>7.14</v>
      </c>
      <c r="R47" s="162">
        <f t="shared" si="58"/>
        <v>2870.2296918767506</v>
      </c>
      <c r="S47" s="196">
        <f t="shared" si="76"/>
        <v>2870.2296918767506</v>
      </c>
      <c r="T47" s="192">
        <f t="shared" si="77"/>
        <v>40.499139447516555</v>
      </c>
      <c r="U47" s="76">
        <f t="shared" si="78"/>
        <v>27.944316796972672</v>
      </c>
      <c r="V47" s="123">
        <f t="shared" si="79"/>
        <v>68.443456244489226</v>
      </c>
      <c r="W47" s="191">
        <v>8409990009</v>
      </c>
      <c r="X47" s="170">
        <v>0.05</v>
      </c>
      <c r="Y47" s="74">
        <f t="shared" si="61"/>
        <v>148.41</v>
      </c>
      <c r="Z47" s="188"/>
      <c r="AA47" s="130">
        <f t="shared" si="80"/>
        <v>3173</v>
      </c>
      <c r="AB47" s="74">
        <f t="shared" si="81"/>
        <v>3173</v>
      </c>
      <c r="AC47" s="356">
        <v>0.19</v>
      </c>
      <c r="AD47" s="130" cm="1">
        <f t="array" ref="AD47">IFERROR(ROUND((_xlfn.IFS(offer_sale_type="поставка",AB47,offer_sale_type="транзит",S47)*(1+AC47))/E47,2),0)</f>
        <v>3775.87</v>
      </c>
      <c r="AE47" s="74">
        <f t="shared" si="82"/>
        <v>3775.87</v>
      </c>
      <c r="AF47" s="123" cm="1">
        <f t="array" ref="AF47">IFERROR(ROUND(_xlfn.IFS(offer_sale_type="поставка",AB47,offer_sale_type="транзит",S47)*AC47,2),0)</f>
        <v>602.87</v>
      </c>
      <c r="AG47" s="130">
        <f t="shared" si="63"/>
        <v>0</v>
      </c>
      <c r="AH47" s="74">
        <f t="shared" si="64"/>
        <v>115.28533552938279</v>
      </c>
      <c r="AI47" s="123">
        <f t="shared" si="65"/>
        <v>66.974517646093176</v>
      </c>
      <c r="AJ47" s="118">
        <f t="shared" si="83"/>
        <v>3958.13</v>
      </c>
      <c r="AK47" s="74">
        <f t="shared" si="84"/>
        <v>3958.13</v>
      </c>
      <c r="AL47" s="174">
        <f t="shared" si="85"/>
        <v>4749.76</v>
      </c>
      <c r="AM47" s="175">
        <f t="shared" si="66"/>
        <v>4749.76</v>
      </c>
      <c r="AN47" s="130">
        <f t="shared" si="86"/>
        <v>791.63000000000011</v>
      </c>
      <c r="AO47" s="74">
        <f t="shared" si="67"/>
        <v>623.3078278895033</v>
      </c>
      <c r="AP47" s="123">
        <f t="shared" si="87"/>
        <v>168.32217211049681</v>
      </c>
      <c r="AQ47" s="118">
        <f t="shared" si="88"/>
        <v>0</v>
      </c>
      <c r="AR47" s="82" t="str">
        <f t="shared" si="89"/>
        <v>https://www.alta.ru/tnved/code/8409990009/</v>
      </c>
      <c r="AS47" s="157"/>
      <c r="AT47" s="162"/>
      <c r="AU47" s="74">
        <f t="shared" si="90"/>
        <v>0</v>
      </c>
      <c r="AV47" s="157"/>
      <c r="AW47" s="75">
        <f>_xlfn.IFNA(VLOOKUP(L47,list_vat[],3,FALSE),0)</f>
        <v>0.02</v>
      </c>
      <c r="AX47" s="74">
        <f t="shared" si="91"/>
        <v>2927.63</v>
      </c>
      <c r="AY47" s="74">
        <f t="shared" si="92"/>
        <v>2927.63</v>
      </c>
      <c r="AZ47" s="130">
        <f t="shared" si="93"/>
        <v>3243.359551820728</v>
      </c>
      <c r="BA47" s="74">
        <f t="shared" si="73"/>
        <v>85.918249055991339</v>
      </c>
      <c r="BB47" s="193">
        <f t="shared" si="94"/>
        <v>0</v>
      </c>
      <c r="BC47" s="102">
        <f t="shared" si="95"/>
        <v>1.1177726718789069E-2</v>
      </c>
      <c r="BD47" s="102">
        <f t="shared" si="96"/>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5"/>
        <v>0</v>
      </c>
      <c r="J48" s="195"/>
      <c r="K48" s="162">
        <v>6054.52</v>
      </c>
      <c r="L48" s="168" t="s">
        <v>22</v>
      </c>
      <c r="M48" s="75">
        <f>_xlfn.XLOOKUP(L48,list_vat[Страна],list_vat[Ставка НДС %],0,0)</f>
        <v>0.13</v>
      </c>
      <c r="N48" s="162">
        <f t="shared" si="57"/>
        <v>6054.52</v>
      </c>
      <c r="O48" s="169"/>
      <c r="P48" s="74">
        <f t="shared" si="97"/>
        <v>6054.52</v>
      </c>
      <c r="Q48" s="162">
        <v>7.14</v>
      </c>
      <c r="R48" s="162">
        <f t="shared" si="58"/>
        <v>847.97198879551831</v>
      </c>
      <c r="S48" s="196">
        <f t="shared" si="76"/>
        <v>847.97198879551831</v>
      </c>
      <c r="T48" s="192">
        <f t="shared" si="77"/>
        <v>11.964943404707943</v>
      </c>
      <c r="U48" s="76">
        <f t="shared" si="78"/>
        <v>8.2557845307379836</v>
      </c>
      <c r="V48" s="123">
        <f t="shared" si="79"/>
        <v>20.220727935445929</v>
      </c>
      <c r="W48" s="191">
        <v>8708939009</v>
      </c>
      <c r="X48" s="170">
        <v>0.05</v>
      </c>
      <c r="Y48" s="74">
        <f t="shared" ref="Y48:Y79" si="98">ROUND(IF(offer_incoterms="DDP",X48*(AY48+T48),0),2)</f>
        <v>43.84</v>
      </c>
      <c r="Z48" s="188"/>
      <c r="AA48" s="130">
        <f t="shared" si="80"/>
        <v>937.42</v>
      </c>
      <c r="AB48" s="74">
        <f t="shared" si="81"/>
        <v>937.42</v>
      </c>
      <c r="AC48" s="356">
        <v>0.19</v>
      </c>
      <c r="AD48" s="130" cm="1">
        <f t="array" ref="AD48">IFERROR(ROUND((_xlfn.IFS(offer_sale_type="поставка",AB48,offer_sale_type="транзит",S48)*(1+AC48))/E48,2),0)</f>
        <v>1115.53</v>
      </c>
      <c r="AE48" s="74">
        <f t="shared" si="82"/>
        <v>1115.53</v>
      </c>
      <c r="AF48" s="123" cm="1">
        <f t="array" ref="AF48">IFERROR(ROUND(_xlfn.IFS(offer_sale_type="поставка",AB48,offer_sale_type="транзит",S48)*AC48,2),0)</f>
        <v>178.11</v>
      </c>
      <c r="AG48" s="130">
        <f t="shared" si="63"/>
        <v>0</v>
      </c>
      <c r="AH48" s="74">
        <f t="shared" si="64"/>
        <v>34.059502474614249</v>
      </c>
      <c r="AI48" s="123">
        <f t="shared" si="65"/>
        <v>19.786749153808444</v>
      </c>
      <c r="AJ48" s="118">
        <f t="shared" si="83"/>
        <v>1169.3800000000001</v>
      </c>
      <c r="AK48" s="74">
        <f t="shared" si="84"/>
        <v>1169.3800000000001</v>
      </c>
      <c r="AL48" s="174">
        <f t="shared" si="85"/>
        <v>1403.26</v>
      </c>
      <c r="AM48" s="175">
        <f t="shared" si="66"/>
        <v>1403.26</v>
      </c>
      <c r="AN48" s="130">
        <f t="shared" si="86"/>
        <v>233.87999999999988</v>
      </c>
      <c r="AO48" s="74">
        <f t="shared" si="67"/>
        <v>184.1469886809416</v>
      </c>
      <c r="AP48" s="123">
        <f t="shared" si="87"/>
        <v>49.733011319058278</v>
      </c>
      <c r="AQ48" s="118">
        <f t="shared" si="88"/>
        <v>0</v>
      </c>
      <c r="AR48" s="82" t="str">
        <f t="shared" si="89"/>
        <v>https://www.alta.ru/tnved/code/8708939009/</v>
      </c>
      <c r="AS48" s="157"/>
      <c r="AT48" s="162"/>
      <c r="AU48" s="74">
        <f t="shared" si="90"/>
        <v>0</v>
      </c>
      <c r="AV48" s="157"/>
      <c r="AW48" s="75">
        <f>_xlfn.IFNA(VLOOKUP(L48,list_vat[],3,FALSE),0)</f>
        <v>0.02</v>
      </c>
      <c r="AX48" s="74">
        <f t="shared" si="91"/>
        <v>864.93</v>
      </c>
      <c r="AY48" s="74">
        <f t="shared" si="92"/>
        <v>864.93</v>
      </c>
      <c r="AZ48" s="130">
        <f t="shared" si="93"/>
        <v>958.2083473389356</v>
      </c>
      <c r="BA48" s="74">
        <f t="shared" si="73"/>
        <v>25.383427929839051</v>
      </c>
      <c r="BB48" s="193">
        <f t="shared" si="94"/>
        <v>0</v>
      </c>
      <c r="BC48" s="102">
        <f t="shared" si="95"/>
        <v>3.3023138122951932E-3</v>
      </c>
      <c r="BD48" s="102">
        <f t="shared" si="96"/>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5"/>
        <v>0</v>
      </c>
      <c r="J49" s="195"/>
      <c r="K49" s="162">
        <v>14009.28</v>
      </c>
      <c r="L49" s="168" t="s">
        <v>22</v>
      </c>
      <c r="M49" s="75">
        <f>_xlfn.XLOOKUP(L49,list_vat[Страна],list_vat[Ставка НДС %],0,0)</f>
        <v>0.13</v>
      </c>
      <c r="N49" s="162">
        <f t="shared" si="57"/>
        <v>14009.28</v>
      </c>
      <c r="O49" s="169"/>
      <c r="P49" s="74">
        <f t="shared" si="97"/>
        <v>14009.28</v>
      </c>
      <c r="Q49" s="162">
        <v>7.14</v>
      </c>
      <c r="R49" s="162">
        <f t="shared" si="58"/>
        <v>1962.0840336134456</v>
      </c>
      <c r="S49" s="196">
        <f t="shared" si="76"/>
        <v>1962.0840336134456</v>
      </c>
      <c r="T49" s="192">
        <f t="shared" si="77"/>
        <v>27.685141405215756</v>
      </c>
      <c r="U49" s="76">
        <f t="shared" si="78"/>
        <v>19.102686441002263</v>
      </c>
      <c r="V49" s="123">
        <f t="shared" si="79"/>
        <v>46.787827846218022</v>
      </c>
      <c r="W49" s="191">
        <v>8413603900</v>
      </c>
      <c r="X49" s="170">
        <v>0</v>
      </c>
      <c r="Y49" s="74">
        <f t="shared" si="98"/>
        <v>0</v>
      </c>
      <c r="Z49" s="188"/>
      <c r="AA49" s="130">
        <f t="shared" si="80"/>
        <v>2067.61</v>
      </c>
      <c r="AB49" s="74">
        <f t="shared" si="81"/>
        <v>2067.61</v>
      </c>
      <c r="AC49" s="356">
        <v>0.19</v>
      </c>
      <c r="AD49" s="130" cm="1">
        <f t="array" ref="AD49">IFERROR(ROUND((_xlfn.IFS(offer_sale_type="поставка",AB49,offer_sale_type="транзит",S49)*(1+AC49))/E49,2),0)</f>
        <v>2460.46</v>
      </c>
      <c r="AE49" s="74">
        <f t="shared" si="82"/>
        <v>2460.46</v>
      </c>
      <c r="AF49" s="123" cm="1">
        <f t="array" ref="AF49">IFERROR(ROUND(_xlfn.IFS(offer_sale_type="поставка",AB49,offer_sale_type="транзит",S49)*AC49,2),0)</f>
        <v>392.85</v>
      </c>
      <c r="AG49" s="130">
        <f t="shared" si="63"/>
        <v>0</v>
      </c>
      <c r="AH49" s="74">
        <f t="shared" si="64"/>
        <v>75.187309919128836</v>
      </c>
      <c r="AI49" s="123">
        <f t="shared" si="65"/>
        <v>45.783663970961463</v>
      </c>
      <c r="AJ49" s="118">
        <f t="shared" si="83"/>
        <v>2581.4299999999998</v>
      </c>
      <c r="AK49" s="74">
        <f t="shared" si="84"/>
        <v>2581.4299999999998</v>
      </c>
      <c r="AL49" s="174">
        <f t="shared" si="85"/>
        <v>3097.72</v>
      </c>
      <c r="AM49" s="175">
        <f t="shared" si="66"/>
        <v>3097.72</v>
      </c>
      <c r="AN49" s="130">
        <f t="shared" si="86"/>
        <v>516.29</v>
      </c>
      <c r="AO49" s="74">
        <f t="shared" si="67"/>
        <v>405.80302828104317</v>
      </c>
      <c r="AP49" s="123">
        <f t="shared" si="87"/>
        <v>110.4869717189568</v>
      </c>
      <c r="AQ49" s="118">
        <f t="shared" si="88"/>
        <v>0</v>
      </c>
      <c r="AR49" s="82" t="str">
        <f t="shared" si="89"/>
        <v>https://www.alta.ru/tnved/code/8413603900/</v>
      </c>
      <c r="AS49" s="157"/>
      <c r="AT49" s="162"/>
      <c r="AU49" s="74">
        <f t="shared" si="90"/>
        <v>0</v>
      </c>
      <c r="AV49" s="157"/>
      <c r="AW49" s="75">
        <f>_xlfn.IFNA(VLOOKUP(L49,list_vat[],3,FALSE),0)</f>
        <v>0.02</v>
      </c>
      <c r="AX49" s="74">
        <f t="shared" si="91"/>
        <v>2001.33</v>
      </c>
      <c r="AY49" s="74">
        <f t="shared" si="92"/>
        <v>2001.33</v>
      </c>
      <c r="AZ49" s="130">
        <f t="shared" si="93"/>
        <v>2217.1549579831935</v>
      </c>
      <c r="BA49" s="74">
        <f t="shared" si="73"/>
        <v>58.733565869620648</v>
      </c>
      <c r="BB49" s="193">
        <f t="shared" si="94"/>
        <v>0</v>
      </c>
      <c r="BC49" s="102">
        <f t="shared" si="95"/>
        <v>7.6410745764009047E-3</v>
      </c>
      <c r="BD49" s="102">
        <f t="shared" si="96"/>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5"/>
        <v>0</v>
      </c>
      <c r="J50" s="195"/>
      <c r="K50" s="162">
        <v>17312.77</v>
      </c>
      <c r="L50" s="168" t="s">
        <v>22</v>
      </c>
      <c r="M50" s="75">
        <f>_xlfn.XLOOKUP(L50,list_vat[Страна],list_vat[Ставка НДС %],0,0)</f>
        <v>0.13</v>
      </c>
      <c r="N50" s="162">
        <f t="shared" si="57"/>
        <v>17312.77</v>
      </c>
      <c r="O50" s="169"/>
      <c r="P50" s="74">
        <f t="shared" si="97"/>
        <v>17312.77</v>
      </c>
      <c r="Q50" s="162">
        <v>7.14</v>
      </c>
      <c r="R50" s="162">
        <f t="shared" si="58"/>
        <v>2424.7577030812326</v>
      </c>
      <c r="S50" s="196">
        <f t="shared" si="76"/>
        <v>2424.7577030812326</v>
      </c>
      <c r="T50" s="192">
        <f t="shared" si="77"/>
        <v>34.213498878313317</v>
      </c>
      <c r="U50" s="76">
        <f t="shared" si="78"/>
        <v>23.607238682872406</v>
      </c>
      <c r="V50" s="123">
        <f t="shared" si="79"/>
        <v>57.820737561185723</v>
      </c>
      <c r="W50" s="191">
        <v>8413603900</v>
      </c>
      <c r="X50" s="170">
        <v>0</v>
      </c>
      <c r="Y50" s="74">
        <f t="shared" si="98"/>
        <v>0</v>
      </c>
      <c r="Z50" s="188"/>
      <c r="AA50" s="130">
        <f t="shared" si="80"/>
        <v>2555.16</v>
      </c>
      <c r="AB50" s="74">
        <f t="shared" si="81"/>
        <v>2555.16</v>
      </c>
      <c r="AC50" s="356">
        <v>0.19</v>
      </c>
      <c r="AD50" s="130" cm="1">
        <f t="array" ref="AD50">IFERROR(ROUND((_xlfn.IFS(offer_sale_type="поставка",AB50,offer_sale_type="транзит",S50)*(1+AC50))/E50,2),0)</f>
        <v>3040.64</v>
      </c>
      <c r="AE50" s="74">
        <f t="shared" si="82"/>
        <v>3040.64</v>
      </c>
      <c r="AF50" s="123" cm="1">
        <f t="array" ref="AF50">IFERROR(ROUND(_xlfn.IFS(offer_sale_type="поставка",AB50,offer_sale_type="транзит",S50)*AC50,2),0)</f>
        <v>485.48</v>
      </c>
      <c r="AG50" s="130">
        <f t="shared" si="63"/>
        <v>0</v>
      </c>
      <c r="AH50" s="74">
        <f t="shared" si="64"/>
        <v>92.916593536469833</v>
      </c>
      <c r="AI50" s="123">
        <f t="shared" si="65"/>
        <v>56.57978454899483</v>
      </c>
      <c r="AJ50" s="118">
        <f t="shared" si="83"/>
        <v>3190.14</v>
      </c>
      <c r="AK50" s="74">
        <f t="shared" si="84"/>
        <v>3190.14</v>
      </c>
      <c r="AL50" s="174">
        <f t="shared" si="85"/>
        <v>3828.17</v>
      </c>
      <c r="AM50" s="175">
        <f t="shared" si="66"/>
        <v>3828.17</v>
      </c>
      <c r="AN50" s="130">
        <f t="shared" si="86"/>
        <v>638.0300000000002</v>
      </c>
      <c r="AO50" s="74">
        <f t="shared" si="67"/>
        <v>501.49269977566269</v>
      </c>
      <c r="AP50" s="123">
        <f t="shared" si="87"/>
        <v>136.53730022433751</v>
      </c>
      <c r="AQ50" s="118">
        <f t="shared" si="88"/>
        <v>0</v>
      </c>
      <c r="AR50" s="82" t="str">
        <f t="shared" si="89"/>
        <v>https://www.alta.ru/tnved/code/8413603900/</v>
      </c>
      <c r="AS50" s="157"/>
      <c r="AT50" s="162"/>
      <c r="AU50" s="74">
        <f t="shared" si="90"/>
        <v>0</v>
      </c>
      <c r="AV50" s="157"/>
      <c r="AW50" s="75">
        <f>_xlfn.IFNA(VLOOKUP(L50,list_vat[],3,FALSE),0)</f>
        <v>0.02</v>
      </c>
      <c r="AX50" s="74">
        <f t="shared" si="91"/>
        <v>2473.25</v>
      </c>
      <c r="AY50" s="74">
        <f t="shared" si="92"/>
        <v>2473.25</v>
      </c>
      <c r="AZ50" s="130">
        <f t="shared" si="93"/>
        <v>2739.9762044817926</v>
      </c>
      <c r="BA50" s="74">
        <f t="shared" si="73"/>
        <v>72.583367395083286</v>
      </c>
      <c r="BB50" s="193">
        <f t="shared" si="94"/>
        <v>0</v>
      </c>
      <c r="BC50" s="102">
        <f t="shared" si="95"/>
        <v>9.4428954731489625E-3</v>
      </c>
      <c r="BD50" s="102">
        <f t="shared" si="96"/>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5"/>
        <v>0</v>
      </c>
      <c r="J51" s="195"/>
      <c r="K51" s="162">
        <v>17043.900000000001</v>
      </c>
      <c r="L51" s="168" t="s">
        <v>22</v>
      </c>
      <c r="M51" s="75">
        <f>_xlfn.XLOOKUP(L51,list_vat[Страна],list_vat[Ставка НДС %],0,0)</f>
        <v>0.13</v>
      </c>
      <c r="N51" s="162">
        <f t="shared" si="57"/>
        <v>17043.900000000001</v>
      </c>
      <c r="O51" s="169"/>
      <c r="P51" s="74">
        <f t="shared" si="97"/>
        <v>17043.900000000001</v>
      </c>
      <c r="Q51" s="162">
        <v>7.14</v>
      </c>
      <c r="R51" s="162">
        <f t="shared" si="58"/>
        <v>2387.1008403361348</v>
      </c>
      <c r="S51" s="196">
        <f t="shared" si="76"/>
        <v>2387.1008403361348</v>
      </c>
      <c r="T51" s="192">
        <f t="shared" si="77"/>
        <v>33.682157940761897</v>
      </c>
      <c r="U51" s="76">
        <f t="shared" si="78"/>
        <v>23.240614609158964</v>
      </c>
      <c r="V51" s="123">
        <f t="shared" si="79"/>
        <v>56.922772549920865</v>
      </c>
      <c r="W51" s="191">
        <v>8511500008</v>
      </c>
      <c r="X51" s="170">
        <v>7.4999999999999997E-2</v>
      </c>
      <c r="Y51" s="74">
        <f t="shared" si="98"/>
        <v>185.14</v>
      </c>
      <c r="Z51" s="188"/>
      <c r="AA51" s="130">
        <f t="shared" si="80"/>
        <v>2700.62</v>
      </c>
      <c r="AB51" s="74">
        <f t="shared" si="81"/>
        <v>2700.62</v>
      </c>
      <c r="AC51" s="356">
        <v>0.19</v>
      </c>
      <c r="AD51" s="130" cm="1">
        <f t="array" ref="AD51">IFERROR(ROUND((_xlfn.IFS(offer_sale_type="поставка",AB51,offer_sale_type="транзит",S51)*(1+AC51))/E51,2),0)</f>
        <v>3213.74</v>
      </c>
      <c r="AE51" s="74">
        <f t="shared" si="82"/>
        <v>3213.74</v>
      </c>
      <c r="AF51" s="123" cm="1">
        <f t="array" ref="AF51">IFERROR(ROUND(_xlfn.IFS(offer_sale_type="поставка",AB51,offer_sale_type="транзит",S51)*AC51,2),0)</f>
        <v>513.12</v>
      </c>
      <c r="AG51" s="130">
        <f t="shared" si="63"/>
        <v>0</v>
      </c>
      <c r="AH51" s="74">
        <f t="shared" si="64"/>
        <v>98.083232751907303</v>
      </c>
      <c r="AI51" s="123">
        <f t="shared" si="65"/>
        <v>55.701091730243817</v>
      </c>
      <c r="AJ51" s="118">
        <f t="shared" si="83"/>
        <v>3367.52</v>
      </c>
      <c r="AK51" s="74">
        <f t="shared" si="84"/>
        <v>3367.52</v>
      </c>
      <c r="AL51" s="174">
        <f t="shared" si="85"/>
        <v>4041.02</v>
      </c>
      <c r="AM51" s="175">
        <f t="shared" si="66"/>
        <v>4041.02</v>
      </c>
      <c r="AN51" s="130">
        <f t="shared" si="86"/>
        <v>673.5</v>
      </c>
      <c r="AO51" s="74">
        <f t="shared" si="67"/>
        <v>530.73243158815239</v>
      </c>
      <c r="AP51" s="123">
        <f t="shared" si="87"/>
        <v>142.76756841184761</v>
      </c>
      <c r="AQ51" s="118">
        <f t="shared" si="88"/>
        <v>0</v>
      </c>
      <c r="AR51" s="82" t="str">
        <f t="shared" si="89"/>
        <v>https://www.alta.ru/tnved/code/8511500008/</v>
      </c>
      <c r="AS51" s="157"/>
      <c r="AT51" s="162"/>
      <c r="AU51" s="74">
        <f t="shared" si="90"/>
        <v>0</v>
      </c>
      <c r="AV51" s="157"/>
      <c r="AW51" s="75">
        <f>_xlfn.IFNA(VLOOKUP(L51,list_vat[],3,FALSE),0)</f>
        <v>0.02</v>
      </c>
      <c r="AX51" s="74">
        <f t="shared" si="91"/>
        <v>2434.84</v>
      </c>
      <c r="AY51" s="74">
        <f t="shared" si="92"/>
        <v>2434.84</v>
      </c>
      <c r="AZ51" s="130">
        <f t="shared" si="93"/>
        <v>2697.423949579832</v>
      </c>
      <c r="BA51" s="74">
        <f t="shared" si="73"/>
        <v>71.456136455637079</v>
      </c>
      <c r="BB51" s="193">
        <f t="shared" si="94"/>
        <v>0</v>
      </c>
      <c r="BC51" s="102">
        <f t="shared" si="95"/>
        <v>9.296245843663585E-3</v>
      </c>
      <c r="BD51" s="102">
        <f t="shared" si="96"/>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5"/>
        <v>0</v>
      </c>
      <c r="J52" s="195"/>
      <c r="K52" s="162">
        <v>15006.86</v>
      </c>
      <c r="L52" s="168" t="s">
        <v>22</v>
      </c>
      <c r="M52" s="75">
        <f>_xlfn.XLOOKUP(L52,list_vat[Страна],list_vat[Ставка НДС %],0,0)</f>
        <v>0.13</v>
      </c>
      <c r="N52" s="162">
        <f t="shared" si="57"/>
        <v>15006.86</v>
      </c>
      <c r="O52" s="169"/>
      <c r="P52" s="74">
        <f t="shared" si="97"/>
        <v>15006.86</v>
      </c>
      <c r="Q52" s="162">
        <v>7.14</v>
      </c>
      <c r="R52" s="162">
        <f t="shared" si="58"/>
        <v>2101.8011204481795</v>
      </c>
      <c r="S52" s="196">
        <f t="shared" si="76"/>
        <v>2101.8011204481795</v>
      </c>
      <c r="T52" s="192">
        <f t="shared" si="77"/>
        <v>29.656559162803241</v>
      </c>
      <c r="U52" s="76">
        <f t="shared" si="78"/>
        <v>20.462960340861144</v>
      </c>
      <c r="V52" s="123">
        <f t="shared" si="79"/>
        <v>50.119519503664385</v>
      </c>
      <c r="W52" s="191">
        <v>8483508000</v>
      </c>
      <c r="X52" s="170">
        <v>0.05</v>
      </c>
      <c r="Y52" s="74">
        <f t="shared" si="98"/>
        <v>108.67</v>
      </c>
      <c r="Z52" s="188"/>
      <c r="AA52" s="130">
        <f t="shared" si="80"/>
        <v>2323.5100000000002</v>
      </c>
      <c r="AB52" s="74">
        <f t="shared" si="81"/>
        <v>2323.5100000000002</v>
      </c>
      <c r="AC52" s="356">
        <v>0.19</v>
      </c>
      <c r="AD52" s="130" cm="1">
        <f t="array" ref="AD52">IFERROR(ROUND((_xlfn.IFS(offer_sale_type="поставка",AB52,offer_sale_type="транзит",S52)*(1+AC52))/E52,2),0)</f>
        <v>2764.98</v>
      </c>
      <c r="AE52" s="74">
        <f t="shared" si="82"/>
        <v>2764.98</v>
      </c>
      <c r="AF52" s="123" cm="1">
        <f t="array" ref="AF52">IFERROR(ROUND(_xlfn.IFS(offer_sale_type="поставка",AB52,offer_sale_type="транзит",S52)*AC52,2),0)</f>
        <v>441.47</v>
      </c>
      <c r="AG52" s="130">
        <f t="shared" si="63"/>
        <v>0</v>
      </c>
      <c r="AH52" s="74">
        <f t="shared" si="64"/>
        <v>84.420715518354825</v>
      </c>
      <c r="AI52" s="123">
        <f t="shared" si="65"/>
        <v>49.043850611827494</v>
      </c>
      <c r="AJ52" s="118">
        <f t="shared" si="83"/>
        <v>2898.44</v>
      </c>
      <c r="AK52" s="74">
        <f t="shared" si="84"/>
        <v>2898.44</v>
      </c>
      <c r="AL52" s="174">
        <f t="shared" si="85"/>
        <v>3478.13</v>
      </c>
      <c r="AM52" s="175">
        <f t="shared" si="66"/>
        <v>3478.13</v>
      </c>
      <c r="AN52" s="130">
        <f t="shared" si="86"/>
        <v>579.69000000000005</v>
      </c>
      <c r="AO52" s="74">
        <f t="shared" si="67"/>
        <v>456.43331183256072</v>
      </c>
      <c r="AP52" s="123">
        <f t="shared" si="87"/>
        <v>123.25668816743934</v>
      </c>
      <c r="AQ52" s="118">
        <f t="shared" si="88"/>
        <v>0</v>
      </c>
      <c r="AR52" s="82" t="str">
        <f t="shared" si="89"/>
        <v>https://www.alta.ru/tnved/code/8483508000/</v>
      </c>
      <c r="AS52" s="157"/>
      <c r="AT52" s="162"/>
      <c r="AU52" s="74">
        <f t="shared" si="90"/>
        <v>0</v>
      </c>
      <c r="AV52" s="157"/>
      <c r="AW52" s="75">
        <f>_xlfn.IFNA(VLOOKUP(L52,list_vat[],3,FALSE),0)</f>
        <v>0.02</v>
      </c>
      <c r="AX52" s="74">
        <f t="shared" si="91"/>
        <v>2143.84</v>
      </c>
      <c r="AY52" s="74">
        <f t="shared" si="92"/>
        <v>2143.84</v>
      </c>
      <c r="AZ52" s="130">
        <f t="shared" si="93"/>
        <v>2375.0352661064426</v>
      </c>
      <c r="BA52" s="74">
        <f t="shared" si="73"/>
        <v>62.915895770958635</v>
      </c>
      <c r="BB52" s="193">
        <f t="shared" si="94"/>
        <v>0</v>
      </c>
      <c r="BC52" s="102">
        <f t="shared" si="95"/>
        <v>8.1851841363444582E-3</v>
      </c>
      <c r="BD52" s="102">
        <f t="shared" si="96"/>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5"/>
        <v>0</v>
      </c>
      <c r="J53" s="195"/>
      <c r="K53" s="162">
        <v>12455.36</v>
      </c>
      <c r="L53" s="168" t="s">
        <v>22</v>
      </c>
      <c r="M53" s="75">
        <f>_xlfn.XLOOKUP(L53,list_vat[Страна],list_vat[Ставка НДС %],0,0)</f>
        <v>0.13</v>
      </c>
      <c r="N53" s="162">
        <f t="shared" si="57"/>
        <v>12455.36</v>
      </c>
      <c r="O53" s="169"/>
      <c r="P53" s="74">
        <f t="shared" si="97"/>
        <v>12455.36</v>
      </c>
      <c r="Q53" s="162">
        <v>7.14</v>
      </c>
      <c r="R53" s="162">
        <f t="shared" si="58"/>
        <v>1744.4481792717088</v>
      </c>
      <c r="S53" s="196">
        <f t="shared" si="76"/>
        <v>1744.4481792717088</v>
      </c>
      <c r="T53" s="192">
        <f t="shared" si="77"/>
        <v>24.614284449512617</v>
      </c>
      <c r="U53" s="76">
        <f t="shared" si="78"/>
        <v>16.983801921997557</v>
      </c>
      <c r="V53" s="123">
        <f t="shared" si="79"/>
        <v>41.598086371510178</v>
      </c>
      <c r="W53" s="191">
        <v>8484900000</v>
      </c>
      <c r="X53" s="170">
        <v>0</v>
      </c>
      <c r="Y53" s="74">
        <f t="shared" si="98"/>
        <v>0</v>
      </c>
      <c r="Z53" s="188"/>
      <c r="AA53" s="130">
        <f t="shared" si="80"/>
        <v>1838.27</v>
      </c>
      <c r="AB53" s="74">
        <f t="shared" si="81"/>
        <v>1838.27</v>
      </c>
      <c r="AC53" s="356">
        <v>0.19</v>
      </c>
      <c r="AD53" s="130" cm="1">
        <f t="array" ref="AD53">IFERROR(ROUND((_xlfn.IFS(offer_sale_type="поставка",AB53,offer_sale_type="транзит",S53)*(1+AC53))/E53,2),0)</f>
        <v>2187.54</v>
      </c>
      <c r="AE53" s="74">
        <f t="shared" si="82"/>
        <v>2187.54</v>
      </c>
      <c r="AF53" s="123" cm="1">
        <f t="array" ref="AF53">IFERROR(ROUND(_xlfn.IFS(offer_sale_type="поставка",AB53,offer_sale_type="транзит",S53)*AC53,2),0)</f>
        <v>349.27</v>
      </c>
      <c r="AG53" s="130">
        <f t="shared" si="63"/>
        <v>0</v>
      </c>
      <c r="AH53" s="74">
        <f t="shared" si="64"/>
        <v>66.847359153526853</v>
      </c>
      <c r="AI53" s="123">
        <f t="shared" si="65"/>
        <v>40.705305117561679</v>
      </c>
      <c r="AJ53" s="118">
        <f t="shared" si="83"/>
        <v>2295.09</v>
      </c>
      <c r="AK53" s="74">
        <f t="shared" si="84"/>
        <v>2295.09</v>
      </c>
      <c r="AL53" s="174">
        <f t="shared" si="85"/>
        <v>2754.11</v>
      </c>
      <c r="AM53" s="175">
        <f t="shared" si="66"/>
        <v>2754.11</v>
      </c>
      <c r="AN53" s="130">
        <f t="shared" si="86"/>
        <v>459.02</v>
      </c>
      <c r="AO53" s="74">
        <f t="shared" si="67"/>
        <v>360.7908568899025</v>
      </c>
      <c r="AP53" s="123">
        <f t="shared" si="87"/>
        <v>98.229143110097482</v>
      </c>
      <c r="AQ53" s="118">
        <f t="shared" si="88"/>
        <v>0</v>
      </c>
      <c r="AR53" s="82" t="str">
        <f t="shared" si="89"/>
        <v>https://www.alta.ru/tnved/code/8484900000/</v>
      </c>
      <c r="AS53" s="157"/>
      <c r="AT53" s="162"/>
      <c r="AU53" s="74">
        <f t="shared" si="90"/>
        <v>0</v>
      </c>
      <c r="AV53" s="157"/>
      <c r="AW53" s="75">
        <f>_xlfn.IFNA(VLOOKUP(L53,list_vat[],3,FALSE),0)</f>
        <v>0.02</v>
      </c>
      <c r="AX53" s="74">
        <f t="shared" si="91"/>
        <v>1779.34</v>
      </c>
      <c r="AY53" s="74">
        <f t="shared" si="92"/>
        <v>1779.34</v>
      </c>
      <c r="AZ53" s="130">
        <f t="shared" si="93"/>
        <v>1971.2264425770309</v>
      </c>
      <c r="BA53" s="74">
        <f t="shared" si="73"/>
        <v>52.218794041509504</v>
      </c>
      <c r="BB53" s="193">
        <f t="shared" si="94"/>
        <v>0</v>
      </c>
      <c r="BC53" s="102">
        <f t="shared" si="95"/>
        <v>6.7935207687990226E-3</v>
      </c>
      <c r="BD53" s="102">
        <f t="shared" si="96"/>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5"/>
        <v>0</v>
      </c>
      <c r="J54" s="195"/>
      <c r="K54" s="162">
        <v>18029.55</v>
      </c>
      <c r="L54" s="168" t="s">
        <v>22</v>
      </c>
      <c r="M54" s="75">
        <f>_xlfn.XLOOKUP(L54,list_vat[Страна],list_vat[Ставка НДС %],0,0)</f>
        <v>0.13</v>
      </c>
      <c r="N54" s="162">
        <f t="shared" si="57"/>
        <v>18029.55</v>
      </c>
      <c r="O54" s="169"/>
      <c r="P54" s="74">
        <f t="shared" si="97"/>
        <v>18029.55</v>
      </c>
      <c r="Q54" s="162">
        <v>7.14</v>
      </c>
      <c r="R54" s="162">
        <f t="shared" si="58"/>
        <v>2525.1470588235293</v>
      </c>
      <c r="S54" s="196">
        <f t="shared" si="76"/>
        <v>2525.1470588235293</v>
      </c>
      <c r="T54" s="192">
        <f t="shared" si="77"/>
        <v>35.629999630416954</v>
      </c>
      <c r="U54" s="76">
        <f t="shared" si="78"/>
        <v>24.584621074200264</v>
      </c>
      <c r="V54" s="123">
        <f t="shared" si="79"/>
        <v>60.214620704617218</v>
      </c>
      <c r="W54" s="191">
        <v>8708913509</v>
      </c>
      <c r="X54" s="170">
        <v>0.05</v>
      </c>
      <c r="Y54" s="74">
        <f t="shared" si="98"/>
        <v>130.56</v>
      </c>
      <c r="Z54" s="188"/>
      <c r="AA54" s="130">
        <f t="shared" si="80"/>
        <v>2791.51</v>
      </c>
      <c r="AB54" s="74">
        <f t="shared" si="81"/>
        <v>2791.51</v>
      </c>
      <c r="AC54" s="356">
        <v>0.19</v>
      </c>
      <c r="AD54" s="130" cm="1">
        <f t="array" ref="AD54">IFERROR(ROUND((_xlfn.IFS(offer_sale_type="поставка",AB54,offer_sale_type="транзит",S54)*(1+AC54))/E54,2),0)</f>
        <v>3321.9</v>
      </c>
      <c r="AE54" s="74">
        <f t="shared" si="82"/>
        <v>3321.9</v>
      </c>
      <c r="AF54" s="123" cm="1">
        <f t="array" ref="AF54">IFERROR(ROUND(_xlfn.IFS(offer_sale_type="поставка",AB54,offer_sale_type="транзит",S54)*AC54,2),0)</f>
        <v>530.39</v>
      </c>
      <c r="AG54" s="130">
        <f t="shared" si="63"/>
        <v>0</v>
      </c>
      <c r="AH54" s="74">
        <f t="shared" si="64"/>
        <v>101.42466869977825</v>
      </c>
      <c r="AI54" s="123">
        <f t="shared" si="65"/>
        <v>58.922289992608334</v>
      </c>
      <c r="AJ54" s="118">
        <f t="shared" si="83"/>
        <v>3482.25</v>
      </c>
      <c r="AK54" s="74">
        <f t="shared" si="84"/>
        <v>3482.25</v>
      </c>
      <c r="AL54" s="174">
        <f t="shared" si="85"/>
        <v>4178.7</v>
      </c>
      <c r="AM54" s="175">
        <f t="shared" si="66"/>
        <v>4178.7</v>
      </c>
      <c r="AN54" s="130">
        <f t="shared" si="86"/>
        <v>696.44999999999982</v>
      </c>
      <c r="AO54" s="74">
        <f t="shared" si="67"/>
        <v>548.36799992608337</v>
      </c>
      <c r="AP54" s="123">
        <f t="shared" si="87"/>
        <v>148.08200007391645</v>
      </c>
      <c r="AQ54" s="118">
        <f t="shared" si="88"/>
        <v>0</v>
      </c>
      <c r="AR54" s="82" t="str">
        <f t="shared" si="89"/>
        <v>https://www.alta.ru/tnved/code/8708913509/</v>
      </c>
      <c r="AS54" s="157"/>
      <c r="AT54" s="162"/>
      <c r="AU54" s="74">
        <f t="shared" si="90"/>
        <v>0</v>
      </c>
      <c r="AV54" s="157"/>
      <c r="AW54" s="75">
        <f>_xlfn.IFNA(VLOOKUP(L54,list_vat[],3,FALSE),0)</f>
        <v>0.02</v>
      </c>
      <c r="AX54" s="74">
        <f t="shared" si="91"/>
        <v>2575.65</v>
      </c>
      <c r="AY54" s="74">
        <f t="shared" si="92"/>
        <v>2575.65</v>
      </c>
      <c r="AZ54" s="130">
        <f t="shared" si="93"/>
        <v>2853.4161764705877</v>
      </c>
      <c r="BA54" s="74">
        <f t="shared" si="73"/>
        <v>75.588450121963348</v>
      </c>
      <c r="BB54" s="193">
        <f t="shared" si="94"/>
        <v>0</v>
      </c>
      <c r="BC54" s="102">
        <f t="shared" si="95"/>
        <v>9.8338484296801049E-3</v>
      </c>
      <c r="BD54" s="102">
        <f t="shared" si="96"/>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5"/>
        <v>0</v>
      </c>
      <c r="J55" s="195"/>
      <c r="K55" s="162">
        <v>13349.21</v>
      </c>
      <c r="L55" s="168" t="s">
        <v>22</v>
      </c>
      <c r="M55" s="75">
        <f>_xlfn.XLOOKUP(L55,list_vat[Страна],list_vat[Ставка НДС %],0,0)</f>
        <v>0.13</v>
      </c>
      <c r="N55" s="162">
        <f t="shared" si="57"/>
        <v>13349.21</v>
      </c>
      <c r="O55" s="169"/>
      <c r="P55" s="74">
        <f t="shared" si="97"/>
        <v>13349.21</v>
      </c>
      <c r="Q55" s="162">
        <v>7.14</v>
      </c>
      <c r="R55" s="162">
        <f t="shared" si="58"/>
        <v>1869.6372549019607</v>
      </c>
      <c r="S55" s="196">
        <f t="shared" si="76"/>
        <v>1869.6372549019607</v>
      </c>
      <c r="T55" s="192">
        <f t="shared" si="77"/>
        <v>26.380710964297965</v>
      </c>
      <c r="U55" s="76">
        <f t="shared" si="78"/>
        <v>18.202632316942182</v>
      </c>
      <c r="V55" s="123">
        <f t="shared" si="79"/>
        <v>44.583343281240147</v>
      </c>
      <c r="W55" s="191">
        <v>8409990009</v>
      </c>
      <c r="X55" s="170">
        <v>0.05</v>
      </c>
      <c r="Y55" s="74">
        <f t="shared" si="98"/>
        <v>96.67</v>
      </c>
      <c r="Z55" s="188"/>
      <c r="AA55" s="130">
        <f t="shared" si="80"/>
        <v>2066.86</v>
      </c>
      <c r="AB55" s="74">
        <f t="shared" si="81"/>
        <v>2066.86</v>
      </c>
      <c r="AC55" s="356">
        <v>0.19</v>
      </c>
      <c r="AD55" s="130" cm="1">
        <f t="array" ref="AD55">IFERROR(ROUND((_xlfn.IFS(offer_sale_type="поставка",AB55,offer_sale_type="транзит",S55)*(1+AC55))/E55,2),0)</f>
        <v>2459.56</v>
      </c>
      <c r="AE55" s="74">
        <f t="shared" si="82"/>
        <v>2459.56</v>
      </c>
      <c r="AF55" s="123" cm="1">
        <f t="array" ref="AF55">IFERROR(ROUND(_xlfn.IFS(offer_sale_type="поставка",AB55,offer_sale_type="транзит",S55)*AC55,2),0)</f>
        <v>392.7</v>
      </c>
      <c r="AG55" s="130">
        <f t="shared" si="63"/>
        <v>0</v>
      </c>
      <c r="AH55" s="74">
        <f t="shared" si="64"/>
        <v>75.095594766578571</v>
      </c>
      <c r="AI55" s="123">
        <f t="shared" si="65"/>
        <v>43.62649221928595</v>
      </c>
      <c r="AJ55" s="118">
        <f t="shared" si="83"/>
        <v>2578.2800000000002</v>
      </c>
      <c r="AK55" s="74">
        <f t="shared" si="84"/>
        <v>2578.2800000000002</v>
      </c>
      <c r="AL55" s="174">
        <f t="shared" si="85"/>
        <v>3093.94</v>
      </c>
      <c r="AM55" s="175">
        <f t="shared" si="66"/>
        <v>3093.94</v>
      </c>
      <c r="AN55" s="130">
        <f t="shared" si="86"/>
        <v>515.65999999999985</v>
      </c>
      <c r="AO55" s="74">
        <f t="shared" si="67"/>
        <v>406.01614219285966</v>
      </c>
      <c r="AP55" s="123">
        <f t="shared" si="87"/>
        <v>109.64385780714019</v>
      </c>
      <c r="AQ55" s="118">
        <f t="shared" si="88"/>
        <v>0</v>
      </c>
      <c r="AR55" s="82" t="str">
        <f t="shared" si="89"/>
        <v>https://www.alta.ru/tnved/code/8409990009/</v>
      </c>
      <c r="AS55" s="157"/>
      <c r="AT55" s="162"/>
      <c r="AU55" s="74">
        <f t="shared" si="90"/>
        <v>0</v>
      </c>
      <c r="AV55" s="157"/>
      <c r="AW55" s="75">
        <f>_xlfn.IFNA(VLOOKUP(L55,list_vat[],3,FALSE),0)</f>
        <v>0.02</v>
      </c>
      <c r="AX55" s="74">
        <f t="shared" si="91"/>
        <v>1907.03</v>
      </c>
      <c r="AY55" s="74">
        <f t="shared" si="92"/>
        <v>1907.03</v>
      </c>
      <c r="AZ55" s="130">
        <f t="shared" si="93"/>
        <v>2112.6900980392152</v>
      </c>
      <c r="BA55" s="74">
        <f t="shared" si="73"/>
        <v>55.966238439263016</v>
      </c>
      <c r="BB55" s="193">
        <f t="shared" si="94"/>
        <v>0</v>
      </c>
      <c r="BC55" s="102">
        <f t="shared" si="95"/>
        <v>7.2810529267768728E-3</v>
      </c>
      <c r="BD55" s="102">
        <f t="shared" si="96"/>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5"/>
        <v>0</v>
      </c>
      <c r="J56" s="195"/>
      <c r="K56" s="162">
        <v>13586.43</v>
      </c>
      <c r="L56" s="168" t="s">
        <v>22</v>
      </c>
      <c r="M56" s="75">
        <f>_xlfn.XLOOKUP(L56,list_vat[Страна],list_vat[Ставка НДС %],0,0)</f>
        <v>0.13</v>
      </c>
      <c r="N56" s="162">
        <f t="shared" si="57"/>
        <v>13586.43</v>
      </c>
      <c r="O56" s="169"/>
      <c r="P56" s="74">
        <f t="shared" si="97"/>
        <v>13586.43</v>
      </c>
      <c r="Q56" s="162">
        <v>7.14</v>
      </c>
      <c r="R56" s="162">
        <f t="shared" si="58"/>
        <v>1902.8613445378153</v>
      </c>
      <c r="S56" s="196">
        <f t="shared" si="76"/>
        <v>1902.8613445378153</v>
      </c>
      <c r="T56" s="192">
        <f t="shared" si="77"/>
        <v>26.849505166722736</v>
      </c>
      <c r="U56" s="76">
        <f t="shared" si="78"/>
        <v>18.526099281520988</v>
      </c>
      <c r="V56" s="123">
        <f t="shared" si="79"/>
        <v>45.37560444824372</v>
      </c>
      <c r="W56" s="191">
        <v>8483508000</v>
      </c>
      <c r="X56" s="170">
        <v>0.05</v>
      </c>
      <c r="Y56" s="74">
        <f t="shared" si="98"/>
        <v>98.39</v>
      </c>
      <c r="Z56" s="188"/>
      <c r="AA56" s="130">
        <f t="shared" si="80"/>
        <v>2103.59</v>
      </c>
      <c r="AB56" s="74">
        <f t="shared" si="81"/>
        <v>2103.59</v>
      </c>
      <c r="AC56" s="356">
        <v>0.19</v>
      </c>
      <c r="AD56" s="130" cm="1">
        <f t="array" ref="AD56">IFERROR(ROUND((_xlfn.IFS(offer_sale_type="поставка",AB56,offer_sale_type="транзит",S56)*(1+AC56))/E56,2),0)</f>
        <v>2503.27</v>
      </c>
      <c r="AE56" s="74">
        <f t="shared" si="82"/>
        <v>2503.27</v>
      </c>
      <c r="AF56" s="123" cm="1">
        <f t="array" ref="AF56">IFERROR(ROUND(_xlfn.IFS(offer_sale_type="поставка",AB56,offer_sale_type="транзит",S56)*AC56,2),0)</f>
        <v>399.68</v>
      </c>
      <c r="AG56" s="130">
        <f t="shared" si="63"/>
        <v>0</v>
      </c>
      <c r="AH56" s="74">
        <f t="shared" si="64"/>
        <v>76.430152494528613</v>
      </c>
      <c r="AI56" s="123">
        <f t="shared" si="65"/>
        <v>44.401749817620164</v>
      </c>
      <c r="AJ56" s="118">
        <f t="shared" si="83"/>
        <v>2624.1</v>
      </c>
      <c r="AK56" s="74">
        <f t="shared" si="84"/>
        <v>2624.1</v>
      </c>
      <c r="AL56" s="174">
        <f t="shared" si="85"/>
        <v>3148.92</v>
      </c>
      <c r="AM56" s="175">
        <f t="shared" si="66"/>
        <v>3148.92</v>
      </c>
      <c r="AN56" s="130">
        <f t="shared" si="86"/>
        <v>524.82000000000016</v>
      </c>
      <c r="AO56" s="74">
        <f t="shared" si="67"/>
        <v>413.23190103334457</v>
      </c>
      <c r="AP56" s="123">
        <f t="shared" si="87"/>
        <v>111.58809896665559</v>
      </c>
      <c r="AQ56" s="118">
        <f t="shared" si="88"/>
        <v>0</v>
      </c>
      <c r="AR56" s="82" t="str">
        <f t="shared" si="89"/>
        <v>https://www.alta.ru/tnved/code/8483508000/</v>
      </c>
      <c r="AS56" s="157"/>
      <c r="AT56" s="162"/>
      <c r="AU56" s="74">
        <f t="shared" si="90"/>
        <v>0</v>
      </c>
      <c r="AV56" s="157"/>
      <c r="AW56" s="75">
        <f>_xlfn.IFNA(VLOOKUP(L56,list_vat[],3,FALSE),0)</f>
        <v>0.02</v>
      </c>
      <c r="AX56" s="74">
        <f t="shared" si="91"/>
        <v>1940.92</v>
      </c>
      <c r="AY56" s="74">
        <f t="shared" si="92"/>
        <v>1940.92</v>
      </c>
      <c r="AZ56" s="130">
        <f t="shared" si="93"/>
        <v>2150.2333193277309</v>
      </c>
      <c r="BA56" s="74">
        <f t="shared" si="73"/>
        <v>56.960777523041159</v>
      </c>
      <c r="BB56" s="193">
        <f t="shared" si="94"/>
        <v>0</v>
      </c>
      <c r="BC56" s="102">
        <f t="shared" si="95"/>
        <v>7.4104397126083955E-3</v>
      </c>
      <c r="BD56" s="102">
        <f t="shared" si="96"/>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5"/>
        <v>0</v>
      </c>
      <c r="J57" s="195"/>
      <c r="K57" s="162">
        <v>4785</v>
      </c>
      <c r="L57" s="168" t="s">
        <v>22</v>
      </c>
      <c r="M57" s="75">
        <f>_xlfn.XLOOKUP(L57,list_vat[Страна],list_vat[Ставка НДС %],0,0)</f>
        <v>0.13</v>
      </c>
      <c r="N57" s="162">
        <f t="shared" si="57"/>
        <v>4785</v>
      </c>
      <c r="O57" s="169"/>
      <c r="P57" s="74">
        <f t="shared" si="97"/>
        <v>4785</v>
      </c>
      <c r="Q57" s="162">
        <v>7.14</v>
      </c>
      <c r="R57" s="162">
        <f t="shared" si="58"/>
        <v>670.1680672268908</v>
      </c>
      <c r="S57" s="196">
        <f t="shared" si="76"/>
        <v>670.1680672268908</v>
      </c>
      <c r="T57" s="192">
        <f t="shared" si="77"/>
        <v>9.4561177750717658</v>
      </c>
      <c r="U57" s="76">
        <f t="shared" si="78"/>
        <v>6.5247003857582841</v>
      </c>
      <c r="V57" s="123">
        <f t="shared" si="79"/>
        <v>15.980818160830051</v>
      </c>
      <c r="W57" s="191">
        <v>8511400008</v>
      </c>
      <c r="X57" s="170">
        <v>7.4999999999999997E-2</v>
      </c>
      <c r="Y57" s="74">
        <f t="shared" si="98"/>
        <v>51.98</v>
      </c>
      <c r="Z57" s="188"/>
      <c r="AA57" s="130">
        <f t="shared" si="80"/>
        <v>758.19</v>
      </c>
      <c r="AB57" s="74">
        <f t="shared" si="81"/>
        <v>758.19</v>
      </c>
      <c r="AC57" s="356">
        <v>0.19</v>
      </c>
      <c r="AD57" s="130" cm="1">
        <f t="array" ref="AD57">IFERROR(ROUND((_xlfn.IFS(offer_sale_type="поставка",AB57,offer_sale_type="транзит",S57)*(1+AC57))/E57,2),0)</f>
        <v>902.25</v>
      </c>
      <c r="AE57" s="74">
        <f t="shared" si="82"/>
        <v>902.25</v>
      </c>
      <c r="AF57" s="123" cm="1">
        <f t="array" ref="AF57">IFERROR(ROUND(_xlfn.IFS(offer_sale_type="поставка",AB57,offer_sale_type="транзит",S57)*AC57,2),0)</f>
        <v>144.06</v>
      </c>
      <c r="AG57" s="130">
        <f t="shared" si="63"/>
        <v>0</v>
      </c>
      <c r="AH57" s="74">
        <f t="shared" si="64"/>
        <v>27.53663509923647</v>
      </c>
      <c r="AI57" s="123">
        <f t="shared" si="65"/>
        <v>15.637836641215721</v>
      </c>
      <c r="AJ57" s="118">
        <f t="shared" si="83"/>
        <v>945.42</v>
      </c>
      <c r="AK57" s="74">
        <f t="shared" si="84"/>
        <v>945.42</v>
      </c>
      <c r="AL57" s="174">
        <f t="shared" si="85"/>
        <v>1134.5</v>
      </c>
      <c r="AM57" s="175">
        <f t="shared" si="66"/>
        <v>1134.5</v>
      </c>
      <c r="AN57" s="130">
        <f t="shared" si="86"/>
        <v>189.08000000000004</v>
      </c>
      <c r="AO57" s="74">
        <f t="shared" si="67"/>
        <v>149.00122355501438</v>
      </c>
      <c r="AP57" s="123">
        <f t="shared" si="87"/>
        <v>40.078776444985664</v>
      </c>
      <c r="AQ57" s="118">
        <f t="shared" si="88"/>
        <v>0</v>
      </c>
      <c r="AR57" s="82" t="str">
        <f t="shared" si="89"/>
        <v>https://www.alta.ru/tnved/code/8511400008/</v>
      </c>
      <c r="AS57" s="157"/>
      <c r="AT57" s="162"/>
      <c r="AU57" s="74">
        <f t="shared" si="90"/>
        <v>0</v>
      </c>
      <c r="AV57" s="157"/>
      <c r="AW57" s="75">
        <f>_xlfn.IFNA(VLOOKUP(L57,list_vat[],3,FALSE),0)</f>
        <v>0.02</v>
      </c>
      <c r="AX57" s="74">
        <f t="shared" si="91"/>
        <v>683.57</v>
      </c>
      <c r="AY57" s="74">
        <f t="shared" si="92"/>
        <v>683.57</v>
      </c>
      <c r="AZ57" s="130">
        <f t="shared" si="93"/>
        <v>757.2899159663865</v>
      </c>
      <c r="BA57" s="74">
        <f t="shared" si="73"/>
        <v>20.060996188678846</v>
      </c>
      <c r="BB57" s="193">
        <f t="shared" si="94"/>
        <v>0</v>
      </c>
      <c r="BC57" s="102">
        <f t="shared" si="95"/>
        <v>2.6098801543033138E-3</v>
      </c>
      <c r="BD57" s="102">
        <f t="shared" si="96"/>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5"/>
        <v>0</v>
      </c>
      <c r="J58" s="195"/>
      <c r="K58" s="162">
        <v>10441.049999999999</v>
      </c>
      <c r="L58" s="168" t="s">
        <v>22</v>
      </c>
      <c r="M58" s="75">
        <f>_xlfn.XLOOKUP(L58,list_vat[Страна],list_vat[Ставка НДС %],0,0)</f>
        <v>0.13</v>
      </c>
      <c r="N58" s="162">
        <f t="shared" si="57"/>
        <v>10441.049999999999</v>
      </c>
      <c r="O58" s="169"/>
      <c r="P58" s="74">
        <f t="shared" si="97"/>
        <v>10441.049999999999</v>
      </c>
      <c r="Q58" s="162">
        <v>7.14</v>
      </c>
      <c r="R58" s="162">
        <f t="shared" si="58"/>
        <v>1462.3319327731092</v>
      </c>
      <c r="S58" s="196">
        <f t="shared" si="76"/>
        <v>1462.3319327731092</v>
      </c>
      <c r="T58" s="192">
        <f t="shared" si="77"/>
        <v>20.633604701235747</v>
      </c>
      <c r="U58" s="76">
        <f t="shared" si="78"/>
        <v>14.237141684999274</v>
      </c>
      <c r="V58" s="123">
        <f t="shared" si="79"/>
        <v>34.87074638623502</v>
      </c>
      <c r="W58" s="191">
        <v>8511400008</v>
      </c>
      <c r="X58" s="170">
        <v>7.4999999999999997E-2</v>
      </c>
      <c r="Y58" s="74">
        <f t="shared" si="98"/>
        <v>113.42</v>
      </c>
      <c r="Z58" s="188"/>
      <c r="AA58" s="130">
        <f t="shared" si="80"/>
        <v>1654.4</v>
      </c>
      <c r="AB58" s="74">
        <f t="shared" si="81"/>
        <v>1654.4</v>
      </c>
      <c r="AC58" s="356">
        <v>0.19</v>
      </c>
      <c r="AD58" s="130" cm="1">
        <f t="array" ref="AD58">IFERROR(ROUND((_xlfn.IFS(offer_sale_type="поставка",AB58,offer_sale_type="транзит",S58)*(1+AC58))/E58,2),0)</f>
        <v>1968.74</v>
      </c>
      <c r="AE58" s="74">
        <f t="shared" si="82"/>
        <v>1968.74</v>
      </c>
      <c r="AF58" s="123" cm="1">
        <f t="array" ref="AF58">IFERROR(ROUND(_xlfn.IFS(offer_sale_type="поставка",AB58,offer_sale_type="транзит",S58)*AC58,2),0)</f>
        <v>314.33999999999997</v>
      </c>
      <c r="AG58" s="130">
        <f t="shared" si="63"/>
        <v>0</v>
      </c>
      <c r="AH58" s="74">
        <f t="shared" si="64"/>
        <v>60.085870434249308</v>
      </c>
      <c r="AI58" s="123">
        <f t="shared" si="65"/>
        <v>34.12234780831043</v>
      </c>
      <c r="AJ58" s="118">
        <f t="shared" si="83"/>
        <v>2062.9499999999998</v>
      </c>
      <c r="AK58" s="74">
        <f t="shared" si="84"/>
        <v>2062.9499999999998</v>
      </c>
      <c r="AL58" s="174">
        <f t="shared" si="85"/>
        <v>2475.54</v>
      </c>
      <c r="AM58" s="175">
        <f t="shared" si="66"/>
        <v>2475.54</v>
      </c>
      <c r="AN58" s="130">
        <f t="shared" si="86"/>
        <v>412.59000000000015</v>
      </c>
      <c r="AO58" s="74">
        <f t="shared" si="67"/>
        <v>325.1267209402472</v>
      </c>
      <c r="AP58" s="123">
        <f t="shared" si="87"/>
        <v>87.463279059752949</v>
      </c>
      <c r="AQ58" s="118">
        <f t="shared" si="88"/>
        <v>0</v>
      </c>
      <c r="AR58" s="82" t="str">
        <f t="shared" si="89"/>
        <v>https://www.alta.ru/tnved/code/8511400008/</v>
      </c>
      <c r="AS58" s="157"/>
      <c r="AT58" s="162"/>
      <c r="AU58" s="74">
        <f t="shared" si="90"/>
        <v>0</v>
      </c>
      <c r="AV58" s="157"/>
      <c r="AW58" s="75">
        <f>_xlfn.IFNA(VLOOKUP(L58,list_vat[],3,FALSE),0)</f>
        <v>0.02</v>
      </c>
      <c r="AX58" s="74">
        <f t="shared" si="91"/>
        <v>1491.58</v>
      </c>
      <c r="AY58" s="74">
        <f t="shared" si="92"/>
        <v>1491.58</v>
      </c>
      <c r="AZ58" s="130">
        <f t="shared" si="93"/>
        <v>1652.4350840336133</v>
      </c>
      <c r="BA58" s="74">
        <f t="shared" si="73"/>
        <v>43.773848329321893</v>
      </c>
      <c r="BB58" s="193">
        <f t="shared" si="94"/>
        <v>0</v>
      </c>
      <c r="BC58" s="102">
        <f t="shared" si="95"/>
        <v>5.6948566739997101E-3</v>
      </c>
      <c r="BD58" s="102">
        <f t="shared" si="96"/>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5"/>
        <v>0</v>
      </c>
      <c r="J59" s="195"/>
      <c r="K59" s="162">
        <v>9658.92</v>
      </c>
      <c r="L59" s="168" t="s">
        <v>22</v>
      </c>
      <c r="M59" s="75">
        <f>_xlfn.XLOOKUP(L59,list_vat[Страна],list_vat[Ставка НДС %],0,0)</f>
        <v>0.13</v>
      </c>
      <c r="N59" s="162">
        <f t="shared" si="57"/>
        <v>9658.92</v>
      </c>
      <c r="O59" s="169"/>
      <c r="P59" s="74">
        <f t="shared" si="97"/>
        <v>9658.92</v>
      </c>
      <c r="Q59" s="162">
        <v>7.14</v>
      </c>
      <c r="R59" s="162">
        <f t="shared" si="58"/>
        <v>1352.7899159663866</v>
      </c>
      <c r="S59" s="196">
        <f t="shared" si="76"/>
        <v>1352.7899159663866</v>
      </c>
      <c r="T59" s="192">
        <f t="shared" si="77"/>
        <v>19.087959268546747</v>
      </c>
      <c r="U59" s="76">
        <f t="shared" si="78"/>
        <v>13.170649749218057</v>
      </c>
      <c r="V59" s="123">
        <f t="shared" si="79"/>
        <v>32.258609017764805</v>
      </c>
      <c r="W59" s="191">
        <v>8484900000</v>
      </c>
      <c r="X59" s="170">
        <v>0</v>
      </c>
      <c r="Y59" s="74">
        <f t="shared" si="98"/>
        <v>0</v>
      </c>
      <c r="Z59" s="188"/>
      <c r="AA59" s="130">
        <f t="shared" si="80"/>
        <v>1425.54</v>
      </c>
      <c r="AB59" s="74">
        <f t="shared" si="81"/>
        <v>1425.54</v>
      </c>
      <c r="AC59" s="356">
        <v>0.19</v>
      </c>
      <c r="AD59" s="130" cm="1">
        <f t="array" ref="AD59">IFERROR(ROUND((_xlfn.IFS(offer_sale_type="поставка",AB59,offer_sale_type="транзит",S59)*(1+AC59))/E59,2),0)</f>
        <v>1696.39</v>
      </c>
      <c r="AE59" s="74">
        <f t="shared" si="82"/>
        <v>1696.39</v>
      </c>
      <c r="AF59" s="123" cm="1">
        <f t="array" ref="AF59">IFERROR(ROUND(_xlfn.IFS(offer_sale_type="поставка",AB59,offer_sale_type="транзит",S59)*AC59,2),0)</f>
        <v>270.85000000000002</v>
      </c>
      <c r="AG59" s="130">
        <f t="shared" si="63"/>
        <v>0</v>
      </c>
      <c r="AH59" s="74">
        <f t="shared" si="64"/>
        <v>51.83868816984684</v>
      </c>
      <c r="AI59" s="123">
        <f t="shared" si="65"/>
        <v>31.566272328228081</v>
      </c>
      <c r="AJ59" s="118">
        <f t="shared" si="83"/>
        <v>1779.79</v>
      </c>
      <c r="AK59" s="74">
        <f t="shared" si="84"/>
        <v>1779.79</v>
      </c>
      <c r="AL59" s="174">
        <f t="shared" si="85"/>
        <v>2135.75</v>
      </c>
      <c r="AM59" s="175">
        <f t="shared" si="66"/>
        <v>2135.75</v>
      </c>
      <c r="AN59" s="130">
        <f t="shared" si="86"/>
        <v>355.96000000000004</v>
      </c>
      <c r="AO59" s="74">
        <f t="shared" si="67"/>
        <v>279.78759185370933</v>
      </c>
      <c r="AP59" s="123">
        <f t="shared" si="87"/>
        <v>76.172408146290707</v>
      </c>
      <c r="AQ59" s="118">
        <f t="shared" si="88"/>
        <v>0</v>
      </c>
      <c r="AR59" s="82" t="str">
        <f t="shared" si="89"/>
        <v>https://www.alta.ru/tnved/code/8484900000/</v>
      </c>
      <c r="AS59" s="157"/>
      <c r="AT59" s="162"/>
      <c r="AU59" s="74">
        <f t="shared" si="90"/>
        <v>0</v>
      </c>
      <c r="AV59" s="157"/>
      <c r="AW59" s="75">
        <f>_xlfn.IFNA(VLOOKUP(L59,list_vat[],3,FALSE),0)</f>
        <v>0.02</v>
      </c>
      <c r="AX59" s="74">
        <f t="shared" si="91"/>
        <v>1379.85</v>
      </c>
      <c r="AY59" s="74">
        <f t="shared" si="92"/>
        <v>1379.85</v>
      </c>
      <c r="AZ59" s="130">
        <f t="shared" si="93"/>
        <v>1528.6526050420168</v>
      </c>
      <c r="BA59" s="74">
        <f t="shared" si="73"/>
        <v>40.494787315936023</v>
      </c>
      <c r="BB59" s="193">
        <f t="shared" si="94"/>
        <v>0</v>
      </c>
      <c r="BC59" s="102">
        <f t="shared" si="95"/>
        <v>5.2682598996872231E-3</v>
      </c>
      <c r="BD59" s="102">
        <f t="shared" si="96"/>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5"/>
        <v>0</v>
      </c>
      <c r="J60" s="195"/>
      <c r="K60" s="162">
        <v>12342.3</v>
      </c>
      <c r="L60" s="168" t="s">
        <v>22</v>
      </c>
      <c r="M60" s="75">
        <f>_xlfn.XLOOKUP(L60,list_vat[Страна],list_vat[Ставка НДС %],0,0)</f>
        <v>0.13</v>
      </c>
      <c r="N60" s="162">
        <f t="shared" si="57"/>
        <v>12342.3</v>
      </c>
      <c r="O60" s="169"/>
      <c r="P60" s="74">
        <f t="shared" si="97"/>
        <v>12342.3</v>
      </c>
      <c r="Q60" s="162">
        <v>7.14</v>
      </c>
      <c r="R60" s="162">
        <f t="shared" si="58"/>
        <v>1728.6134453781513</v>
      </c>
      <c r="S60" s="196">
        <f t="shared" si="76"/>
        <v>1728.6134453781513</v>
      </c>
      <c r="T60" s="192">
        <f t="shared" si="77"/>
        <v>24.390855259199217</v>
      </c>
      <c r="U60" s="76">
        <f t="shared" si="78"/>
        <v>16.829636274011385</v>
      </c>
      <c r="V60" s="123">
        <f t="shared" si="79"/>
        <v>41.220491533210605</v>
      </c>
      <c r="W60" s="191">
        <v>8413308008</v>
      </c>
      <c r="X60" s="170">
        <v>0</v>
      </c>
      <c r="Y60" s="74">
        <f t="shared" si="98"/>
        <v>0</v>
      </c>
      <c r="Z60" s="188"/>
      <c r="AA60" s="130">
        <f t="shared" si="80"/>
        <v>1821.58</v>
      </c>
      <c r="AB60" s="74">
        <f t="shared" si="81"/>
        <v>1821.58</v>
      </c>
      <c r="AC60" s="356">
        <v>0.19</v>
      </c>
      <c r="AD60" s="130" cm="1">
        <f t="array" ref="AD60">IFERROR(ROUND((_xlfn.IFS(offer_sale_type="поставка",AB60,offer_sale_type="транзит",S60)*(1+AC60))/E60,2),0)</f>
        <v>2167.6799999999998</v>
      </c>
      <c r="AE60" s="74">
        <f t="shared" si="82"/>
        <v>2167.6799999999998</v>
      </c>
      <c r="AF60" s="123" cm="1">
        <f t="array" ref="AF60">IFERROR(ROUND(_xlfn.IFS(offer_sale_type="поставка",AB60,offer_sale_type="транзит",S60)*AC60,2),0)</f>
        <v>346.1</v>
      </c>
      <c r="AG60" s="130">
        <f t="shared" si="63"/>
        <v>0</v>
      </c>
      <c r="AH60" s="74">
        <f t="shared" si="64"/>
        <v>66.240474427441228</v>
      </c>
      <c r="AI60" s="123">
        <f t="shared" si="65"/>
        <v>40.335814248041125</v>
      </c>
      <c r="AJ60" s="118">
        <f t="shared" si="83"/>
        <v>2274.2600000000002</v>
      </c>
      <c r="AK60" s="74">
        <f t="shared" si="84"/>
        <v>2274.2600000000002</v>
      </c>
      <c r="AL60" s="174">
        <f t="shared" si="85"/>
        <v>2729.11</v>
      </c>
      <c r="AM60" s="175">
        <f t="shared" si="66"/>
        <v>2729.11</v>
      </c>
      <c r="AN60" s="130">
        <f t="shared" si="86"/>
        <v>454.84999999999991</v>
      </c>
      <c r="AO60" s="74">
        <f t="shared" si="67"/>
        <v>357.51617105183988</v>
      </c>
      <c r="AP60" s="123">
        <f t="shared" si="87"/>
        <v>97.333828948160033</v>
      </c>
      <c r="AQ60" s="118">
        <f t="shared" si="88"/>
        <v>0</v>
      </c>
      <c r="AR60" s="82" t="str">
        <f t="shared" si="89"/>
        <v>https://www.alta.ru/tnved/code/8413308008/</v>
      </c>
      <c r="AS60" s="157"/>
      <c r="AT60" s="162"/>
      <c r="AU60" s="74">
        <f t="shared" si="90"/>
        <v>0</v>
      </c>
      <c r="AV60" s="157"/>
      <c r="AW60" s="75">
        <f>_xlfn.IFNA(VLOOKUP(L60,list_vat[],3,FALSE),0)</f>
        <v>0.02</v>
      </c>
      <c r="AX60" s="74">
        <f t="shared" si="91"/>
        <v>1763.19</v>
      </c>
      <c r="AY60" s="74">
        <f t="shared" si="92"/>
        <v>1763.19</v>
      </c>
      <c r="AZ60" s="130">
        <f t="shared" si="93"/>
        <v>1953.3331932773108</v>
      </c>
      <c r="BA60" s="74">
        <f t="shared" si="73"/>
        <v>51.744792739713887</v>
      </c>
      <c r="BB60" s="193">
        <f t="shared" si="94"/>
        <v>0</v>
      </c>
      <c r="BC60" s="102">
        <f t="shared" si="95"/>
        <v>6.7318545096045537E-3</v>
      </c>
      <c r="BD60" s="102">
        <f t="shared" si="96"/>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5"/>
        <v>0</v>
      </c>
      <c r="J61" s="195"/>
      <c r="K61" s="162">
        <v>9047.35</v>
      </c>
      <c r="L61" s="168" t="s">
        <v>22</v>
      </c>
      <c r="M61" s="75">
        <f>_xlfn.XLOOKUP(L61,list_vat[Страна],list_vat[Ставка НДС %],0,0)</f>
        <v>0.13</v>
      </c>
      <c r="N61" s="162">
        <f t="shared" si="57"/>
        <v>9047.35</v>
      </c>
      <c r="O61" s="169"/>
      <c r="P61" s="74">
        <f t="shared" si="97"/>
        <v>9047.35</v>
      </c>
      <c r="Q61" s="162">
        <v>7.14</v>
      </c>
      <c r="R61" s="162">
        <f t="shared" si="58"/>
        <v>1267.1358543417368</v>
      </c>
      <c r="S61" s="196">
        <f t="shared" si="76"/>
        <v>1267.1358543417368</v>
      </c>
      <c r="T61" s="192">
        <f t="shared" si="77"/>
        <v>17.879374535484963</v>
      </c>
      <c r="U61" s="76">
        <f t="shared" si="78"/>
        <v>12.336728951951978</v>
      </c>
      <c r="V61" s="123">
        <f t="shared" si="79"/>
        <v>30.216103487436939</v>
      </c>
      <c r="W61" s="191">
        <v>8302300009</v>
      </c>
      <c r="X61" s="170">
        <v>0.13</v>
      </c>
      <c r="Y61" s="74">
        <f t="shared" si="98"/>
        <v>170.35</v>
      </c>
      <c r="Z61" s="188"/>
      <c r="AA61" s="130">
        <f t="shared" si="80"/>
        <v>1505.63</v>
      </c>
      <c r="AB61" s="74">
        <f t="shared" si="81"/>
        <v>1505.63</v>
      </c>
      <c r="AC61" s="356">
        <v>0.19</v>
      </c>
      <c r="AD61" s="130" cm="1">
        <f t="array" ref="AD61">IFERROR(ROUND((_xlfn.IFS(offer_sale_type="поставка",AB61,offer_sale_type="транзит",S61)*(1+AC61))/E61,2),0)</f>
        <v>1791.7</v>
      </c>
      <c r="AE61" s="74">
        <f t="shared" si="82"/>
        <v>1791.7</v>
      </c>
      <c r="AF61" s="123" cm="1">
        <f t="array" ref="AF61">IFERROR(ROUND(_xlfn.IFS(offer_sale_type="поставка",AB61,offer_sale_type="транзит",S61)*AC61,2),0)</f>
        <v>286.07</v>
      </c>
      <c r="AG61" s="130">
        <f t="shared" si="63"/>
        <v>0</v>
      </c>
      <c r="AH61" s="74">
        <f t="shared" si="64"/>
        <v>54.638028096149867</v>
      </c>
      <c r="AI61" s="123">
        <f t="shared" si="65"/>
        <v>29.567603204995411</v>
      </c>
      <c r="AJ61" s="118">
        <f t="shared" si="83"/>
        <v>1875.91</v>
      </c>
      <c r="AK61" s="74">
        <f t="shared" si="84"/>
        <v>1875.91</v>
      </c>
      <c r="AL61" s="174">
        <f t="shared" si="85"/>
        <v>2251.09</v>
      </c>
      <c r="AM61" s="175">
        <f t="shared" si="66"/>
        <v>2251.09</v>
      </c>
      <c r="AN61" s="130">
        <f t="shared" si="86"/>
        <v>375.18000000000006</v>
      </c>
      <c r="AO61" s="74">
        <f t="shared" si="67"/>
        <v>296.14187490709696</v>
      </c>
      <c r="AP61" s="123">
        <f t="shared" si="87"/>
        <v>79.038125092903101</v>
      </c>
      <c r="AQ61" s="118">
        <f t="shared" si="88"/>
        <v>0</v>
      </c>
      <c r="AR61" s="82" t="str">
        <f t="shared" si="89"/>
        <v>https://www.alta.ru/tnved/code/8302300009/</v>
      </c>
      <c r="AS61" s="157"/>
      <c r="AT61" s="162"/>
      <c r="AU61" s="74">
        <f t="shared" si="90"/>
        <v>0</v>
      </c>
      <c r="AV61" s="157"/>
      <c r="AW61" s="75">
        <f>_xlfn.IFNA(VLOOKUP(L61,list_vat[],3,FALSE),0)</f>
        <v>0.02</v>
      </c>
      <c r="AX61" s="74">
        <f t="shared" si="91"/>
        <v>1292.48</v>
      </c>
      <c r="AY61" s="74">
        <f t="shared" si="92"/>
        <v>1292.48</v>
      </c>
      <c r="AZ61" s="130">
        <f t="shared" si="93"/>
        <v>1431.8635154061624</v>
      </c>
      <c r="BA61" s="74">
        <f t="shared" si="73"/>
        <v>37.930794956665324</v>
      </c>
      <c r="BB61" s="193">
        <f t="shared" si="94"/>
        <v>0</v>
      </c>
      <c r="BC61" s="102">
        <f t="shared" si="95"/>
        <v>4.9346915807807912E-3</v>
      </c>
      <c r="BD61" s="102">
        <f t="shared" si="96"/>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5"/>
        <v>0</v>
      </c>
      <c r="J62" s="195"/>
      <c r="K62" s="162">
        <v>10834.22</v>
      </c>
      <c r="L62" s="168" t="s">
        <v>22</v>
      </c>
      <c r="M62" s="75">
        <f>_xlfn.XLOOKUP(L62,list_vat[Страна],list_vat[Ставка НДС %],0,0)</f>
        <v>0.13</v>
      </c>
      <c r="N62" s="162">
        <f t="shared" si="57"/>
        <v>10834.22</v>
      </c>
      <c r="O62" s="169"/>
      <c r="P62" s="74">
        <f t="shared" si="97"/>
        <v>10834.22</v>
      </c>
      <c r="Q62" s="162">
        <v>7.14</v>
      </c>
      <c r="R62" s="162">
        <f t="shared" si="58"/>
        <v>1517.3977591036414</v>
      </c>
      <c r="S62" s="196">
        <f t="shared" si="76"/>
        <v>1517.3977591036414</v>
      </c>
      <c r="T62" s="192">
        <f t="shared" si="77"/>
        <v>21.410587318921216</v>
      </c>
      <c r="U62" s="76">
        <f t="shared" si="78"/>
        <v>14.773257975630118</v>
      </c>
      <c r="V62" s="123">
        <f t="shared" si="79"/>
        <v>36.183845294551332</v>
      </c>
      <c r="W62" s="191">
        <v>8511400008</v>
      </c>
      <c r="X62" s="170">
        <v>7.4999999999999997E-2</v>
      </c>
      <c r="Y62" s="74">
        <f t="shared" si="98"/>
        <v>117.69</v>
      </c>
      <c r="Z62" s="188"/>
      <c r="AA62" s="130">
        <f t="shared" si="80"/>
        <v>1716.69</v>
      </c>
      <c r="AB62" s="74">
        <f t="shared" si="81"/>
        <v>1716.69</v>
      </c>
      <c r="AC62" s="356">
        <v>0.19</v>
      </c>
      <c r="AD62" s="130" cm="1">
        <f t="array" ref="AD62">IFERROR(ROUND((_xlfn.IFS(offer_sale_type="поставка",AB62,offer_sale_type="транзит",S62)*(1+AC62))/E62,2),0)</f>
        <v>2042.86</v>
      </c>
      <c r="AE62" s="74">
        <f t="shared" si="82"/>
        <v>2042.86</v>
      </c>
      <c r="AF62" s="123" cm="1">
        <f t="array" ref="AF62">IFERROR(ROUND(_xlfn.IFS(offer_sale_type="поставка",AB62,offer_sale_type="транзит",S62)*AC62,2),0)</f>
        <v>326.17</v>
      </c>
      <c r="AG62" s="130">
        <f t="shared" si="63"/>
        <v>0</v>
      </c>
      <c r="AH62" s="74">
        <f t="shared" si="64"/>
        <v>62.348017946677061</v>
      </c>
      <c r="AI62" s="123">
        <f t="shared" si="65"/>
        <v>35.407264889235563</v>
      </c>
      <c r="AJ62" s="118">
        <f t="shared" si="83"/>
        <v>2140.62</v>
      </c>
      <c r="AK62" s="74">
        <f t="shared" si="84"/>
        <v>2140.62</v>
      </c>
      <c r="AL62" s="174">
        <f t="shared" si="85"/>
        <v>2568.7399999999998</v>
      </c>
      <c r="AM62" s="175">
        <f t="shared" si="66"/>
        <v>2568.7399999999998</v>
      </c>
      <c r="AN62" s="130">
        <f t="shared" si="86"/>
        <v>428.11999999999989</v>
      </c>
      <c r="AO62" s="74">
        <f t="shared" si="67"/>
        <v>337.37011746378425</v>
      </c>
      <c r="AP62" s="123">
        <f t="shared" si="87"/>
        <v>90.749882536215637</v>
      </c>
      <c r="AQ62" s="118">
        <f t="shared" si="88"/>
        <v>0</v>
      </c>
      <c r="AR62" s="82" t="str">
        <f t="shared" si="89"/>
        <v>https://www.alta.ru/tnved/code/8511400008/</v>
      </c>
      <c r="AS62" s="157"/>
      <c r="AT62" s="162"/>
      <c r="AU62" s="74">
        <f t="shared" si="90"/>
        <v>0</v>
      </c>
      <c r="AV62" s="157"/>
      <c r="AW62" s="75">
        <f>_xlfn.IFNA(VLOOKUP(L62,list_vat[],3,FALSE),0)</f>
        <v>0.02</v>
      </c>
      <c r="AX62" s="74">
        <f t="shared" si="91"/>
        <v>1547.75</v>
      </c>
      <c r="AY62" s="74">
        <f t="shared" si="92"/>
        <v>1547.75</v>
      </c>
      <c r="AZ62" s="130">
        <f t="shared" si="93"/>
        <v>1714.6594677871146</v>
      </c>
      <c r="BA62" s="74">
        <f t="shared" si="73"/>
        <v>45.422203997347566</v>
      </c>
      <c r="BB62" s="193">
        <f t="shared" si="94"/>
        <v>0</v>
      </c>
      <c r="BC62" s="102">
        <f t="shared" si="95"/>
        <v>5.9093031902520471E-3</v>
      </c>
      <c r="BD62" s="102">
        <f t="shared" si="96"/>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5"/>
        <v>0</v>
      </c>
      <c r="J63" s="195"/>
      <c r="K63" s="162">
        <v>12398.4</v>
      </c>
      <c r="L63" s="168" t="s">
        <v>22</v>
      </c>
      <c r="M63" s="75">
        <f>_xlfn.XLOOKUP(L63,list_vat[Страна],list_vat[Ставка НДС %],0,0)</f>
        <v>0.13</v>
      </c>
      <c r="N63" s="162">
        <f t="shared" si="57"/>
        <v>12398.4</v>
      </c>
      <c r="O63" s="169"/>
      <c r="P63" s="74">
        <f t="shared" si="97"/>
        <v>12398.4</v>
      </c>
      <c r="Q63" s="162">
        <v>7.14</v>
      </c>
      <c r="R63" s="162">
        <f t="shared" si="58"/>
        <v>1736.4705882352941</v>
      </c>
      <c r="S63" s="196">
        <f t="shared" si="76"/>
        <v>1736.4705882352941</v>
      </c>
      <c r="T63" s="192">
        <f t="shared" si="77"/>
        <v>24.501720088286266</v>
      </c>
      <c r="U63" s="76">
        <f t="shared" si="78"/>
        <v>16.906132761292689</v>
      </c>
      <c r="V63" s="123">
        <f t="shared" si="79"/>
        <v>41.407852849578958</v>
      </c>
      <c r="W63" s="191">
        <v>8511400008</v>
      </c>
      <c r="X63" s="170">
        <v>7.4999999999999997E-2</v>
      </c>
      <c r="Y63" s="74">
        <f t="shared" si="98"/>
        <v>134.68</v>
      </c>
      <c r="Z63" s="188"/>
      <c r="AA63" s="130">
        <f t="shared" si="80"/>
        <v>1964.54</v>
      </c>
      <c r="AB63" s="74">
        <f t="shared" si="81"/>
        <v>1964.54</v>
      </c>
      <c r="AC63" s="356">
        <v>0.19</v>
      </c>
      <c r="AD63" s="130" cm="1">
        <f t="array" ref="AD63">IFERROR(ROUND((_xlfn.IFS(offer_sale_type="поставка",AB63,offer_sale_type="транзит",S63)*(1+AC63))/E63,2),0)</f>
        <v>2337.8000000000002</v>
      </c>
      <c r="AE63" s="74">
        <f t="shared" si="82"/>
        <v>2337.8000000000002</v>
      </c>
      <c r="AF63" s="123" cm="1">
        <f t="array" ref="AF63">IFERROR(ROUND(_xlfn.IFS(offer_sale_type="поставка",AB63,offer_sale_type="транзит",S63)*AC63,2),0)</f>
        <v>373.26</v>
      </c>
      <c r="AG63" s="130">
        <f t="shared" si="63"/>
        <v>0</v>
      </c>
      <c r="AH63" s="74">
        <f t="shared" si="64"/>
        <v>71.349574632052978</v>
      </c>
      <c r="AI63" s="123">
        <f t="shared" si="65"/>
        <v>40.519154401765725</v>
      </c>
      <c r="AJ63" s="118">
        <f t="shared" si="83"/>
        <v>2449.67</v>
      </c>
      <c r="AK63" s="74">
        <f t="shared" si="84"/>
        <v>2449.67</v>
      </c>
      <c r="AL63" s="174">
        <f t="shared" si="85"/>
        <v>2939.6</v>
      </c>
      <c r="AM63" s="175">
        <f t="shared" si="66"/>
        <v>2939.6</v>
      </c>
      <c r="AN63" s="130">
        <f t="shared" si="86"/>
        <v>489.92999999999984</v>
      </c>
      <c r="AO63" s="74">
        <f t="shared" si="67"/>
        <v>386.07634401765728</v>
      </c>
      <c r="AP63" s="123">
        <f t="shared" si="87"/>
        <v>103.85365598234256</v>
      </c>
      <c r="AQ63" s="118">
        <f t="shared" si="88"/>
        <v>0</v>
      </c>
      <c r="AR63" s="82" t="str">
        <f t="shared" si="89"/>
        <v>https://www.alta.ru/tnved/code/8511400008/</v>
      </c>
      <c r="AS63" s="157"/>
      <c r="AT63" s="162"/>
      <c r="AU63" s="74">
        <f t="shared" si="90"/>
        <v>0</v>
      </c>
      <c r="AV63" s="157"/>
      <c r="AW63" s="75">
        <f>_xlfn.IFNA(VLOOKUP(L63,list_vat[],3,FALSE),0)</f>
        <v>0.02</v>
      </c>
      <c r="AX63" s="74">
        <f t="shared" si="91"/>
        <v>1771.2</v>
      </c>
      <c r="AY63" s="74">
        <f t="shared" si="92"/>
        <v>1771.2</v>
      </c>
      <c r="AZ63" s="130">
        <f t="shared" si="93"/>
        <v>1962.2117647058822</v>
      </c>
      <c r="BA63" s="74">
        <f t="shared" si="73"/>
        <v>51.979990626063909</v>
      </c>
      <c r="BB63" s="193">
        <f t="shared" si="94"/>
        <v>0</v>
      </c>
      <c r="BC63" s="102">
        <f t="shared" si="95"/>
        <v>6.7624531045170754E-3</v>
      </c>
      <c r="BD63" s="102">
        <f t="shared" si="96"/>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5"/>
        <v>0</v>
      </c>
      <c r="J64" s="195"/>
      <c r="K64" s="162">
        <v>9399.65</v>
      </c>
      <c r="L64" s="168" t="s">
        <v>22</v>
      </c>
      <c r="M64" s="75">
        <f>_xlfn.XLOOKUP(L64,list_vat[Страна],list_vat[Ставка НДС %],0,0)</f>
        <v>0.13</v>
      </c>
      <c r="N64" s="162">
        <f t="shared" si="57"/>
        <v>9399.65</v>
      </c>
      <c r="O64" s="169"/>
      <c r="P64" s="74">
        <f t="shared" si="97"/>
        <v>9399.65</v>
      </c>
      <c r="Q64" s="162">
        <v>7.14</v>
      </c>
      <c r="R64" s="162">
        <f t="shared" si="58"/>
        <v>1316.4775910364147</v>
      </c>
      <c r="S64" s="196">
        <f t="shared" si="76"/>
        <v>1316.4775910364147</v>
      </c>
      <c r="T64" s="192">
        <f t="shared" si="77"/>
        <v>18.57558985255033</v>
      </c>
      <c r="U64" s="76">
        <f t="shared" si="78"/>
        <v>12.817115983488581</v>
      </c>
      <c r="V64" s="123">
        <f t="shared" si="79"/>
        <v>31.39270583603891</v>
      </c>
      <c r="W64" s="191">
        <v>8409990009</v>
      </c>
      <c r="X64" s="170">
        <v>0.05</v>
      </c>
      <c r="Y64" s="74">
        <f t="shared" si="98"/>
        <v>68.069999999999993</v>
      </c>
      <c r="Z64" s="188"/>
      <c r="AA64" s="130">
        <f t="shared" si="80"/>
        <v>1455.35</v>
      </c>
      <c r="AB64" s="74">
        <f t="shared" si="81"/>
        <v>1455.35</v>
      </c>
      <c r="AC64" s="356">
        <v>0.19</v>
      </c>
      <c r="AD64" s="130" cm="1">
        <f t="array" ref="AD64">IFERROR(ROUND((_xlfn.IFS(offer_sale_type="поставка",AB64,offer_sale_type="транзит",S64)*(1+AC64))/E64,2),0)</f>
        <v>1731.87</v>
      </c>
      <c r="AE64" s="74">
        <f t="shared" si="82"/>
        <v>1731.87</v>
      </c>
      <c r="AF64" s="123" cm="1">
        <f t="array" ref="AF64">IFERROR(ROUND(_xlfn.IFS(offer_sale_type="поставка",AB64,offer_sale_type="транзит",S64)*AC64,2),0)</f>
        <v>276.52</v>
      </c>
      <c r="AG64" s="130">
        <f t="shared" si="63"/>
        <v>0</v>
      </c>
      <c r="AH64" s="74">
        <f t="shared" si="64"/>
        <v>52.877668596768672</v>
      </c>
      <c r="AI64" s="123">
        <f t="shared" si="65"/>
        <v>30.718953225622435</v>
      </c>
      <c r="AJ64" s="118">
        <f t="shared" si="83"/>
        <v>1815.47</v>
      </c>
      <c r="AK64" s="74">
        <f t="shared" si="84"/>
        <v>1815.47</v>
      </c>
      <c r="AL64" s="174">
        <f t="shared" si="85"/>
        <v>2178.56</v>
      </c>
      <c r="AM64" s="175">
        <f t="shared" si="66"/>
        <v>2178.56</v>
      </c>
      <c r="AN64" s="130">
        <f t="shared" si="86"/>
        <v>363.08999999999992</v>
      </c>
      <c r="AO64" s="74">
        <f t="shared" si="67"/>
        <v>285.89111797051004</v>
      </c>
      <c r="AP64" s="123">
        <f t="shared" si="87"/>
        <v>77.19888202948988</v>
      </c>
      <c r="AQ64" s="118">
        <f t="shared" si="88"/>
        <v>0</v>
      </c>
      <c r="AR64" s="82" t="str">
        <f t="shared" si="89"/>
        <v>https://www.alta.ru/tnved/code/8409990009/</v>
      </c>
      <c r="AS64" s="157"/>
      <c r="AT64" s="162"/>
      <c r="AU64" s="74">
        <f t="shared" si="90"/>
        <v>0</v>
      </c>
      <c r="AV64" s="157"/>
      <c r="AW64" s="75">
        <f>_xlfn.IFNA(VLOOKUP(L64,list_vat[],3,FALSE),0)</f>
        <v>0.02</v>
      </c>
      <c r="AX64" s="74">
        <f t="shared" si="91"/>
        <v>1342.81</v>
      </c>
      <c r="AY64" s="74">
        <f t="shared" si="92"/>
        <v>1342.81</v>
      </c>
      <c r="AZ64" s="130">
        <f t="shared" si="93"/>
        <v>1487.6196778711485</v>
      </c>
      <c r="BA64" s="74">
        <f t="shared" si="73"/>
        <v>39.407804143137959</v>
      </c>
      <c r="BB64" s="193">
        <f t="shared" si="94"/>
        <v>0</v>
      </c>
      <c r="BC64" s="102">
        <f t="shared" si="95"/>
        <v>5.1268463933954326E-3</v>
      </c>
      <c r="BD64" s="102">
        <f t="shared" si="96"/>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5"/>
        <v>0</v>
      </c>
      <c r="J65" s="195"/>
      <c r="K65" s="162">
        <v>10952.31</v>
      </c>
      <c r="L65" s="168" t="s">
        <v>22</v>
      </c>
      <c r="M65" s="75">
        <f>_xlfn.XLOOKUP(L65,list_vat[Страна],list_vat[Ставка НДС %],0,0)</f>
        <v>0.13</v>
      </c>
      <c r="N65" s="162">
        <f t="shared" si="57"/>
        <v>10952.31</v>
      </c>
      <c r="O65" s="169"/>
      <c r="P65" s="74">
        <f t="shared" si="97"/>
        <v>10952.31</v>
      </c>
      <c r="Q65" s="162">
        <v>7.14</v>
      </c>
      <c r="R65" s="162">
        <f t="shared" si="58"/>
        <v>1533.9369747899159</v>
      </c>
      <c r="S65" s="196">
        <f t="shared" si="76"/>
        <v>1533.9369747899159</v>
      </c>
      <c r="T65" s="192">
        <f t="shared" si="77"/>
        <v>21.64395679604937</v>
      </c>
      <c r="U65" s="76">
        <f t="shared" si="78"/>
        <v>14.934282399570389</v>
      </c>
      <c r="V65" s="123">
        <f t="shared" si="79"/>
        <v>36.578239195619759</v>
      </c>
      <c r="W65" s="191">
        <v>8413308008</v>
      </c>
      <c r="X65" s="170">
        <v>0</v>
      </c>
      <c r="Y65" s="74">
        <f t="shared" si="98"/>
        <v>0</v>
      </c>
      <c r="Z65" s="188"/>
      <c r="AA65" s="130">
        <f t="shared" si="80"/>
        <v>1616.43</v>
      </c>
      <c r="AB65" s="74">
        <f t="shared" si="81"/>
        <v>1616.43</v>
      </c>
      <c r="AC65" s="356">
        <v>0.19</v>
      </c>
      <c r="AD65" s="130" cm="1">
        <f t="array" ref="AD65">IFERROR(ROUND((_xlfn.IFS(offer_sale_type="поставка",AB65,offer_sale_type="транзит",S65)*(1+AC65))/E65,2),0)</f>
        <v>1923.55</v>
      </c>
      <c r="AE65" s="74">
        <f t="shared" si="82"/>
        <v>1923.55</v>
      </c>
      <c r="AF65" s="123" cm="1">
        <f t="array" ref="AF65">IFERROR(ROUND(_xlfn.IFS(offer_sale_type="поставка",AB65,offer_sale_type="транзит",S65)*AC65,2),0)</f>
        <v>307.12</v>
      </c>
      <c r="AG65" s="130">
        <f t="shared" si="63"/>
        <v>0</v>
      </c>
      <c r="AH65" s="74">
        <f t="shared" si="64"/>
        <v>58.780295828363343</v>
      </c>
      <c r="AI65" s="123">
        <f t="shared" si="65"/>
        <v>35.793194278778131</v>
      </c>
      <c r="AJ65" s="118">
        <f t="shared" si="83"/>
        <v>2018.12</v>
      </c>
      <c r="AK65" s="74">
        <f t="shared" si="84"/>
        <v>2018.12</v>
      </c>
      <c r="AL65" s="174">
        <f t="shared" si="85"/>
        <v>2421.7399999999998</v>
      </c>
      <c r="AM65" s="175">
        <f t="shared" si="66"/>
        <v>2421.7399999999998</v>
      </c>
      <c r="AN65" s="130">
        <f t="shared" si="86"/>
        <v>403.61999999999989</v>
      </c>
      <c r="AO65" s="74">
        <f t="shared" si="67"/>
        <v>317.25279135920988</v>
      </c>
      <c r="AP65" s="123">
        <f t="shared" si="87"/>
        <v>86.367208640790011</v>
      </c>
      <c r="AQ65" s="118">
        <f t="shared" si="88"/>
        <v>0</v>
      </c>
      <c r="AR65" s="82" t="str">
        <f t="shared" si="89"/>
        <v>https://www.alta.ru/tnved/code/8413308008/</v>
      </c>
      <c r="AS65" s="157"/>
      <c r="AT65" s="162"/>
      <c r="AU65" s="74">
        <f t="shared" si="90"/>
        <v>0</v>
      </c>
      <c r="AV65" s="157"/>
      <c r="AW65" s="75">
        <f>_xlfn.IFNA(VLOOKUP(L65,list_vat[],3,FALSE),0)</f>
        <v>0.02</v>
      </c>
      <c r="AX65" s="74">
        <f t="shared" si="91"/>
        <v>1564.62</v>
      </c>
      <c r="AY65" s="74">
        <f t="shared" si="92"/>
        <v>1564.62</v>
      </c>
      <c r="AZ65" s="130">
        <f t="shared" si="93"/>
        <v>1733.3487815126048</v>
      </c>
      <c r="BA65" s="74">
        <f t="shared" si="73"/>
        <v>45.917293451876532</v>
      </c>
      <c r="BB65" s="193">
        <f t="shared" si="94"/>
        <v>0</v>
      </c>
      <c r="BC65" s="102">
        <f t="shared" si="95"/>
        <v>5.9737129598281553E-3</v>
      </c>
      <c r="BD65" s="102">
        <f t="shared" si="96"/>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5"/>
        <v>0</v>
      </c>
      <c r="J66" s="195"/>
      <c r="K66" s="162">
        <v>11212.37</v>
      </c>
      <c r="L66" s="168" t="s">
        <v>22</v>
      </c>
      <c r="M66" s="75">
        <f>_xlfn.XLOOKUP(L66,list_vat[Страна],list_vat[Ставка НДС %],0,0)</f>
        <v>0.13</v>
      </c>
      <c r="N66" s="162">
        <f t="shared" si="57"/>
        <v>11212.37</v>
      </c>
      <c r="O66" s="169"/>
      <c r="P66" s="74">
        <f t="shared" si="97"/>
        <v>11212.37</v>
      </c>
      <c r="Q66" s="162">
        <v>7.14</v>
      </c>
      <c r="R66" s="162">
        <f t="shared" si="58"/>
        <v>1570.3599439775912</v>
      </c>
      <c r="S66" s="196">
        <f t="shared" si="76"/>
        <v>1570.3599439775912</v>
      </c>
      <c r="T66" s="192">
        <f t="shared" si="77"/>
        <v>22.157887410173757</v>
      </c>
      <c r="U66" s="76">
        <f t="shared" si="78"/>
        <v>15.28889338856105</v>
      </c>
      <c r="V66" s="123">
        <f t="shared" si="79"/>
        <v>37.446780798734807</v>
      </c>
      <c r="W66" s="191">
        <v>8421290009</v>
      </c>
      <c r="X66" s="170">
        <v>0</v>
      </c>
      <c r="Y66" s="74">
        <f t="shared" si="98"/>
        <v>0</v>
      </c>
      <c r="Z66" s="188"/>
      <c r="AA66" s="130">
        <f t="shared" si="80"/>
        <v>1654.81</v>
      </c>
      <c r="AB66" s="74">
        <f t="shared" si="81"/>
        <v>1654.81</v>
      </c>
      <c r="AC66" s="356">
        <v>0.19</v>
      </c>
      <c r="AD66" s="130" cm="1">
        <f t="array" ref="AD66">IFERROR(ROUND((_xlfn.IFS(offer_sale_type="поставка",AB66,offer_sale_type="транзит",S66)*(1+AC66))/E66,2),0)</f>
        <v>1969.22</v>
      </c>
      <c r="AE66" s="74">
        <f t="shared" si="82"/>
        <v>1969.22</v>
      </c>
      <c r="AF66" s="123" cm="1">
        <f t="array" ref="AF66">IFERROR(ROUND(_xlfn.IFS(offer_sale_type="поставка",AB66,offer_sale_type="транзит",S66)*AC66,2),0)</f>
        <v>314.41000000000003</v>
      </c>
      <c r="AG66" s="130">
        <f t="shared" si="63"/>
        <v>0</v>
      </c>
      <c r="AH66" s="74">
        <f t="shared" si="64"/>
        <v>60.175892855303246</v>
      </c>
      <c r="AI66" s="123">
        <f t="shared" si="65"/>
        <v>36.643095176774906</v>
      </c>
      <c r="AJ66" s="118">
        <f t="shared" si="83"/>
        <v>2066.04</v>
      </c>
      <c r="AK66" s="74">
        <f t="shared" si="84"/>
        <v>2066.04</v>
      </c>
      <c r="AL66" s="174">
        <f t="shared" si="85"/>
        <v>2479.25</v>
      </c>
      <c r="AM66" s="175">
        <f t="shared" si="66"/>
        <v>2479.25</v>
      </c>
      <c r="AN66" s="130">
        <f t="shared" si="86"/>
        <v>413.21000000000004</v>
      </c>
      <c r="AO66" s="74">
        <f t="shared" si="67"/>
        <v>324.7855774820348</v>
      </c>
      <c r="AP66" s="123">
        <f t="shared" si="87"/>
        <v>88.42442251796524</v>
      </c>
      <c r="AQ66" s="118">
        <f t="shared" si="88"/>
        <v>0</v>
      </c>
      <c r="AR66" s="82" t="str">
        <f t="shared" si="89"/>
        <v>https://www.alta.ru/tnved/code/8421290009/</v>
      </c>
      <c r="AS66" s="157"/>
      <c r="AT66" s="162"/>
      <c r="AU66" s="74">
        <f t="shared" si="90"/>
        <v>0</v>
      </c>
      <c r="AV66" s="157"/>
      <c r="AW66" s="75">
        <f>_xlfn.IFNA(VLOOKUP(L66,list_vat[],3,FALSE),0)</f>
        <v>0.02</v>
      </c>
      <c r="AX66" s="74">
        <f t="shared" si="91"/>
        <v>1601.77</v>
      </c>
      <c r="AY66" s="74">
        <f t="shared" si="92"/>
        <v>1601.77</v>
      </c>
      <c r="AZ66" s="130">
        <f t="shared" si="93"/>
        <v>1774.506736694678</v>
      </c>
      <c r="BA66" s="74">
        <f t="shared" si="73"/>
        <v>47.007588680471692</v>
      </c>
      <c r="BB66" s="193">
        <f t="shared" si="94"/>
        <v>0</v>
      </c>
      <c r="BC66" s="102">
        <f t="shared" si="95"/>
        <v>6.1155573554244197E-3</v>
      </c>
      <c r="BD66" s="102">
        <f t="shared" si="96"/>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5"/>
        <v>0</v>
      </c>
      <c r="J67" s="195"/>
      <c r="K67" s="162">
        <v>10626.42</v>
      </c>
      <c r="L67" s="168" t="s">
        <v>22</v>
      </c>
      <c r="M67" s="75">
        <f>_xlfn.XLOOKUP(L67,list_vat[Страна],list_vat[Ставка НДС %],0,0)</f>
        <v>0.13</v>
      </c>
      <c r="N67" s="162">
        <f t="shared" si="57"/>
        <v>10626.42</v>
      </c>
      <c r="O67" s="169"/>
      <c r="P67" s="74">
        <f t="shared" si="97"/>
        <v>10626.42</v>
      </c>
      <c r="Q67" s="162">
        <v>7.14</v>
      </c>
      <c r="R67" s="162">
        <f t="shared" si="58"/>
        <v>1488.294117647059</v>
      </c>
      <c r="S67" s="196">
        <f t="shared" si="76"/>
        <v>1488.294117647059</v>
      </c>
      <c r="T67" s="192">
        <f t="shared" si="77"/>
        <v>20.999932925261888</v>
      </c>
      <c r="U67" s="76">
        <f t="shared" si="78"/>
        <v>14.489907350727179</v>
      </c>
      <c r="V67" s="123">
        <f t="shared" si="79"/>
        <v>35.489840275989067</v>
      </c>
      <c r="W67" s="191">
        <v>8482200009</v>
      </c>
      <c r="X67" s="170">
        <v>0.1</v>
      </c>
      <c r="Y67" s="74">
        <f t="shared" si="98"/>
        <v>153.91</v>
      </c>
      <c r="Z67" s="188"/>
      <c r="AA67" s="130">
        <f t="shared" si="80"/>
        <v>1722.24</v>
      </c>
      <c r="AB67" s="74">
        <f t="shared" si="81"/>
        <v>1722.24</v>
      </c>
      <c r="AC67" s="356">
        <v>0.19</v>
      </c>
      <c r="AD67" s="130" cm="1">
        <f t="array" ref="AD67">IFERROR(ROUND((_xlfn.IFS(offer_sale_type="поставка",AB67,offer_sale_type="транзит",S67)*(1+AC67))/E67,2),0)</f>
        <v>2049.4699999999998</v>
      </c>
      <c r="AE67" s="74">
        <f t="shared" si="82"/>
        <v>2049.4699999999998</v>
      </c>
      <c r="AF67" s="123" cm="1">
        <f t="array" ref="AF67">IFERROR(ROUND(_xlfn.IFS(offer_sale_type="поставка",AB67,offer_sale_type="транзит",S67)*AC67,2),0)</f>
        <v>327.23</v>
      </c>
      <c r="AG67" s="130">
        <f t="shared" si="63"/>
        <v>0</v>
      </c>
      <c r="AH67" s="74">
        <f t="shared" si="64"/>
        <v>62.525944639755153</v>
      </c>
      <c r="AI67" s="123">
        <f t="shared" si="65"/>
        <v>34.72815465850524</v>
      </c>
      <c r="AJ67" s="118">
        <f t="shared" si="83"/>
        <v>2146.7199999999998</v>
      </c>
      <c r="AK67" s="74">
        <f t="shared" si="84"/>
        <v>2146.7199999999998</v>
      </c>
      <c r="AL67" s="174">
        <f t="shared" si="85"/>
        <v>2576.06</v>
      </c>
      <c r="AM67" s="175">
        <f t="shared" si="66"/>
        <v>2576.06</v>
      </c>
      <c r="AN67" s="130">
        <f t="shared" si="86"/>
        <v>429.34000000000015</v>
      </c>
      <c r="AO67" s="74">
        <f t="shared" si="67"/>
        <v>338.59398658505239</v>
      </c>
      <c r="AP67" s="123">
        <f t="shared" si="87"/>
        <v>90.746013414947754</v>
      </c>
      <c r="AQ67" s="118">
        <f t="shared" si="88"/>
        <v>0</v>
      </c>
      <c r="AR67" s="82" t="str">
        <f t="shared" si="89"/>
        <v>https://www.alta.ru/tnved/code/8482200009/</v>
      </c>
      <c r="AS67" s="157"/>
      <c r="AT67" s="162"/>
      <c r="AU67" s="74">
        <f t="shared" si="90"/>
        <v>0</v>
      </c>
      <c r="AV67" s="157"/>
      <c r="AW67" s="75">
        <f>_xlfn.IFNA(VLOOKUP(L67,list_vat[],3,FALSE),0)</f>
        <v>0.02</v>
      </c>
      <c r="AX67" s="74">
        <f t="shared" si="91"/>
        <v>1518.06</v>
      </c>
      <c r="AY67" s="74">
        <f t="shared" si="92"/>
        <v>1518.06</v>
      </c>
      <c r="AZ67" s="130">
        <f t="shared" si="93"/>
        <v>1681.7723529411765</v>
      </c>
      <c r="BA67" s="74">
        <f t="shared" si="73"/>
        <v>44.551007548443195</v>
      </c>
      <c r="BB67" s="193">
        <f t="shared" si="94"/>
        <v>0</v>
      </c>
      <c r="BC67" s="102">
        <f t="shared" si="95"/>
        <v>5.7959629402908721E-3</v>
      </c>
      <c r="BD67" s="102">
        <f t="shared" si="96"/>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5"/>
        <v>0</v>
      </c>
      <c r="J68" s="195"/>
      <c r="K68" s="162">
        <v>7996.32</v>
      </c>
      <c r="L68" s="168" t="s">
        <v>22</v>
      </c>
      <c r="M68" s="75">
        <f>_xlfn.XLOOKUP(L68,list_vat[Страна],list_vat[Ставка НДС %],0,0)</f>
        <v>0.13</v>
      </c>
      <c r="N68" s="162">
        <f t="shared" si="57"/>
        <v>7996.32</v>
      </c>
      <c r="O68" s="169"/>
      <c r="P68" s="74">
        <f t="shared" si="97"/>
        <v>7996.32</v>
      </c>
      <c r="Q68" s="162">
        <v>7.14</v>
      </c>
      <c r="R68" s="162">
        <f t="shared" si="58"/>
        <v>1119.9327731092437</v>
      </c>
      <c r="S68" s="196">
        <f t="shared" si="76"/>
        <v>1119.9327731092437</v>
      </c>
      <c r="T68" s="192">
        <f t="shared" si="77"/>
        <v>15.802328879239679</v>
      </c>
      <c r="U68" s="76">
        <f t="shared" si="78"/>
        <v>10.903572035244867</v>
      </c>
      <c r="V68" s="123">
        <f t="shared" si="79"/>
        <v>26.705900914484545</v>
      </c>
      <c r="W68" s="191">
        <v>8484900000</v>
      </c>
      <c r="X68" s="170">
        <v>0</v>
      </c>
      <c r="Y68" s="74">
        <f t="shared" si="98"/>
        <v>0</v>
      </c>
      <c r="Z68" s="188"/>
      <c r="AA68" s="130">
        <f t="shared" si="80"/>
        <v>1180.1600000000001</v>
      </c>
      <c r="AB68" s="74">
        <f t="shared" si="81"/>
        <v>1180.1600000000001</v>
      </c>
      <c r="AC68" s="356">
        <v>0.19</v>
      </c>
      <c r="AD68" s="130" cm="1">
        <f t="array" ref="AD68">IFERROR(ROUND((_xlfn.IFS(offer_sale_type="поставка",AB68,offer_sale_type="транзит",S68)*(1+AC68))/E68,2),0)</f>
        <v>1404.39</v>
      </c>
      <c r="AE68" s="74">
        <f t="shared" si="82"/>
        <v>1404.39</v>
      </c>
      <c r="AF68" s="123" cm="1">
        <f t="array" ref="AF68">IFERROR(ROUND(_xlfn.IFS(offer_sale_type="поставка",AB68,offer_sale_type="транзит",S68)*AC68,2),0)</f>
        <v>224.23</v>
      </c>
      <c r="AG68" s="130">
        <f t="shared" si="63"/>
        <v>0</v>
      </c>
      <c r="AH68" s="74">
        <f t="shared" si="64"/>
        <v>42.915682105898973</v>
      </c>
      <c r="AI68" s="123">
        <f t="shared" si="65"/>
        <v>26.132736863299073</v>
      </c>
      <c r="AJ68" s="118">
        <f t="shared" si="83"/>
        <v>1473.44</v>
      </c>
      <c r="AK68" s="74">
        <f t="shared" si="84"/>
        <v>1473.44</v>
      </c>
      <c r="AL68" s="174">
        <f t="shared" si="85"/>
        <v>1768.13</v>
      </c>
      <c r="AM68" s="175">
        <f t="shared" si="66"/>
        <v>1768.13</v>
      </c>
      <c r="AN68" s="130">
        <f t="shared" si="86"/>
        <v>294.69000000000005</v>
      </c>
      <c r="AO68" s="74">
        <f t="shared" si="67"/>
        <v>231.62646577584792</v>
      </c>
      <c r="AP68" s="123">
        <f t="shared" si="87"/>
        <v>63.063534224152136</v>
      </c>
      <c r="AQ68" s="118">
        <f t="shared" si="88"/>
        <v>0</v>
      </c>
      <c r="AR68" s="82" t="str">
        <f t="shared" si="89"/>
        <v>https://www.alta.ru/tnved/code/8484900000/</v>
      </c>
      <c r="AS68" s="157"/>
      <c r="AT68" s="162"/>
      <c r="AU68" s="74">
        <f t="shared" si="90"/>
        <v>0</v>
      </c>
      <c r="AV68" s="157"/>
      <c r="AW68" s="75">
        <f>_xlfn.IFNA(VLOOKUP(L68,list_vat[],3,FALSE),0)</f>
        <v>0.02</v>
      </c>
      <c r="AX68" s="74">
        <f t="shared" si="91"/>
        <v>1142.33</v>
      </c>
      <c r="AY68" s="74">
        <f t="shared" si="92"/>
        <v>1142.33</v>
      </c>
      <c r="AZ68" s="130">
        <f t="shared" si="93"/>
        <v>1265.5240336134452</v>
      </c>
      <c r="BA68" s="74">
        <f t="shared" si="73"/>
        <v>33.524377229562475</v>
      </c>
      <c r="BB68" s="193">
        <f t="shared" si="94"/>
        <v>0</v>
      </c>
      <c r="BC68" s="102">
        <f t="shared" si="95"/>
        <v>4.3614288140979467E-3</v>
      </c>
      <c r="BD68" s="102">
        <f t="shared" si="96"/>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5"/>
        <v>0</v>
      </c>
      <c r="J69" s="195"/>
      <c r="K69" s="162">
        <v>10867.7</v>
      </c>
      <c r="L69" s="168" t="s">
        <v>22</v>
      </c>
      <c r="M69" s="75">
        <f>_xlfn.XLOOKUP(L69,list_vat[Страна],list_vat[Ставка НДС %],0,0)</f>
        <v>0.13</v>
      </c>
      <c r="N69" s="162">
        <f t="shared" si="57"/>
        <v>10867.7</v>
      </c>
      <c r="O69" s="169"/>
      <c r="P69" s="74">
        <f t="shared" si="97"/>
        <v>10867.7</v>
      </c>
      <c r="Q69" s="162">
        <v>7.14</v>
      </c>
      <c r="R69" s="162">
        <f t="shared" si="58"/>
        <v>1522.0868347338937</v>
      </c>
      <c r="S69" s="196">
        <f t="shared" si="76"/>
        <v>1522.0868347338937</v>
      </c>
      <c r="T69" s="192">
        <f t="shared" si="77"/>
        <v>21.476750500344291</v>
      </c>
      <c r="U69" s="76">
        <f t="shared" si="78"/>
        <v>14.818910424724203</v>
      </c>
      <c r="V69" s="123">
        <f t="shared" si="79"/>
        <v>36.295660925068496</v>
      </c>
      <c r="W69" s="191">
        <v>4016930005</v>
      </c>
      <c r="X69" s="170">
        <v>0.05</v>
      </c>
      <c r="Y69" s="74">
        <f t="shared" si="98"/>
        <v>78.7</v>
      </c>
      <c r="Z69" s="188"/>
      <c r="AA69" s="130">
        <f t="shared" si="80"/>
        <v>1682.65</v>
      </c>
      <c r="AB69" s="74">
        <f t="shared" si="81"/>
        <v>1682.65</v>
      </c>
      <c r="AC69" s="356">
        <v>0.19</v>
      </c>
      <c r="AD69" s="130" cm="1">
        <f t="array" ref="AD69">IFERROR(ROUND((_xlfn.IFS(offer_sale_type="поставка",AB69,offer_sale_type="транзит",S69)*(1+AC69))/E69,2),0)</f>
        <v>2002.35</v>
      </c>
      <c r="AE69" s="74">
        <f t="shared" si="82"/>
        <v>2002.35</v>
      </c>
      <c r="AF69" s="123" cm="1">
        <f t="array" ref="AF69">IFERROR(ROUND(_xlfn.IFS(offer_sale_type="поставка",AB69,offer_sale_type="транзит",S69)*AC69,2),0)</f>
        <v>319.7</v>
      </c>
      <c r="AG69" s="130">
        <f t="shared" si="63"/>
        <v>0</v>
      </c>
      <c r="AH69" s="74">
        <f t="shared" si="64"/>
        <v>61.136000421728774</v>
      </c>
      <c r="AI69" s="123">
        <f t="shared" si="65"/>
        <v>35.516680724292598</v>
      </c>
      <c r="AJ69" s="118">
        <f t="shared" si="83"/>
        <v>2099</v>
      </c>
      <c r="AK69" s="74">
        <f t="shared" si="84"/>
        <v>2099</v>
      </c>
      <c r="AL69" s="174">
        <f t="shared" si="85"/>
        <v>2518.8000000000002</v>
      </c>
      <c r="AM69" s="175">
        <f t="shared" si="66"/>
        <v>2518.8000000000002</v>
      </c>
      <c r="AN69" s="130">
        <f t="shared" si="86"/>
        <v>419.80000000000018</v>
      </c>
      <c r="AO69" s="74">
        <f t="shared" si="67"/>
        <v>330.54135010006888</v>
      </c>
      <c r="AP69" s="123">
        <f t="shared" si="87"/>
        <v>89.258649899931299</v>
      </c>
      <c r="AQ69" s="118">
        <f t="shared" si="88"/>
        <v>0</v>
      </c>
      <c r="AR69" s="82" t="str">
        <f t="shared" si="89"/>
        <v>https://www.alta.ru/tnved/code/4016930005/</v>
      </c>
      <c r="AS69" s="157"/>
      <c r="AT69" s="162"/>
      <c r="AU69" s="74">
        <f t="shared" si="90"/>
        <v>0</v>
      </c>
      <c r="AV69" s="157"/>
      <c r="AW69" s="75">
        <f>_xlfn.IFNA(VLOOKUP(L69,list_vat[],3,FALSE),0)</f>
        <v>0.02</v>
      </c>
      <c r="AX69" s="74">
        <f t="shared" si="91"/>
        <v>1552.53</v>
      </c>
      <c r="AY69" s="74">
        <f t="shared" si="92"/>
        <v>1552.53</v>
      </c>
      <c r="AZ69" s="130">
        <f t="shared" si="93"/>
        <v>1719.9581232492997</v>
      </c>
      <c r="BA69" s="74">
        <f t="shared" si="73"/>
        <v>45.562568083532938</v>
      </c>
      <c r="BB69" s="193">
        <f t="shared" si="94"/>
        <v>0</v>
      </c>
      <c r="BC69" s="102">
        <f t="shared" si="95"/>
        <v>5.9275641698896811E-3</v>
      </c>
      <c r="BD69" s="102">
        <f t="shared" si="96"/>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5"/>
        <v>0</v>
      </c>
      <c r="J70" s="195"/>
      <c r="K70" s="162">
        <v>3242.68</v>
      </c>
      <c r="L70" s="168" t="s">
        <v>22</v>
      </c>
      <c r="M70" s="75">
        <f>_xlfn.XLOOKUP(L70,list_vat[Страна],list_vat[Ставка НДС %],0,0)</f>
        <v>0.13</v>
      </c>
      <c r="N70" s="162">
        <f t="shared" si="57"/>
        <v>3242.68</v>
      </c>
      <c r="O70" s="169"/>
      <c r="P70" s="74">
        <f t="shared" si="97"/>
        <v>3242.68</v>
      </c>
      <c r="Q70" s="162">
        <v>7.14</v>
      </c>
      <c r="R70" s="162">
        <f t="shared" si="58"/>
        <v>454.15686274509801</v>
      </c>
      <c r="S70" s="196">
        <f t="shared" si="76"/>
        <v>454.15686274509801</v>
      </c>
      <c r="T70" s="192">
        <f t="shared" si="77"/>
        <v>6.4081847412475881</v>
      </c>
      <c r="U70" s="76">
        <f t="shared" si="78"/>
        <v>4.4216333222342055</v>
      </c>
      <c r="V70" s="123">
        <f t="shared" si="79"/>
        <v>10.829818063481794</v>
      </c>
      <c r="W70" s="191">
        <v>8511500008</v>
      </c>
      <c r="X70" s="170">
        <v>7.4999999999999997E-2</v>
      </c>
      <c r="Y70" s="74">
        <f t="shared" si="98"/>
        <v>35.22</v>
      </c>
      <c r="Z70" s="188"/>
      <c r="AA70" s="130">
        <f t="shared" si="80"/>
        <v>513.79999999999995</v>
      </c>
      <c r="AB70" s="74">
        <f t="shared" si="81"/>
        <v>513.79999999999995</v>
      </c>
      <c r="AC70" s="356">
        <v>0.19</v>
      </c>
      <c r="AD70" s="130" cm="1">
        <f t="array" ref="AD70">IFERROR(ROUND((_xlfn.IFS(offer_sale_type="поставка",AB70,offer_sale_type="транзит",S70)*(1+AC70))/E70,2),0)</f>
        <v>611.41999999999996</v>
      </c>
      <c r="AE70" s="74">
        <f t="shared" si="82"/>
        <v>611.41999999999996</v>
      </c>
      <c r="AF70" s="123" cm="1">
        <f t="array" ref="AF70">IFERROR(ROUND(_xlfn.IFS(offer_sale_type="поставка",AB70,offer_sale_type="транзит",S70)*AC70,2),0)</f>
        <v>97.62</v>
      </c>
      <c r="AG70" s="130">
        <f t="shared" si="63"/>
        <v>0</v>
      </c>
      <c r="AH70" s="74">
        <f t="shared" si="64"/>
        <v>18.660521630844748</v>
      </c>
      <c r="AI70" s="123">
        <f t="shared" si="65"/>
        <v>10.597387694824953</v>
      </c>
      <c r="AJ70" s="118">
        <f t="shared" si="83"/>
        <v>640.67999999999995</v>
      </c>
      <c r="AK70" s="74">
        <f t="shared" si="84"/>
        <v>640.67999999999995</v>
      </c>
      <c r="AL70" s="174">
        <f t="shared" si="85"/>
        <v>768.82</v>
      </c>
      <c r="AM70" s="175">
        <f t="shared" si="66"/>
        <v>768.82</v>
      </c>
      <c r="AN70" s="130">
        <f t="shared" si="86"/>
        <v>128.1400000000001</v>
      </c>
      <c r="AO70" s="74">
        <f t="shared" si="67"/>
        <v>100.97363694824952</v>
      </c>
      <c r="AP70" s="123">
        <f t="shared" si="87"/>
        <v>27.166363051750579</v>
      </c>
      <c r="AQ70" s="118">
        <f t="shared" si="88"/>
        <v>0</v>
      </c>
      <c r="AR70" s="82" t="str">
        <f t="shared" si="89"/>
        <v>https://www.alta.ru/tnved/code/8511500008/</v>
      </c>
      <c r="AS70" s="157"/>
      <c r="AT70" s="162"/>
      <c r="AU70" s="74">
        <f t="shared" si="90"/>
        <v>0</v>
      </c>
      <c r="AV70" s="157"/>
      <c r="AW70" s="75">
        <f>_xlfn.IFNA(VLOOKUP(L70,list_vat[],3,FALSE),0)</f>
        <v>0.02</v>
      </c>
      <c r="AX70" s="74">
        <f t="shared" si="91"/>
        <v>463.24</v>
      </c>
      <c r="AY70" s="74">
        <f t="shared" si="92"/>
        <v>463.24</v>
      </c>
      <c r="AZ70" s="130">
        <f t="shared" si="93"/>
        <v>513.19725490196072</v>
      </c>
      <c r="BA70" s="74">
        <f t="shared" si="73"/>
        <v>13.59485707860086</v>
      </c>
      <c r="BB70" s="193">
        <f t="shared" si="94"/>
        <v>0</v>
      </c>
      <c r="BC70" s="102">
        <f t="shared" si="95"/>
        <v>1.7686533288936821E-3</v>
      </c>
      <c r="BD70" s="102">
        <f t="shared" si="96"/>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5"/>
        <v>0</v>
      </c>
      <c r="J71" s="195"/>
      <c r="K71" s="162">
        <v>9534.27</v>
      </c>
      <c r="L71" s="168" t="s">
        <v>22</v>
      </c>
      <c r="M71" s="75">
        <f>_xlfn.XLOOKUP(L71,list_vat[Страна],list_vat[Ставка НДС %],0,0)</f>
        <v>0.13</v>
      </c>
      <c r="N71" s="162">
        <f t="shared" si="57"/>
        <v>9534.27</v>
      </c>
      <c r="O71" s="169"/>
      <c r="P71" s="74">
        <f t="shared" si="97"/>
        <v>9534.27</v>
      </c>
      <c r="Q71" s="162">
        <v>7.14</v>
      </c>
      <c r="R71" s="162">
        <f t="shared" si="58"/>
        <v>1335.3319327731094</v>
      </c>
      <c r="S71" s="196">
        <f t="shared" si="76"/>
        <v>1335.3319327731094</v>
      </c>
      <c r="T71" s="192">
        <f t="shared" si="77"/>
        <v>18.841625918356005</v>
      </c>
      <c r="U71" s="76">
        <f t="shared" si="78"/>
        <v>13.000680281488744</v>
      </c>
      <c r="V71" s="123">
        <f t="shared" si="79"/>
        <v>31.842306199844749</v>
      </c>
      <c r="W71" s="191">
        <v>8481201009</v>
      </c>
      <c r="X71" s="170">
        <v>0.08</v>
      </c>
      <c r="Y71" s="74">
        <f t="shared" si="98"/>
        <v>110.47</v>
      </c>
      <c r="Z71" s="188"/>
      <c r="AA71" s="130">
        <f t="shared" si="80"/>
        <v>1517.62</v>
      </c>
      <c r="AB71" s="74">
        <f t="shared" si="81"/>
        <v>1517.62</v>
      </c>
      <c r="AC71" s="356">
        <v>0.19</v>
      </c>
      <c r="AD71" s="130" cm="1">
        <f t="array" ref="AD71">IFERROR(ROUND((_xlfn.IFS(offer_sale_type="поставка",AB71,offer_sale_type="транзит",S71)*(1+AC71))/E71,2),0)</f>
        <v>1805.97</v>
      </c>
      <c r="AE71" s="74">
        <f t="shared" si="82"/>
        <v>1805.97</v>
      </c>
      <c r="AF71" s="123" cm="1">
        <f t="array" ref="AF71">IFERROR(ROUND(_xlfn.IFS(offer_sale_type="поставка",AB71,offer_sale_type="транзит",S71)*AC71,2),0)</f>
        <v>288.35000000000002</v>
      </c>
      <c r="AG71" s="130">
        <f t="shared" si="63"/>
        <v>0</v>
      </c>
      <c r="AH71" s="74">
        <f t="shared" si="64"/>
        <v>55.113867126979578</v>
      </c>
      <c r="AI71" s="123">
        <f t="shared" si="65"/>
        <v>31.158904232652837</v>
      </c>
      <c r="AJ71" s="118">
        <f t="shared" si="83"/>
        <v>1892.24</v>
      </c>
      <c r="AK71" s="74">
        <f t="shared" si="84"/>
        <v>1892.24</v>
      </c>
      <c r="AL71" s="174">
        <f t="shared" si="85"/>
        <v>2270.69</v>
      </c>
      <c r="AM71" s="175">
        <f t="shared" si="66"/>
        <v>2270.69</v>
      </c>
      <c r="AN71" s="130">
        <f t="shared" si="86"/>
        <v>378.45000000000005</v>
      </c>
      <c r="AO71" s="74">
        <f t="shared" si="67"/>
        <v>298.27032518367122</v>
      </c>
      <c r="AP71" s="123">
        <f t="shared" si="87"/>
        <v>80.179674816328827</v>
      </c>
      <c r="AQ71" s="118">
        <f t="shared" si="88"/>
        <v>0</v>
      </c>
      <c r="AR71" s="82" t="str">
        <f t="shared" si="89"/>
        <v>https://www.alta.ru/tnved/code/8481201009/</v>
      </c>
      <c r="AS71" s="157"/>
      <c r="AT71" s="162"/>
      <c r="AU71" s="74">
        <f t="shared" si="90"/>
        <v>0</v>
      </c>
      <c r="AV71" s="157"/>
      <c r="AW71" s="75">
        <f>_xlfn.IFNA(VLOOKUP(L71,list_vat[],3,FALSE),0)</f>
        <v>0.02</v>
      </c>
      <c r="AX71" s="74">
        <f t="shared" si="91"/>
        <v>1362.04</v>
      </c>
      <c r="AY71" s="74">
        <f t="shared" si="92"/>
        <v>1362.04</v>
      </c>
      <c r="AZ71" s="130">
        <f t="shared" si="93"/>
        <v>1508.9250840336135</v>
      </c>
      <c r="BA71" s="74">
        <f t="shared" si="73"/>
        <v>39.972195220864172</v>
      </c>
      <c r="BB71" s="193">
        <f t="shared" si="94"/>
        <v>0</v>
      </c>
      <c r="BC71" s="102">
        <f t="shared" si="95"/>
        <v>5.2002721125954977E-3</v>
      </c>
      <c r="BD71" s="102">
        <f t="shared" si="96"/>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5"/>
        <v>0</v>
      </c>
      <c r="J72" s="195"/>
      <c r="K72" s="162">
        <v>0</v>
      </c>
      <c r="L72" s="168" t="s">
        <v>22</v>
      </c>
      <c r="M72" s="75">
        <f>_xlfn.XLOOKUP(L72,list_vat[Страна],list_vat[Ставка НДС %],0,0)</f>
        <v>0.13</v>
      </c>
      <c r="N72" s="162">
        <f t="shared" si="57"/>
        <v>0</v>
      </c>
      <c r="O72" s="169"/>
      <c r="P72" s="74">
        <f t="shared" si="97"/>
        <v>0</v>
      </c>
      <c r="Q72" s="162">
        <v>7.14</v>
      </c>
      <c r="R72" s="162">
        <f t="shared" si="58"/>
        <v>0</v>
      </c>
      <c r="S72" s="196">
        <f t="shared" si="76"/>
        <v>0</v>
      </c>
      <c r="T72" s="192">
        <f t="shared" si="77"/>
        <v>0</v>
      </c>
      <c r="U72" s="76">
        <f t="shared" si="78"/>
        <v>0</v>
      </c>
      <c r="V72" s="123">
        <f t="shared" si="79"/>
        <v>0</v>
      </c>
      <c r="W72" s="191">
        <v>8511400008</v>
      </c>
      <c r="X72" s="170">
        <v>7.4999999999999997E-2</v>
      </c>
      <c r="Y72" s="74">
        <f t="shared" si="98"/>
        <v>0</v>
      </c>
      <c r="Z72" s="188"/>
      <c r="AA72" s="130">
        <f t="shared" si="80"/>
        <v>0</v>
      </c>
      <c r="AB72" s="74">
        <f t="shared" si="81"/>
        <v>0</v>
      </c>
      <c r="AC72" s="356">
        <v>0.19</v>
      </c>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3"/>
        <v>0</v>
      </c>
      <c r="AH72" s="74">
        <f t="shared" si="64"/>
        <v>0</v>
      </c>
      <c r="AI72" s="123">
        <f t="shared" si="65"/>
        <v>0</v>
      </c>
      <c r="AJ72" s="118">
        <f t="shared" si="83"/>
        <v>0</v>
      </c>
      <c r="AK72" s="74">
        <f t="shared" si="84"/>
        <v>0</v>
      </c>
      <c r="AL72" s="174">
        <f t="shared" si="85"/>
        <v>0</v>
      </c>
      <c r="AM72" s="175">
        <f t="shared" si="66"/>
        <v>0</v>
      </c>
      <c r="AN72" s="130">
        <f t="shared" si="86"/>
        <v>0</v>
      </c>
      <c r="AO72" s="74">
        <f t="shared" si="67"/>
        <v>0</v>
      </c>
      <c r="AP72" s="123">
        <f t="shared" si="87"/>
        <v>0</v>
      </c>
      <c r="AQ72" s="118">
        <f t="shared" si="88"/>
        <v>0</v>
      </c>
      <c r="AR72" s="82" t="str">
        <f t="shared" si="89"/>
        <v>https://www.alta.ru/tnved/code/8511400008/</v>
      </c>
      <c r="AS72" s="157"/>
      <c r="AT72" s="162"/>
      <c r="AU72" s="74">
        <f t="shared" si="90"/>
        <v>0</v>
      </c>
      <c r="AV72" s="157"/>
      <c r="AW72" s="75">
        <f>_xlfn.IFNA(VLOOKUP(L72,list_vat[],3,FALSE),0)</f>
        <v>0.02</v>
      </c>
      <c r="AX72" s="74">
        <f t="shared" si="91"/>
        <v>0</v>
      </c>
      <c r="AY72" s="74">
        <f t="shared" si="92"/>
        <v>0</v>
      </c>
      <c r="AZ72" s="130">
        <f t="shared" si="93"/>
        <v>0</v>
      </c>
      <c r="BA72" s="74">
        <f t="shared" si="73"/>
        <v>0</v>
      </c>
      <c r="BB72" s="193">
        <f t="shared" si="94"/>
        <v>0</v>
      </c>
      <c r="BC72" s="102">
        <f t="shared" si="95"/>
        <v>0</v>
      </c>
      <c r="BD72" s="102">
        <f t="shared" si="96"/>
        <v>0</v>
      </c>
      <c r="BE72" s="413" t="s">
        <v>69</v>
      </c>
    </row>
    <row r="73" spans="1:57" s="65" customFormat="1" ht="12" customHeight="1" x14ac:dyDescent="0.2">
      <c r="A73" s="43">
        <v>58</v>
      </c>
      <c r="B73" s="166" t="s">
        <v>469</v>
      </c>
      <c r="C73" s="166" t="s">
        <v>559</v>
      </c>
      <c r="D73" s="166" t="s">
        <v>540</v>
      </c>
      <c r="E73" s="162">
        <v>1</v>
      </c>
      <c r="F73" s="166"/>
      <c r="G73" s="162"/>
      <c r="H73" s="162"/>
      <c r="I73" s="189">
        <f t="shared" si="75"/>
        <v>0</v>
      </c>
      <c r="J73" s="195"/>
      <c r="K73" s="162">
        <v>7245.82</v>
      </c>
      <c r="L73" s="168" t="s">
        <v>22</v>
      </c>
      <c r="M73" s="75">
        <f>_xlfn.XLOOKUP(L73,list_vat[Страна],list_vat[Ставка НДС %],0,0)</f>
        <v>0.13</v>
      </c>
      <c r="N73" s="162">
        <f t="shared" si="57"/>
        <v>7245.82</v>
      </c>
      <c r="O73" s="169"/>
      <c r="P73" s="74">
        <f t="shared" si="97"/>
        <v>7245.82</v>
      </c>
      <c r="Q73" s="162">
        <v>7.14</v>
      </c>
      <c r="R73" s="162">
        <f t="shared" si="58"/>
        <v>1014.8207282913165</v>
      </c>
      <c r="S73" s="196">
        <f t="shared" si="76"/>
        <v>1014.8207282913165</v>
      </c>
      <c r="T73" s="192">
        <f t="shared" si="77"/>
        <v>14.319190657674085</v>
      </c>
      <c r="U73" s="76">
        <f t="shared" si="78"/>
        <v>9.8802099371233201</v>
      </c>
      <c r="V73" s="123">
        <f t="shared" si="79"/>
        <v>24.199400594797403</v>
      </c>
      <c r="W73" s="191">
        <v>8413308008</v>
      </c>
      <c r="X73" s="170">
        <v>0</v>
      </c>
      <c r="Y73" s="74">
        <f t="shared" si="98"/>
        <v>0</v>
      </c>
      <c r="Z73" s="188"/>
      <c r="AA73" s="130">
        <f t="shared" si="80"/>
        <v>1069.4000000000001</v>
      </c>
      <c r="AB73" s="74">
        <f t="shared" si="81"/>
        <v>1069.4000000000001</v>
      </c>
      <c r="AC73" s="356">
        <v>0.19</v>
      </c>
      <c r="AD73" s="130" cm="1">
        <f t="array" ref="AD73">IFERROR(ROUND((_xlfn.IFS(offer_sale_type="поставка",AB73,offer_sale_type="транзит",S73)*(1+AC73))/E73,2),0)</f>
        <v>1272.5899999999999</v>
      </c>
      <c r="AE73" s="74">
        <f t="shared" si="82"/>
        <v>1272.5899999999999</v>
      </c>
      <c r="AF73" s="123" cm="1">
        <f t="array" ref="AF73">IFERROR(ROUND(_xlfn.IFS(offer_sale_type="поставка",AB73,offer_sale_type="транзит",S73)*AC73,2),0)</f>
        <v>203.19</v>
      </c>
      <c r="AG73" s="130">
        <f t="shared" si="63"/>
        <v>0</v>
      </c>
      <c r="AH73" s="74">
        <f t="shared" si="64"/>
        <v>38.888100937251743</v>
      </c>
      <c r="AI73" s="123">
        <f t="shared" si="65"/>
        <v>23.680031241724912</v>
      </c>
      <c r="AJ73" s="118">
        <f t="shared" si="83"/>
        <v>1335.16</v>
      </c>
      <c r="AK73" s="74">
        <f t="shared" si="84"/>
        <v>1335.16</v>
      </c>
      <c r="AL73" s="174">
        <f t="shared" si="85"/>
        <v>1602.19</v>
      </c>
      <c r="AM73" s="175">
        <f t="shared" si="66"/>
        <v>1602.19</v>
      </c>
      <c r="AN73" s="130">
        <f t="shared" si="86"/>
        <v>267.02999999999997</v>
      </c>
      <c r="AO73" s="74">
        <f t="shared" si="67"/>
        <v>209.88783813153478</v>
      </c>
      <c r="AP73" s="123">
        <f t="shared" si="87"/>
        <v>57.142161868465195</v>
      </c>
      <c r="AQ73" s="118">
        <f t="shared" si="88"/>
        <v>0</v>
      </c>
      <c r="AR73" s="82" t="str">
        <f t="shared" si="89"/>
        <v>https://www.alta.ru/tnved/code/8413308008/</v>
      </c>
      <c r="AS73" s="157"/>
      <c r="AT73" s="162"/>
      <c r="AU73" s="74">
        <f t="shared" si="90"/>
        <v>0</v>
      </c>
      <c r="AV73" s="157"/>
      <c r="AW73" s="75">
        <f>_xlfn.IFNA(VLOOKUP(L73,list_vat[],3,FALSE),0)</f>
        <v>0.02</v>
      </c>
      <c r="AX73" s="74">
        <f t="shared" si="91"/>
        <v>1035.1199999999999</v>
      </c>
      <c r="AY73" s="74">
        <f t="shared" si="92"/>
        <v>1035.1199999999999</v>
      </c>
      <c r="AZ73" s="130">
        <f t="shared" si="93"/>
        <v>1146.7474229691875</v>
      </c>
      <c r="BA73" s="74">
        <f t="shared" si="73"/>
        <v>30.377924222330815</v>
      </c>
      <c r="BB73" s="193">
        <f t="shared" si="94"/>
        <v>0</v>
      </c>
      <c r="BC73" s="102">
        <f t="shared" si="95"/>
        <v>3.9520839748493283E-3</v>
      </c>
      <c r="BD73" s="102">
        <f t="shared" si="96"/>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5"/>
        <v>0</v>
      </c>
      <c r="J74" s="195"/>
      <c r="K74" s="162">
        <v>8939.01</v>
      </c>
      <c r="L74" s="168" t="s">
        <v>22</v>
      </c>
      <c r="M74" s="75">
        <f>_xlfn.XLOOKUP(L74,list_vat[Страна],list_vat[Ставка НДС %],0,0)</f>
        <v>0.13</v>
      </c>
      <c r="N74" s="162">
        <f t="shared" si="57"/>
        <v>8939.01</v>
      </c>
      <c r="O74" s="169"/>
      <c r="P74" s="74">
        <f t="shared" si="97"/>
        <v>8939.01</v>
      </c>
      <c r="Q74" s="162">
        <v>7.14</v>
      </c>
      <c r="R74" s="162">
        <f t="shared" si="58"/>
        <v>1251.9621848739496</v>
      </c>
      <c r="S74" s="196">
        <f t="shared" si="76"/>
        <v>1251.9621848739496</v>
      </c>
      <c r="T74" s="192">
        <f t="shared" si="77"/>
        <v>17.665273009936104</v>
      </c>
      <c r="U74" s="76">
        <f t="shared" si="78"/>
        <v>12.188999372057921</v>
      </c>
      <c r="V74" s="123">
        <f t="shared" si="79"/>
        <v>29.854272381994026</v>
      </c>
      <c r="W74" s="191">
        <v>8484900000</v>
      </c>
      <c r="X74" s="170">
        <v>0</v>
      </c>
      <c r="Y74" s="74">
        <f t="shared" si="98"/>
        <v>0</v>
      </c>
      <c r="Z74" s="188"/>
      <c r="AA74" s="130">
        <f t="shared" si="80"/>
        <v>1319.29</v>
      </c>
      <c r="AB74" s="74">
        <f t="shared" si="81"/>
        <v>1319.29</v>
      </c>
      <c r="AC74" s="356">
        <v>0.19</v>
      </c>
      <c r="AD74" s="130" cm="1">
        <f t="array" ref="AD74">IFERROR(ROUND((_xlfn.IFS(offer_sale_type="поставка",AB74,offer_sale_type="транзит",S74)*(1+AC74))/E74,2),0)</f>
        <v>1569.96</v>
      </c>
      <c r="AE74" s="74">
        <f t="shared" si="82"/>
        <v>1569.96</v>
      </c>
      <c r="AF74" s="123" cm="1">
        <f t="array" ref="AF74">IFERROR(ROUND(_xlfn.IFS(offer_sale_type="поставка",AB74,offer_sale_type="транзит",S74)*AC74,2),0)</f>
        <v>250.67</v>
      </c>
      <c r="AG74" s="130">
        <f t="shared" si="63"/>
        <v>0</v>
      </c>
      <c r="AH74" s="74">
        <f t="shared" si="64"/>
        <v>47.975206132377394</v>
      </c>
      <c r="AI74" s="123">
        <f t="shared" si="65"/>
        <v>29.213537745913005</v>
      </c>
      <c r="AJ74" s="118">
        <f t="shared" si="83"/>
        <v>1647.15</v>
      </c>
      <c r="AK74" s="74">
        <f t="shared" si="84"/>
        <v>1647.15</v>
      </c>
      <c r="AL74" s="174">
        <f t="shared" si="85"/>
        <v>1976.58</v>
      </c>
      <c r="AM74" s="175">
        <f t="shared" si="66"/>
        <v>1976.58</v>
      </c>
      <c r="AN74" s="130">
        <f t="shared" si="86"/>
        <v>329.42999999999984</v>
      </c>
      <c r="AO74" s="74">
        <f t="shared" si="67"/>
        <v>258.93305460198724</v>
      </c>
      <c r="AP74" s="123">
        <f t="shared" si="87"/>
        <v>70.496945398012599</v>
      </c>
      <c r="AQ74" s="118">
        <f t="shared" si="88"/>
        <v>0</v>
      </c>
      <c r="AR74" s="82" t="str">
        <f t="shared" si="89"/>
        <v>https://www.alta.ru/tnved/code/8484900000/</v>
      </c>
      <c r="AS74" s="157"/>
      <c r="AT74" s="162"/>
      <c r="AU74" s="74">
        <f t="shared" si="90"/>
        <v>0</v>
      </c>
      <c r="AV74" s="157"/>
      <c r="AW74" s="75">
        <f>_xlfn.IFNA(VLOOKUP(L74,list_vat[],3,FALSE),0)</f>
        <v>0.02</v>
      </c>
      <c r="AX74" s="74">
        <f t="shared" si="91"/>
        <v>1277</v>
      </c>
      <c r="AY74" s="74">
        <f t="shared" si="92"/>
        <v>1277</v>
      </c>
      <c r="AZ74" s="130">
        <f t="shared" si="93"/>
        <v>1414.7172689075628</v>
      </c>
      <c r="BA74" s="74">
        <f t="shared" si="73"/>
        <v>37.476582140138369</v>
      </c>
      <c r="BB74" s="193">
        <f t="shared" si="94"/>
        <v>0</v>
      </c>
      <c r="BC74" s="102">
        <f t="shared" si="95"/>
        <v>4.8755997488231688E-3</v>
      </c>
      <c r="BD74" s="102">
        <f t="shared" si="96"/>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5"/>
        <v>0</v>
      </c>
      <c r="J75" s="195"/>
      <c r="K75" s="162">
        <v>7464.07</v>
      </c>
      <c r="L75" s="168" t="s">
        <v>22</v>
      </c>
      <c r="M75" s="75">
        <f>_xlfn.XLOOKUP(L75,list_vat[Страна],list_vat[Ставка НДС %],0,0)</f>
        <v>0.13</v>
      </c>
      <c r="N75" s="162">
        <f t="shared" si="57"/>
        <v>7464.07</v>
      </c>
      <c r="O75" s="169"/>
      <c r="P75" s="74">
        <f t="shared" si="97"/>
        <v>7464.07</v>
      </c>
      <c r="Q75" s="162">
        <v>7.14</v>
      </c>
      <c r="R75" s="162">
        <f t="shared" si="58"/>
        <v>1045.3879551820728</v>
      </c>
      <c r="S75" s="196">
        <f t="shared" si="76"/>
        <v>1045.3879551820728</v>
      </c>
      <c r="T75" s="192">
        <f t="shared" si="77"/>
        <v>14.750496343026105</v>
      </c>
      <c r="U75" s="76">
        <f t="shared" si="78"/>
        <v>10.177809907696309</v>
      </c>
      <c r="V75" s="123">
        <f t="shared" si="79"/>
        <v>24.928306250722414</v>
      </c>
      <c r="W75" s="191">
        <v>8483109500</v>
      </c>
      <c r="X75" s="170">
        <v>0.05</v>
      </c>
      <c r="Y75" s="74">
        <f t="shared" si="98"/>
        <v>54.05</v>
      </c>
      <c r="Z75" s="188"/>
      <c r="AA75" s="130">
        <f t="shared" si="80"/>
        <v>1155.6600000000001</v>
      </c>
      <c r="AB75" s="74">
        <f t="shared" si="81"/>
        <v>1155.6600000000001</v>
      </c>
      <c r="AC75" s="356">
        <v>0.19</v>
      </c>
      <c r="AD75" s="130" cm="1">
        <f t="array" ref="AD75">IFERROR(ROUND((_xlfn.IFS(offer_sale_type="поставка",AB75,offer_sale_type="транзит",S75)*(1+AC75))/E75,2),0)</f>
        <v>1375.24</v>
      </c>
      <c r="AE75" s="74">
        <f t="shared" si="82"/>
        <v>1375.24</v>
      </c>
      <c r="AF75" s="123" cm="1">
        <f t="array" ref="AF75">IFERROR(ROUND(_xlfn.IFS(offer_sale_type="поставка",AB75,offer_sale_type="транзит",S75)*AC75,2),0)</f>
        <v>219.58</v>
      </c>
      <c r="AG75" s="130">
        <f t="shared" si="63"/>
        <v>0</v>
      </c>
      <c r="AH75" s="74">
        <f t="shared" si="64"/>
        <v>41.988998792091529</v>
      </c>
      <c r="AI75" s="123">
        <f t="shared" si="65"/>
        <v>24.393293069717661</v>
      </c>
      <c r="AJ75" s="118">
        <f t="shared" si="83"/>
        <v>1441.62</v>
      </c>
      <c r="AK75" s="74">
        <f t="shared" si="84"/>
        <v>1441.62</v>
      </c>
      <c r="AL75" s="174">
        <f t="shared" si="85"/>
        <v>1729.94</v>
      </c>
      <c r="AM75" s="175">
        <f t="shared" si="66"/>
        <v>1729.94</v>
      </c>
      <c r="AN75" s="130">
        <f t="shared" si="86"/>
        <v>288.32000000000016</v>
      </c>
      <c r="AO75" s="74">
        <f t="shared" si="67"/>
        <v>227.02009926860521</v>
      </c>
      <c r="AP75" s="123">
        <f t="shared" si="87"/>
        <v>61.299900731394956</v>
      </c>
      <c r="AQ75" s="118">
        <f t="shared" si="88"/>
        <v>0</v>
      </c>
      <c r="AR75" s="82" t="str">
        <f t="shared" si="89"/>
        <v>https://www.alta.ru/tnved/code/8483109500/</v>
      </c>
      <c r="AS75" s="157"/>
      <c r="AT75" s="162"/>
      <c r="AU75" s="74">
        <f t="shared" si="90"/>
        <v>0</v>
      </c>
      <c r="AV75" s="157"/>
      <c r="AW75" s="75">
        <f>_xlfn.IFNA(VLOOKUP(L75,list_vat[],3,FALSE),0)</f>
        <v>0.02</v>
      </c>
      <c r="AX75" s="74">
        <f t="shared" si="91"/>
        <v>1066.3</v>
      </c>
      <c r="AY75" s="74">
        <f t="shared" si="92"/>
        <v>1066.3</v>
      </c>
      <c r="AZ75" s="130">
        <f t="shared" si="93"/>
        <v>1181.2883893557421</v>
      </c>
      <c r="BA75" s="74">
        <f t="shared" si="73"/>
        <v>31.292932042221967</v>
      </c>
      <c r="BB75" s="193">
        <f t="shared" si="94"/>
        <v>0</v>
      </c>
      <c r="BC75" s="102">
        <f t="shared" si="95"/>
        <v>4.0711239630785235E-3</v>
      </c>
      <c r="BD75" s="102">
        <f t="shared" si="96"/>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5"/>
        <v>0</v>
      </c>
      <c r="J76" s="195"/>
      <c r="K76" s="162">
        <v>8104.85</v>
      </c>
      <c r="L76" s="168" t="s">
        <v>22</v>
      </c>
      <c r="M76" s="75">
        <f>_xlfn.XLOOKUP(L76,list_vat[Страна],list_vat[Ставка НДС %],0,0)</f>
        <v>0.13</v>
      </c>
      <c r="N76" s="162">
        <f t="shared" si="57"/>
        <v>8104.85</v>
      </c>
      <c r="O76" s="169"/>
      <c r="P76" s="74">
        <f t="shared" si="97"/>
        <v>8104.85</v>
      </c>
      <c r="Q76" s="162">
        <v>7.14</v>
      </c>
      <c r="R76" s="162">
        <f t="shared" si="58"/>
        <v>1135.1330532212887</v>
      </c>
      <c r="S76" s="196">
        <f t="shared" si="76"/>
        <v>1135.1330532212887</v>
      </c>
      <c r="T76" s="192">
        <f t="shared" si="77"/>
        <v>16.016805882819313</v>
      </c>
      <c r="U76" s="76">
        <f t="shared" si="78"/>
        <v>11.051560694151105</v>
      </c>
      <c r="V76" s="123">
        <f t="shared" si="79"/>
        <v>27.068366576970419</v>
      </c>
      <c r="W76" s="191">
        <v>8409990009</v>
      </c>
      <c r="X76" s="170">
        <v>0.05</v>
      </c>
      <c r="Y76" s="74">
        <f t="shared" si="98"/>
        <v>58.69</v>
      </c>
      <c r="Z76" s="188"/>
      <c r="AA76" s="130">
        <f t="shared" si="80"/>
        <v>1254.8699999999999</v>
      </c>
      <c r="AB76" s="74">
        <f t="shared" si="81"/>
        <v>1254.8699999999999</v>
      </c>
      <c r="AC76" s="356">
        <v>0.19</v>
      </c>
      <c r="AD76" s="130" cm="1">
        <f t="array" ref="AD76">IFERROR(ROUND((_xlfn.IFS(offer_sale_type="поставка",AB76,offer_sale_type="транзит",S76)*(1+AC76))/E76,2),0)</f>
        <v>1493.3</v>
      </c>
      <c r="AE76" s="74">
        <f t="shared" si="82"/>
        <v>1493.3</v>
      </c>
      <c r="AF76" s="123" cm="1">
        <f t="array" ref="AF76">IFERROR(ROUND(_xlfn.IFS(offer_sale_type="поставка",AB76,offer_sale_type="транзит",S76)*AC76,2),0)</f>
        <v>238.43</v>
      </c>
      <c r="AG76" s="130">
        <f t="shared" si="63"/>
        <v>0</v>
      </c>
      <c r="AH76" s="74">
        <f t="shared" si="64"/>
        <v>45.593622697815398</v>
      </c>
      <c r="AI76" s="123">
        <f t="shared" si="65"/>
        <v>26.487423260513534</v>
      </c>
      <c r="AJ76" s="118">
        <f t="shared" si="83"/>
        <v>1565.38</v>
      </c>
      <c r="AK76" s="74">
        <f t="shared" si="84"/>
        <v>1565.38</v>
      </c>
      <c r="AL76" s="174">
        <f t="shared" si="85"/>
        <v>1878.46</v>
      </c>
      <c r="AM76" s="175">
        <f t="shared" si="66"/>
        <v>1878.46</v>
      </c>
      <c r="AN76" s="130">
        <f t="shared" si="86"/>
        <v>313.07999999999993</v>
      </c>
      <c r="AO76" s="74">
        <f t="shared" si="67"/>
        <v>246.50936117656386</v>
      </c>
      <c r="AP76" s="123">
        <f t="shared" si="87"/>
        <v>66.57063882343607</v>
      </c>
      <c r="AQ76" s="118">
        <f t="shared" si="88"/>
        <v>0</v>
      </c>
      <c r="AR76" s="82" t="str">
        <f t="shared" si="89"/>
        <v>https://www.alta.ru/tnved/code/8409990009/</v>
      </c>
      <c r="AS76" s="157"/>
      <c r="AT76" s="162"/>
      <c r="AU76" s="74">
        <f t="shared" si="90"/>
        <v>0</v>
      </c>
      <c r="AV76" s="157"/>
      <c r="AW76" s="75">
        <f>_xlfn.IFNA(VLOOKUP(L76,list_vat[],3,FALSE),0)</f>
        <v>0.02</v>
      </c>
      <c r="AX76" s="74">
        <f t="shared" si="91"/>
        <v>1157.8399999999999</v>
      </c>
      <c r="AY76" s="74">
        <f t="shared" si="92"/>
        <v>1157.8399999999999</v>
      </c>
      <c r="AZ76" s="130">
        <f t="shared" si="93"/>
        <v>1282.7003501400561</v>
      </c>
      <c r="BA76" s="74">
        <f t="shared" si="73"/>
        <v>33.979386616471011</v>
      </c>
      <c r="BB76" s="193">
        <f t="shared" si="94"/>
        <v>0</v>
      </c>
      <c r="BC76" s="102">
        <f t="shared" si="95"/>
        <v>4.4206242776604421E-3</v>
      </c>
      <c r="BD76" s="102">
        <f t="shared" si="96"/>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5"/>
        <v>0</v>
      </c>
      <c r="J77" s="195"/>
      <c r="K77" s="162">
        <v>9627.11</v>
      </c>
      <c r="L77" s="168" t="s">
        <v>22</v>
      </c>
      <c r="M77" s="75">
        <f>_xlfn.XLOOKUP(L77,list_vat[Страна],list_vat[Ставка НДС %],0,0)</f>
        <v>0.13</v>
      </c>
      <c r="N77" s="162">
        <f t="shared" si="57"/>
        <v>9627.11</v>
      </c>
      <c r="O77" s="169"/>
      <c r="P77" s="74">
        <f t="shared" si="97"/>
        <v>9627.11</v>
      </c>
      <c r="Q77" s="162">
        <v>7.14</v>
      </c>
      <c r="R77" s="162">
        <f t="shared" si="58"/>
        <v>1348.3347338935575</v>
      </c>
      <c r="S77" s="196">
        <f t="shared" si="76"/>
        <v>1348.3347338935575</v>
      </c>
      <c r="T77" s="192">
        <f t="shared" si="77"/>
        <v>19.025096341394182</v>
      </c>
      <c r="U77" s="76">
        <f t="shared" si="78"/>
        <v>13.127274468283687</v>
      </c>
      <c r="V77" s="123">
        <f t="shared" si="79"/>
        <v>32.152370809677869</v>
      </c>
      <c r="W77" s="191">
        <v>7320208108</v>
      </c>
      <c r="X77" s="170">
        <v>0.125</v>
      </c>
      <c r="Y77" s="74">
        <f t="shared" si="98"/>
        <v>174.29</v>
      </c>
      <c r="Z77" s="188"/>
      <c r="AA77" s="130">
        <f t="shared" si="80"/>
        <v>1595.14</v>
      </c>
      <c r="AB77" s="74">
        <f t="shared" si="81"/>
        <v>1595.14</v>
      </c>
      <c r="AC77" s="356">
        <v>0.19</v>
      </c>
      <c r="AD77" s="130" cm="1">
        <f t="array" ref="AD77">IFERROR(ROUND((_xlfn.IFS(offer_sale_type="поставка",AB77,offer_sale_type="транзит",S77)*(1+AC77))/E77,2),0)</f>
        <v>1898.22</v>
      </c>
      <c r="AE77" s="74">
        <f t="shared" si="82"/>
        <v>1898.22</v>
      </c>
      <c r="AF77" s="123" cm="1">
        <f t="array" ref="AF77">IFERROR(ROUND(_xlfn.IFS(offer_sale_type="поставка",AB77,offer_sale_type="транзит",S77)*AC77,2),0)</f>
        <v>303.08</v>
      </c>
      <c r="AG77" s="130">
        <f t="shared" si="63"/>
        <v>0</v>
      </c>
      <c r="AH77" s="74">
        <f t="shared" si="64"/>
        <v>57.890469426376264</v>
      </c>
      <c r="AI77" s="123">
        <f t="shared" si="65"/>
        <v>31.462314212542164</v>
      </c>
      <c r="AJ77" s="118">
        <f t="shared" si="83"/>
        <v>1987.57</v>
      </c>
      <c r="AK77" s="74">
        <f t="shared" si="84"/>
        <v>1987.57</v>
      </c>
      <c r="AL77" s="174">
        <f t="shared" si="85"/>
        <v>2385.08</v>
      </c>
      <c r="AM77" s="175">
        <f t="shared" si="66"/>
        <v>2385.08</v>
      </c>
      <c r="AN77" s="130">
        <f t="shared" si="86"/>
        <v>397.51</v>
      </c>
      <c r="AO77" s="74">
        <f t="shared" si="67"/>
        <v>313.72301926827885</v>
      </c>
      <c r="AP77" s="123">
        <f t="shared" si="87"/>
        <v>83.786980731721144</v>
      </c>
      <c r="AQ77" s="118">
        <f t="shared" si="88"/>
        <v>0</v>
      </c>
      <c r="AR77" s="82" t="str">
        <f t="shared" si="89"/>
        <v>https://www.alta.ru/tnved/code/7320208108/</v>
      </c>
      <c r="AS77" s="157"/>
      <c r="AT77" s="162"/>
      <c r="AU77" s="74">
        <f t="shared" si="90"/>
        <v>0</v>
      </c>
      <c r="AV77" s="157"/>
      <c r="AW77" s="75">
        <f>_xlfn.IFNA(VLOOKUP(L77,list_vat[],3,FALSE),0)</f>
        <v>0.02</v>
      </c>
      <c r="AX77" s="74">
        <f t="shared" si="91"/>
        <v>1375.3</v>
      </c>
      <c r="AY77" s="74">
        <f t="shared" si="92"/>
        <v>1375.3</v>
      </c>
      <c r="AZ77" s="130">
        <f t="shared" si="93"/>
        <v>1523.6182492997198</v>
      </c>
      <c r="BA77" s="74">
        <f t="shared" si="73"/>
        <v>40.361424664157163</v>
      </c>
      <c r="BB77" s="193">
        <f t="shared" si="94"/>
        <v>0</v>
      </c>
      <c r="BC77" s="102">
        <f t="shared" si="95"/>
        <v>5.2509097873134746E-3</v>
      </c>
      <c r="BD77" s="102">
        <f t="shared" si="96"/>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5"/>
        <v>0</v>
      </c>
      <c r="J78" s="195"/>
      <c r="K78" s="162">
        <v>10768.86</v>
      </c>
      <c r="L78" s="168" t="s">
        <v>22</v>
      </c>
      <c r="M78" s="75">
        <f>_xlfn.XLOOKUP(L78,list_vat[Страна],list_vat[Ставка НДС %],0,0)</f>
        <v>0.13</v>
      </c>
      <c r="N78" s="162">
        <f t="shared" si="57"/>
        <v>10768.86</v>
      </c>
      <c r="O78" s="169"/>
      <c r="P78" s="74">
        <f t="shared" si="97"/>
        <v>10768.86</v>
      </c>
      <c r="Q78" s="162">
        <v>7.14</v>
      </c>
      <c r="R78" s="162">
        <f t="shared" si="58"/>
        <v>1508.2436974789916</v>
      </c>
      <c r="S78" s="196">
        <f t="shared" si="76"/>
        <v>1508.2436974789916</v>
      </c>
      <c r="T78" s="192">
        <f t="shared" si="77"/>
        <v>21.28142287633424</v>
      </c>
      <c r="U78" s="76">
        <f t="shared" si="78"/>
        <v>14.684134795439281</v>
      </c>
      <c r="V78" s="123">
        <f t="shared" si="79"/>
        <v>35.965557671773524</v>
      </c>
      <c r="W78" s="191">
        <v>8409990009</v>
      </c>
      <c r="X78" s="170">
        <v>0.05</v>
      </c>
      <c r="Y78" s="74">
        <f t="shared" si="98"/>
        <v>77.98</v>
      </c>
      <c r="Z78" s="188"/>
      <c r="AA78" s="130">
        <f t="shared" si="80"/>
        <v>1667.34</v>
      </c>
      <c r="AB78" s="74">
        <f t="shared" si="81"/>
        <v>1667.34</v>
      </c>
      <c r="AC78" s="356">
        <v>0.19</v>
      </c>
      <c r="AD78" s="130" cm="1">
        <f t="array" ref="AD78">IFERROR(ROUND((_xlfn.IFS(offer_sale_type="поставка",AB78,offer_sale_type="транзит",S78)*(1+AC78))/E78,2),0)</f>
        <v>1984.13</v>
      </c>
      <c r="AE78" s="74">
        <f t="shared" si="82"/>
        <v>1984.13</v>
      </c>
      <c r="AF78" s="123" cm="1">
        <f t="array" ref="AF78">IFERROR(ROUND(_xlfn.IFS(offer_sale_type="поставка",AB78,offer_sale_type="транзит",S78)*AC78,2),0)</f>
        <v>316.79000000000002</v>
      </c>
      <c r="AG78" s="130">
        <f t="shared" si="63"/>
        <v>0</v>
      </c>
      <c r="AH78" s="74">
        <f t="shared" si="64"/>
        <v>60.579709865154371</v>
      </c>
      <c r="AI78" s="123">
        <f t="shared" si="65"/>
        <v>35.193662171812399</v>
      </c>
      <c r="AJ78" s="118">
        <f t="shared" si="83"/>
        <v>2079.9</v>
      </c>
      <c r="AK78" s="74">
        <f t="shared" si="84"/>
        <v>2079.9</v>
      </c>
      <c r="AL78" s="174">
        <f t="shared" si="85"/>
        <v>2495.88</v>
      </c>
      <c r="AM78" s="175">
        <f t="shared" si="66"/>
        <v>2495.88</v>
      </c>
      <c r="AN78" s="130">
        <f t="shared" si="86"/>
        <v>415.98</v>
      </c>
      <c r="AO78" s="74">
        <f t="shared" si="67"/>
        <v>327.53428457526689</v>
      </c>
      <c r="AP78" s="123">
        <f t="shared" si="87"/>
        <v>88.445715424733123</v>
      </c>
      <c r="AQ78" s="118">
        <f t="shared" si="88"/>
        <v>0</v>
      </c>
      <c r="AR78" s="82" t="str">
        <f t="shared" si="89"/>
        <v>https://www.alta.ru/tnved/code/8409990009/</v>
      </c>
      <c r="AS78" s="157"/>
      <c r="AT78" s="162"/>
      <c r="AU78" s="74">
        <f t="shared" si="90"/>
        <v>0</v>
      </c>
      <c r="AV78" s="157"/>
      <c r="AW78" s="75">
        <f>_xlfn.IFNA(VLOOKUP(L78,list_vat[],3,FALSE),0)</f>
        <v>0.02</v>
      </c>
      <c r="AX78" s="74">
        <f t="shared" si="91"/>
        <v>1538.41</v>
      </c>
      <c r="AY78" s="74">
        <f t="shared" si="92"/>
        <v>1538.41</v>
      </c>
      <c r="AZ78" s="130">
        <f t="shared" si="93"/>
        <v>1704.3153781512603</v>
      </c>
      <c r="BA78" s="74">
        <f t="shared" si="73"/>
        <v>45.148183786084864</v>
      </c>
      <c r="BB78" s="193">
        <f t="shared" si="94"/>
        <v>0</v>
      </c>
      <c r="BC78" s="102">
        <f t="shared" si="95"/>
        <v>5.8736539181757121E-3</v>
      </c>
      <c r="BD78" s="102">
        <f t="shared" si="96"/>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5"/>
        <v>0</v>
      </c>
      <c r="J79" s="195"/>
      <c r="K79" s="162">
        <v>8515.23</v>
      </c>
      <c r="L79" s="168" t="s">
        <v>22</v>
      </c>
      <c r="M79" s="75">
        <f>_xlfn.XLOOKUP(L79,list_vat[Страна],list_vat[Ставка НДС %],0,0)</f>
        <v>0.13</v>
      </c>
      <c r="N79" s="162">
        <f t="shared" si="57"/>
        <v>8515.23</v>
      </c>
      <c r="O79" s="169"/>
      <c r="P79" s="74">
        <f t="shared" si="97"/>
        <v>8515.23</v>
      </c>
      <c r="Q79" s="162">
        <v>7.14</v>
      </c>
      <c r="R79" s="162">
        <f t="shared" si="58"/>
        <v>1192.6092436974791</v>
      </c>
      <c r="S79" s="196">
        <f t="shared" si="76"/>
        <v>1192.6092436974791</v>
      </c>
      <c r="T79" s="192">
        <f t="shared" si="77"/>
        <v>16.827798905292447</v>
      </c>
      <c r="U79" s="76">
        <f t="shared" si="78"/>
        <v>11.611144088990704</v>
      </c>
      <c r="V79" s="123">
        <f t="shared" si="79"/>
        <v>28.438942994283153</v>
      </c>
      <c r="W79" s="191">
        <v>8484200000</v>
      </c>
      <c r="X79" s="170">
        <v>0</v>
      </c>
      <c r="Y79" s="74">
        <f t="shared" si="98"/>
        <v>0</v>
      </c>
      <c r="Z79" s="188"/>
      <c r="AA79" s="130">
        <f t="shared" si="80"/>
        <v>1256.75</v>
      </c>
      <c r="AB79" s="74">
        <f t="shared" si="81"/>
        <v>1256.75</v>
      </c>
      <c r="AC79" s="356">
        <v>0.19</v>
      </c>
      <c r="AD79" s="130" cm="1">
        <f t="array" ref="AD79">IFERROR(ROUND((_xlfn.IFS(offer_sale_type="поставка",AB79,offer_sale_type="транзит",S79)*(1+AC79))/E79,2),0)</f>
        <v>1495.53</v>
      </c>
      <c r="AE79" s="74">
        <f t="shared" si="82"/>
        <v>1495.53</v>
      </c>
      <c r="AF79" s="123" cm="1">
        <f t="array" ref="AF79">IFERROR(ROUND(_xlfn.IFS(offer_sale_type="поставка",AB79,offer_sale_type="транзит",S79)*AC79,2),0)</f>
        <v>238.78</v>
      </c>
      <c r="AG79" s="130">
        <f t="shared" si="63"/>
        <v>0</v>
      </c>
      <c r="AH79" s="74">
        <f t="shared" si="64"/>
        <v>45.700757527914604</v>
      </c>
      <c r="AI79" s="123">
        <f t="shared" si="65"/>
        <v>27.828584263820137</v>
      </c>
      <c r="AJ79" s="118">
        <f t="shared" si="83"/>
        <v>1569.06</v>
      </c>
      <c r="AK79" s="74">
        <f t="shared" si="84"/>
        <v>1569.06</v>
      </c>
      <c r="AL79" s="174">
        <f t="shared" si="85"/>
        <v>1882.87</v>
      </c>
      <c r="AM79" s="175">
        <f t="shared" si="66"/>
        <v>1882.87</v>
      </c>
      <c r="AN79" s="130">
        <f t="shared" si="86"/>
        <v>313.80999999999995</v>
      </c>
      <c r="AO79" s="74">
        <f t="shared" si="67"/>
        <v>246.6575597810585</v>
      </c>
      <c r="AP79" s="123">
        <f t="shared" si="87"/>
        <v>67.15244021894145</v>
      </c>
      <c r="AQ79" s="118">
        <f t="shared" si="88"/>
        <v>0</v>
      </c>
      <c r="AR79" s="82" t="str">
        <f t="shared" si="89"/>
        <v>https://www.alta.ru/tnved/code/8484200000/</v>
      </c>
      <c r="AS79" s="157"/>
      <c r="AT79" s="162"/>
      <c r="AU79" s="74">
        <f t="shared" si="90"/>
        <v>0</v>
      </c>
      <c r="AV79" s="157"/>
      <c r="AW79" s="75">
        <f>_xlfn.IFNA(VLOOKUP(L79,list_vat[],3,FALSE),0)</f>
        <v>0.02</v>
      </c>
      <c r="AX79" s="74">
        <f t="shared" si="91"/>
        <v>1216.46</v>
      </c>
      <c r="AY79" s="74">
        <f t="shared" si="92"/>
        <v>1216.46</v>
      </c>
      <c r="AZ79" s="130">
        <f t="shared" si="93"/>
        <v>1347.6484453781513</v>
      </c>
      <c r="BA79" s="74">
        <f t="shared" si="73"/>
        <v>35.699894791164844</v>
      </c>
      <c r="BB79" s="193">
        <f t="shared" si="94"/>
        <v>0</v>
      </c>
      <c r="BC79" s="102">
        <f t="shared" si="95"/>
        <v>4.6444576355962816E-3</v>
      </c>
      <c r="BD79" s="102">
        <f t="shared" si="96"/>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5"/>
        <v>0</v>
      </c>
      <c r="J80" s="195"/>
      <c r="K80" s="162">
        <v>8021.99</v>
      </c>
      <c r="L80" s="168" t="s">
        <v>22</v>
      </c>
      <c r="M80" s="75">
        <f>_xlfn.XLOOKUP(L80,list_vat[Страна],list_vat[Ставка НДС %],0,0)</f>
        <v>0.13</v>
      </c>
      <c r="N80" s="162">
        <f t="shared" si="57"/>
        <v>8021.99</v>
      </c>
      <c r="O80" s="169"/>
      <c r="P80" s="74">
        <f t="shared" si="97"/>
        <v>8021.99</v>
      </c>
      <c r="Q80" s="162">
        <v>7.14</v>
      </c>
      <c r="R80" s="162">
        <f t="shared" si="58"/>
        <v>1123.5280112044818</v>
      </c>
      <c r="S80" s="196">
        <f t="shared" si="76"/>
        <v>1123.5280112044818</v>
      </c>
      <c r="T80" s="192">
        <f t="shared" si="77"/>
        <v>15.853057937397692</v>
      </c>
      <c r="U80" s="76">
        <f t="shared" si="78"/>
        <v>10.938574973364494</v>
      </c>
      <c r="V80" s="123">
        <f t="shared" si="79"/>
        <v>26.791632910762186</v>
      </c>
      <c r="W80" s="191">
        <v>8413308008</v>
      </c>
      <c r="X80" s="170">
        <v>0</v>
      </c>
      <c r="Y80" s="74">
        <f t="shared" ref="Y80:Y111" si="99">ROUND(IF(offer_incoterms="DDP",X80*(AY80+T80),0),2)</f>
        <v>0</v>
      </c>
      <c r="Z80" s="188"/>
      <c r="AA80" s="130">
        <f t="shared" si="80"/>
        <v>1183.95</v>
      </c>
      <c r="AB80" s="74">
        <f t="shared" si="81"/>
        <v>1183.95</v>
      </c>
      <c r="AC80" s="356">
        <v>0.19</v>
      </c>
      <c r="AD80" s="130" cm="1">
        <f t="array" ref="AD80">IFERROR(ROUND((_xlfn.IFS(offer_sale_type="поставка",AB80,offer_sale_type="транзит",S80)*(1+AC80))/E80,2),0)</f>
        <v>1408.9</v>
      </c>
      <c r="AE80" s="74">
        <f t="shared" si="82"/>
        <v>1408.9</v>
      </c>
      <c r="AF80" s="123" cm="1">
        <f t="array" ref="AF80">IFERROR(ROUND(_xlfn.IFS(offer_sale_type="поставка",AB80,offer_sale_type="транзит",S80)*AC80,2),0)</f>
        <v>224.95</v>
      </c>
      <c r="AG80" s="130">
        <f t="shared" si="63"/>
        <v>0</v>
      </c>
      <c r="AH80" s="74">
        <f t="shared" ref="AH80:AH143" si="100">SUM(AE80,AG80,AI80)*rate_forex_risk</f>
        <v>43.053498866191013</v>
      </c>
      <c r="AI80" s="123">
        <f t="shared" ref="AI80:AI143" si="101">IF(OR(seller_region="TR",offer_sale_type="экспорт"),0,rate_fin_comm)*SUM(AZ80,AZ80*AW80,T80)</f>
        <v>26.216628873033667</v>
      </c>
      <c r="AJ80" s="118">
        <f t="shared" si="83"/>
        <v>1478.17</v>
      </c>
      <c r="AK80" s="74">
        <f t="shared" si="84"/>
        <v>1478.17</v>
      </c>
      <c r="AL80" s="174">
        <f t="shared" si="85"/>
        <v>1773.8</v>
      </c>
      <c r="AM80" s="175">
        <f t="shared" ref="AM80:AM143" si="102">ROUND(AJ80*(1+IF(offer_incoterms="DDP",rate_vatRu,0)),2)</f>
        <v>1773.8</v>
      </c>
      <c r="AN80" s="130">
        <f t="shared" si="86"/>
        <v>295.62999999999988</v>
      </c>
      <c r="AO80" s="74">
        <f t="shared" ref="AO80:AO143" si="103">SUM(AY80,Y80:Z80,T80)*IF(AND(offer_incoterms="DDP",offer_sale_type&lt;&gt;"экспорт"),rate_vatRu,0)</f>
        <v>232.37061158747952</v>
      </c>
      <c r="AP80" s="123">
        <f t="shared" si="87"/>
        <v>63.259388412520366</v>
      </c>
      <c r="AQ80" s="118">
        <f t="shared" ref="AQ80:AQ143" si="104">IF(offer_sale_type="транзит",SUM(AF80:AI80,BA80,BB80),0)</f>
        <v>0</v>
      </c>
      <c r="AR80" s="82" t="str">
        <f t="shared" si="89"/>
        <v>https://www.alta.ru/tnved/code/8413308008/</v>
      </c>
      <c r="AS80" s="157"/>
      <c r="AT80" s="162"/>
      <c r="AU80" s="74">
        <f t="shared" ref="AU80:AU143" si="105">IF(ISBLANK(AT80),0,AJ80-AT80)</f>
        <v>0</v>
      </c>
      <c r="AV80" s="157"/>
      <c r="AW80" s="75">
        <f>_xlfn.IFNA(VLOOKUP(L80,list_vat[],3,FALSE),0)</f>
        <v>0.02</v>
      </c>
      <c r="AX80" s="74">
        <f t="shared" si="91"/>
        <v>1146</v>
      </c>
      <c r="AY80" s="74">
        <f t="shared" si="92"/>
        <v>1146</v>
      </c>
      <c r="AZ80" s="130">
        <f t="shared" si="93"/>
        <v>1269.5866526610644</v>
      </c>
      <c r="BA80" s="74">
        <f t="shared" ref="BA80:BA143" si="106">cost_fin_total*$BD80</f>
        <v>33.631998080589305</v>
      </c>
      <c r="BB80" s="193">
        <f t="shared" si="94"/>
        <v>0</v>
      </c>
      <c r="BC80" s="102">
        <f t="shared" si="95"/>
        <v>4.3754299893457973E-3</v>
      </c>
      <c r="BD80" s="102">
        <f t="shared" si="96"/>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7">E81*G81</f>
        <v>0</v>
      </c>
      <c r="J81" s="195"/>
      <c r="K81" s="162">
        <v>7495</v>
      </c>
      <c r="L81" s="168" t="s">
        <v>22</v>
      </c>
      <c r="M81" s="75">
        <f>_xlfn.XLOOKUP(L81,list_vat[Страна],list_vat[Ставка НДС %],0,0)</f>
        <v>0.13</v>
      </c>
      <c r="N81" s="162">
        <f t="shared" ref="N81:N144" si="108">IFERROR(IF(L81="Китай",K81,K81/(1+M81)),0)</f>
        <v>7495</v>
      </c>
      <c r="O81" s="169"/>
      <c r="P81" s="74">
        <f t="shared" si="97"/>
        <v>7495</v>
      </c>
      <c r="Q81" s="162">
        <v>7.14</v>
      </c>
      <c r="R81" s="162">
        <f t="shared" ref="R81:R144" si="109">IF(ISBLANK(Q81),"введи курс",P81/Q81)</f>
        <v>1049.7198879551822</v>
      </c>
      <c r="S81" s="196">
        <f t="shared" ref="S81:S144" si="110">IF(AND(ISNUMBER(E81),ISNUMBER(Q81)),E81*R81,0)</f>
        <v>1049.7198879551822</v>
      </c>
      <c r="T81" s="192">
        <f t="shared" ref="T81:T144" si="111">$BC81*V$11</f>
        <v>14.811620214036131</v>
      </c>
      <c r="U81" s="76">
        <f t="shared" ref="U81:U144" si="112">$BC81*W$11</f>
        <v>10.21998524373215</v>
      </c>
      <c r="V81" s="123">
        <f t="shared" ref="V81:V144" si="113">+SUM(T81:U81)</f>
        <v>25.031605457768279</v>
      </c>
      <c r="W81" s="191">
        <v>8409990009</v>
      </c>
      <c r="X81" s="170">
        <v>0.05</v>
      </c>
      <c r="Y81" s="74">
        <f t="shared" si="99"/>
        <v>54.28</v>
      </c>
      <c r="Z81" s="188"/>
      <c r="AA81" s="130">
        <f t="shared" ref="AA81:AA144" si="114">IFERROR(AB81/E81,0)</f>
        <v>1160.45</v>
      </c>
      <c r="AB81" s="74">
        <f t="shared" ref="AB81:AB144" si="115">ROUND(SUM(S81,V81,Y81:Z81,BA81:BB81),2)</f>
        <v>1160.45</v>
      </c>
      <c r="AC81" s="356">
        <v>0.19</v>
      </c>
      <c r="AD81" s="130" cm="1">
        <f t="array" ref="AD81">IFERROR(ROUND((_xlfn.IFS(offer_sale_type="поставка",AB81,offer_sale_type="транзит",S81)*(1+AC81))/E81,2),0)</f>
        <v>1380.94</v>
      </c>
      <c r="AE81" s="74">
        <f t="shared" ref="AE81:AE144" si="116">AD81*E81</f>
        <v>1380.94</v>
      </c>
      <c r="AF81" s="123" cm="1">
        <f t="array" ref="AF81">IFERROR(ROUND(_xlfn.IFS(offer_sale_type="поставка",AB81,offer_sale_type="транзит",S81)*AC81,2),0)</f>
        <v>220.49</v>
      </c>
      <c r="AG81" s="130">
        <f t="shared" si="63"/>
        <v>0</v>
      </c>
      <c r="AH81" s="74">
        <f t="shared" si="100"/>
        <v>42.163031257842704</v>
      </c>
      <c r="AI81" s="123">
        <f t="shared" si="101"/>
        <v>24.494375261423585</v>
      </c>
      <c r="AJ81" s="118">
        <f t="shared" ref="AJ81:AJ144" si="117">IFERROR(ROUND(SUM(AB81,AF81:AI81)/E81,2),0)</f>
        <v>1447.6</v>
      </c>
      <c r="AK81" s="74">
        <f t="shared" ref="AK81:AK144" si="118">AJ81*E81</f>
        <v>1447.6</v>
      </c>
      <c r="AL81" s="174">
        <f t="shared" ref="AL81:AL144" si="119">ROUND(IFERROR(AM81*E81,0),2)</f>
        <v>1737.12</v>
      </c>
      <c r="AM81" s="175">
        <f t="shared" si="102"/>
        <v>1737.12</v>
      </c>
      <c r="AN81" s="130">
        <f t="shared" ref="AN81:AN144" si="120">AL81-AK81</f>
        <v>289.52</v>
      </c>
      <c r="AO81" s="74">
        <f t="shared" si="103"/>
        <v>227.96032404280723</v>
      </c>
      <c r="AP81" s="123">
        <f t="shared" ref="AP81:AP144" si="121">AN81-AO81</f>
        <v>61.559675957192752</v>
      </c>
      <c r="AQ81" s="118">
        <f t="shared" si="104"/>
        <v>0</v>
      </c>
      <c r="AR81" s="82" t="str">
        <f t="shared" ref="AR81:AR144" si="122">HYPERLINK("https://www.alta.ru/tnved/code/")&amp;W81&amp;"/"</f>
        <v>https://www.alta.ru/tnved/code/8409990009/</v>
      </c>
      <c r="AS81" s="157"/>
      <c r="AT81" s="162"/>
      <c r="AU81" s="74">
        <f t="shared" si="105"/>
        <v>0</v>
      </c>
      <c r="AV81" s="157"/>
      <c r="AW81" s="75">
        <f>_xlfn.IFNA(VLOOKUP(L81,list_vat[],3,FALSE),0)</f>
        <v>0.02</v>
      </c>
      <c r="AX81" s="74">
        <f t="shared" ref="AX81:AX144" si="123">IFERROR(ROUND(S81*(1+AW81)/E81,2),0)</f>
        <v>1070.71</v>
      </c>
      <c r="AY81" s="74">
        <f t="shared" ref="AY81:AY144" si="124">E81*AX81</f>
        <v>1070.71</v>
      </c>
      <c r="AZ81" s="130">
        <f t="shared" ref="AZ81:AZ144" si="125">S81*(1+M81)</f>
        <v>1186.1834733893559</v>
      </c>
      <c r="BA81" s="74">
        <f t="shared" si="106"/>
        <v>31.422605315391422</v>
      </c>
      <c r="BB81" s="193">
        <f t="shared" ref="BB81:BB144" si="126">credit_sales_interest*BD81</f>
        <v>0</v>
      </c>
      <c r="BC81" s="102">
        <f t="shared" ref="BC81:BC144" si="127">IFERROR(IF($I$13&gt;0,$I81/$I$13,$S81/$S$13),0)</f>
        <v>4.0879940974928603E-3</v>
      </c>
      <c r="BD81" s="102">
        <f t="shared" ref="BD81:BD144" si="128">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7"/>
        <v>0</v>
      </c>
      <c r="J82" s="195"/>
      <c r="K82" s="162">
        <v>6518.53</v>
      </c>
      <c r="L82" s="168" t="s">
        <v>22</v>
      </c>
      <c r="M82" s="75">
        <f>_xlfn.XLOOKUP(L82,list_vat[Страна],list_vat[Ставка НДС %],0,0)</f>
        <v>0.13</v>
      </c>
      <c r="N82" s="162">
        <f t="shared" si="108"/>
        <v>6518.53</v>
      </c>
      <c r="O82" s="169"/>
      <c r="P82" s="74">
        <f t="shared" ref="P82:P145" si="129">N82*(1-O82)</f>
        <v>6518.53</v>
      </c>
      <c r="Q82" s="162">
        <v>7.14</v>
      </c>
      <c r="R82" s="162">
        <f t="shared" si="109"/>
        <v>912.95938375350136</v>
      </c>
      <c r="S82" s="196">
        <f t="shared" si="110"/>
        <v>912.95938375350136</v>
      </c>
      <c r="T82" s="192">
        <f t="shared" si="111"/>
        <v>12.881920041868037</v>
      </c>
      <c r="U82" s="76">
        <f t="shared" si="112"/>
        <v>8.8884963857005115</v>
      </c>
      <c r="V82" s="123">
        <f t="shared" si="113"/>
        <v>21.770416427568549</v>
      </c>
      <c r="W82" s="191">
        <v>8483308007</v>
      </c>
      <c r="X82" s="170">
        <v>0.05</v>
      </c>
      <c r="Y82" s="74">
        <f t="shared" si="99"/>
        <v>47.21</v>
      </c>
      <c r="Z82" s="188"/>
      <c r="AA82" s="130">
        <f t="shared" si="114"/>
        <v>1009.27</v>
      </c>
      <c r="AB82" s="74">
        <f t="shared" si="115"/>
        <v>1009.27</v>
      </c>
      <c r="AC82" s="356">
        <v>0.19</v>
      </c>
      <c r="AD82" s="130" cm="1">
        <f t="array" ref="AD82">IFERROR(ROUND((_xlfn.IFS(offer_sale_type="поставка",AB82,offer_sale_type="транзит",S82)*(1+AC82))/E82,2),0)</f>
        <v>1201.03</v>
      </c>
      <c r="AE82" s="74">
        <f t="shared" si="116"/>
        <v>1201.03</v>
      </c>
      <c r="AF82" s="123" cm="1">
        <f t="array" ref="AF82">IFERROR(ROUND(_xlfn.IFS(offer_sale_type="поставка",AB82,offer_sale_type="транзит",S82)*AC82,2),0)</f>
        <v>191.76</v>
      </c>
      <c r="AG82" s="130">
        <f t="shared" si="63"/>
        <v>0</v>
      </c>
      <c r="AH82" s="74">
        <f t="shared" si="100"/>
        <v>36.669995343453692</v>
      </c>
      <c r="AI82" s="123">
        <f t="shared" si="101"/>
        <v>21.303178115123071</v>
      </c>
      <c r="AJ82" s="118">
        <f t="shared" si="117"/>
        <v>1259</v>
      </c>
      <c r="AK82" s="74">
        <f t="shared" si="118"/>
        <v>1259</v>
      </c>
      <c r="AL82" s="174">
        <f t="shared" si="119"/>
        <v>1510.8</v>
      </c>
      <c r="AM82" s="175">
        <f t="shared" si="102"/>
        <v>1510.8</v>
      </c>
      <c r="AN82" s="130">
        <f t="shared" si="120"/>
        <v>251.79999999999995</v>
      </c>
      <c r="AO82" s="74">
        <f t="shared" si="103"/>
        <v>198.26238400837363</v>
      </c>
      <c r="AP82" s="123">
        <f t="shared" si="121"/>
        <v>53.537615991626325</v>
      </c>
      <c r="AQ82" s="118">
        <f t="shared" si="104"/>
        <v>0</v>
      </c>
      <c r="AR82" s="82" t="str">
        <f t="shared" si="122"/>
        <v>https://www.alta.ru/tnved/code/8483308007/</v>
      </c>
      <c r="AS82" s="157"/>
      <c r="AT82" s="162"/>
      <c r="AU82" s="74">
        <f t="shared" si="105"/>
        <v>0</v>
      </c>
      <c r="AV82" s="157"/>
      <c r="AW82" s="75">
        <f>_xlfn.IFNA(VLOOKUP(L82,list_vat[],3,FALSE),0)</f>
        <v>0.02</v>
      </c>
      <c r="AX82" s="74">
        <f t="shared" si="123"/>
        <v>931.22</v>
      </c>
      <c r="AY82" s="74">
        <f t="shared" si="124"/>
        <v>931.22</v>
      </c>
      <c r="AZ82" s="130">
        <f t="shared" si="125"/>
        <v>1031.6441036414565</v>
      </c>
      <c r="BA82" s="74">
        <f t="shared" si="106"/>
        <v>27.328778575922406</v>
      </c>
      <c r="BB82" s="193">
        <f t="shared" si="126"/>
        <v>0</v>
      </c>
      <c r="BC82" s="102">
        <f t="shared" si="127"/>
        <v>3.5553985542802046E-3</v>
      </c>
      <c r="BD82" s="102">
        <f t="shared" si="128"/>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7"/>
        <v>0</v>
      </c>
      <c r="J83" s="195"/>
      <c r="K83" s="162">
        <v>8025.73</v>
      </c>
      <c r="L83" s="168" t="s">
        <v>22</v>
      </c>
      <c r="M83" s="75">
        <f>_xlfn.XLOOKUP(L83,list_vat[Страна],list_vat[Ставка НДС %],0,0)</f>
        <v>0.13</v>
      </c>
      <c r="N83" s="162">
        <f t="shared" si="108"/>
        <v>8025.73</v>
      </c>
      <c r="O83" s="169"/>
      <c r="P83" s="74">
        <f t="shared" si="129"/>
        <v>8025.73</v>
      </c>
      <c r="Q83" s="162">
        <v>7.14</v>
      </c>
      <c r="R83" s="162">
        <f t="shared" si="109"/>
        <v>1124.0518207282912</v>
      </c>
      <c r="S83" s="196">
        <f t="shared" si="110"/>
        <v>1124.0518207282912</v>
      </c>
      <c r="T83" s="192">
        <f t="shared" si="111"/>
        <v>15.860448926003492</v>
      </c>
      <c r="U83" s="76">
        <f t="shared" si="112"/>
        <v>10.943674739183244</v>
      </c>
      <c r="V83" s="123">
        <f t="shared" si="113"/>
        <v>26.804123665186737</v>
      </c>
      <c r="W83" s="191">
        <v>8482800009</v>
      </c>
      <c r="X83" s="170">
        <v>0.1</v>
      </c>
      <c r="Y83" s="74">
        <f t="shared" si="99"/>
        <v>116.24</v>
      </c>
      <c r="Z83" s="188"/>
      <c r="AA83" s="130">
        <f t="shared" si="114"/>
        <v>1300.74</v>
      </c>
      <c r="AB83" s="74">
        <f t="shared" si="115"/>
        <v>1300.74</v>
      </c>
      <c r="AC83" s="356">
        <v>0.19</v>
      </c>
      <c r="AD83" s="130" cm="1">
        <f t="array" ref="AD83">IFERROR(ROUND((_xlfn.IFS(offer_sale_type="поставка",AB83,offer_sale_type="транзит",S83)*(1+AC83))/E83,2),0)</f>
        <v>1547.88</v>
      </c>
      <c r="AE83" s="74">
        <f t="shared" si="116"/>
        <v>1547.88</v>
      </c>
      <c r="AF83" s="123" cm="1">
        <f t="array" ref="AF83">IFERROR(ROUND(_xlfn.IFS(offer_sale_type="поставка",AB83,offer_sale_type="транзит",S83)*AC83,2),0)</f>
        <v>247.14</v>
      </c>
      <c r="AG83" s="130">
        <f t="shared" si="63"/>
        <v>0</v>
      </c>
      <c r="AH83" s="74">
        <f t="shared" si="100"/>
        <v>47.22326554649846</v>
      </c>
      <c r="AI83" s="123">
        <f t="shared" si="101"/>
        <v>26.228851549948637</v>
      </c>
      <c r="AJ83" s="118">
        <f t="shared" si="117"/>
        <v>1621.33</v>
      </c>
      <c r="AK83" s="74">
        <f t="shared" si="118"/>
        <v>1621.33</v>
      </c>
      <c r="AL83" s="174">
        <f t="shared" si="119"/>
        <v>1945.6</v>
      </c>
      <c r="AM83" s="175">
        <f t="shared" si="102"/>
        <v>1945.6</v>
      </c>
      <c r="AN83" s="130">
        <f t="shared" si="120"/>
        <v>324.27</v>
      </c>
      <c r="AO83" s="74">
        <f t="shared" si="103"/>
        <v>255.72608978520071</v>
      </c>
      <c r="AP83" s="123">
        <f t="shared" si="121"/>
        <v>68.543910214799268</v>
      </c>
      <c r="AQ83" s="118">
        <f t="shared" si="104"/>
        <v>0</v>
      </c>
      <c r="AR83" s="82" t="str">
        <f t="shared" si="122"/>
        <v>https://www.alta.ru/tnved/code/8482800009/</v>
      </c>
      <c r="AS83" s="157"/>
      <c r="AT83" s="162"/>
      <c r="AU83" s="74">
        <f t="shared" si="105"/>
        <v>0</v>
      </c>
      <c r="AV83" s="157"/>
      <c r="AW83" s="75">
        <f>_xlfn.IFNA(VLOOKUP(L83,list_vat[],3,FALSE),0)</f>
        <v>0.02</v>
      </c>
      <c r="AX83" s="74">
        <f t="shared" si="123"/>
        <v>1146.53</v>
      </c>
      <c r="AY83" s="74">
        <f t="shared" si="124"/>
        <v>1146.53</v>
      </c>
      <c r="AZ83" s="130">
        <f t="shared" si="125"/>
        <v>1270.1785574229689</v>
      </c>
      <c r="BA83" s="74">
        <f t="shared" si="106"/>
        <v>33.647677939679298</v>
      </c>
      <c r="BB83" s="193">
        <f t="shared" si="126"/>
        <v>0</v>
      </c>
      <c r="BC83" s="102">
        <f t="shared" si="127"/>
        <v>4.3774698956732978E-3</v>
      </c>
      <c r="BD83" s="102">
        <f t="shared" si="128"/>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7"/>
        <v>0</v>
      </c>
      <c r="J84" s="195"/>
      <c r="K84" s="162">
        <v>8011.54</v>
      </c>
      <c r="L84" s="168" t="s">
        <v>22</v>
      </c>
      <c r="M84" s="75">
        <f>_xlfn.XLOOKUP(L84,list_vat[Страна],list_vat[Ставка НДС %],0,0)</f>
        <v>0.13</v>
      </c>
      <c r="N84" s="162">
        <f t="shared" si="108"/>
        <v>8011.54</v>
      </c>
      <c r="O84" s="169"/>
      <c r="P84" s="74">
        <f t="shared" si="129"/>
        <v>8011.54</v>
      </c>
      <c r="Q84" s="162">
        <v>7.14</v>
      </c>
      <c r="R84" s="162">
        <f t="shared" si="109"/>
        <v>1122.0644257703082</v>
      </c>
      <c r="S84" s="196">
        <f t="shared" si="110"/>
        <v>1122.0644257703082</v>
      </c>
      <c r="T84" s="192">
        <f t="shared" si="111"/>
        <v>15.832406645705008</v>
      </c>
      <c r="U84" s="76">
        <f t="shared" si="112"/>
        <v>10.924325627694447</v>
      </c>
      <c r="V84" s="123">
        <f t="shared" si="113"/>
        <v>26.756732273399457</v>
      </c>
      <c r="W84" s="191">
        <v>8413308008</v>
      </c>
      <c r="X84" s="170">
        <v>0</v>
      </c>
      <c r="Y84" s="74">
        <f t="shared" si="99"/>
        <v>0</v>
      </c>
      <c r="Z84" s="188"/>
      <c r="AA84" s="130">
        <f t="shared" si="114"/>
        <v>1182.4100000000001</v>
      </c>
      <c r="AB84" s="74">
        <f t="shared" si="115"/>
        <v>1182.4100000000001</v>
      </c>
      <c r="AC84" s="356">
        <v>0.19</v>
      </c>
      <c r="AD84" s="130" cm="1">
        <f t="array" ref="AD84">IFERROR(ROUND((_xlfn.IFS(offer_sale_type="поставка",AB84,offer_sale_type="транзит",S84)*(1+AC84))/E84,2),0)</f>
        <v>1407.07</v>
      </c>
      <c r="AE84" s="74">
        <f t="shared" si="116"/>
        <v>1407.07</v>
      </c>
      <c r="AF84" s="123" cm="1">
        <f t="array" ref="AF84">IFERROR(ROUND(_xlfn.IFS(offer_sale_type="поставка",AB84,offer_sale_type="транзит",S84)*AC84,2),0)</f>
        <v>224.66</v>
      </c>
      <c r="AG84" s="130">
        <f t="shared" si="63"/>
        <v>0</v>
      </c>
      <c r="AH84" s="74">
        <f t="shared" si="100"/>
        <v>42.997574318273131</v>
      </c>
      <c r="AI84" s="123">
        <f t="shared" si="101"/>
        <v>26.182477275771245</v>
      </c>
      <c r="AJ84" s="118">
        <f t="shared" si="117"/>
        <v>1476.25</v>
      </c>
      <c r="AK84" s="74">
        <f t="shared" si="118"/>
        <v>1476.25</v>
      </c>
      <c r="AL84" s="174">
        <f t="shared" si="119"/>
        <v>1771.5</v>
      </c>
      <c r="AM84" s="175">
        <f t="shared" si="102"/>
        <v>1771.5</v>
      </c>
      <c r="AN84" s="130">
        <f t="shared" si="120"/>
        <v>295.25</v>
      </c>
      <c r="AO84" s="74">
        <f t="shared" si="103"/>
        <v>232.06848132914104</v>
      </c>
      <c r="AP84" s="123">
        <f t="shared" si="121"/>
        <v>63.181518670858964</v>
      </c>
      <c r="AQ84" s="118">
        <f t="shared" si="104"/>
        <v>0</v>
      </c>
      <c r="AR84" s="82" t="str">
        <f t="shared" si="122"/>
        <v>https://www.alta.ru/tnved/code/8413308008/</v>
      </c>
      <c r="AS84" s="157"/>
      <c r="AT84" s="162"/>
      <c r="AU84" s="74">
        <f t="shared" si="105"/>
        <v>0</v>
      </c>
      <c r="AV84" s="157"/>
      <c r="AW84" s="75">
        <f>_xlfn.IFNA(VLOOKUP(L84,list_vat[],3,FALSE),0)</f>
        <v>0.02</v>
      </c>
      <c r="AX84" s="74">
        <f t="shared" si="123"/>
        <v>1144.51</v>
      </c>
      <c r="AY84" s="74">
        <f t="shared" si="124"/>
        <v>1144.51</v>
      </c>
      <c r="AZ84" s="130">
        <f t="shared" si="125"/>
        <v>1267.9328011204482</v>
      </c>
      <c r="BA84" s="74">
        <f t="shared" si="106"/>
        <v>33.588186709602539</v>
      </c>
      <c r="BB84" s="193">
        <f t="shared" si="126"/>
        <v>0</v>
      </c>
      <c r="BC84" s="102">
        <f t="shared" si="127"/>
        <v>4.3697302510777788E-3</v>
      </c>
      <c r="BD84" s="102">
        <f t="shared" si="128"/>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7"/>
        <v>0</v>
      </c>
      <c r="J85" s="195"/>
      <c r="K85" s="162">
        <v>6972.4</v>
      </c>
      <c r="L85" s="168" t="s">
        <v>22</v>
      </c>
      <c r="M85" s="75">
        <f>_xlfn.XLOOKUP(L85,list_vat[Страна],list_vat[Ставка НДС %],0,0)</f>
        <v>0.13</v>
      </c>
      <c r="N85" s="162">
        <f t="shared" si="108"/>
        <v>6972.4</v>
      </c>
      <c r="O85" s="169"/>
      <c r="P85" s="74">
        <f t="shared" si="129"/>
        <v>6972.4</v>
      </c>
      <c r="Q85" s="162">
        <v>7.14</v>
      </c>
      <c r="R85" s="162">
        <f t="shared" si="109"/>
        <v>976.52661064425774</v>
      </c>
      <c r="S85" s="196">
        <f t="shared" si="110"/>
        <v>976.52661064425774</v>
      </c>
      <c r="T85" s="192">
        <f t="shared" si="111"/>
        <v>13.77885800938566</v>
      </c>
      <c r="U85" s="76">
        <f t="shared" si="112"/>
        <v>9.5073816028549771</v>
      </c>
      <c r="V85" s="123">
        <f t="shared" si="113"/>
        <v>23.286239612240635</v>
      </c>
      <c r="W85" s="191">
        <v>8409990009</v>
      </c>
      <c r="X85" s="170">
        <v>0.05</v>
      </c>
      <c r="Y85" s="74">
        <f t="shared" si="99"/>
        <v>50.49</v>
      </c>
      <c r="Z85" s="188"/>
      <c r="AA85" s="130">
        <f t="shared" si="114"/>
        <v>1079.53</v>
      </c>
      <c r="AB85" s="74">
        <f t="shared" si="115"/>
        <v>1079.53</v>
      </c>
      <c r="AC85" s="356">
        <v>0.19</v>
      </c>
      <c r="AD85" s="130" cm="1">
        <f t="array" ref="AD85">IFERROR(ROUND((_xlfn.IFS(offer_sale_type="поставка",AB85,offer_sale_type="транзит",S85)*(1+AC85))/E85,2),0)</f>
        <v>1284.6400000000001</v>
      </c>
      <c r="AE85" s="74">
        <f t="shared" si="116"/>
        <v>1284.6400000000001</v>
      </c>
      <c r="AF85" s="123" cm="1">
        <f t="array" ref="AF85">IFERROR(ROUND(_xlfn.IFS(offer_sale_type="поставка",AB85,offer_sale_type="транзит",S85)*AC85,2),0)</f>
        <v>205.11</v>
      </c>
      <c r="AG85" s="130">
        <f t="shared" si="63"/>
        <v>0</v>
      </c>
      <c r="AH85" s="74">
        <f t="shared" si="100"/>
        <v>39.222794057662774</v>
      </c>
      <c r="AI85" s="123">
        <f t="shared" si="101"/>
        <v>22.786468588759146</v>
      </c>
      <c r="AJ85" s="118">
        <f t="shared" si="117"/>
        <v>1346.65</v>
      </c>
      <c r="AK85" s="74">
        <f t="shared" si="118"/>
        <v>1346.65</v>
      </c>
      <c r="AL85" s="174">
        <f t="shared" si="119"/>
        <v>1615.98</v>
      </c>
      <c r="AM85" s="175">
        <f t="shared" si="102"/>
        <v>1615.98</v>
      </c>
      <c r="AN85" s="130">
        <f t="shared" si="120"/>
        <v>269.32999999999993</v>
      </c>
      <c r="AO85" s="74">
        <f t="shared" si="103"/>
        <v>212.06577160187715</v>
      </c>
      <c r="AP85" s="123">
        <f t="shared" si="121"/>
        <v>57.264228398122782</v>
      </c>
      <c r="AQ85" s="118">
        <f t="shared" si="104"/>
        <v>0</v>
      </c>
      <c r="AR85" s="82" t="str">
        <f t="shared" si="122"/>
        <v>https://www.alta.ru/tnved/code/8409990009/</v>
      </c>
      <c r="AS85" s="157"/>
      <c r="AT85" s="162"/>
      <c r="AU85" s="74">
        <f t="shared" si="105"/>
        <v>0</v>
      </c>
      <c r="AV85" s="157"/>
      <c r="AW85" s="75">
        <f>_xlfn.IFNA(VLOOKUP(L85,list_vat[],3,FALSE),0)</f>
        <v>0.02</v>
      </c>
      <c r="AX85" s="74">
        <f t="shared" si="123"/>
        <v>996.06</v>
      </c>
      <c r="AY85" s="74">
        <f t="shared" si="124"/>
        <v>996.06</v>
      </c>
      <c r="AZ85" s="130">
        <f t="shared" si="125"/>
        <v>1103.4750700280113</v>
      </c>
      <c r="BA85" s="74">
        <f t="shared" si="106"/>
        <v>29.231617518483677</v>
      </c>
      <c r="BB85" s="193">
        <f t="shared" si="126"/>
        <v>0</v>
      </c>
      <c r="BC85" s="102">
        <f t="shared" si="127"/>
        <v>3.8029526411419907E-3</v>
      </c>
      <c r="BD85" s="102">
        <f t="shared" si="128"/>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7"/>
        <v>0</v>
      </c>
      <c r="J86" s="195"/>
      <c r="K86" s="162">
        <v>8205.81</v>
      </c>
      <c r="L86" s="168" t="s">
        <v>22</v>
      </c>
      <c r="M86" s="75">
        <f>_xlfn.XLOOKUP(L86,list_vat[Страна],list_vat[Ставка НДС %],0,0)</f>
        <v>0.13</v>
      </c>
      <c r="N86" s="162">
        <f t="shared" si="108"/>
        <v>8205.81</v>
      </c>
      <c r="O86" s="169"/>
      <c r="P86" s="74">
        <f t="shared" si="129"/>
        <v>8205.81</v>
      </c>
      <c r="Q86" s="162">
        <v>7.14</v>
      </c>
      <c r="R86" s="162">
        <f t="shared" si="109"/>
        <v>1149.2731092436975</v>
      </c>
      <c r="S86" s="196">
        <f t="shared" si="110"/>
        <v>1149.2731092436975</v>
      </c>
      <c r="T86" s="192">
        <f t="shared" si="111"/>
        <v>16.216323051172758</v>
      </c>
      <c r="U86" s="76">
        <f t="shared" si="112"/>
        <v>11.189227099782483</v>
      </c>
      <c r="V86" s="123">
        <f t="shared" si="113"/>
        <v>27.405550150955243</v>
      </c>
      <c r="W86" s="191">
        <v>8482800009</v>
      </c>
      <c r="X86" s="170">
        <v>0.1</v>
      </c>
      <c r="Y86" s="74">
        <f t="shared" si="99"/>
        <v>118.85</v>
      </c>
      <c r="Z86" s="188"/>
      <c r="AA86" s="130">
        <f t="shared" si="114"/>
        <v>1329.93</v>
      </c>
      <c r="AB86" s="74">
        <f t="shared" si="115"/>
        <v>1329.93</v>
      </c>
      <c r="AC86" s="356">
        <v>0.19</v>
      </c>
      <c r="AD86" s="130" cm="1">
        <f t="array" ref="AD86">IFERROR(ROUND((_xlfn.IFS(offer_sale_type="поставка",AB86,offer_sale_type="транзит",S86)*(1+AC86))/E86,2),0)</f>
        <v>1582.62</v>
      </c>
      <c r="AE86" s="74">
        <f t="shared" si="116"/>
        <v>1582.62</v>
      </c>
      <c r="AF86" s="123" cm="1">
        <f t="array" ref="AF86">IFERROR(ROUND(_xlfn.IFS(offer_sale_type="поставка",AB86,offer_sale_type="транзит",S86)*AC86,2),0)</f>
        <v>252.69</v>
      </c>
      <c r="AG86" s="130">
        <f t="shared" si="63"/>
        <v>0</v>
      </c>
      <c r="AH86" s="74">
        <f t="shared" si="100"/>
        <v>48.283121105259269</v>
      </c>
      <c r="AI86" s="123">
        <f t="shared" si="101"/>
        <v>26.817370175309172</v>
      </c>
      <c r="AJ86" s="118">
        <f t="shared" si="117"/>
        <v>1657.72</v>
      </c>
      <c r="AK86" s="74">
        <f t="shared" si="118"/>
        <v>1657.72</v>
      </c>
      <c r="AL86" s="174">
        <f t="shared" si="119"/>
        <v>1989.26</v>
      </c>
      <c r="AM86" s="175">
        <f t="shared" si="102"/>
        <v>1989.26</v>
      </c>
      <c r="AN86" s="130">
        <f t="shared" si="120"/>
        <v>331.53999999999996</v>
      </c>
      <c r="AO86" s="74">
        <f t="shared" si="103"/>
        <v>261.46526461023456</v>
      </c>
      <c r="AP86" s="123">
        <f t="shared" si="121"/>
        <v>70.074735389765408</v>
      </c>
      <c r="AQ86" s="118">
        <f t="shared" si="104"/>
        <v>0</v>
      </c>
      <c r="AR86" s="82" t="str">
        <f t="shared" si="122"/>
        <v>https://www.alta.ru/tnved/code/8482800009/</v>
      </c>
      <c r="AS86" s="157"/>
      <c r="AT86" s="162"/>
      <c r="AU86" s="74">
        <f t="shared" si="105"/>
        <v>0</v>
      </c>
      <c r="AV86" s="157"/>
      <c r="AW86" s="75">
        <f>_xlfn.IFNA(VLOOKUP(L86,list_vat[],3,FALSE),0)</f>
        <v>0.02</v>
      </c>
      <c r="AX86" s="74">
        <f t="shared" si="123"/>
        <v>1172.26</v>
      </c>
      <c r="AY86" s="74">
        <f t="shared" si="124"/>
        <v>1172.26</v>
      </c>
      <c r="AZ86" s="130">
        <f t="shared" si="125"/>
        <v>1298.678613445378</v>
      </c>
      <c r="BA86" s="74">
        <f t="shared" si="106"/>
        <v>34.4026589623872</v>
      </c>
      <c r="BB86" s="193">
        <f t="shared" si="126"/>
        <v>0</v>
      </c>
      <c r="BC86" s="102">
        <f t="shared" si="127"/>
        <v>4.4756908399129934E-3</v>
      </c>
      <c r="BD86" s="102">
        <f t="shared" si="128"/>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7"/>
        <v>0</v>
      </c>
      <c r="J87" s="195"/>
      <c r="K87" s="162">
        <v>7874.52</v>
      </c>
      <c r="L87" s="168" t="s">
        <v>22</v>
      </c>
      <c r="M87" s="75">
        <f>_xlfn.XLOOKUP(L87,list_vat[Страна],list_vat[Ставка НДС %],0,0)</f>
        <v>0.13</v>
      </c>
      <c r="N87" s="162">
        <f t="shared" si="108"/>
        <v>7874.52</v>
      </c>
      <c r="O87" s="169"/>
      <c r="P87" s="74">
        <f t="shared" si="129"/>
        <v>7874.52</v>
      </c>
      <c r="Q87" s="162">
        <v>7.14</v>
      </c>
      <c r="R87" s="162">
        <f t="shared" si="109"/>
        <v>1102.873949579832</v>
      </c>
      <c r="S87" s="196">
        <f t="shared" si="110"/>
        <v>1102.873949579832</v>
      </c>
      <c r="T87" s="192">
        <f t="shared" si="111"/>
        <v>15.561627699510581</v>
      </c>
      <c r="U87" s="76">
        <f t="shared" si="112"/>
        <v>10.737488752698292</v>
      </c>
      <c r="V87" s="123">
        <f t="shared" si="113"/>
        <v>26.299116452208871</v>
      </c>
      <c r="W87" s="191">
        <v>8409990009</v>
      </c>
      <c r="X87" s="170">
        <v>0.05</v>
      </c>
      <c r="Y87" s="74">
        <f t="shared" si="99"/>
        <v>57.02</v>
      </c>
      <c r="Z87" s="188"/>
      <c r="AA87" s="130">
        <f t="shared" si="114"/>
        <v>1219.21</v>
      </c>
      <c r="AB87" s="74">
        <f t="shared" si="115"/>
        <v>1219.21</v>
      </c>
      <c r="AC87" s="356">
        <v>0.19</v>
      </c>
      <c r="AD87" s="130" cm="1">
        <f t="array" ref="AD87">IFERROR(ROUND((_xlfn.IFS(offer_sale_type="поставка",AB87,offer_sale_type="транзит",S87)*(1+AC87))/E87,2),0)</f>
        <v>1450.86</v>
      </c>
      <c r="AE87" s="74">
        <f t="shared" si="116"/>
        <v>1450.86</v>
      </c>
      <c r="AF87" s="123" cm="1">
        <f t="array" ref="AF87">IFERROR(ROUND(_xlfn.IFS(offer_sale_type="поставка",AB87,offer_sale_type="транзит",S87)*AC87,2),0)</f>
        <v>231.65</v>
      </c>
      <c r="AG87" s="130">
        <f t="shared" si="63"/>
        <v>0</v>
      </c>
      <c r="AH87" s="74">
        <f t="shared" si="100"/>
        <v>44.297840485191131</v>
      </c>
      <c r="AI87" s="123">
        <f t="shared" si="101"/>
        <v>25.734682839704497</v>
      </c>
      <c r="AJ87" s="118">
        <f t="shared" si="117"/>
        <v>1520.89</v>
      </c>
      <c r="AK87" s="74">
        <f t="shared" si="118"/>
        <v>1520.89</v>
      </c>
      <c r="AL87" s="174">
        <f t="shared" si="119"/>
        <v>1825.07</v>
      </c>
      <c r="AM87" s="175">
        <f t="shared" si="102"/>
        <v>1825.07</v>
      </c>
      <c r="AN87" s="130">
        <f t="shared" si="120"/>
        <v>304.17999999999984</v>
      </c>
      <c r="AO87" s="74">
        <f t="shared" si="103"/>
        <v>239.50232553990213</v>
      </c>
      <c r="AP87" s="123">
        <f t="shared" si="121"/>
        <v>64.677674460097705</v>
      </c>
      <c r="AQ87" s="118">
        <f t="shared" si="104"/>
        <v>0</v>
      </c>
      <c r="AR87" s="82" t="str">
        <f t="shared" si="122"/>
        <v>https://www.alta.ru/tnved/code/8409990009/</v>
      </c>
      <c r="AS87" s="157"/>
      <c r="AT87" s="162"/>
      <c r="AU87" s="74">
        <f t="shared" si="105"/>
        <v>0</v>
      </c>
      <c r="AV87" s="157"/>
      <c r="AW87" s="75">
        <f>_xlfn.IFNA(VLOOKUP(L87,list_vat[],3,FALSE),0)</f>
        <v>0.02</v>
      </c>
      <c r="AX87" s="74">
        <f t="shared" si="123"/>
        <v>1124.93</v>
      </c>
      <c r="AY87" s="74">
        <f t="shared" si="124"/>
        <v>1124.93</v>
      </c>
      <c r="AZ87" s="130">
        <f t="shared" si="125"/>
        <v>1246.24756302521</v>
      </c>
      <c r="BA87" s="74">
        <f t="shared" si="106"/>
        <v>33.013733690214288</v>
      </c>
      <c r="BB87" s="193">
        <f t="shared" si="126"/>
        <v>0</v>
      </c>
      <c r="BC87" s="102">
        <f t="shared" si="127"/>
        <v>4.2949955010793172E-3</v>
      </c>
      <c r="BD87" s="102">
        <f t="shared" si="128"/>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7"/>
        <v>0</v>
      </c>
      <c r="J88" s="195"/>
      <c r="K88" s="162">
        <v>7582.54</v>
      </c>
      <c r="L88" s="168" t="s">
        <v>22</v>
      </c>
      <c r="M88" s="75">
        <f>_xlfn.XLOOKUP(L88,list_vat[Страна],list_vat[Ставка НДС %],0,0)</f>
        <v>0.13</v>
      </c>
      <c r="N88" s="162">
        <f t="shared" si="108"/>
        <v>7582.54</v>
      </c>
      <c r="O88" s="169"/>
      <c r="P88" s="74">
        <f t="shared" si="129"/>
        <v>7582.54</v>
      </c>
      <c r="Q88" s="162">
        <v>7.14</v>
      </c>
      <c r="R88" s="162">
        <f t="shared" si="109"/>
        <v>1061.9803921568628</v>
      </c>
      <c r="S88" s="196">
        <f t="shared" si="110"/>
        <v>1061.9803921568628</v>
      </c>
      <c r="T88" s="192">
        <f t="shared" si="111"/>
        <v>14.984616776215812</v>
      </c>
      <c r="U88" s="76">
        <f t="shared" si="112"/>
        <v>10.339352489660945</v>
      </c>
      <c r="V88" s="123">
        <f t="shared" si="113"/>
        <v>25.323969265876755</v>
      </c>
      <c r="W88" s="191">
        <v>8413308008</v>
      </c>
      <c r="X88" s="170">
        <v>0</v>
      </c>
      <c r="Y88" s="74">
        <f t="shared" si="99"/>
        <v>0</v>
      </c>
      <c r="Z88" s="188"/>
      <c r="AA88" s="130">
        <f t="shared" si="114"/>
        <v>1119.0899999999999</v>
      </c>
      <c r="AB88" s="74">
        <f t="shared" si="115"/>
        <v>1119.0899999999999</v>
      </c>
      <c r="AC88" s="356">
        <v>0.19</v>
      </c>
      <c r="AD88" s="130" cm="1">
        <f t="array" ref="AD88">IFERROR(ROUND((_xlfn.IFS(offer_sale_type="поставка",AB88,offer_sale_type="транзит",S88)*(1+AC88))/E88,2),0)</f>
        <v>1331.72</v>
      </c>
      <c r="AE88" s="74">
        <f t="shared" si="116"/>
        <v>1331.72</v>
      </c>
      <c r="AF88" s="123" cm="1">
        <f t="array" ref="AF88">IFERROR(ROUND(_xlfn.IFS(offer_sale_type="поставка",AB88,offer_sale_type="транзит",S88)*AC88,2),0)</f>
        <v>212.63</v>
      </c>
      <c r="AG88" s="130">
        <f t="shared" si="63"/>
        <v>0</v>
      </c>
      <c r="AH88" s="74">
        <f t="shared" si="100"/>
        <v>40.695013930065727</v>
      </c>
      <c r="AI88" s="123">
        <f t="shared" si="101"/>
        <v>24.780464335524311</v>
      </c>
      <c r="AJ88" s="118">
        <f t="shared" si="117"/>
        <v>1397.2</v>
      </c>
      <c r="AK88" s="74">
        <f t="shared" si="118"/>
        <v>1397.2</v>
      </c>
      <c r="AL88" s="174">
        <f t="shared" si="119"/>
        <v>1676.64</v>
      </c>
      <c r="AM88" s="175">
        <f t="shared" si="102"/>
        <v>1676.64</v>
      </c>
      <c r="AN88" s="130">
        <f t="shared" si="120"/>
        <v>279.44000000000005</v>
      </c>
      <c r="AO88" s="74">
        <f t="shared" si="103"/>
        <v>219.64092335524316</v>
      </c>
      <c r="AP88" s="123">
        <f t="shared" si="121"/>
        <v>59.799076644756894</v>
      </c>
      <c r="AQ88" s="118">
        <f t="shared" si="104"/>
        <v>0</v>
      </c>
      <c r="AR88" s="82" t="str">
        <f t="shared" si="122"/>
        <v>https://www.alta.ru/tnved/code/8413308008/</v>
      </c>
      <c r="AS88" s="157"/>
      <c r="AT88" s="162"/>
      <c r="AU88" s="74">
        <f t="shared" si="105"/>
        <v>0</v>
      </c>
      <c r="AV88" s="157"/>
      <c r="AW88" s="75">
        <f>_xlfn.IFNA(VLOOKUP(L88,list_vat[],3,FALSE),0)</f>
        <v>0.02</v>
      </c>
      <c r="AX88" s="74">
        <f t="shared" si="123"/>
        <v>1083.22</v>
      </c>
      <c r="AY88" s="74">
        <f t="shared" si="124"/>
        <v>1083.22</v>
      </c>
      <c r="AZ88" s="130">
        <f t="shared" si="125"/>
        <v>1200.0378431372549</v>
      </c>
      <c r="BA88" s="74">
        <f t="shared" si="106"/>
        <v>31.789614637514084</v>
      </c>
      <c r="BB88" s="193">
        <f t="shared" si="126"/>
        <v>0</v>
      </c>
      <c r="BC88" s="102">
        <f t="shared" si="127"/>
        <v>4.1357409958643777E-3</v>
      </c>
      <c r="BD88" s="102">
        <f t="shared" si="128"/>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7"/>
        <v>0</v>
      </c>
      <c r="J89" s="195"/>
      <c r="K89" s="162">
        <v>6459.62</v>
      </c>
      <c r="L89" s="168" t="s">
        <v>22</v>
      </c>
      <c r="M89" s="75">
        <f>_xlfn.XLOOKUP(L89,list_vat[Страна],list_vat[Ставка НДС %],0,0)</f>
        <v>0.13</v>
      </c>
      <c r="N89" s="162">
        <f t="shared" si="108"/>
        <v>6459.62</v>
      </c>
      <c r="O89" s="169"/>
      <c r="P89" s="74">
        <f t="shared" si="129"/>
        <v>6459.62</v>
      </c>
      <c r="Q89" s="162">
        <v>7.14</v>
      </c>
      <c r="R89" s="162">
        <f t="shared" si="109"/>
        <v>904.70868347338933</v>
      </c>
      <c r="S89" s="196">
        <f t="shared" si="110"/>
        <v>904.70868347338933</v>
      </c>
      <c r="T89" s="192">
        <f t="shared" si="111"/>
        <v>12.765502090325827</v>
      </c>
      <c r="U89" s="76">
        <f t="shared" si="112"/>
        <v>8.8081682561864003</v>
      </c>
      <c r="V89" s="123">
        <f t="shared" si="113"/>
        <v>21.573670346512227</v>
      </c>
      <c r="W89" s="191">
        <v>8484900000</v>
      </c>
      <c r="X89" s="170">
        <v>0</v>
      </c>
      <c r="Y89" s="74">
        <f t="shared" si="99"/>
        <v>0</v>
      </c>
      <c r="Z89" s="188"/>
      <c r="AA89" s="130">
        <f t="shared" si="114"/>
        <v>953.36</v>
      </c>
      <c r="AB89" s="74">
        <f t="shared" si="115"/>
        <v>953.36</v>
      </c>
      <c r="AC89" s="356">
        <v>0.19</v>
      </c>
      <c r="AD89" s="130" cm="1">
        <f t="array" ref="AD89">IFERROR(ROUND((_xlfn.IFS(offer_sale_type="поставка",AB89,offer_sale_type="транзит",S89)*(1+AC89))/E89,2),0)</f>
        <v>1134.5</v>
      </c>
      <c r="AE89" s="74">
        <f t="shared" si="116"/>
        <v>1134.5</v>
      </c>
      <c r="AF89" s="123" cm="1">
        <f t="array" ref="AF89">IFERROR(ROUND(_xlfn.IFS(offer_sale_type="поставка",AB89,offer_sale_type="транзит",S89)*AC89,2),0)</f>
        <v>181.14</v>
      </c>
      <c r="AG89" s="130">
        <f t="shared" si="63"/>
        <v>0</v>
      </c>
      <c r="AH89" s="74">
        <f t="shared" si="100"/>
        <v>34.668319638397051</v>
      </c>
      <c r="AI89" s="123">
        <f t="shared" si="101"/>
        <v>21.110654613235084</v>
      </c>
      <c r="AJ89" s="118">
        <f t="shared" si="117"/>
        <v>1190.28</v>
      </c>
      <c r="AK89" s="74">
        <f t="shared" si="118"/>
        <v>1190.28</v>
      </c>
      <c r="AL89" s="174">
        <f t="shared" si="119"/>
        <v>1428.34</v>
      </c>
      <c r="AM89" s="175">
        <f t="shared" si="102"/>
        <v>1428.34</v>
      </c>
      <c r="AN89" s="130">
        <f t="shared" si="120"/>
        <v>238.05999999999995</v>
      </c>
      <c r="AO89" s="74">
        <f t="shared" si="103"/>
        <v>187.11310041806519</v>
      </c>
      <c r="AP89" s="123">
        <f t="shared" si="121"/>
        <v>50.946899581934758</v>
      </c>
      <c r="AQ89" s="118">
        <f t="shared" si="104"/>
        <v>0</v>
      </c>
      <c r="AR89" s="82" t="str">
        <f t="shared" si="122"/>
        <v>https://www.alta.ru/tnved/code/8484900000/</v>
      </c>
      <c r="AS89" s="157"/>
      <c r="AT89" s="162"/>
      <c r="AU89" s="74">
        <f t="shared" si="105"/>
        <v>0</v>
      </c>
      <c r="AV89" s="157"/>
      <c r="AW89" s="75">
        <f>_xlfn.IFNA(VLOOKUP(L89,list_vat[],3,FALSE),0)</f>
        <v>0.02</v>
      </c>
      <c r="AX89" s="74">
        <f t="shared" si="123"/>
        <v>922.8</v>
      </c>
      <c r="AY89" s="74">
        <f t="shared" si="124"/>
        <v>922.8</v>
      </c>
      <c r="AZ89" s="130">
        <f t="shared" si="125"/>
        <v>1022.3208123249299</v>
      </c>
      <c r="BA89" s="74">
        <f t="shared" si="106"/>
        <v>27.081799832876417</v>
      </c>
      <c r="BB89" s="193">
        <f t="shared" si="126"/>
        <v>0</v>
      </c>
      <c r="BC89" s="102">
        <f t="shared" si="127"/>
        <v>3.5232673024745602E-3</v>
      </c>
      <c r="BD89" s="102">
        <f t="shared" si="128"/>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7"/>
        <v>0</v>
      </c>
      <c r="J90" s="195"/>
      <c r="K90" s="162">
        <v>7886.03</v>
      </c>
      <c r="L90" s="168" t="s">
        <v>22</v>
      </c>
      <c r="M90" s="75">
        <f>_xlfn.XLOOKUP(L90,list_vat[Страна],list_vat[Ставка НДС %],0,0)</f>
        <v>0.13</v>
      </c>
      <c r="N90" s="162">
        <f t="shared" si="108"/>
        <v>7886.03</v>
      </c>
      <c r="O90" s="169"/>
      <c r="P90" s="74">
        <f t="shared" si="129"/>
        <v>7886.03</v>
      </c>
      <c r="Q90" s="162">
        <v>7.14</v>
      </c>
      <c r="R90" s="162">
        <f t="shared" si="109"/>
        <v>1104.4859943977592</v>
      </c>
      <c r="S90" s="196">
        <f t="shared" si="110"/>
        <v>1104.4859943977592</v>
      </c>
      <c r="T90" s="192">
        <f t="shared" si="111"/>
        <v>15.584373763374963</v>
      </c>
      <c r="U90" s="76">
        <f t="shared" si="112"/>
        <v>10.753183486541568</v>
      </c>
      <c r="V90" s="123">
        <f t="shared" si="113"/>
        <v>26.337557249916529</v>
      </c>
      <c r="W90" s="191">
        <v>8482500009</v>
      </c>
      <c r="X90" s="170">
        <v>0.1</v>
      </c>
      <c r="Y90" s="74">
        <f t="shared" si="99"/>
        <v>114.22</v>
      </c>
      <c r="Z90" s="188"/>
      <c r="AA90" s="130">
        <f t="shared" si="114"/>
        <v>1278.1099999999999</v>
      </c>
      <c r="AB90" s="74">
        <f t="shared" si="115"/>
        <v>1278.1099999999999</v>
      </c>
      <c r="AC90" s="356">
        <v>0.19</v>
      </c>
      <c r="AD90" s="130" cm="1">
        <f t="array" ref="AD90">IFERROR(ROUND((_xlfn.IFS(offer_sale_type="поставка",AB90,offer_sale_type="транзит",S90)*(1+AC90))/E90,2),0)</f>
        <v>1520.95</v>
      </c>
      <c r="AE90" s="74">
        <f t="shared" si="116"/>
        <v>1520.95</v>
      </c>
      <c r="AF90" s="123" cm="1">
        <f t="array" ref="AF90">IFERROR(ROUND(_xlfn.IFS(offer_sale_type="поставка",AB90,offer_sale_type="транзит",S90)*AC90,2),0)</f>
        <v>242.84</v>
      </c>
      <c r="AG90" s="130">
        <f t="shared" si="63"/>
        <v>0</v>
      </c>
      <c r="AH90" s="74">
        <f t="shared" si="100"/>
        <v>46.401668958543745</v>
      </c>
      <c r="AI90" s="123">
        <f t="shared" si="101"/>
        <v>25.772298618124641</v>
      </c>
      <c r="AJ90" s="118">
        <f t="shared" si="117"/>
        <v>1593.12</v>
      </c>
      <c r="AK90" s="74">
        <f t="shared" si="118"/>
        <v>1593.12</v>
      </c>
      <c r="AL90" s="174">
        <f t="shared" si="119"/>
        <v>1911.74</v>
      </c>
      <c r="AM90" s="175">
        <f t="shared" si="102"/>
        <v>1911.74</v>
      </c>
      <c r="AN90" s="130">
        <f t="shared" si="120"/>
        <v>318.62000000000012</v>
      </c>
      <c r="AO90" s="74">
        <f t="shared" si="103"/>
        <v>251.27687475267498</v>
      </c>
      <c r="AP90" s="123">
        <f t="shared" si="121"/>
        <v>67.343125247325133</v>
      </c>
      <c r="AQ90" s="118">
        <f t="shared" si="104"/>
        <v>0</v>
      </c>
      <c r="AR90" s="82" t="str">
        <f t="shared" si="122"/>
        <v>https://www.alta.ru/tnved/code/8482500009/</v>
      </c>
      <c r="AS90" s="157"/>
      <c r="AT90" s="162"/>
      <c r="AU90" s="74">
        <f t="shared" si="105"/>
        <v>0</v>
      </c>
      <c r="AV90" s="157"/>
      <c r="AW90" s="75">
        <f>_xlfn.IFNA(VLOOKUP(L90,list_vat[],3,FALSE),0)</f>
        <v>0.02</v>
      </c>
      <c r="AX90" s="74">
        <f t="shared" si="123"/>
        <v>1126.58</v>
      </c>
      <c r="AY90" s="74">
        <f t="shared" si="124"/>
        <v>1126.58</v>
      </c>
      <c r="AZ90" s="130">
        <f t="shared" si="125"/>
        <v>1248.0691736694678</v>
      </c>
      <c r="BA90" s="74">
        <f t="shared" si="106"/>
        <v>33.061989085435115</v>
      </c>
      <c r="BB90" s="193">
        <f t="shared" si="126"/>
        <v>0</v>
      </c>
      <c r="BC90" s="102">
        <f t="shared" si="127"/>
        <v>4.3012733946166271E-3</v>
      </c>
      <c r="BD90" s="102">
        <f t="shared" si="128"/>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7"/>
        <v>0</v>
      </c>
      <c r="J91" s="195"/>
      <c r="K91" s="162">
        <v>10806.97</v>
      </c>
      <c r="L91" s="168" t="s">
        <v>22</v>
      </c>
      <c r="M91" s="75">
        <f>_xlfn.XLOOKUP(L91,list_vat[Страна],list_vat[Ставка НДС %],0,0)</f>
        <v>0.13</v>
      </c>
      <c r="N91" s="162">
        <f t="shared" si="108"/>
        <v>10806.97</v>
      </c>
      <c r="O91" s="169"/>
      <c r="P91" s="74">
        <f t="shared" si="129"/>
        <v>10806.97</v>
      </c>
      <c r="Q91" s="162">
        <v>7.14</v>
      </c>
      <c r="R91" s="162">
        <f t="shared" si="109"/>
        <v>1513.5812324929973</v>
      </c>
      <c r="S91" s="196">
        <f t="shared" si="110"/>
        <v>1513.5812324929973</v>
      </c>
      <c r="T91" s="192">
        <f t="shared" si="111"/>
        <v>21.356735864507275</v>
      </c>
      <c r="U91" s="76">
        <f t="shared" si="112"/>
        <v>14.73610059098813</v>
      </c>
      <c r="V91" s="123">
        <f t="shared" si="113"/>
        <v>36.092836455495402</v>
      </c>
      <c r="W91" s="191">
        <v>8484900000</v>
      </c>
      <c r="X91" s="170">
        <v>0</v>
      </c>
      <c r="Y91" s="74">
        <f t="shared" si="99"/>
        <v>0</v>
      </c>
      <c r="Z91" s="188"/>
      <c r="AA91" s="130">
        <f t="shared" si="114"/>
        <v>1594.98</v>
      </c>
      <c r="AB91" s="74">
        <f t="shared" si="115"/>
        <v>1594.98</v>
      </c>
      <c r="AC91" s="356">
        <v>0.19</v>
      </c>
      <c r="AD91" s="130" cm="1">
        <f t="array" ref="AD91">IFERROR(ROUND((_xlfn.IFS(offer_sale_type="поставка",AB91,offer_sale_type="транзит",S91)*(1+AC91))/E91,2),0)</f>
        <v>1898.03</v>
      </c>
      <c r="AE91" s="74">
        <f t="shared" si="116"/>
        <v>1898.03</v>
      </c>
      <c r="AF91" s="123" cm="1">
        <f t="array" ref="AF91">IFERROR(ROUND(_xlfn.IFS(offer_sale_type="поставка",AB91,offer_sale_type="транзит",S91)*AC91,2),0)</f>
        <v>303.05</v>
      </c>
      <c r="AG91" s="130">
        <f t="shared" si="63"/>
        <v>0</v>
      </c>
      <c r="AH91" s="74">
        <f t="shared" si="100"/>
        <v>58.000446278661556</v>
      </c>
      <c r="AI91" s="123">
        <f t="shared" si="101"/>
        <v>35.31820928871872</v>
      </c>
      <c r="AJ91" s="118">
        <f t="shared" si="117"/>
        <v>1991.35</v>
      </c>
      <c r="AK91" s="74">
        <f t="shared" si="118"/>
        <v>1991.35</v>
      </c>
      <c r="AL91" s="174">
        <f t="shared" si="119"/>
        <v>2389.62</v>
      </c>
      <c r="AM91" s="175">
        <f t="shared" si="102"/>
        <v>2389.62</v>
      </c>
      <c r="AN91" s="130">
        <f t="shared" si="120"/>
        <v>398.27</v>
      </c>
      <c r="AO91" s="74">
        <f t="shared" si="103"/>
        <v>313.04134717290145</v>
      </c>
      <c r="AP91" s="123">
        <f t="shared" si="121"/>
        <v>85.228652827098529</v>
      </c>
      <c r="AQ91" s="118">
        <f t="shared" si="104"/>
        <v>0</v>
      </c>
      <c r="AR91" s="82" t="str">
        <f t="shared" si="122"/>
        <v>https://www.alta.ru/tnved/code/8484900000/</v>
      </c>
      <c r="AS91" s="157"/>
      <c r="AT91" s="162"/>
      <c r="AU91" s="74">
        <f t="shared" si="105"/>
        <v>0</v>
      </c>
      <c r="AV91" s="157"/>
      <c r="AW91" s="75">
        <f>_xlfn.IFNA(VLOOKUP(L91,list_vat[],3,FALSE),0)</f>
        <v>0.02</v>
      </c>
      <c r="AX91" s="74">
        <f t="shared" si="123"/>
        <v>1543.85</v>
      </c>
      <c r="AY91" s="74">
        <f t="shared" si="124"/>
        <v>1543.85</v>
      </c>
      <c r="AZ91" s="130">
        <f t="shared" si="125"/>
        <v>1710.3467927170868</v>
      </c>
      <c r="BA91" s="74">
        <f t="shared" si="106"/>
        <v>45.307959034726572</v>
      </c>
      <c r="BB91" s="193">
        <f t="shared" si="126"/>
        <v>0</v>
      </c>
      <c r="BC91" s="102">
        <f t="shared" si="127"/>
        <v>5.8944402363952523E-3</v>
      </c>
      <c r="BD91" s="102">
        <f t="shared" si="128"/>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7"/>
        <v>0</v>
      </c>
      <c r="J92" s="195"/>
      <c r="K92" s="162">
        <v>8292.0499999999993</v>
      </c>
      <c r="L92" s="168" t="s">
        <v>22</v>
      </c>
      <c r="M92" s="75">
        <f>_xlfn.XLOOKUP(L92,list_vat[Страна],list_vat[Ставка НДС %],0,0)</f>
        <v>0.13</v>
      </c>
      <c r="N92" s="162">
        <f t="shared" si="108"/>
        <v>8292.0499999999993</v>
      </c>
      <c r="O92" s="169"/>
      <c r="P92" s="74">
        <f t="shared" si="129"/>
        <v>8292.0499999999993</v>
      </c>
      <c r="Q92" s="162">
        <v>7.14</v>
      </c>
      <c r="R92" s="162">
        <f t="shared" si="109"/>
        <v>1161.3515406162464</v>
      </c>
      <c r="S92" s="196">
        <f t="shared" si="110"/>
        <v>1161.3515406162464</v>
      </c>
      <c r="T92" s="192">
        <f t="shared" si="111"/>
        <v>16.386750553141866</v>
      </c>
      <c r="U92" s="76">
        <f t="shared" si="112"/>
        <v>11.30682169983845</v>
      </c>
      <c r="V92" s="123">
        <f t="shared" si="113"/>
        <v>27.693572252980317</v>
      </c>
      <c r="W92" s="191">
        <v>8409990009</v>
      </c>
      <c r="X92" s="170">
        <v>0.05</v>
      </c>
      <c r="Y92" s="74">
        <f t="shared" si="99"/>
        <v>60.05</v>
      </c>
      <c r="Z92" s="188"/>
      <c r="AA92" s="130">
        <f t="shared" si="114"/>
        <v>1283.8599999999999</v>
      </c>
      <c r="AB92" s="74">
        <f t="shared" si="115"/>
        <v>1283.8599999999999</v>
      </c>
      <c r="AC92" s="356">
        <v>0.19</v>
      </c>
      <c r="AD92" s="130" cm="1">
        <f t="array" ref="AD92">IFERROR(ROUND((_xlfn.IFS(offer_sale_type="поставка",AB92,offer_sale_type="транзит",S92)*(1+AC92))/E92,2),0)</f>
        <v>1527.79</v>
      </c>
      <c r="AE92" s="74">
        <f t="shared" si="116"/>
        <v>1527.79</v>
      </c>
      <c r="AF92" s="123" cm="1">
        <f t="array" ref="AF92">IFERROR(ROUND(_xlfn.IFS(offer_sale_type="поставка",AB92,offer_sale_type="транзит",S92)*AC92,2),0)</f>
        <v>243.93</v>
      </c>
      <c r="AG92" s="130">
        <f t="shared" si="63"/>
        <v>0</v>
      </c>
      <c r="AH92" s="74">
        <f t="shared" si="100"/>
        <v>46.646676321760452</v>
      </c>
      <c r="AI92" s="123">
        <f t="shared" si="101"/>
        <v>27.099210725348545</v>
      </c>
      <c r="AJ92" s="118">
        <f t="shared" si="117"/>
        <v>1601.54</v>
      </c>
      <c r="AK92" s="74">
        <f t="shared" si="118"/>
        <v>1601.54</v>
      </c>
      <c r="AL92" s="174">
        <f t="shared" si="119"/>
        <v>1921.85</v>
      </c>
      <c r="AM92" s="175">
        <f t="shared" si="102"/>
        <v>1921.85</v>
      </c>
      <c r="AN92" s="130">
        <f t="shared" si="120"/>
        <v>320.30999999999995</v>
      </c>
      <c r="AO92" s="74">
        <f t="shared" si="103"/>
        <v>252.20335011062835</v>
      </c>
      <c r="AP92" s="123">
        <f t="shared" si="121"/>
        <v>68.106649889371596</v>
      </c>
      <c r="AQ92" s="118">
        <f t="shared" si="104"/>
        <v>0</v>
      </c>
      <c r="AR92" s="82" t="str">
        <f t="shared" si="122"/>
        <v>https://www.alta.ru/tnved/code/8409990009/</v>
      </c>
      <c r="AS92" s="157"/>
      <c r="AT92" s="162"/>
      <c r="AU92" s="74">
        <f t="shared" si="105"/>
        <v>0</v>
      </c>
      <c r="AV92" s="157"/>
      <c r="AW92" s="75">
        <f>_xlfn.IFNA(VLOOKUP(L92,list_vat[],3,FALSE),0)</f>
        <v>0.02</v>
      </c>
      <c r="AX92" s="74">
        <f t="shared" si="123"/>
        <v>1184.58</v>
      </c>
      <c r="AY92" s="74">
        <f t="shared" si="124"/>
        <v>1184.58</v>
      </c>
      <c r="AZ92" s="130">
        <f t="shared" si="125"/>
        <v>1312.3272408963583</v>
      </c>
      <c r="BA92" s="74">
        <f t="shared" si="106"/>
        <v>34.764218066109599</v>
      </c>
      <c r="BB92" s="193">
        <f t="shared" si="126"/>
        <v>0</v>
      </c>
      <c r="BC92" s="102">
        <f t="shared" si="127"/>
        <v>4.5227286799353799E-3</v>
      </c>
      <c r="BD92" s="102">
        <f t="shared" si="128"/>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7"/>
        <v>0</v>
      </c>
      <c r="J93" s="195"/>
      <c r="K93" s="162">
        <v>7977.61</v>
      </c>
      <c r="L93" s="168" t="s">
        <v>22</v>
      </c>
      <c r="M93" s="75">
        <f>_xlfn.XLOOKUP(L93,list_vat[Страна],list_vat[Ставка НДС %],0,0)</f>
        <v>0.13</v>
      </c>
      <c r="N93" s="162">
        <f t="shared" si="108"/>
        <v>7977.61</v>
      </c>
      <c r="O93" s="169"/>
      <c r="P93" s="74">
        <f t="shared" si="129"/>
        <v>7977.61</v>
      </c>
      <c r="Q93" s="162">
        <v>7.14</v>
      </c>
      <c r="R93" s="162">
        <f t="shared" si="109"/>
        <v>1117.312324929972</v>
      </c>
      <c r="S93" s="196">
        <f t="shared" si="110"/>
        <v>1117.312324929972</v>
      </c>
      <c r="T93" s="192">
        <f t="shared" si="111"/>
        <v>15.765354174209042</v>
      </c>
      <c r="U93" s="76">
        <f t="shared" si="112"/>
        <v>10.878059570413614</v>
      </c>
      <c r="V93" s="123">
        <f t="shared" si="113"/>
        <v>26.643413744622656</v>
      </c>
      <c r="W93" s="191">
        <v>8413308008</v>
      </c>
      <c r="X93" s="170">
        <v>0</v>
      </c>
      <c r="Y93" s="74">
        <f t="shared" si="99"/>
        <v>0</v>
      </c>
      <c r="Z93" s="188"/>
      <c r="AA93" s="130">
        <f t="shared" si="114"/>
        <v>1177.4000000000001</v>
      </c>
      <c r="AB93" s="74">
        <f t="shared" si="115"/>
        <v>1177.4000000000001</v>
      </c>
      <c r="AC93" s="356">
        <v>0.19</v>
      </c>
      <c r="AD93" s="130" cm="1">
        <f t="array" ref="AD93">IFERROR(ROUND((_xlfn.IFS(offer_sale_type="поставка",AB93,offer_sale_type="транзит",S93)*(1+AC93))/E93,2),0)</f>
        <v>1401.11</v>
      </c>
      <c r="AE93" s="74">
        <f t="shared" si="116"/>
        <v>1401.11</v>
      </c>
      <c r="AF93" s="123" cm="1">
        <f t="array" ref="AF93">IFERROR(ROUND(_xlfn.IFS(offer_sale_type="поставка",AB93,offer_sale_type="транзит",S93)*AC93,2),0)</f>
        <v>223.71</v>
      </c>
      <c r="AG93" s="130">
        <f t="shared" si="63"/>
        <v>0</v>
      </c>
      <c r="AH93" s="74">
        <f t="shared" si="100"/>
        <v>42.81544772393309</v>
      </c>
      <c r="AI93" s="123">
        <f t="shared" si="101"/>
        <v>26.071590797769897</v>
      </c>
      <c r="AJ93" s="118">
        <f t="shared" si="117"/>
        <v>1470</v>
      </c>
      <c r="AK93" s="74">
        <f t="shared" si="118"/>
        <v>1470</v>
      </c>
      <c r="AL93" s="174">
        <f t="shared" si="119"/>
        <v>1764</v>
      </c>
      <c r="AM93" s="175">
        <f t="shared" si="102"/>
        <v>1764</v>
      </c>
      <c r="AN93" s="130">
        <f t="shared" si="120"/>
        <v>294</v>
      </c>
      <c r="AO93" s="74">
        <f t="shared" si="103"/>
        <v>231.08507083484184</v>
      </c>
      <c r="AP93" s="123">
        <f t="shared" si="121"/>
        <v>62.914929165158156</v>
      </c>
      <c r="AQ93" s="118">
        <f t="shared" si="104"/>
        <v>0</v>
      </c>
      <c r="AR93" s="82" t="str">
        <f t="shared" si="122"/>
        <v>https://www.alta.ru/tnved/code/8413308008/</v>
      </c>
      <c r="AS93" s="157"/>
      <c r="AT93" s="162"/>
      <c r="AU93" s="74">
        <f t="shared" si="105"/>
        <v>0</v>
      </c>
      <c r="AV93" s="157"/>
      <c r="AW93" s="75">
        <f>_xlfn.IFNA(VLOOKUP(L93,list_vat[],3,FALSE),0)</f>
        <v>0.02</v>
      </c>
      <c r="AX93" s="74">
        <f t="shared" si="123"/>
        <v>1139.6600000000001</v>
      </c>
      <c r="AY93" s="74">
        <f t="shared" si="124"/>
        <v>1139.6600000000001</v>
      </c>
      <c r="AZ93" s="130">
        <f t="shared" si="125"/>
        <v>1262.5629271708683</v>
      </c>
      <c r="BA93" s="74">
        <f t="shared" si="106"/>
        <v>33.445936009355535</v>
      </c>
      <c r="BB93" s="193">
        <f t="shared" si="126"/>
        <v>0</v>
      </c>
      <c r="BC93" s="102">
        <f t="shared" si="127"/>
        <v>4.3512238281654455E-3</v>
      </c>
      <c r="BD93" s="102">
        <f t="shared" si="128"/>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7"/>
        <v>0</v>
      </c>
      <c r="J94" s="195"/>
      <c r="K94" s="162">
        <v>7713.45</v>
      </c>
      <c r="L94" s="168" t="s">
        <v>22</v>
      </c>
      <c r="M94" s="75">
        <f>_xlfn.XLOOKUP(L94,list_vat[Страна],list_vat[Ставка НДС %],0,0)</f>
        <v>0.13</v>
      </c>
      <c r="N94" s="162">
        <f t="shared" si="108"/>
        <v>7713.45</v>
      </c>
      <c r="O94" s="169"/>
      <c r="P94" s="74">
        <f t="shared" si="129"/>
        <v>7713.45</v>
      </c>
      <c r="Q94" s="162">
        <v>7.14</v>
      </c>
      <c r="R94" s="162">
        <f t="shared" si="109"/>
        <v>1080.3151260504203</v>
      </c>
      <c r="S94" s="196">
        <f t="shared" si="110"/>
        <v>1080.3151260504203</v>
      </c>
      <c r="T94" s="192">
        <f t="shared" si="111"/>
        <v>15.243321139420548</v>
      </c>
      <c r="U94" s="76">
        <f t="shared" si="112"/>
        <v>10.517857929054806</v>
      </c>
      <c r="V94" s="123">
        <f t="shared" si="113"/>
        <v>25.761179068475354</v>
      </c>
      <c r="W94" s="191">
        <v>8409990009</v>
      </c>
      <c r="X94" s="170">
        <v>0.05</v>
      </c>
      <c r="Y94" s="74">
        <f t="shared" si="99"/>
        <v>55.86</v>
      </c>
      <c r="Z94" s="188"/>
      <c r="AA94" s="130">
        <f t="shared" si="114"/>
        <v>1194.27</v>
      </c>
      <c r="AB94" s="74">
        <f t="shared" si="115"/>
        <v>1194.27</v>
      </c>
      <c r="AC94" s="356">
        <v>0.19</v>
      </c>
      <c r="AD94" s="130" cm="1">
        <f t="array" ref="AD94">IFERROR(ROUND((_xlfn.IFS(offer_sale_type="поставка",AB94,offer_sale_type="транзит",S94)*(1+AC94))/E94,2),0)</f>
        <v>1421.18</v>
      </c>
      <c r="AE94" s="74">
        <f t="shared" si="116"/>
        <v>1421.18</v>
      </c>
      <c r="AF94" s="123" cm="1">
        <f t="array" ref="AF94">IFERROR(ROUND(_xlfn.IFS(offer_sale_type="поставка",AB94,offer_sale_type="транзит",S94)*AC94,2),0)</f>
        <v>226.91</v>
      </c>
      <c r="AG94" s="130">
        <f t="shared" si="63"/>
        <v>0</v>
      </c>
      <c r="AH94" s="74">
        <f t="shared" si="100"/>
        <v>43.391648721255081</v>
      </c>
      <c r="AI94" s="123">
        <f t="shared" si="101"/>
        <v>25.208290708502695</v>
      </c>
      <c r="AJ94" s="118">
        <f t="shared" si="117"/>
        <v>1489.78</v>
      </c>
      <c r="AK94" s="74">
        <f t="shared" si="118"/>
        <v>1489.78</v>
      </c>
      <c r="AL94" s="174">
        <f t="shared" si="119"/>
        <v>1787.74</v>
      </c>
      <c r="AM94" s="175">
        <f t="shared" si="102"/>
        <v>1787.74</v>
      </c>
      <c r="AN94" s="130">
        <f t="shared" si="120"/>
        <v>297.96000000000004</v>
      </c>
      <c r="AO94" s="74">
        <f t="shared" si="103"/>
        <v>234.60466422788409</v>
      </c>
      <c r="AP94" s="123">
        <f t="shared" si="121"/>
        <v>63.35533577211595</v>
      </c>
      <c r="AQ94" s="118">
        <f t="shared" si="104"/>
        <v>0</v>
      </c>
      <c r="AR94" s="82" t="str">
        <f t="shared" si="122"/>
        <v>https://www.alta.ru/tnved/code/8409990009/</v>
      </c>
      <c r="AS94" s="157"/>
      <c r="AT94" s="162"/>
      <c r="AU94" s="74">
        <f t="shared" si="105"/>
        <v>0</v>
      </c>
      <c r="AV94" s="157"/>
      <c r="AW94" s="75">
        <f>_xlfn.IFNA(VLOOKUP(L94,list_vat[],3,FALSE),0)</f>
        <v>0.02</v>
      </c>
      <c r="AX94" s="74">
        <f t="shared" si="123"/>
        <v>1101.92</v>
      </c>
      <c r="AY94" s="74">
        <f t="shared" si="124"/>
        <v>1101.92</v>
      </c>
      <c r="AZ94" s="130">
        <f t="shared" si="125"/>
        <v>1220.7560924369748</v>
      </c>
      <c r="BA94" s="74">
        <f t="shared" si="106"/>
        <v>32.338451630421083</v>
      </c>
      <c r="BB94" s="193">
        <f t="shared" si="126"/>
        <v>0</v>
      </c>
      <c r="BC94" s="102">
        <f t="shared" si="127"/>
        <v>4.2071431716219224E-3</v>
      </c>
      <c r="BD94" s="102">
        <f t="shared" si="128"/>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7"/>
        <v>0</v>
      </c>
      <c r="J95" s="195"/>
      <c r="K95" s="162">
        <v>7713.45</v>
      </c>
      <c r="L95" s="168" t="s">
        <v>22</v>
      </c>
      <c r="M95" s="75">
        <f>_xlfn.XLOOKUP(L95,list_vat[Страна],list_vat[Ставка НДС %],0,0)</f>
        <v>0.13</v>
      </c>
      <c r="N95" s="162">
        <f t="shared" si="108"/>
        <v>7713.45</v>
      </c>
      <c r="O95" s="169"/>
      <c r="P95" s="74">
        <f t="shared" si="129"/>
        <v>7713.45</v>
      </c>
      <c r="Q95" s="162">
        <v>7.14</v>
      </c>
      <c r="R95" s="162">
        <f t="shared" si="109"/>
        <v>1080.3151260504203</v>
      </c>
      <c r="S95" s="196">
        <f t="shared" si="110"/>
        <v>1080.3151260504203</v>
      </c>
      <c r="T95" s="192">
        <f t="shared" si="111"/>
        <v>15.243321139420548</v>
      </c>
      <c r="U95" s="76">
        <f t="shared" si="112"/>
        <v>10.517857929054806</v>
      </c>
      <c r="V95" s="123">
        <f t="shared" si="113"/>
        <v>25.761179068475354</v>
      </c>
      <c r="W95" s="191">
        <v>8409990009</v>
      </c>
      <c r="X95" s="170">
        <v>0.05</v>
      </c>
      <c r="Y95" s="74">
        <f t="shared" si="99"/>
        <v>55.86</v>
      </c>
      <c r="Z95" s="188"/>
      <c r="AA95" s="130">
        <f t="shared" si="114"/>
        <v>1194.27</v>
      </c>
      <c r="AB95" s="74">
        <f t="shared" si="115"/>
        <v>1194.27</v>
      </c>
      <c r="AC95" s="356">
        <v>0.19</v>
      </c>
      <c r="AD95" s="130" cm="1">
        <f t="array" ref="AD95">IFERROR(ROUND((_xlfn.IFS(offer_sale_type="поставка",AB95,offer_sale_type="транзит",S95)*(1+AC95))/E95,2),0)</f>
        <v>1421.18</v>
      </c>
      <c r="AE95" s="74">
        <f t="shared" si="116"/>
        <v>1421.18</v>
      </c>
      <c r="AF95" s="123" cm="1">
        <f t="array" ref="AF95">IFERROR(ROUND(_xlfn.IFS(offer_sale_type="поставка",AB95,offer_sale_type="транзит",S95)*AC95,2),0)</f>
        <v>226.91</v>
      </c>
      <c r="AG95" s="130">
        <f t="shared" si="63"/>
        <v>0</v>
      </c>
      <c r="AH95" s="74">
        <f t="shared" si="100"/>
        <v>43.391648721255081</v>
      </c>
      <c r="AI95" s="123">
        <f t="shared" si="101"/>
        <v>25.208290708502695</v>
      </c>
      <c r="AJ95" s="118">
        <f t="shared" si="117"/>
        <v>1489.78</v>
      </c>
      <c r="AK95" s="74">
        <f t="shared" si="118"/>
        <v>1489.78</v>
      </c>
      <c r="AL95" s="174">
        <f t="shared" si="119"/>
        <v>1787.74</v>
      </c>
      <c r="AM95" s="175">
        <f t="shared" si="102"/>
        <v>1787.74</v>
      </c>
      <c r="AN95" s="130">
        <f t="shared" si="120"/>
        <v>297.96000000000004</v>
      </c>
      <c r="AO95" s="74">
        <f t="shared" si="103"/>
        <v>234.60466422788409</v>
      </c>
      <c r="AP95" s="123">
        <f t="shared" si="121"/>
        <v>63.35533577211595</v>
      </c>
      <c r="AQ95" s="118">
        <f t="shared" si="104"/>
        <v>0</v>
      </c>
      <c r="AR95" s="82" t="str">
        <f t="shared" si="122"/>
        <v>https://www.alta.ru/tnved/code/8409990009/</v>
      </c>
      <c r="AS95" s="157"/>
      <c r="AT95" s="162"/>
      <c r="AU95" s="74">
        <f t="shared" si="105"/>
        <v>0</v>
      </c>
      <c r="AV95" s="157"/>
      <c r="AW95" s="75">
        <f>_xlfn.IFNA(VLOOKUP(L95,list_vat[],3,FALSE),0)</f>
        <v>0.02</v>
      </c>
      <c r="AX95" s="74">
        <f t="shared" si="123"/>
        <v>1101.92</v>
      </c>
      <c r="AY95" s="74">
        <f t="shared" si="124"/>
        <v>1101.92</v>
      </c>
      <c r="AZ95" s="130">
        <f t="shared" si="125"/>
        <v>1220.7560924369748</v>
      </c>
      <c r="BA95" s="74">
        <f t="shared" si="106"/>
        <v>32.338451630421083</v>
      </c>
      <c r="BB95" s="193">
        <f t="shared" si="126"/>
        <v>0</v>
      </c>
      <c r="BC95" s="102">
        <f t="shared" si="127"/>
        <v>4.2071431716219224E-3</v>
      </c>
      <c r="BD95" s="102">
        <f t="shared" si="128"/>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7"/>
        <v>0</v>
      </c>
      <c r="J96" s="195"/>
      <c r="K96" s="162">
        <v>8005.36</v>
      </c>
      <c r="L96" s="168" t="s">
        <v>22</v>
      </c>
      <c r="M96" s="75">
        <f>_xlfn.XLOOKUP(L96,list_vat[Страна],list_vat[Ставка НДС %],0,0)</f>
        <v>0.13</v>
      </c>
      <c r="N96" s="162">
        <f t="shared" si="108"/>
        <v>8005.36</v>
      </c>
      <c r="O96" s="169"/>
      <c r="P96" s="74">
        <f t="shared" si="129"/>
        <v>8005.36</v>
      </c>
      <c r="Q96" s="162">
        <v>7.14</v>
      </c>
      <c r="R96" s="162">
        <f t="shared" si="109"/>
        <v>1121.1988795518207</v>
      </c>
      <c r="S96" s="196">
        <f t="shared" si="110"/>
        <v>1121.1988795518207</v>
      </c>
      <c r="T96" s="192">
        <f t="shared" si="111"/>
        <v>15.820193728703972</v>
      </c>
      <c r="U96" s="76">
        <f t="shared" si="112"/>
        <v>10.915898741929768</v>
      </c>
      <c r="V96" s="123">
        <f t="shared" si="113"/>
        <v>26.736092470633739</v>
      </c>
      <c r="W96" s="191">
        <v>4009220009</v>
      </c>
      <c r="X96" s="170">
        <v>0.03</v>
      </c>
      <c r="Y96" s="74">
        <f t="shared" si="99"/>
        <v>34.78</v>
      </c>
      <c r="Z96" s="188"/>
      <c r="AA96" s="130">
        <f t="shared" si="114"/>
        <v>1216.28</v>
      </c>
      <c r="AB96" s="74">
        <f t="shared" si="115"/>
        <v>1216.28</v>
      </c>
      <c r="AC96" s="356">
        <v>0.19</v>
      </c>
      <c r="AD96" s="130" cm="1">
        <f t="array" ref="AD96">IFERROR(ROUND((_xlfn.IFS(offer_sale_type="поставка",AB96,offer_sale_type="транзит",S96)*(1+AC96))/E96,2),0)</f>
        <v>1447.37</v>
      </c>
      <c r="AE96" s="74">
        <f t="shared" si="116"/>
        <v>1447.37</v>
      </c>
      <c r="AF96" s="123" cm="1">
        <f t="array" ref="AF96">IFERROR(ROUND(_xlfn.IFS(offer_sale_type="поставка",AB96,offer_sale_type="транзит",S96)*AC96,2),0)</f>
        <v>231.09</v>
      </c>
      <c r="AG96" s="130">
        <f t="shared" si="63"/>
        <v>0</v>
      </c>
      <c r="AH96" s="74">
        <f t="shared" si="100"/>
        <v>44.20596841338007</v>
      </c>
      <c r="AI96" s="123">
        <f t="shared" si="101"/>
        <v>26.162280446002647</v>
      </c>
      <c r="AJ96" s="118">
        <f t="shared" si="117"/>
        <v>1517.74</v>
      </c>
      <c r="AK96" s="74">
        <f t="shared" si="118"/>
        <v>1517.74</v>
      </c>
      <c r="AL96" s="174">
        <f t="shared" si="119"/>
        <v>1821.29</v>
      </c>
      <c r="AM96" s="175">
        <f t="shared" si="102"/>
        <v>1821.29</v>
      </c>
      <c r="AN96" s="130">
        <f t="shared" si="120"/>
        <v>303.54999999999995</v>
      </c>
      <c r="AO96" s="74">
        <f t="shared" si="103"/>
        <v>238.84403874574079</v>
      </c>
      <c r="AP96" s="123">
        <f t="shared" si="121"/>
        <v>64.705961254259165</v>
      </c>
      <c r="AQ96" s="118">
        <f t="shared" si="104"/>
        <v>0</v>
      </c>
      <c r="AR96" s="82" t="str">
        <f t="shared" si="122"/>
        <v>https://www.alta.ru/tnved/code/4009220009/</v>
      </c>
      <c r="AS96" s="157"/>
      <c r="AT96" s="162"/>
      <c r="AU96" s="74">
        <f t="shared" si="105"/>
        <v>0</v>
      </c>
      <c r="AV96" s="157"/>
      <c r="AW96" s="75">
        <f>_xlfn.IFNA(VLOOKUP(L96,list_vat[],3,FALSE),0)</f>
        <v>0.02</v>
      </c>
      <c r="AX96" s="74">
        <f t="shared" si="123"/>
        <v>1143.6199999999999</v>
      </c>
      <c r="AY96" s="74">
        <f t="shared" si="124"/>
        <v>1143.6199999999999</v>
      </c>
      <c r="AZ96" s="130">
        <f t="shared" si="125"/>
        <v>1266.9547338935572</v>
      </c>
      <c r="BA96" s="74">
        <f t="shared" si="106"/>
        <v>33.562277209822795</v>
      </c>
      <c r="BB96" s="193">
        <f t="shared" si="126"/>
        <v>0</v>
      </c>
      <c r="BC96" s="102">
        <f t="shared" si="127"/>
        <v>4.3663594967719068E-3</v>
      </c>
      <c r="BD96" s="102">
        <f t="shared" si="128"/>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7"/>
        <v>0</v>
      </c>
      <c r="J97" s="195"/>
      <c r="K97" s="162">
        <v>7987.05</v>
      </c>
      <c r="L97" s="168" t="s">
        <v>22</v>
      </c>
      <c r="M97" s="75">
        <f>_xlfn.XLOOKUP(L97,list_vat[Страна],list_vat[Ставка НДС %],0,0)</f>
        <v>0.13</v>
      </c>
      <c r="N97" s="162">
        <f t="shared" si="108"/>
        <v>7987.05</v>
      </c>
      <c r="O97" s="169"/>
      <c r="P97" s="74">
        <f t="shared" si="129"/>
        <v>7987.05</v>
      </c>
      <c r="Q97" s="162">
        <v>7.14</v>
      </c>
      <c r="R97" s="162">
        <f t="shared" si="109"/>
        <v>1118.6344537815128</v>
      </c>
      <c r="S97" s="196">
        <f t="shared" si="110"/>
        <v>1118.6344537815128</v>
      </c>
      <c r="T97" s="192">
        <f t="shared" si="111"/>
        <v>15.78400950373813</v>
      </c>
      <c r="U97" s="76">
        <f t="shared" si="112"/>
        <v>10.890931706597849</v>
      </c>
      <c r="V97" s="123">
        <f t="shared" si="113"/>
        <v>26.67494121033598</v>
      </c>
      <c r="W97" s="191">
        <v>7307998009</v>
      </c>
      <c r="X97" s="170">
        <v>0.1</v>
      </c>
      <c r="Y97" s="74">
        <f t="shared" si="99"/>
        <v>115.68</v>
      </c>
      <c r="Z97" s="188"/>
      <c r="AA97" s="130">
        <f t="shared" si="114"/>
        <v>1294.47</v>
      </c>
      <c r="AB97" s="74">
        <f t="shared" si="115"/>
        <v>1294.47</v>
      </c>
      <c r="AC97" s="356">
        <v>0.19</v>
      </c>
      <c r="AD97" s="130" cm="1">
        <f t="array" ref="AD97">IFERROR(ROUND((_xlfn.IFS(offer_sale_type="поставка",AB97,offer_sale_type="транзит",S97)*(1+AC97))/E97,2),0)</f>
        <v>1540.42</v>
      </c>
      <c r="AE97" s="74">
        <f t="shared" si="116"/>
        <v>1540.42</v>
      </c>
      <c r="AF97" s="123" cm="1">
        <f t="array" ref="AF97">IFERROR(ROUND(_xlfn.IFS(offer_sale_type="поставка",AB97,offer_sale_type="транзит",S97)*AC97,2),0)</f>
        <v>245.95</v>
      </c>
      <c r="AG97" s="130">
        <f t="shared" si="63"/>
        <v>0</v>
      </c>
      <c r="AH97" s="74">
        <f t="shared" si="100"/>
        <v>46.995673248559385</v>
      </c>
      <c r="AI97" s="123">
        <f t="shared" si="101"/>
        <v>26.102441618646196</v>
      </c>
      <c r="AJ97" s="118">
        <f t="shared" si="117"/>
        <v>1613.52</v>
      </c>
      <c r="AK97" s="74">
        <f t="shared" si="118"/>
        <v>1613.52</v>
      </c>
      <c r="AL97" s="174">
        <f t="shared" si="119"/>
        <v>1936.22</v>
      </c>
      <c r="AM97" s="175">
        <f t="shared" si="102"/>
        <v>1936.22</v>
      </c>
      <c r="AN97" s="130">
        <f t="shared" si="120"/>
        <v>322.70000000000005</v>
      </c>
      <c r="AO97" s="74">
        <f t="shared" si="103"/>
        <v>254.49480190074766</v>
      </c>
      <c r="AP97" s="123">
        <f t="shared" si="121"/>
        <v>68.205198099252385</v>
      </c>
      <c r="AQ97" s="118">
        <f t="shared" si="104"/>
        <v>0</v>
      </c>
      <c r="AR97" s="82" t="str">
        <f t="shared" si="122"/>
        <v>https://www.alta.ru/tnved/code/7307998009/</v>
      </c>
      <c r="AS97" s="157"/>
      <c r="AT97" s="162"/>
      <c r="AU97" s="74">
        <f t="shared" si="105"/>
        <v>0</v>
      </c>
      <c r="AV97" s="157"/>
      <c r="AW97" s="75">
        <f>_xlfn.IFNA(VLOOKUP(L97,list_vat[],3,FALSE),0)</f>
        <v>0.02</v>
      </c>
      <c r="AX97" s="74">
        <f t="shared" si="123"/>
        <v>1141.01</v>
      </c>
      <c r="AY97" s="74">
        <f t="shared" si="124"/>
        <v>1141.01</v>
      </c>
      <c r="AZ97" s="130">
        <f t="shared" si="125"/>
        <v>1264.0569327731093</v>
      </c>
      <c r="BA97" s="74">
        <f t="shared" si="106"/>
        <v>33.485512979892874</v>
      </c>
      <c r="BB97" s="193">
        <f t="shared" si="126"/>
        <v>0</v>
      </c>
      <c r="BC97" s="102">
        <f t="shared" si="127"/>
        <v>4.3563726826391395E-3</v>
      </c>
      <c r="BD97" s="102">
        <f t="shared" si="128"/>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7"/>
        <v>0</v>
      </c>
      <c r="J98" s="195"/>
      <c r="K98" s="162">
        <v>7765.69</v>
      </c>
      <c r="L98" s="168" t="s">
        <v>22</v>
      </c>
      <c r="M98" s="75">
        <f>_xlfn.XLOOKUP(L98,list_vat[Страна],list_vat[Ставка НДС %],0,0)</f>
        <v>0.13</v>
      </c>
      <c r="N98" s="162">
        <f t="shared" si="108"/>
        <v>7765.69</v>
      </c>
      <c r="O98" s="169"/>
      <c r="P98" s="74">
        <f t="shared" si="129"/>
        <v>7765.69</v>
      </c>
      <c r="Q98" s="162">
        <v>7.14</v>
      </c>
      <c r="R98" s="162">
        <f t="shared" si="109"/>
        <v>1087.6316526610644</v>
      </c>
      <c r="S98" s="196">
        <f t="shared" si="110"/>
        <v>1087.6316526610644</v>
      </c>
      <c r="T98" s="192">
        <f t="shared" si="111"/>
        <v>15.346557835882354</v>
      </c>
      <c r="U98" s="76">
        <f t="shared" si="112"/>
        <v>10.589091021667555</v>
      </c>
      <c r="V98" s="123">
        <f t="shared" si="113"/>
        <v>25.935648857549907</v>
      </c>
      <c r="W98" s="191">
        <v>4009220009</v>
      </c>
      <c r="X98" s="170">
        <v>0.03</v>
      </c>
      <c r="Y98" s="74">
        <f t="shared" si="99"/>
        <v>33.74</v>
      </c>
      <c r="Z98" s="188"/>
      <c r="AA98" s="130">
        <f t="shared" si="114"/>
        <v>1179.8599999999999</v>
      </c>
      <c r="AB98" s="74">
        <f t="shared" si="115"/>
        <v>1179.8599999999999</v>
      </c>
      <c r="AC98" s="356">
        <v>0.19</v>
      </c>
      <c r="AD98" s="130" cm="1">
        <f t="array" ref="AD98">IFERROR(ROUND((_xlfn.IFS(offer_sale_type="поставка",AB98,offer_sale_type="транзит",S98)*(1+AC98))/E98,2),0)</f>
        <v>1404.03</v>
      </c>
      <c r="AE98" s="74">
        <f t="shared" si="116"/>
        <v>1404.03</v>
      </c>
      <c r="AF98" s="123" cm="1">
        <f t="array" ref="AF98">IFERROR(ROUND(_xlfn.IFS(offer_sale_type="поставка",AB98,offer_sale_type="транзит",S98)*AC98,2),0)</f>
        <v>224.17</v>
      </c>
      <c r="AG98" s="130">
        <f t="shared" si="63"/>
        <v>0</v>
      </c>
      <c r="AH98" s="74">
        <f t="shared" si="100"/>
        <v>42.882270480415812</v>
      </c>
      <c r="AI98" s="123">
        <f t="shared" si="101"/>
        <v>25.3790160138605</v>
      </c>
      <c r="AJ98" s="118">
        <f t="shared" si="117"/>
        <v>1472.29</v>
      </c>
      <c r="AK98" s="74">
        <f t="shared" si="118"/>
        <v>1472.29</v>
      </c>
      <c r="AL98" s="174">
        <f t="shared" si="119"/>
        <v>1766.75</v>
      </c>
      <c r="AM98" s="175">
        <f t="shared" si="102"/>
        <v>1766.75</v>
      </c>
      <c r="AN98" s="130">
        <f t="shared" si="120"/>
        <v>294.46000000000004</v>
      </c>
      <c r="AO98" s="74">
        <f t="shared" si="103"/>
        <v>231.69331156717649</v>
      </c>
      <c r="AP98" s="123">
        <f t="shared" si="121"/>
        <v>62.766688432823543</v>
      </c>
      <c r="AQ98" s="118">
        <f t="shared" si="104"/>
        <v>0</v>
      </c>
      <c r="AR98" s="82" t="str">
        <f t="shared" si="122"/>
        <v>https://www.alta.ru/tnved/code/4009220009/</v>
      </c>
      <c r="AS98" s="157"/>
      <c r="AT98" s="162"/>
      <c r="AU98" s="74">
        <f t="shared" si="105"/>
        <v>0</v>
      </c>
      <c r="AV98" s="157"/>
      <c r="AW98" s="75">
        <f>_xlfn.IFNA(VLOOKUP(L98,list_vat[],3,FALSE),0)</f>
        <v>0.02</v>
      </c>
      <c r="AX98" s="74">
        <f t="shared" si="123"/>
        <v>1109.3800000000001</v>
      </c>
      <c r="AY98" s="74">
        <f t="shared" si="124"/>
        <v>1109.3800000000001</v>
      </c>
      <c r="AZ98" s="130">
        <f t="shared" si="125"/>
        <v>1229.0237675070027</v>
      </c>
      <c r="BA98" s="74">
        <f t="shared" si="106"/>
        <v>32.557466560598002</v>
      </c>
      <c r="BB98" s="193">
        <f t="shared" si="126"/>
        <v>0</v>
      </c>
      <c r="BC98" s="102">
        <f t="shared" si="127"/>
        <v>4.2356364086670222E-3</v>
      </c>
      <c r="BD98" s="102">
        <f t="shared" si="128"/>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7"/>
        <v>0</v>
      </c>
      <c r="J99" s="195"/>
      <c r="K99" s="162">
        <v>7673.63</v>
      </c>
      <c r="L99" s="168" t="s">
        <v>22</v>
      </c>
      <c r="M99" s="75">
        <f>_xlfn.XLOOKUP(L99,list_vat[Страна],list_vat[Ставка НДС %],0,0)</f>
        <v>0.13</v>
      </c>
      <c r="N99" s="162">
        <f t="shared" si="108"/>
        <v>7673.63</v>
      </c>
      <c r="O99" s="169"/>
      <c r="P99" s="74">
        <f t="shared" si="129"/>
        <v>7673.63</v>
      </c>
      <c r="Q99" s="162">
        <v>7.14</v>
      </c>
      <c r="R99" s="162">
        <f t="shared" si="109"/>
        <v>1074.7380952380954</v>
      </c>
      <c r="S99" s="196">
        <f t="shared" si="110"/>
        <v>1074.7380952380954</v>
      </c>
      <c r="T99" s="192">
        <f t="shared" si="111"/>
        <v>15.164628848970525</v>
      </c>
      <c r="U99" s="76">
        <f t="shared" si="112"/>
        <v>10.463560422396311</v>
      </c>
      <c r="V99" s="123">
        <f t="shared" si="113"/>
        <v>25.628189271366836</v>
      </c>
      <c r="W99" s="191">
        <v>8483608000</v>
      </c>
      <c r="X99" s="170">
        <v>0.05</v>
      </c>
      <c r="Y99" s="74">
        <f t="shared" si="99"/>
        <v>55.57</v>
      </c>
      <c r="Z99" s="188"/>
      <c r="AA99" s="130">
        <f t="shared" si="114"/>
        <v>1188.1099999999999</v>
      </c>
      <c r="AB99" s="74">
        <f t="shared" si="115"/>
        <v>1188.1099999999999</v>
      </c>
      <c r="AC99" s="356">
        <v>0.19</v>
      </c>
      <c r="AD99" s="130" cm="1">
        <f t="array" ref="AD99">IFERROR(ROUND((_xlfn.IFS(offer_sale_type="поставка",AB99,offer_sale_type="транзит",S99)*(1+AC99))/E99,2),0)</f>
        <v>1413.85</v>
      </c>
      <c r="AE99" s="74">
        <f t="shared" si="116"/>
        <v>1413.85</v>
      </c>
      <c r="AF99" s="123" cm="1">
        <f t="array" ref="AF99">IFERROR(ROUND(_xlfn.IFS(offer_sale_type="поставка",AB99,offer_sale_type="транзит",S99)*AC99,2),0)</f>
        <v>225.74</v>
      </c>
      <c r="AG99" s="130">
        <f t="shared" si="63"/>
        <v>0</v>
      </c>
      <c r="AH99" s="74">
        <f t="shared" si="100"/>
        <v>43.167844654452239</v>
      </c>
      <c r="AI99" s="123">
        <f t="shared" si="101"/>
        <v>25.078155148407987</v>
      </c>
      <c r="AJ99" s="118">
        <f t="shared" si="117"/>
        <v>1482.1</v>
      </c>
      <c r="AK99" s="74">
        <f t="shared" si="118"/>
        <v>1482.1</v>
      </c>
      <c r="AL99" s="174">
        <f t="shared" si="119"/>
        <v>1778.52</v>
      </c>
      <c r="AM99" s="175">
        <f t="shared" si="102"/>
        <v>1778.52</v>
      </c>
      <c r="AN99" s="130">
        <f t="shared" si="120"/>
        <v>296.42000000000007</v>
      </c>
      <c r="AO99" s="74">
        <f t="shared" si="103"/>
        <v>233.39292576979412</v>
      </c>
      <c r="AP99" s="123">
        <f t="shared" si="121"/>
        <v>63.027074230205955</v>
      </c>
      <c r="AQ99" s="118">
        <f t="shared" si="104"/>
        <v>0</v>
      </c>
      <c r="AR99" s="82" t="str">
        <f t="shared" si="122"/>
        <v>https://www.alta.ru/tnved/code/8483608000/</v>
      </c>
      <c r="AS99" s="157"/>
      <c r="AT99" s="162"/>
      <c r="AU99" s="74">
        <f t="shared" si="105"/>
        <v>0</v>
      </c>
      <c r="AV99" s="157"/>
      <c r="AW99" s="75">
        <f>_xlfn.IFNA(VLOOKUP(L99,list_vat[],3,FALSE),0)</f>
        <v>0.02</v>
      </c>
      <c r="AX99" s="74">
        <f t="shared" si="123"/>
        <v>1096.23</v>
      </c>
      <c r="AY99" s="74">
        <f t="shared" si="124"/>
        <v>1096.23</v>
      </c>
      <c r="AZ99" s="130">
        <f t="shared" si="125"/>
        <v>1214.4540476190477</v>
      </c>
      <c r="BA99" s="74">
        <f t="shared" si="106"/>
        <v>32.171507248345179</v>
      </c>
      <c r="BB99" s="193">
        <f t="shared" si="126"/>
        <v>0</v>
      </c>
      <c r="BC99" s="102">
        <f t="shared" si="127"/>
        <v>4.1854241689585243E-3</v>
      </c>
      <c r="BD99" s="102">
        <f t="shared" si="128"/>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7"/>
        <v>0</v>
      </c>
      <c r="J100" s="195"/>
      <c r="K100" s="162">
        <v>5859.57</v>
      </c>
      <c r="L100" s="168" t="s">
        <v>22</v>
      </c>
      <c r="M100" s="75">
        <f>_xlfn.XLOOKUP(L100,list_vat[Страна],list_vat[Ставка НДС %],0,0)</f>
        <v>0.13</v>
      </c>
      <c r="N100" s="162">
        <f t="shared" si="108"/>
        <v>5859.57</v>
      </c>
      <c r="O100" s="169"/>
      <c r="P100" s="74">
        <f t="shared" si="129"/>
        <v>5859.57</v>
      </c>
      <c r="Q100" s="162">
        <v>7.14</v>
      </c>
      <c r="R100" s="162">
        <f t="shared" si="109"/>
        <v>820.6680672268908</v>
      </c>
      <c r="S100" s="196">
        <f t="shared" si="110"/>
        <v>820.6680672268908</v>
      </c>
      <c r="T100" s="192">
        <f t="shared" si="111"/>
        <v>11.579683183130046</v>
      </c>
      <c r="U100" s="76">
        <f t="shared" si="112"/>
        <v>7.9899558285010803</v>
      </c>
      <c r="V100" s="123">
        <f t="shared" si="113"/>
        <v>19.569639011631125</v>
      </c>
      <c r="W100" s="191">
        <v>8413308008</v>
      </c>
      <c r="X100" s="170">
        <v>0</v>
      </c>
      <c r="Y100" s="74">
        <f t="shared" si="99"/>
        <v>0</v>
      </c>
      <c r="Z100" s="188"/>
      <c r="AA100" s="130">
        <f t="shared" si="114"/>
        <v>864.8</v>
      </c>
      <c r="AB100" s="74">
        <f t="shared" si="115"/>
        <v>864.8</v>
      </c>
      <c r="AC100" s="356">
        <v>0.19</v>
      </c>
      <c r="AD100" s="130" cm="1">
        <f t="array" ref="AD100">IFERROR(ROUND((_xlfn.IFS(offer_sale_type="поставка",AB100,offer_sale_type="транзит",S100)*(1+AC100))/E100,2),0)</f>
        <v>1029.1099999999999</v>
      </c>
      <c r="AE100" s="74">
        <f t="shared" si="116"/>
        <v>1029.1099999999999</v>
      </c>
      <c r="AF100" s="123" cm="1">
        <f t="array" ref="AF100">IFERROR(ROUND(_xlfn.IFS(offer_sale_type="поставка",AB100,offer_sale_type="транзит",S100)*AC100,2),0)</f>
        <v>164.31</v>
      </c>
      <c r="AG100" s="130">
        <f t="shared" si="63"/>
        <v>0</v>
      </c>
      <c r="AH100" s="74">
        <f t="shared" si="100"/>
        <v>31.447789018481306</v>
      </c>
      <c r="AI100" s="123">
        <f t="shared" si="101"/>
        <v>19.149633949376888</v>
      </c>
      <c r="AJ100" s="118">
        <f t="shared" si="117"/>
        <v>1079.71</v>
      </c>
      <c r="AK100" s="74">
        <f t="shared" si="118"/>
        <v>1079.71</v>
      </c>
      <c r="AL100" s="174">
        <f t="shared" si="119"/>
        <v>1295.6500000000001</v>
      </c>
      <c r="AM100" s="175">
        <f t="shared" si="102"/>
        <v>1295.6500000000001</v>
      </c>
      <c r="AN100" s="130">
        <f t="shared" si="120"/>
        <v>215.94000000000005</v>
      </c>
      <c r="AO100" s="74">
        <f t="shared" si="103"/>
        <v>169.73193663662605</v>
      </c>
      <c r="AP100" s="123">
        <f t="shared" si="121"/>
        <v>46.208063363374009</v>
      </c>
      <c r="AQ100" s="118">
        <f t="shared" si="104"/>
        <v>0</v>
      </c>
      <c r="AR100" s="82" t="str">
        <f t="shared" si="122"/>
        <v>https://www.alta.ru/tnved/code/8413308008/</v>
      </c>
      <c r="AS100" s="157"/>
      <c r="AT100" s="162"/>
      <c r="AU100" s="74">
        <f t="shared" si="105"/>
        <v>0</v>
      </c>
      <c r="AV100" s="157"/>
      <c r="AW100" s="75">
        <f>_xlfn.IFNA(VLOOKUP(L100,list_vat[],3,FALSE),0)</f>
        <v>0.02</v>
      </c>
      <c r="AX100" s="74">
        <f t="shared" si="123"/>
        <v>837.08</v>
      </c>
      <c r="AY100" s="74">
        <f t="shared" si="124"/>
        <v>837.08</v>
      </c>
      <c r="AZ100" s="130">
        <f t="shared" si="125"/>
        <v>927.35491596638656</v>
      </c>
      <c r="BA100" s="74">
        <f t="shared" si="106"/>
        <v>24.56610479358347</v>
      </c>
      <c r="BB100" s="193">
        <f t="shared" si="126"/>
        <v>0</v>
      </c>
      <c r="BC100" s="102">
        <f t="shared" si="127"/>
        <v>3.1959823314004323E-3</v>
      </c>
      <c r="BD100" s="102">
        <f t="shared" si="128"/>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7"/>
        <v>0</v>
      </c>
      <c r="J101" s="195"/>
      <c r="K101" s="162">
        <v>4829.6099999999997</v>
      </c>
      <c r="L101" s="168" t="s">
        <v>22</v>
      </c>
      <c r="M101" s="75">
        <f>_xlfn.XLOOKUP(L101,list_vat[Страна],list_vat[Ставка НДС %],0,0)</f>
        <v>0.13</v>
      </c>
      <c r="N101" s="162">
        <f t="shared" si="108"/>
        <v>4829.6099999999997</v>
      </c>
      <c r="O101" s="169"/>
      <c r="P101" s="74">
        <f t="shared" si="129"/>
        <v>4829.6099999999997</v>
      </c>
      <c r="Q101" s="162">
        <v>7.14</v>
      </c>
      <c r="R101" s="162">
        <f t="shared" si="109"/>
        <v>676.4159663865546</v>
      </c>
      <c r="S101" s="196">
        <f t="shared" si="110"/>
        <v>676.4159663865546</v>
      </c>
      <c r="T101" s="192">
        <f t="shared" si="111"/>
        <v>9.5442760642976694</v>
      </c>
      <c r="U101" s="76">
        <f t="shared" si="112"/>
        <v>6.5855294106712785</v>
      </c>
      <c r="V101" s="123">
        <f t="shared" si="113"/>
        <v>16.129805474968947</v>
      </c>
      <c r="W101" s="191">
        <v>8413308008</v>
      </c>
      <c r="X101" s="170">
        <v>0</v>
      </c>
      <c r="Y101" s="74">
        <f t="shared" si="99"/>
        <v>0</v>
      </c>
      <c r="Z101" s="188"/>
      <c r="AA101" s="130">
        <f t="shared" si="114"/>
        <v>712.79</v>
      </c>
      <c r="AB101" s="74">
        <f t="shared" si="115"/>
        <v>712.79</v>
      </c>
      <c r="AC101" s="356">
        <v>0.19</v>
      </c>
      <c r="AD101" s="130" cm="1">
        <f t="array" ref="AD101">IFERROR(ROUND((_xlfn.IFS(offer_sale_type="поставка",AB101,offer_sale_type="транзит",S101)*(1+AC101))/E101,2),0)</f>
        <v>848.22</v>
      </c>
      <c r="AE101" s="74">
        <f t="shared" si="116"/>
        <v>848.22</v>
      </c>
      <c r="AF101" s="123" cm="1">
        <f t="array" ref="AF101">IFERROR(ROUND(_xlfn.IFS(offer_sale_type="поставка",AB101,offer_sale_type="транзит",S101)*AC101,2),0)</f>
        <v>135.43</v>
      </c>
      <c r="AG101" s="130">
        <f t="shared" si="63"/>
        <v>0</v>
      </c>
      <c r="AH101" s="74">
        <f t="shared" si="100"/>
        <v>25.920108791352863</v>
      </c>
      <c r="AI101" s="123">
        <f t="shared" si="101"/>
        <v>15.783626378428808</v>
      </c>
      <c r="AJ101" s="118">
        <f t="shared" si="117"/>
        <v>889.92</v>
      </c>
      <c r="AK101" s="74">
        <f t="shared" si="118"/>
        <v>889.92</v>
      </c>
      <c r="AL101" s="174">
        <f t="shared" si="119"/>
        <v>1067.9000000000001</v>
      </c>
      <c r="AM101" s="175">
        <f t="shared" si="102"/>
        <v>1067.9000000000001</v>
      </c>
      <c r="AN101" s="130">
        <f t="shared" si="120"/>
        <v>177.98000000000013</v>
      </c>
      <c r="AO101" s="74">
        <f t="shared" si="103"/>
        <v>139.89685521285955</v>
      </c>
      <c r="AP101" s="123">
        <f t="shared" si="121"/>
        <v>38.083144787140583</v>
      </c>
      <c r="AQ101" s="118">
        <f t="shared" si="104"/>
        <v>0</v>
      </c>
      <c r="AR101" s="82" t="str">
        <f t="shared" si="122"/>
        <v>https://www.alta.ru/tnved/code/8413308008/</v>
      </c>
      <c r="AS101" s="157"/>
      <c r="AT101" s="162"/>
      <c r="AU101" s="74">
        <f t="shared" si="105"/>
        <v>0</v>
      </c>
      <c r="AV101" s="157"/>
      <c r="AW101" s="75">
        <f>_xlfn.IFNA(VLOOKUP(L101,list_vat[],3,FALSE),0)</f>
        <v>0.02</v>
      </c>
      <c r="AX101" s="74">
        <f t="shared" si="123"/>
        <v>689.94</v>
      </c>
      <c r="AY101" s="74">
        <f t="shared" si="124"/>
        <v>689.94</v>
      </c>
      <c r="AZ101" s="130">
        <f t="shared" si="125"/>
        <v>764.35004201680658</v>
      </c>
      <c r="BA101" s="74">
        <f t="shared" si="106"/>
        <v>20.24802252932189</v>
      </c>
      <c r="BB101" s="193">
        <f t="shared" si="126"/>
        <v>0</v>
      </c>
      <c r="BC101" s="102">
        <f t="shared" si="127"/>
        <v>2.6342117642685113E-3</v>
      </c>
      <c r="BD101" s="102">
        <f t="shared" si="128"/>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7"/>
        <v>0</v>
      </c>
      <c r="J102" s="195"/>
      <c r="K102" s="162">
        <v>5008.3599999999997</v>
      </c>
      <c r="L102" s="168" t="s">
        <v>22</v>
      </c>
      <c r="M102" s="75">
        <f>_xlfn.XLOOKUP(L102,list_vat[Страна],list_vat[Ставка НДС %],0,0)</f>
        <v>0.13</v>
      </c>
      <c r="N102" s="162">
        <f t="shared" si="108"/>
        <v>5008.3599999999997</v>
      </c>
      <c r="O102" s="169"/>
      <c r="P102" s="74">
        <f t="shared" si="129"/>
        <v>5008.3599999999997</v>
      </c>
      <c r="Q102" s="162">
        <v>7.14</v>
      </c>
      <c r="R102" s="162">
        <f t="shared" si="109"/>
        <v>701.45098039215679</v>
      </c>
      <c r="S102" s="196">
        <f t="shared" si="110"/>
        <v>701.45098039215679</v>
      </c>
      <c r="T102" s="192">
        <f t="shared" si="111"/>
        <v>9.8975218432514982</v>
      </c>
      <c r="U102" s="76">
        <f t="shared" si="112"/>
        <v>6.8292682181852369</v>
      </c>
      <c r="V102" s="123">
        <f t="shared" si="113"/>
        <v>16.726790061436734</v>
      </c>
      <c r="W102" s="191">
        <v>8483908100</v>
      </c>
      <c r="X102" s="170">
        <v>0.05</v>
      </c>
      <c r="Y102" s="74">
        <f t="shared" si="99"/>
        <v>36.270000000000003</v>
      </c>
      <c r="Z102" s="188"/>
      <c r="AA102" s="130">
        <f t="shared" si="114"/>
        <v>775.45</v>
      </c>
      <c r="AB102" s="74">
        <f t="shared" si="115"/>
        <v>775.45</v>
      </c>
      <c r="AC102" s="356">
        <v>0.19</v>
      </c>
      <c r="AD102" s="130" cm="1">
        <f t="array" ref="AD102">IFERROR(ROUND((_xlfn.IFS(offer_sale_type="поставка",AB102,offer_sale_type="транзит",S102)*(1+AC102))/E102,2),0)</f>
        <v>922.79</v>
      </c>
      <c r="AE102" s="74">
        <f t="shared" si="116"/>
        <v>922.79</v>
      </c>
      <c r="AF102" s="123" cm="1">
        <f t="array" ref="AF102">IFERROR(ROUND(_xlfn.IFS(offer_sale_type="поставка",AB102,offer_sale_type="транзит",S102)*AC102,2),0)</f>
        <v>147.34</v>
      </c>
      <c r="AG102" s="130">
        <f t="shared" si="63"/>
        <v>0</v>
      </c>
      <c r="AH102" s="74">
        <f t="shared" si="100"/>
        <v>28.174733953105946</v>
      </c>
      <c r="AI102" s="123">
        <f t="shared" si="101"/>
        <v>16.367798436865026</v>
      </c>
      <c r="AJ102" s="118">
        <f t="shared" si="117"/>
        <v>967.33</v>
      </c>
      <c r="AK102" s="74">
        <f t="shared" si="118"/>
        <v>967.33</v>
      </c>
      <c r="AL102" s="174">
        <f t="shared" si="119"/>
        <v>1160.8</v>
      </c>
      <c r="AM102" s="175">
        <f t="shared" si="102"/>
        <v>1160.8</v>
      </c>
      <c r="AN102" s="130">
        <f t="shared" si="120"/>
        <v>193.46999999999991</v>
      </c>
      <c r="AO102" s="74">
        <f t="shared" si="103"/>
        <v>152.3295043686503</v>
      </c>
      <c r="AP102" s="123">
        <f t="shared" si="121"/>
        <v>41.140495631349609</v>
      </c>
      <c r="AQ102" s="118">
        <f t="shared" si="104"/>
        <v>0</v>
      </c>
      <c r="AR102" s="82" t="str">
        <f t="shared" si="122"/>
        <v>https://www.alta.ru/tnved/code/8483908100/</v>
      </c>
      <c r="AS102" s="157"/>
      <c r="AT102" s="162"/>
      <c r="AU102" s="74">
        <f t="shared" si="105"/>
        <v>0</v>
      </c>
      <c r="AV102" s="157"/>
      <c r="AW102" s="75">
        <f>_xlfn.IFNA(VLOOKUP(L102,list_vat[],3,FALSE),0)</f>
        <v>0.02</v>
      </c>
      <c r="AX102" s="74">
        <f t="shared" si="123"/>
        <v>715.48</v>
      </c>
      <c r="AY102" s="74">
        <f t="shared" si="124"/>
        <v>715.48</v>
      </c>
      <c r="AZ102" s="130">
        <f t="shared" si="125"/>
        <v>792.63960784313713</v>
      </c>
      <c r="BA102" s="74">
        <f t="shared" si="106"/>
        <v>20.997427559358741</v>
      </c>
      <c r="BB102" s="193">
        <f t="shared" si="126"/>
        <v>0</v>
      </c>
      <c r="BC102" s="102">
        <f t="shared" si="127"/>
        <v>2.7317072872740946E-3</v>
      </c>
      <c r="BD102" s="102">
        <f t="shared" si="128"/>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7"/>
        <v>0</v>
      </c>
      <c r="J103" s="195"/>
      <c r="K103" s="162">
        <v>5690.79</v>
      </c>
      <c r="L103" s="168" t="s">
        <v>22</v>
      </c>
      <c r="M103" s="75">
        <f>_xlfn.XLOOKUP(L103,list_vat[Страна],list_vat[Ставка НДС %],0,0)</f>
        <v>0.13</v>
      </c>
      <c r="N103" s="162">
        <f t="shared" si="108"/>
        <v>5690.79</v>
      </c>
      <c r="O103" s="169"/>
      <c r="P103" s="74">
        <f t="shared" si="129"/>
        <v>5690.79</v>
      </c>
      <c r="Q103" s="162">
        <v>7.14</v>
      </c>
      <c r="R103" s="162">
        <f t="shared" si="109"/>
        <v>797.02941176470597</v>
      </c>
      <c r="S103" s="196">
        <f t="shared" si="110"/>
        <v>797.02941176470597</v>
      </c>
      <c r="T103" s="192">
        <f t="shared" si="111"/>
        <v>11.246140119791152</v>
      </c>
      <c r="U103" s="76">
        <f t="shared" si="112"/>
        <v>7.7598118512579708</v>
      </c>
      <c r="V103" s="123">
        <f t="shared" si="113"/>
        <v>19.005951971049122</v>
      </c>
      <c r="W103" s="191">
        <v>8409990009</v>
      </c>
      <c r="X103" s="170">
        <v>0.05</v>
      </c>
      <c r="Y103" s="74">
        <f t="shared" si="99"/>
        <v>41.21</v>
      </c>
      <c r="Z103" s="188"/>
      <c r="AA103" s="130">
        <f t="shared" si="114"/>
        <v>881.1</v>
      </c>
      <c r="AB103" s="74">
        <f t="shared" si="115"/>
        <v>881.1</v>
      </c>
      <c r="AC103" s="356">
        <v>0.19</v>
      </c>
      <c r="AD103" s="130" cm="1">
        <f t="array" ref="AD103">IFERROR(ROUND((_xlfn.IFS(offer_sale_type="поставка",AB103,offer_sale_type="транзит",S103)*(1+AC103))/E103,2),0)</f>
        <v>1048.51</v>
      </c>
      <c r="AE103" s="74">
        <f t="shared" si="116"/>
        <v>1048.51</v>
      </c>
      <c r="AF103" s="123" cm="1">
        <f t="array" ref="AF103">IFERROR(ROUND(_xlfn.IFS(offer_sale_type="поставка",AB103,offer_sale_type="транзит",S103)*AC103,2),0)</f>
        <v>167.41</v>
      </c>
      <c r="AG103" s="130">
        <f t="shared" si="63"/>
        <v>0</v>
      </c>
      <c r="AH103" s="74">
        <f t="shared" si="100"/>
        <v>32.013241344071872</v>
      </c>
      <c r="AI103" s="123">
        <f t="shared" si="101"/>
        <v>18.598044802395822</v>
      </c>
      <c r="AJ103" s="118">
        <f t="shared" si="117"/>
        <v>1099.1199999999999</v>
      </c>
      <c r="AK103" s="74">
        <f t="shared" si="118"/>
        <v>1099.1199999999999</v>
      </c>
      <c r="AL103" s="174">
        <f t="shared" si="119"/>
        <v>1318.94</v>
      </c>
      <c r="AM103" s="175">
        <f t="shared" si="102"/>
        <v>1318.94</v>
      </c>
      <c r="AN103" s="130">
        <f t="shared" si="120"/>
        <v>219.82000000000016</v>
      </c>
      <c r="AO103" s="74">
        <f t="shared" si="103"/>
        <v>173.08522802395825</v>
      </c>
      <c r="AP103" s="123">
        <f t="shared" si="121"/>
        <v>46.734771976041912</v>
      </c>
      <c r="AQ103" s="118">
        <f t="shared" si="104"/>
        <v>0</v>
      </c>
      <c r="AR103" s="82" t="str">
        <f t="shared" si="122"/>
        <v>https://www.alta.ru/tnved/code/8409990009/</v>
      </c>
      <c r="AS103" s="157"/>
      <c r="AT103" s="162"/>
      <c r="AU103" s="74">
        <f t="shared" si="105"/>
        <v>0</v>
      </c>
      <c r="AV103" s="157"/>
      <c r="AW103" s="75">
        <f>_xlfn.IFNA(VLOOKUP(L103,list_vat[],3,FALSE),0)</f>
        <v>0.02</v>
      </c>
      <c r="AX103" s="74">
        <f t="shared" si="123"/>
        <v>812.97</v>
      </c>
      <c r="AY103" s="74">
        <f t="shared" si="124"/>
        <v>812.97</v>
      </c>
      <c r="AZ103" s="130">
        <f t="shared" si="125"/>
        <v>900.64323529411763</v>
      </c>
      <c r="BA103" s="74">
        <f t="shared" si="106"/>
        <v>23.858498746200983</v>
      </c>
      <c r="BB103" s="193">
        <f t="shared" si="126"/>
        <v>0</v>
      </c>
      <c r="BC103" s="102">
        <f t="shared" si="127"/>
        <v>3.1039247405031884E-3</v>
      </c>
      <c r="BD103" s="102">
        <f t="shared" si="128"/>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7"/>
        <v>0</v>
      </c>
      <c r="J104" s="195"/>
      <c r="K104" s="162">
        <v>6028.39</v>
      </c>
      <c r="L104" s="168" t="s">
        <v>22</v>
      </c>
      <c r="M104" s="75">
        <f>_xlfn.XLOOKUP(L104,list_vat[Страна],list_vat[Ставка НДС %],0,0)</f>
        <v>0.13</v>
      </c>
      <c r="N104" s="162">
        <f t="shared" si="108"/>
        <v>6028.39</v>
      </c>
      <c r="O104" s="169"/>
      <c r="P104" s="74">
        <f t="shared" si="129"/>
        <v>6028.39</v>
      </c>
      <c r="Q104" s="162">
        <v>7.14</v>
      </c>
      <c r="R104" s="162">
        <f t="shared" si="109"/>
        <v>844.31232492997208</v>
      </c>
      <c r="S104" s="196">
        <f t="shared" si="110"/>
        <v>844.31232492997208</v>
      </c>
      <c r="T104" s="192">
        <f t="shared" si="111"/>
        <v>11.913305294475419</v>
      </c>
      <c r="U104" s="76">
        <f t="shared" si="112"/>
        <v>8.2201543486941251</v>
      </c>
      <c r="V104" s="123">
        <f t="shared" si="113"/>
        <v>20.133459643169545</v>
      </c>
      <c r="W104" s="191">
        <v>8708913509</v>
      </c>
      <c r="X104" s="170">
        <v>0.05</v>
      </c>
      <c r="Y104" s="74">
        <f t="shared" si="99"/>
        <v>43.66</v>
      </c>
      <c r="Z104" s="188"/>
      <c r="AA104" s="130">
        <f t="shared" si="114"/>
        <v>933.38</v>
      </c>
      <c r="AB104" s="74">
        <f t="shared" si="115"/>
        <v>933.38</v>
      </c>
      <c r="AC104" s="356">
        <v>0.19</v>
      </c>
      <c r="AD104" s="130" cm="1">
        <f t="array" ref="AD104">IFERROR(ROUND((_xlfn.IFS(offer_sale_type="поставка",AB104,offer_sale_type="транзит",S104)*(1+AC104))/E104,2),0)</f>
        <v>1110.72</v>
      </c>
      <c r="AE104" s="74">
        <f t="shared" si="116"/>
        <v>1110.72</v>
      </c>
      <c r="AF104" s="123" cm="1">
        <f t="array" ref="AF104">IFERROR(ROUND(_xlfn.IFS(offer_sale_type="поставка",AB104,offer_sale_type="транзит",S104)*AC104,2),0)</f>
        <v>177.34</v>
      </c>
      <c r="AG104" s="130">
        <f t="shared" si="63"/>
        <v>0</v>
      </c>
      <c r="AH104" s="74">
        <f t="shared" si="100"/>
        <v>33.912640614605259</v>
      </c>
      <c r="AI104" s="123">
        <f t="shared" si="101"/>
        <v>19.701353820175225</v>
      </c>
      <c r="AJ104" s="118">
        <f t="shared" si="117"/>
        <v>1164.33</v>
      </c>
      <c r="AK104" s="74">
        <f t="shared" si="118"/>
        <v>1164.33</v>
      </c>
      <c r="AL104" s="174">
        <f t="shared" si="119"/>
        <v>1397.2</v>
      </c>
      <c r="AM104" s="175">
        <f t="shared" si="102"/>
        <v>1397.2</v>
      </c>
      <c r="AN104" s="130">
        <f t="shared" si="120"/>
        <v>232.87000000000012</v>
      </c>
      <c r="AO104" s="74">
        <f t="shared" si="103"/>
        <v>183.35466105889509</v>
      </c>
      <c r="AP104" s="123">
        <f t="shared" si="121"/>
        <v>49.515338941105028</v>
      </c>
      <c r="AQ104" s="118">
        <f t="shared" si="104"/>
        <v>0</v>
      </c>
      <c r="AR104" s="82" t="str">
        <f t="shared" si="122"/>
        <v>https://www.alta.ru/tnved/code/8708913509/</v>
      </c>
      <c r="AS104" s="157"/>
      <c r="AT104" s="162"/>
      <c r="AU104" s="74">
        <f t="shared" si="105"/>
        <v>0</v>
      </c>
      <c r="AV104" s="157"/>
      <c r="AW104" s="75">
        <f>_xlfn.IFNA(VLOOKUP(L104,list_vat[],3,FALSE),0)</f>
        <v>0.02</v>
      </c>
      <c r="AX104" s="74">
        <f t="shared" si="123"/>
        <v>861.2</v>
      </c>
      <c r="AY104" s="74">
        <f t="shared" si="124"/>
        <v>861.2</v>
      </c>
      <c r="AZ104" s="130">
        <f t="shared" si="125"/>
        <v>954.07292717086841</v>
      </c>
      <c r="BA104" s="74">
        <f t="shared" si="106"/>
        <v>25.273878539993664</v>
      </c>
      <c r="BB104" s="193">
        <f t="shared" si="126"/>
        <v>0</v>
      </c>
      <c r="BC104" s="102">
        <f t="shared" si="127"/>
        <v>3.2880617394776498E-3</v>
      </c>
      <c r="BD104" s="102">
        <f t="shared" si="128"/>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7"/>
        <v>0</v>
      </c>
      <c r="J105" s="195"/>
      <c r="K105" s="162">
        <v>6283.21</v>
      </c>
      <c r="L105" s="168" t="s">
        <v>22</v>
      </c>
      <c r="M105" s="75">
        <f>_xlfn.XLOOKUP(L105,list_vat[Страна],list_vat[Ставка НДС %],0,0)</f>
        <v>0.13</v>
      </c>
      <c r="N105" s="162">
        <f t="shared" si="108"/>
        <v>6283.21</v>
      </c>
      <c r="O105" s="169"/>
      <c r="P105" s="74">
        <f t="shared" si="129"/>
        <v>6283.21</v>
      </c>
      <c r="Q105" s="162">
        <v>7.14</v>
      </c>
      <c r="R105" s="162">
        <f t="shared" si="109"/>
        <v>880.00140056022417</v>
      </c>
      <c r="S105" s="196">
        <f t="shared" si="110"/>
        <v>880.00140056022417</v>
      </c>
      <c r="T105" s="192">
        <f t="shared" si="111"/>
        <v>12.416880619751028</v>
      </c>
      <c r="U105" s="76">
        <f t="shared" si="112"/>
        <v>8.5676202112435345</v>
      </c>
      <c r="V105" s="123">
        <f t="shared" si="113"/>
        <v>20.984500830994563</v>
      </c>
      <c r="W105" s="191">
        <v>8409990009</v>
      </c>
      <c r="X105" s="170">
        <v>0.05</v>
      </c>
      <c r="Y105" s="74">
        <f t="shared" si="99"/>
        <v>45.5</v>
      </c>
      <c r="Z105" s="188"/>
      <c r="AA105" s="130">
        <f t="shared" si="114"/>
        <v>972.83</v>
      </c>
      <c r="AB105" s="74">
        <f t="shared" si="115"/>
        <v>972.83</v>
      </c>
      <c r="AC105" s="356">
        <v>0.19</v>
      </c>
      <c r="AD105" s="130" cm="1">
        <f t="array" ref="AD105">IFERROR(ROUND((_xlfn.IFS(offer_sale_type="поставка",AB105,offer_sale_type="транзит",S105)*(1+AC105))/E105,2),0)</f>
        <v>1157.67</v>
      </c>
      <c r="AE105" s="74">
        <f t="shared" si="116"/>
        <v>1157.67</v>
      </c>
      <c r="AF105" s="123" cm="1">
        <f t="array" ref="AF105">IFERROR(ROUND(_xlfn.IFS(offer_sale_type="поставка",AB105,offer_sale_type="транзит",S105)*AC105,2),0)</f>
        <v>184.84</v>
      </c>
      <c r="AG105" s="130">
        <f t="shared" si="63"/>
        <v>0</v>
      </c>
      <c r="AH105" s="74">
        <f t="shared" si="100"/>
        <v>35.346123896943283</v>
      </c>
      <c r="AI105" s="123">
        <f t="shared" si="101"/>
        <v>20.534129898109306</v>
      </c>
      <c r="AJ105" s="118">
        <f t="shared" si="117"/>
        <v>1213.55</v>
      </c>
      <c r="AK105" s="74">
        <f t="shared" si="118"/>
        <v>1213.55</v>
      </c>
      <c r="AL105" s="174">
        <f t="shared" si="119"/>
        <v>1456.26</v>
      </c>
      <c r="AM105" s="175">
        <f t="shared" si="102"/>
        <v>1456.26</v>
      </c>
      <c r="AN105" s="130">
        <f t="shared" si="120"/>
        <v>242.71000000000004</v>
      </c>
      <c r="AO105" s="74">
        <f t="shared" si="103"/>
        <v>191.10337612395023</v>
      </c>
      <c r="AP105" s="123">
        <f t="shared" si="121"/>
        <v>51.606623876049809</v>
      </c>
      <c r="AQ105" s="118">
        <f t="shared" si="104"/>
        <v>0</v>
      </c>
      <c r="AR105" s="82" t="str">
        <f t="shared" si="122"/>
        <v>https://www.alta.ru/tnved/code/8409990009/</v>
      </c>
      <c r="AS105" s="157"/>
      <c r="AT105" s="162"/>
      <c r="AU105" s="74">
        <f t="shared" si="105"/>
        <v>0</v>
      </c>
      <c r="AV105" s="157"/>
      <c r="AW105" s="75">
        <f>_xlfn.IFNA(VLOOKUP(L105,list_vat[],3,FALSE),0)</f>
        <v>0.02</v>
      </c>
      <c r="AX105" s="74">
        <f t="shared" si="123"/>
        <v>897.6</v>
      </c>
      <c r="AY105" s="74">
        <f t="shared" si="124"/>
        <v>897.6</v>
      </c>
      <c r="AZ105" s="130">
        <f t="shared" si="125"/>
        <v>994.40158263305318</v>
      </c>
      <c r="BA105" s="74">
        <f t="shared" si="106"/>
        <v>26.342205195960045</v>
      </c>
      <c r="BB105" s="193">
        <f t="shared" si="126"/>
        <v>0</v>
      </c>
      <c r="BC105" s="102">
        <f t="shared" si="127"/>
        <v>3.4270480844974137E-3</v>
      </c>
      <c r="BD105" s="102">
        <f t="shared" si="128"/>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7"/>
        <v>0</v>
      </c>
      <c r="J106" s="195"/>
      <c r="K106" s="162">
        <v>6428.6</v>
      </c>
      <c r="L106" s="168" t="s">
        <v>22</v>
      </c>
      <c r="M106" s="75">
        <f>_xlfn.XLOOKUP(L106,list_vat[Страна],list_vat[Ставка НДС %],0,0)</f>
        <v>0.13</v>
      </c>
      <c r="N106" s="162">
        <f t="shared" si="108"/>
        <v>6428.6</v>
      </c>
      <c r="O106" s="169"/>
      <c r="P106" s="74">
        <f t="shared" si="129"/>
        <v>6428.6</v>
      </c>
      <c r="Q106" s="162">
        <v>7.14</v>
      </c>
      <c r="R106" s="162">
        <f t="shared" si="109"/>
        <v>900.3641456582634</v>
      </c>
      <c r="S106" s="196">
        <f t="shared" si="110"/>
        <v>900.3641456582634</v>
      </c>
      <c r="T106" s="192">
        <f t="shared" si="111"/>
        <v>12.704200361301224</v>
      </c>
      <c r="U106" s="76">
        <f t="shared" si="112"/>
        <v>8.765870198513209</v>
      </c>
      <c r="V106" s="123">
        <f t="shared" si="113"/>
        <v>21.470070559814431</v>
      </c>
      <c r="W106" s="191">
        <v>8413308008</v>
      </c>
      <c r="X106" s="170">
        <v>0</v>
      </c>
      <c r="Y106" s="74">
        <f t="shared" si="99"/>
        <v>0</v>
      </c>
      <c r="Z106" s="188"/>
      <c r="AA106" s="130">
        <f t="shared" si="114"/>
        <v>948.79</v>
      </c>
      <c r="AB106" s="74">
        <f t="shared" si="115"/>
        <v>948.79</v>
      </c>
      <c r="AC106" s="356">
        <v>0.19</v>
      </c>
      <c r="AD106" s="130" cm="1">
        <f t="array" ref="AD106">IFERROR(ROUND((_xlfn.IFS(offer_sale_type="поставка",AB106,offer_sale_type="транзит",S106)*(1+AC106))/E106,2),0)</f>
        <v>1129.06</v>
      </c>
      <c r="AE106" s="74">
        <f t="shared" si="116"/>
        <v>1129.06</v>
      </c>
      <c r="AF106" s="123" cm="1">
        <f t="array" ref="AF106">IFERROR(ROUND(_xlfn.IFS(offer_sale_type="поставка",AB106,offer_sale_type="транзит",S106)*AC106,2),0)</f>
        <v>180.27</v>
      </c>
      <c r="AG106" s="130">
        <f t="shared" si="63"/>
        <v>0</v>
      </c>
      <c r="AH106" s="74">
        <f t="shared" si="100"/>
        <v>34.502078348788203</v>
      </c>
      <c r="AI106" s="123">
        <f t="shared" si="101"/>
        <v>21.009278292940309</v>
      </c>
      <c r="AJ106" s="118">
        <f t="shared" si="117"/>
        <v>1184.57</v>
      </c>
      <c r="AK106" s="74">
        <f t="shared" si="118"/>
        <v>1184.57</v>
      </c>
      <c r="AL106" s="174">
        <f t="shared" si="119"/>
        <v>1421.48</v>
      </c>
      <c r="AM106" s="175">
        <f t="shared" si="102"/>
        <v>1421.48</v>
      </c>
      <c r="AN106" s="130">
        <f t="shared" si="120"/>
        <v>236.91000000000008</v>
      </c>
      <c r="AO106" s="74">
        <f t="shared" si="103"/>
        <v>186.21484007226024</v>
      </c>
      <c r="AP106" s="123">
        <f t="shared" si="121"/>
        <v>50.695159927739837</v>
      </c>
      <c r="AQ106" s="118">
        <f t="shared" si="104"/>
        <v>0</v>
      </c>
      <c r="AR106" s="82" t="str">
        <f t="shared" si="122"/>
        <v>https://www.alta.ru/tnved/code/8413308008/</v>
      </c>
      <c r="AS106" s="157"/>
      <c r="AT106" s="162"/>
      <c r="AU106" s="74">
        <f t="shared" si="105"/>
        <v>0</v>
      </c>
      <c r="AV106" s="157"/>
      <c r="AW106" s="75">
        <f>_xlfn.IFNA(VLOOKUP(L106,list_vat[],3,FALSE),0)</f>
        <v>0.02</v>
      </c>
      <c r="AX106" s="74">
        <f t="shared" si="123"/>
        <v>918.37</v>
      </c>
      <c r="AY106" s="74">
        <f t="shared" si="124"/>
        <v>918.37</v>
      </c>
      <c r="AZ106" s="130">
        <f t="shared" si="125"/>
        <v>1017.4114845938375</v>
      </c>
      <c r="BA106" s="74">
        <f t="shared" si="106"/>
        <v>26.951749236894639</v>
      </c>
      <c r="BB106" s="193">
        <f t="shared" si="126"/>
        <v>0</v>
      </c>
      <c r="BC106" s="102">
        <f t="shared" si="127"/>
        <v>3.5063480794052838E-3</v>
      </c>
      <c r="BD106" s="102">
        <f t="shared" si="128"/>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7"/>
        <v>0</v>
      </c>
      <c r="J107" s="195"/>
      <c r="K107" s="162">
        <v>5921.24</v>
      </c>
      <c r="L107" s="168" t="s">
        <v>22</v>
      </c>
      <c r="M107" s="75">
        <f>_xlfn.XLOOKUP(L107,list_vat[Страна],list_vat[Ставка НДС %],0,0)</f>
        <v>0.13</v>
      </c>
      <c r="N107" s="162">
        <f t="shared" si="108"/>
        <v>5921.24</v>
      </c>
      <c r="O107" s="169"/>
      <c r="P107" s="74">
        <f t="shared" si="129"/>
        <v>5921.24</v>
      </c>
      <c r="Q107" s="162">
        <v>7.14</v>
      </c>
      <c r="R107" s="162">
        <f t="shared" si="109"/>
        <v>829.30532212885157</v>
      </c>
      <c r="S107" s="196">
        <f t="shared" si="110"/>
        <v>829.30532212885157</v>
      </c>
      <c r="T107" s="192">
        <f t="shared" si="111"/>
        <v>11.701555447119318</v>
      </c>
      <c r="U107" s="76">
        <f t="shared" si="112"/>
        <v>8.0740474215605822</v>
      </c>
      <c r="V107" s="123">
        <f t="shared" si="113"/>
        <v>19.775602868679901</v>
      </c>
      <c r="W107" s="191">
        <v>8409990009</v>
      </c>
      <c r="X107" s="170">
        <v>0.05</v>
      </c>
      <c r="Y107" s="74">
        <f t="shared" si="99"/>
        <v>42.88</v>
      </c>
      <c r="Z107" s="188"/>
      <c r="AA107" s="130">
        <f t="shared" si="114"/>
        <v>916.79</v>
      </c>
      <c r="AB107" s="74">
        <f t="shared" si="115"/>
        <v>916.79</v>
      </c>
      <c r="AC107" s="356">
        <v>0.19</v>
      </c>
      <c r="AD107" s="130" cm="1">
        <f t="array" ref="AD107">IFERROR(ROUND((_xlfn.IFS(offer_sale_type="поставка",AB107,offer_sale_type="транзит",S107)*(1+AC107))/E107,2),0)</f>
        <v>1090.98</v>
      </c>
      <c r="AE107" s="74">
        <f t="shared" si="116"/>
        <v>1090.98</v>
      </c>
      <c r="AF107" s="123" cm="1">
        <f t="array" ref="AF107">IFERROR(ROUND(_xlfn.IFS(offer_sale_type="поставка",AB107,offer_sale_type="транзит",S107)*AC107,2),0)</f>
        <v>174.19</v>
      </c>
      <c r="AG107" s="130">
        <f t="shared" si="63"/>
        <v>0</v>
      </c>
      <c r="AH107" s="74">
        <f t="shared" si="100"/>
        <v>33.309935321839696</v>
      </c>
      <c r="AI107" s="123">
        <f t="shared" si="101"/>
        <v>19.351177394656673</v>
      </c>
      <c r="AJ107" s="118">
        <f t="shared" si="117"/>
        <v>1143.6400000000001</v>
      </c>
      <c r="AK107" s="74">
        <f t="shared" si="118"/>
        <v>1143.6400000000001</v>
      </c>
      <c r="AL107" s="174">
        <f t="shared" si="119"/>
        <v>1372.37</v>
      </c>
      <c r="AM107" s="175">
        <f t="shared" si="102"/>
        <v>1372.37</v>
      </c>
      <c r="AN107" s="130">
        <f t="shared" si="120"/>
        <v>228.72999999999979</v>
      </c>
      <c r="AO107" s="74">
        <f t="shared" si="103"/>
        <v>180.09431108942385</v>
      </c>
      <c r="AP107" s="123">
        <f t="shared" si="121"/>
        <v>48.635688910575936</v>
      </c>
      <c r="AQ107" s="118">
        <f t="shared" si="104"/>
        <v>0</v>
      </c>
      <c r="AR107" s="82" t="str">
        <f t="shared" si="122"/>
        <v>https://www.alta.ru/tnved/code/8409990009/</v>
      </c>
      <c r="AS107" s="157"/>
      <c r="AT107" s="162"/>
      <c r="AU107" s="74">
        <f t="shared" si="105"/>
        <v>0</v>
      </c>
      <c r="AV107" s="157"/>
      <c r="AW107" s="75">
        <f>_xlfn.IFNA(VLOOKUP(L107,list_vat[],3,FALSE),0)</f>
        <v>0.02</v>
      </c>
      <c r="AX107" s="74">
        <f t="shared" si="123"/>
        <v>845.89</v>
      </c>
      <c r="AY107" s="74">
        <f t="shared" si="124"/>
        <v>845.89</v>
      </c>
      <c r="AZ107" s="130">
        <f t="shared" si="125"/>
        <v>937.11501400560223</v>
      </c>
      <c r="BA107" s="74">
        <f t="shared" si="106"/>
        <v>24.8246547695408</v>
      </c>
      <c r="BB107" s="193">
        <f t="shared" si="126"/>
        <v>0</v>
      </c>
      <c r="BC107" s="102">
        <f t="shared" si="127"/>
        <v>3.2296189686242325E-3</v>
      </c>
      <c r="BD107" s="102">
        <f t="shared" si="128"/>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7"/>
        <v>0</v>
      </c>
      <c r="J108" s="195"/>
      <c r="K108" s="162">
        <v>7166.42</v>
      </c>
      <c r="L108" s="168" t="s">
        <v>22</v>
      </c>
      <c r="M108" s="75">
        <f>_xlfn.XLOOKUP(L108,list_vat[Страна],list_vat[Ставка НДС %],0,0)</f>
        <v>0.13</v>
      </c>
      <c r="N108" s="162">
        <f t="shared" si="108"/>
        <v>7166.42</v>
      </c>
      <c r="O108" s="169"/>
      <c r="P108" s="74">
        <f t="shared" si="129"/>
        <v>7166.42</v>
      </c>
      <c r="Q108" s="162">
        <v>7.14</v>
      </c>
      <c r="R108" s="162">
        <f t="shared" si="109"/>
        <v>1003.7002801120449</v>
      </c>
      <c r="S108" s="196">
        <f t="shared" si="110"/>
        <v>1003.7002801120449</v>
      </c>
      <c r="T108" s="192">
        <f t="shared" si="111"/>
        <v>14.162280364812919</v>
      </c>
      <c r="U108" s="76">
        <f t="shared" si="112"/>
        <v>9.7719421815059331</v>
      </c>
      <c r="V108" s="123">
        <f t="shared" si="113"/>
        <v>23.93422254631885</v>
      </c>
      <c r="W108" s="191">
        <v>8409990009</v>
      </c>
      <c r="X108" s="170">
        <v>0.05</v>
      </c>
      <c r="Y108" s="74">
        <f t="shared" si="99"/>
        <v>51.9</v>
      </c>
      <c r="Z108" s="188"/>
      <c r="AA108" s="130">
        <f t="shared" si="114"/>
        <v>1109.58</v>
      </c>
      <c r="AB108" s="74">
        <f t="shared" si="115"/>
        <v>1109.58</v>
      </c>
      <c r="AC108" s="356">
        <v>0.19</v>
      </c>
      <c r="AD108" s="130" cm="1">
        <f t="array" ref="AD108">IFERROR(ROUND((_xlfn.IFS(offer_sale_type="поставка",AB108,offer_sale_type="транзит",S108)*(1+AC108))/E108,2),0)</f>
        <v>1320.4</v>
      </c>
      <c r="AE108" s="74">
        <f t="shared" si="116"/>
        <v>1320.4</v>
      </c>
      <c r="AF108" s="123" cm="1">
        <f t="array" ref="AF108">IFERROR(ROUND(_xlfn.IFS(offer_sale_type="поставка",AB108,offer_sale_type="транзит",S108)*AC108,2),0)</f>
        <v>210.82</v>
      </c>
      <c r="AG108" s="130">
        <f t="shared" si="63"/>
        <v>0</v>
      </c>
      <c r="AH108" s="74">
        <f t="shared" si="100"/>
        <v>40.314616333933181</v>
      </c>
      <c r="AI108" s="123">
        <f t="shared" si="101"/>
        <v>23.420544464439114</v>
      </c>
      <c r="AJ108" s="118">
        <f t="shared" si="117"/>
        <v>1384.14</v>
      </c>
      <c r="AK108" s="74">
        <f t="shared" si="118"/>
        <v>1384.14</v>
      </c>
      <c r="AL108" s="174">
        <f t="shared" si="119"/>
        <v>1660.97</v>
      </c>
      <c r="AM108" s="175">
        <f t="shared" si="102"/>
        <v>1660.97</v>
      </c>
      <c r="AN108" s="130">
        <f t="shared" si="120"/>
        <v>276.82999999999993</v>
      </c>
      <c r="AO108" s="74">
        <f t="shared" si="103"/>
        <v>217.96645607296261</v>
      </c>
      <c r="AP108" s="123">
        <f t="shared" si="121"/>
        <v>58.863543927037313</v>
      </c>
      <c r="AQ108" s="118">
        <f t="shared" si="104"/>
        <v>0</v>
      </c>
      <c r="AR108" s="82" t="str">
        <f t="shared" si="122"/>
        <v>https://www.alta.ru/tnved/code/8409990009/</v>
      </c>
      <c r="AS108" s="157"/>
      <c r="AT108" s="162"/>
      <c r="AU108" s="74">
        <f t="shared" si="105"/>
        <v>0</v>
      </c>
      <c r="AV108" s="157"/>
      <c r="AW108" s="75">
        <f>_xlfn.IFNA(VLOOKUP(L108,list_vat[],3,FALSE),0)</f>
        <v>0.02</v>
      </c>
      <c r="AX108" s="74">
        <f t="shared" si="123"/>
        <v>1023.77</v>
      </c>
      <c r="AY108" s="74">
        <f t="shared" si="124"/>
        <v>1023.77</v>
      </c>
      <c r="AZ108" s="130">
        <f t="shared" si="125"/>
        <v>1134.1813165266105</v>
      </c>
      <c r="BA108" s="74">
        <f t="shared" si="106"/>
        <v>30.045041652345219</v>
      </c>
      <c r="BB108" s="193">
        <f t="shared" si="126"/>
        <v>0</v>
      </c>
      <c r="BC108" s="102">
        <f t="shared" si="127"/>
        <v>3.9087768726023733E-3</v>
      </c>
      <c r="BD108" s="102">
        <f t="shared" si="128"/>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7"/>
        <v>0</v>
      </c>
      <c r="J109" s="195"/>
      <c r="K109" s="162">
        <v>5584.82</v>
      </c>
      <c r="L109" s="168" t="s">
        <v>22</v>
      </c>
      <c r="M109" s="75">
        <f>_xlfn.XLOOKUP(L109,list_vat[Страна],list_vat[Ставка НДС %],0,0)</f>
        <v>0.13</v>
      </c>
      <c r="N109" s="162">
        <f t="shared" si="108"/>
        <v>5584.82</v>
      </c>
      <c r="O109" s="169"/>
      <c r="P109" s="74">
        <f t="shared" si="129"/>
        <v>5584.82</v>
      </c>
      <c r="Q109" s="162">
        <v>7.14</v>
      </c>
      <c r="R109" s="162">
        <f t="shared" si="109"/>
        <v>782.18767507002804</v>
      </c>
      <c r="S109" s="196">
        <f t="shared" si="110"/>
        <v>782.18767507002804</v>
      </c>
      <c r="T109" s="192">
        <f t="shared" si="111"/>
        <v>11.036722188626186</v>
      </c>
      <c r="U109" s="76">
        <f t="shared" si="112"/>
        <v>7.6153139411474573</v>
      </c>
      <c r="V109" s="123">
        <f t="shared" si="113"/>
        <v>18.652036129773641</v>
      </c>
      <c r="W109" s="191">
        <v>8409990009</v>
      </c>
      <c r="X109" s="170">
        <v>0.05</v>
      </c>
      <c r="Y109" s="74">
        <f t="shared" si="99"/>
        <v>40.44</v>
      </c>
      <c r="Z109" s="188"/>
      <c r="AA109" s="130">
        <f t="shared" si="114"/>
        <v>864.69</v>
      </c>
      <c r="AB109" s="74">
        <f t="shared" si="115"/>
        <v>864.69</v>
      </c>
      <c r="AC109" s="356">
        <v>0.19</v>
      </c>
      <c r="AD109" s="130" cm="1">
        <f t="array" ref="AD109">IFERROR(ROUND((_xlfn.IFS(offer_sale_type="поставка",AB109,offer_sale_type="транзит",S109)*(1+AC109))/E109,2),0)</f>
        <v>1028.98</v>
      </c>
      <c r="AE109" s="74">
        <f t="shared" si="116"/>
        <v>1028.98</v>
      </c>
      <c r="AF109" s="123" cm="1">
        <f t="array" ref="AF109">IFERROR(ROUND(_xlfn.IFS(offer_sale_type="поставка",AB109,offer_sale_type="транзит",S109)*AC109,2),0)</f>
        <v>164.29</v>
      </c>
      <c r="AG109" s="130">
        <f t="shared" si="63"/>
        <v>0</v>
      </c>
      <c r="AH109" s="74">
        <f t="shared" si="100"/>
        <v>31.416951741884603</v>
      </c>
      <c r="AI109" s="123">
        <f t="shared" si="101"/>
        <v>18.25172472948681</v>
      </c>
      <c r="AJ109" s="118">
        <f t="shared" si="117"/>
        <v>1078.6500000000001</v>
      </c>
      <c r="AK109" s="74">
        <f t="shared" si="118"/>
        <v>1078.6500000000001</v>
      </c>
      <c r="AL109" s="174">
        <f t="shared" si="119"/>
        <v>1294.3800000000001</v>
      </c>
      <c r="AM109" s="175">
        <f t="shared" si="102"/>
        <v>1294.3800000000001</v>
      </c>
      <c r="AN109" s="130">
        <f t="shared" si="120"/>
        <v>215.73000000000002</v>
      </c>
      <c r="AO109" s="74">
        <f t="shared" si="103"/>
        <v>169.86134443772525</v>
      </c>
      <c r="AP109" s="123">
        <f t="shared" si="121"/>
        <v>45.868655562274768</v>
      </c>
      <c r="AQ109" s="118">
        <f t="shared" si="104"/>
        <v>0</v>
      </c>
      <c r="AR109" s="82" t="str">
        <f t="shared" si="122"/>
        <v>https://www.alta.ru/tnved/code/8409990009/</v>
      </c>
      <c r="AS109" s="157"/>
      <c r="AT109" s="162"/>
      <c r="AU109" s="74">
        <f t="shared" si="105"/>
        <v>0</v>
      </c>
      <c r="AV109" s="157"/>
      <c r="AW109" s="75">
        <f>_xlfn.IFNA(VLOOKUP(L109,list_vat[],3,FALSE),0)</f>
        <v>0.02</v>
      </c>
      <c r="AX109" s="74">
        <f t="shared" si="123"/>
        <v>797.83</v>
      </c>
      <c r="AY109" s="74">
        <f t="shared" si="124"/>
        <v>797.83</v>
      </c>
      <c r="AZ109" s="130">
        <f t="shared" si="125"/>
        <v>883.87207282913164</v>
      </c>
      <c r="BA109" s="74">
        <f t="shared" si="106"/>
        <v>23.414222097065288</v>
      </c>
      <c r="BB109" s="193">
        <f t="shared" si="126"/>
        <v>0</v>
      </c>
      <c r="BC109" s="102">
        <f t="shared" si="127"/>
        <v>3.0461255764589828E-3</v>
      </c>
      <c r="BD109" s="102">
        <f t="shared" si="128"/>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7"/>
        <v>0</v>
      </c>
      <c r="J110" s="195"/>
      <c r="K110" s="162">
        <v>7559.68</v>
      </c>
      <c r="L110" s="168" t="s">
        <v>22</v>
      </c>
      <c r="M110" s="75">
        <f>_xlfn.XLOOKUP(L110,list_vat[Страна],list_vat[Ставка НДС %],0,0)</f>
        <v>0.13</v>
      </c>
      <c r="N110" s="162">
        <f t="shared" si="108"/>
        <v>7559.68</v>
      </c>
      <c r="O110" s="169"/>
      <c r="P110" s="74">
        <f t="shared" si="129"/>
        <v>7559.68</v>
      </c>
      <c r="Q110" s="162">
        <v>7.14</v>
      </c>
      <c r="R110" s="162">
        <f t="shared" si="109"/>
        <v>1058.7787114845939</v>
      </c>
      <c r="S110" s="196">
        <f t="shared" si="110"/>
        <v>1058.7787114845939</v>
      </c>
      <c r="T110" s="192">
        <f t="shared" si="111"/>
        <v>14.939440840512962</v>
      </c>
      <c r="U110" s="76">
        <f t="shared" si="112"/>
        <v>10.308181193774125</v>
      </c>
      <c r="V110" s="123">
        <f t="shared" si="113"/>
        <v>25.247622034287087</v>
      </c>
      <c r="W110" s="191">
        <v>8484900000</v>
      </c>
      <c r="X110" s="170">
        <v>0</v>
      </c>
      <c r="Y110" s="74">
        <f t="shared" si="99"/>
        <v>0</v>
      </c>
      <c r="Z110" s="188"/>
      <c r="AA110" s="130">
        <f t="shared" si="114"/>
        <v>1115.72</v>
      </c>
      <c r="AB110" s="74">
        <f t="shared" si="115"/>
        <v>1115.72</v>
      </c>
      <c r="AC110" s="356">
        <v>0.19</v>
      </c>
      <c r="AD110" s="130" cm="1">
        <f t="array" ref="AD110">IFERROR(ROUND((_xlfn.IFS(offer_sale_type="поставка",AB110,offer_sale_type="транзит",S110)*(1+AC110))/E110,2),0)</f>
        <v>1327.71</v>
      </c>
      <c r="AE110" s="74">
        <f t="shared" si="116"/>
        <v>1327.71</v>
      </c>
      <c r="AF110" s="123" cm="1">
        <f t="array" ref="AF110">IFERROR(ROUND(_xlfn.IFS(offer_sale_type="поставка",AB110,offer_sale_type="транзит",S110)*AC110,2),0)</f>
        <v>211.99</v>
      </c>
      <c r="AG110" s="130">
        <f t="shared" si="63"/>
        <v>0</v>
      </c>
      <c r="AH110" s="74">
        <f t="shared" si="100"/>
        <v>40.572472670218588</v>
      </c>
      <c r="AI110" s="123">
        <f t="shared" si="101"/>
        <v>24.705755673953117</v>
      </c>
      <c r="AJ110" s="118">
        <f t="shared" si="117"/>
        <v>1392.99</v>
      </c>
      <c r="AK110" s="74">
        <f t="shared" si="118"/>
        <v>1392.99</v>
      </c>
      <c r="AL110" s="174">
        <f t="shared" si="119"/>
        <v>1671.59</v>
      </c>
      <c r="AM110" s="175">
        <f t="shared" si="102"/>
        <v>1671.59</v>
      </c>
      <c r="AN110" s="130">
        <f t="shared" si="120"/>
        <v>278.59999999999991</v>
      </c>
      <c r="AO110" s="74">
        <f t="shared" si="103"/>
        <v>218.97788816810262</v>
      </c>
      <c r="AP110" s="123">
        <f t="shared" si="121"/>
        <v>59.622111831897286</v>
      </c>
      <c r="AQ110" s="118">
        <f t="shared" si="104"/>
        <v>0</v>
      </c>
      <c r="AR110" s="82" t="str">
        <f t="shared" si="122"/>
        <v>https://www.alta.ru/tnved/code/8484900000/</v>
      </c>
      <c r="AS110" s="157"/>
      <c r="AT110" s="162"/>
      <c r="AU110" s="74">
        <f t="shared" si="105"/>
        <v>0</v>
      </c>
      <c r="AV110" s="157"/>
      <c r="AW110" s="75">
        <f>_xlfn.IFNA(VLOOKUP(L110,list_vat[],3,FALSE),0)</f>
        <v>0.02</v>
      </c>
      <c r="AX110" s="74">
        <f t="shared" si="123"/>
        <v>1079.95</v>
      </c>
      <c r="AY110" s="74">
        <f t="shared" si="124"/>
        <v>1079.95</v>
      </c>
      <c r="AZ110" s="130">
        <f t="shared" si="125"/>
        <v>1196.4199439775909</v>
      </c>
      <c r="BA110" s="74">
        <f t="shared" si="106"/>
        <v>31.693774643183218</v>
      </c>
      <c r="BB110" s="193">
        <f t="shared" si="126"/>
        <v>0</v>
      </c>
      <c r="BC110" s="102">
        <f t="shared" si="127"/>
        <v>4.1232724775096498E-3</v>
      </c>
      <c r="BD110" s="102">
        <f t="shared" si="128"/>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7"/>
        <v>0</v>
      </c>
      <c r="J111" s="195"/>
      <c r="K111" s="162">
        <v>5944.84</v>
      </c>
      <c r="L111" s="168" t="s">
        <v>22</v>
      </c>
      <c r="M111" s="75">
        <f>_xlfn.XLOOKUP(L111,list_vat[Страна],list_vat[Ставка НДС %],0,0)</f>
        <v>0.13</v>
      </c>
      <c r="N111" s="162">
        <f t="shared" si="108"/>
        <v>5944.84</v>
      </c>
      <c r="O111" s="169"/>
      <c r="P111" s="74">
        <f t="shared" si="129"/>
        <v>5944.84</v>
      </c>
      <c r="Q111" s="162">
        <v>7.14</v>
      </c>
      <c r="R111" s="162">
        <f t="shared" si="109"/>
        <v>832.61064425770314</v>
      </c>
      <c r="S111" s="196">
        <f t="shared" si="110"/>
        <v>832.61064425770314</v>
      </c>
      <c r="T111" s="192">
        <f t="shared" si="111"/>
        <v>11.748193770942036</v>
      </c>
      <c r="U111" s="76">
        <f t="shared" si="112"/>
        <v>8.1062277620211667</v>
      </c>
      <c r="V111" s="123">
        <f t="shared" si="113"/>
        <v>19.854421532963201</v>
      </c>
      <c r="W111" s="191">
        <v>8483908100</v>
      </c>
      <c r="X111" s="170">
        <v>0.05</v>
      </c>
      <c r="Y111" s="74">
        <f t="shared" si="99"/>
        <v>43.05</v>
      </c>
      <c r="Z111" s="188"/>
      <c r="AA111" s="130">
        <f t="shared" si="114"/>
        <v>920.44</v>
      </c>
      <c r="AB111" s="74">
        <f t="shared" si="115"/>
        <v>920.44</v>
      </c>
      <c r="AC111" s="356">
        <v>0.19</v>
      </c>
      <c r="AD111" s="130" cm="1">
        <f t="array" ref="AD111">IFERROR(ROUND((_xlfn.IFS(offer_sale_type="поставка",AB111,offer_sale_type="транзит",S111)*(1+AC111))/E111,2),0)</f>
        <v>1095.32</v>
      </c>
      <c r="AE111" s="74">
        <f t="shared" si="116"/>
        <v>1095.32</v>
      </c>
      <c r="AF111" s="123" cm="1">
        <f t="array" ref="AF111">IFERROR(ROUND(_xlfn.IFS(offer_sale_type="поставка",AB111,offer_sale_type="транзит",S111)*AC111,2),0)</f>
        <v>174.88</v>
      </c>
      <c r="AG111" s="130">
        <f t="shared" si="63"/>
        <v>0</v>
      </c>
      <c r="AH111" s="74">
        <f t="shared" si="100"/>
        <v>33.442449133405425</v>
      </c>
      <c r="AI111" s="123">
        <f t="shared" si="101"/>
        <v>19.428304446847413</v>
      </c>
      <c r="AJ111" s="118">
        <f t="shared" si="117"/>
        <v>1148.19</v>
      </c>
      <c r="AK111" s="74">
        <f t="shared" si="118"/>
        <v>1148.19</v>
      </c>
      <c r="AL111" s="174">
        <f t="shared" si="119"/>
        <v>1377.83</v>
      </c>
      <c r="AM111" s="175">
        <f t="shared" si="102"/>
        <v>1377.83</v>
      </c>
      <c r="AN111" s="130">
        <f t="shared" si="120"/>
        <v>229.63999999999987</v>
      </c>
      <c r="AO111" s="74">
        <f t="shared" si="103"/>
        <v>180.81163875418841</v>
      </c>
      <c r="AP111" s="123">
        <f t="shared" si="121"/>
        <v>48.828361245811465</v>
      </c>
      <c r="AQ111" s="118">
        <f t="shared" si="104"/>
        <v>0</v>
      </c>
      <c r="AR111" s="82" t="str">
        <f t="shared" si="122"/>
        <v>https://www.alta.ru/tnved/code/8483908100/</v>
      </c>
      <c r="AS111" s="157"/>
      <c r="AT111" s="162"/>
      <c r="AU111" s="74">
        <f t="shared" si="105"/>
        <v>0</v>
      </c>
      <c r="AV111" s="157"/>
      <c r="AW111" s="75">
        <f>_xlfn.IFNA(VLOOKUP(L111,list_vat[],3,FALSE),0)</f>
        <v>0.02</v>
      </c>
      <c r="AX111" s="74">
        <f t="shared" si="123"/>
        <v>849.26</v>
      </c>
      <c r="AY111" s="74">
        <f t="shared" si="124"/>
        <v>849.26</v>
      </c>
      <c r="AZ111" s="130">
        <f t="shared" si="125"/>
        <v>940.85002801120447</v>
      </c>
      <c r="BA111" s="74">
        <f t="shared" si="106"/>
        <v>24.923597195884131</v>
      </c>
      <c r="BB111" s="193">
        <f t="shared" si="126"/>
        <v>0</v>
      </c>
      <c r="BC111" s="102">
        <f t="shared" si="127"/>
        <v>3.2424911048084667E-3</v>
      </c>
      <c r="BD111" s="102">
        <f t="shared" si="128"/>
        <v>3.2424911048084667E-3</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3"/>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3"/>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3"/>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3"/>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3"/>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3"/>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3"/>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3"/>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3"/>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3"/>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3"/>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3"/>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3"/>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3"/>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3"/>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3"/>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3"/>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3"/>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3"/>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3"/>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3"/>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3"/>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3"/>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3"/>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3"/>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3"/>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3"/>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3"/>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3"/>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3"/>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3"/>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3"/>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3"/>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3"/>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3"/>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3"/>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3"/>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3"/>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3"/>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3"/>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3"/>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3"/>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3"/>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3"/>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3"/>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3"/>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3"/>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3"/>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3"/>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3"/>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3"/>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3"/>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3"/>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3"/>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3"/>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3"/>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3"/>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3"/>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3"/>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3"/>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3"/>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3"/>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3"/>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3"/>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207"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3"/>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3"/>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3"/>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3"/>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3"/>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3"/>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3"/>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3"/>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3"/>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3"/>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3"/>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3"/>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3"/>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3"/>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3"/>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3"/>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3"/>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3"/>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3"/>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3"/>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3"/>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3"/>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3"/>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3"/>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3"/>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3"/>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3"/>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3"/>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3"/>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3"/>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3"/>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3"/>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5" t="str">
        <f>+UPPER("Коммерческое предложение")</f>
        <v>КОММЕРЧЕСКОЕ ПРЕДЛОЖЕНИЕ</v>
      </c>
      <c r="C2" s="665"/>
      <c r="D2" s="665"/>
      <c r="E2" s="665"/>
      <c r="F2" s="665"/>
      <c r="G2" s="665"/>
      <c r="H2" s="665"/>
      <c r="I2" s="665"/>
      <c r="J2" s="665"/>
      <c r="K2" s="665"/>
      <c r="L2" s="665"/>
      <c r="M2" s="665"/>
      <c r="N2" s="665"/>
      <c r="O2" s="665"/>
      <c r="P2" s="665"/>
      <c r="Q2" s="665"/>
      <c r="R2" s="665"/>
      <c r="S2" s="665"/>
      <c r="T2" s="665"/>
    </row>
    <row r="3" spans="2:24" ht="20.65" customHeight="1" x14ac:dyDescent="0.4">
      <c r="B3" s="666"/>
      <c r="C3" s="666"/>
      <c r="D3" s="666"/>
      <c r="E3" s="666"/>
      <c r="F3" s="666"/>
      <c r="G3" s="666"/>
      <c r="H3" s="666"/>
      <c r="I3" s="666"/>
      <c r="J3" s="666"/>
      <c r="K3" s="666"/>
      <c r="L3" s="666"/>
      <c r="M3" s="666"/>
      <c r="N3" s="666"/>
      <c r="O3" s="666"/>
      <c r="P3" s="666"/>
      <c r="Q3" s="666"/>
      <c r="R3" s="666"/>
      <c r="S3" s="666"/>
      <c r="T3" s="66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69" t="s">
        <v>163</v>
      </c>
      <c r="C5" s="670"/>
      <c r="D5" s="281" t="s">
        <v>238</v>
      </c>
      <c r="E5" s="49"/>
      <c r="F5" s="49"/>
      <c r="G5" s="49"/>
      <c r="H5" s="49"/>
      <c r="I5" s="49"/>
      <c r="J5" s="49"/>
      <c r="K5" s="49"/>
      <c r="L5" s="49"/>
      <c r="M5" s="49"/>
      <c r="N5" s="49"/>
      <c r="O5" s="673"/>
      <c r="P5" s="674"/>
      <c r="Q5" s="138"/>
      <c r="R5" s="667"/>
      <c r="S5" s="668"/>
      <c r="T5" s="45"/>
      <c r="V5" s="48" t="s">
        <v>164</v>
      </c>
    </row>
    <row r="6" spans="2:24" ht="15.75" customHeight="1" x14ac:dyDescent="0.25">
      <c r="B6" s="681" t="s">
        <v>165</v>
      </c>
      <c r="C6" s="682"/>
      <c r="D6" s="282" t="s">
        <v>238</v>
      </c>
      <c r="E6" s="49"/>
      <c r="F6" s="49"/>
      <c r="G6" s="49"/>
      <c r="H6" s="49"/>
      <c r="I6" s="49"/>
      <c r="J6" s="49"/>
      <c r="K6" s="49"/>
      <c r="L6" s="49"/>
      <c r="M6" s="49"/>
      <c r="N6" s="50"/>
      <c r="O6" s="671" t="s">
        <v>166</v>
      </c>
      <c r="P6" s="672"/>
      <c r="Q6" s="677" t="s">
        <v>238</v>
      </c>
      <c r="R6" s="677"/>
      <c r="S6" s="678"/>
      <c r="T6" s="45"/>
    </row>
    <row r="7" spans="2:24" ht="15.75" customHeight="1" x14ac:dyDescent="0.25">
      <c r="B7" s="681" t="s">
        <v>167</v>
      </c>
      <c r="C7" s="682"/>
      <c r="D7" s="282" t="s">
        <v>238</v>
      </c>
      <c r="E7" s="49"/>
      <c r="F7" s="49"/>
      <c r="G7" s="49"/>
      <c r="H7" s="49"/>
      <c r="I7" s="49"/>
      <c r="J7" s="49"/>
      <c r="K7" s="49"/>
      <c r="L7" s="49"/>
      <c r="M7" s="49"/>
      <c r="N7" s="50"/>
      <c r="O7" s="671" t="s">
        <v>241</v>
      </c>
      <c r="P7" s="672"/>
      <c r="Q7" s="677" t="s">
        <v>238</v>
      </c>
      <c r="R7" s="677"/>
      <c r="S7" s="678"/>
      <c r="T7" s="45"/>
      <c r="V7" s="287" t="s">
        <v>144</v>
      </c>
      <c r="W7" s="51"/>
      <c r="X7" s="52" t="str">
        <f>offer_currency</f>
        <v>USD</v>
      </c>
    </row>
    <row r="8" spans="2:24" ht="15.75" customHeight="1" x14ac:dyDescent="0.25">
      <c r="B8" s="683" t="s">
        <v>168</v>
      </c>
      <c r="C8" s="684"/>
      <c r="D8" s="283" t="s">
        <v>238</v>
      </c>
      <c r="E8" s="49"/>
      <c r="F8" s="49"/>
      <c r="G8" s="49"/>
      <c r="H8" s="49"/>
      <c r="I8" s="49"/>
      <c r="J8" s="49"/>
      <c r="K8" s="49"/>
      <c r="L8" s="49"/>
      <c r="M8" s="49"/>
      <c r="N8" s="50"/>
      <c r="O8" s="671" t="s">
        <v>169</v>
      </c>
      <c r="P8" s="672"/>
      <c r="Q8" s="675" t="str">
        <f>offer_incoterms</f>
        <v>DDP</v>
      </c>
      <c r="R8" s="675"/>
      <c r="S8" s="676"/>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1" t="s">
        <v>170</v>
      </c>
      <c r="P9" s="672"/>
      <c r="Q9" s="699" t="str">
        <f>offer_pmt_terms</f>
        <v>частичная оплата: 30%-аванс в течении 5 календарных дней с даты подписания спецификации</v>
      </c>
      <c r="R9" s="699"/>
      <c r="S9" s="700"/>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69" t="s">
        <v>172</v>
      </c>
      <c r="C10" s="670"/>
      <c r="D10" s="284" t="str">
        <f>seller_company</f>
        <v>МАСТЕР БЭРИНГ ООО (ИНН 0242013464)</v>
      </c>
      <c r="E10" s="49"/>
      <c r="F10" s="49"/>
      <c r="G10" s="49"/>
      <c r="H10" s="49"/>
      <c r="I10" s="49"/>
      <c r="J10" s="49"/>
      <c r="K10" s="49"/>
      <c r="L10" s="49"/>
      <c r="M10" s="49"/>
      <c r="N10" s="50"/>
      <c r="O10" s="671" t="s">
        <v>173</v>
      </c>
      <c r="P10" s="672"/>
      <c r="Q10" s="697" t="s">
        <v>238</v>
      </c>
      <c r="R10" s="697"/>
      <c r="S10" s="698"/>
      <c r="T10" s="45"/>
      <c r="V10" s="287" t="s">
        <v>264</v>
      </c>
      <c r="W10" s="51"/>
      <c r="X10" s="140">
        <f>offer_turnaround_time</f>
        <v>60</v>
      </c>
    </row>
    <row r="11" spans="2:24" ht="30.6" customHeight="1" x14ac:dyDescent="0.25">
      <c r="B11" s="685" t="s">
        <v>202</v>
      </c>
      <c r="C11" s="686"/>
      <c r="D11" s="285" t="s">
        <v>238</v>
      </c>
      <c r="E11" s="49"/>
      <c r="F11" s="49"/>
      <c r="G11" s="49"/>
      <c r="H11" s="49"/>
      <c r="I11" s="49"/>
      <c r="J11" s="49"/>
      <c r="K11" s="49"/>
      <c r="L11" s="150"/>
      <c r="M11" s="49"/>
      <c r="N11" s="49"/>
      <c r="O11" s="671" t="s">
        <v>174</v>
      </c>
      <c r="P11" s="672"/>
      <c r="Q11" s="695" t="str">
        <f>offer_turnaround_time&amp;" "&amp;расчет!L5</f>
        <v>60 календарных дней с даты зачисления аванса</v>
      </c>
      <c r="R11" s="695"/>
      <c r="S11" s="696"/>
      <c r="T11" s="45"/>
      <c r="V11" s="55"/>
    </row>
    <row r="12" spans="2:24" ht="15.75" customHeight="1" x14ac:dyDescent="0.25">
      <c r="B12" s="681" t="s">
        <v>167</v>
      </c>
      <c r="C12" s="682"/>
      <c r="D12" s="282" t="s">
        <v>238</v>
      </c>
      <c r="E12" s="49"/>
      <c r="F12" s="49"/>
      <c r="G12" s="49"/>
      <c r="H12" s="49"/>
      <c r="I12" s="49"/>
      <c r="J12" s="49"/>
      <c r="K12" s="49"/>
      <c r="L12" s="49"/>
      <c r="M12" s="49"/>
      <c r="N12" s="50"/>
      <c r="O12" s="689" t="s">
        <v>175</v>
      </c>
      <c r="P12" s="690"/>
      <c r="Q12" s="693" t="str">
        <f>TEXT(S2017,"# ##0,00")&amp;" "&amp;$X$7&amp;" (в т.ч. НДС "&amp;TEXT(R2017,"# ##0,00")&amp;" "&amp;$X$7&amp;")"</f>
        <v xml:space="preserve"> 000 USD (в т.ч. НДС  000 USD)</v>
      </c>
      <c r="R12" s="693"/>
      <c r="S12" s="694"/>
      <c r="T12" s="45"/>
    </row>
    <row r="13" spans="2:24" ht="32.450000000000003" customHeight="1" x14ac:dyDescent="0.25">
      <c r="B13" s="683" t="s">
        <v>168</v>
      </c>
      <c r="C13" s="684"/>
      <c r="D13" s="286" t="s">
        <v>238</v>
      </c>
      <c r="E13" s="49"/>
      <c r="F13" s="49"/>
      <c r="G13" s="49"/>
      <c r="H13" s="49"/>
      <c r="I13" s="49"/>
      <c r="J13" s="49"/>
      <c r="K13" s="49"/>
      <c r="L13" s="49"/>
      <c r="M13" s="49"/>
      <c r="N13" s="50"/>
      <c r="O13" s="687" t="s">
        <v>176</v>
      </c>
      <c r="P13" s="688"/>
      <c r="Q13" s="691" t="str">
        <f>'КП open book'!X9</f>
        <v>НДС, страховку, таможенную очистку и доставку товара до склада.</v>
      </c>
      <c r="R13" s="691"/>
      <c r="S13" s="692"/>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79" t="s">
        <v>179</v>
      </c>
      <c r="C2017" s="680"/>
      <c r="D2017" s="680"/>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2" t="str">
        <f>+UPPER("Коммерческое предложение")</f>
        <v>КОММЕРЧЕСКОЕ ПРЕДЛОЖЕНИЕ</v>
      </c>
      <c r="C2" s="712"/>
      <c r="D2" s="712"/>
      <c r="E2" s="712"/>
      <c r="F2" s="712"/>
      <c r="G2" s="712"/>
      <c r="H2" s="712"/>
      <c r="I2" s="712"/>
      <c r="J2" s="712"/>
      <c r="K2" s="712"/>
      <c r="L2" s="712"/>
      <c r="M2" s="712"/>
      <c r="N2" s="712"/>
      <c r="O2" s="712"/>
      <c r="S2" s="176"/>
    </row>
    <row r="3" spans="2:19" ht="20.65" customHeight="1" x14ac:dyDescent="0.4">
      <c r="B3" s="666"/>
      <c r="C3" s="666"/>
      <c r="D3" s="666"/>
      <c r="E3" s="666"/>
      <c r="F3" s="666"/>
      <c r="G3" s="666"/>
      <c r="H3" s="666"/>
      <c r="I3" s="666"/>
      <c r="J3" s="666"/>
      <c r="K3" s="666"/>
      <c r="L3" s="666"/>
      <c r="M3" s="666"/>
      <c r="N3" s="666"/>
      <c r="O3" s="66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69" t="s">
        <v>163</v>
      </c>
      <c r="C5" s="670"/>
      <c r="D5" s="713" t="s">
        <v>238</v>
      </c>
      <c r="E5" s="714"/>
      <c r="F5" s="49"/>
      <c r="G5" s="49"/>
      <c r="H5" s="49"/>
      <c r="I5" s="673"/>
      <c r="J5" s="674"/>
      <c r="K5" s="138"/>
      <c r="L5" s="667"/>
      <c r="M5" s="667"/>
      <c r="N5" s="668"/>
      <c r="O5" s="45"/>
      <c r="Q5" s="48" t="s">
        <v>164</v>
      </c>
    </row>
    <row r="6" spans="2:19" ht="15.75" customHeight="1" x14ac:dyDescent="0.25">
      <c r="B6" s="681" t="s">
        <v>165</v>
      </c>
      <c r="C6" s="682"/>
      <c r="D6" s="701" t="s">
        <v>238</v>
      </c>
      <c r="E6" s="702"/>
      <c r="F6" s="49"/>
      <c r="G6" s="49"/>
      <c r="H6" s="50"/>
      <c r="I6" s="671" t="s">
        <v>166</v>
      </c>
      <c r="J6" s="672"/>
      <c r="K6" s="677" t="s">
        <v>238</v>
      </c>
      <c r="L6" s="677"/>
      <c r="M6" s="677"/>
      <c r="N6" s="678"/>
      <c r="O6" s="45"/>
    </row>
    <row r="7" spans="2:19" ht="15.75" customHeight="1" x14ac:dyDescent="0.25">
      <c r="B7" s="681" t="s">
        <v>167</v>
      </c>
      <c r="C7" s="682"/>
      <c r="D7" s="701" t="s">
        <v>238</v>
      </c>
      <c r="E7" s="702"/>
      <c r="F7" s="49"/>
      <c r="G7" s="49"/>
      <c r="H7" s="50"/>
      <c r="I7" s="671" t="s">
        <v>241</v>
      </c>
      <c r="J7" s="672"/>
      <c r="K7" s="677" t="s">
        <v>238</v>
      </c>
      <c r="L7" s="677"/>
      <c r="M7" s="677"/>
      <c r="N7" s="678"/>
      <c r="O7" s="45"/>
      <c r="Q7" s="287" t="s">
        <v>144</v>
      </c>
      <c r="R7" s="51"/>
      <c r="S7" s="52" t="str">
        <f>offer_currency</f>
        <v>USD</v>
      </c>
    </row>
    <row r="8" spans="2:19" ht="15.75" customHeight="1" x14ac:dyDescent="0.25">
      <c r="B8" s="683" t="s">
        <v>168</v>
      </c>
      <c r="C8" s="684"/>
      <c r="D8" s="710" t="s">
        <v>238</v>
      </c>
      <c r="E8" s="711"/>
      <c r="F8" s="49"/>
      <c r="G8" s="49"/>
      <c r="H8" s="50"/>
      <c r="I8" s="671" t="s">
        <v>169</v>
      </c>
      <c r="J8" s="672"/>
      <c r="K8" s="675" t="str">
        <f>offer_incoterms</f>
        <v>DDP</v>
      </c>
      <c r="L8" s="675"/>
      <c r="M8" s="675"/>
      <c r="N8" s="676"/>
      <c r="O8" s="45"/>
      <c r="Q8" s="287" t="s">
        <v>169</v>
      </c>
      <c r="R8" s="51"/>
      <c r="S8" s="53" t="str">
        <f>offer_incoterms</f>
        <v>DDP</v>
      </c>
    </row>
    <row r="9" spans="2:19" ht="60.6" customHeight="1" x14ac:dyDescent="0.25">
      <c r="B9" s="139"/>
      <c r="C9" s="50"/>
      <c r="D9" s="78"/>
      <c r="E9" s="79"/>
      <c r="F9" s="49"/>
      <c r="G9" s="49"/>
      <c r="H9" s="50"/>
      <c r="I9" s="671" t="s">
        <v>170</v>
      </c>
      <c r="J9" s="672"/>
      <c r="K9" s="699" t="str">
        <f>offer_pmt_terms</f>
        <v>частичная оплата: 30%-аванс в течении 5 календарных дней с даты подписания спецификации</v>
      </c>
      <c r="L9" s="699"/>
      <c r="M9" s="699"/>
      <c r="N9" s="700"/>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69" t="s">
        <v>172</v>
      </c>
      <c r="C10" s="670"/>
      <c r="D10" s="706" t="str">
        <f>seller_company</f>
        <v>МАСТЕР БЭРИНГ ООО (ИНН 0242013464)</v>
      </c>
      <c r="E10" s="707"/>
      <c r="F10" s="49"/>
      <c r="G10" s="49"/>
      <c r="H10" s="50"/>
      <c r="I10" s="671" t="s">
        <v>173</v>
      </c>
      <c r="J10" s="672"/>
      <c r="K10" s="697" t="s">
        <v>238</v>
      </c>
      <c r="L10" s="697"/>
      <c r="M10" s="697"/>
      <c r="N10" s="698"/>
      <c r="O10" s="45"/>
      <c r="Q10" s="287" t="s">
        <v>264</v>
      </c>
      <c r="R10" s="51"/>
      <c r="S10" s="140">
        <f>offer_turnaround_time</f>
        <v>60</v>
      </c>
    </row>
    <row r="11" spans="2:19" ht="30.6" customHeight="1" x14ac:dyDescent="0.25">
      <c r="B11" s="685" t="s">
        <v>202</v>
      </c>
      <c r="C11" s="686"/>
      <c r="D11" s="708" t="s">
        <v>238</v>
      </c>
      <c r="E11" s="709"/>
      <c r="F11" s="49"/>
      <c r="G11" s="49"/>
      <c r="H11" s="49"/>
      <c r="I11" s="671" t="s">
        <v>174</v>
      </c>
      <c r="J11" s="672"/>
      <c r="K11" s="695" t="str">
        <f>offer_turnaround_time&amp;" "&amp;расчет!L5</f>
        <v>60 календарных дней с даты зачисления аванса</v>
      </c>
      <c r="L11" s="695"/>
      <c r="M11" s="695"/>
      <c r="N11" s="696"/>
      <c r="O11" s="45"/>
      <c r="Q11" s="55"/>
    </row>
    <row r="12" spans="2:19" ht="15.75" customHeight="1" x14ac:dyDescent="0.25">
      <c r="B12" s="681" t="s">
        <v>167</v>
      </c>
      <c r="C12" s="682"/>
      <c r="D12" s="701" t="s">
        <v>238</v>
      </c>
      <c r="E12" s="702"/>
      <c r="F12" s="49"/>
      <c r="G12" s="49"/>
      <c r="H12" s="50"/>
      <c r="I12" s="689" t="s">
        <v>175</v>
      </c>
      <c r="J12" s="690"/>
      <c r="K12" s="693" t="str">
        <f>TEXT(N2017,"# ##0,00")&amp;" "&amp;$S$7&amp;" (в т.ч. НДС "&amp;TEXT(L2017,"# ##0,00")&amp;" "&amp;$S$7&amp;")"</f>
        <v>4 19,607 USD (в т.ч. НДС  69,934 USD)</v>
      </c>
      <c r="L12" s="693"/>
      <c r="M12" s="693"/>
      <c r="N12" s="694"/>
      <c r="O12" s="45"/>
    </row>
    <row r="13" spans="2:19" ht="34.15" customHeight="1" x14ac:dyDescent="0.25">
      <c r="B13" s="683" t="s">
        <v>168</v>
      </c>
      <c r="C13" s="684"/>
      <c r="D13" s="704" t="s">
        <v>238</v>
      </c>
      <c r="E13" s="705"/>
      <c r="F13" s="49"/>
      <c r="G13" s="49"/>
      <c r="H13" s="50"/>
      <c r="I13" s="687" t="s">
        <v>176</v>
      </c>
      <c r="J13" s="688"/>
      <c r="K13" s="691" t="str">
        <f>'КП price'!S9</f>
        <v>НДС, страховку, таможенную очистку и доставку товара до склада.</v>
      </c>
      <c r="L13" s="691"/>
      <c r="M13" s="691"/>
      <c r="N13" s="692"/>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26374.34</v>
      </c>
      <c r="K17" s="136">
        <f t="shared" si="0"/>
        <v>26374.34</v>
      </c>
      <c r="L17" s="136">
        <f t="shared" si="0"/>
        <v>5274.869999999999</v>
      </c>
      <c r="M17" s="177">
        <f t="shared" si="0"/>
        <v>31649.21</v>
      </c>
      <c r="N17" s="137">
        <f t="shared" si="0"/>
        <v>31649.21</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22744.41</v>
      </c>
      <c r="K18" s="136">
        <f t="shared" si="0"/>
        <v>22744.41</v>
      </c>
      <c r="L18" s="136">
        <f t="shared" si="0"/>
        <v>4548.880000000001</v>
      </c>
      <c r="M18" s="177">
        <f t="shared" si="0"/>
        <v>27293.29</v>
      </c>
      <c r="N18" s="137">
        <f t="shared" si="0"/>
        <v>27293.29</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22299.58</v>
      </c>
      <c r="K19" s="136">
        <f t="shared" si="0"/>
        <v>22299.58</v>
      </c>
      <c r="L19" s="136">
        <f t="shared" si="0"/>
        <v>4459.9199999999983</v>
      </c>
      <c r="M19" s="177">
        <f t="shared" si="0"/>
        <v>26759.5</v>
      </c>
      <c r="N19" s="137">
        <f t="shared" si="0"/>
        <v>26759.5</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19772.439999999999</v>
      </c>
      <c r="K20" s="136">
        <f t="shared" si="0"/>
        <v>19772.439999999999</v>
      </c>
      <c r="L20" s="136">
        <f t="shared" si="0"/>
        <v>3954.4900000000016</v>
      </c>
      <c r="M20" s="177">
        <f t="shared" si="0"/>
        <v>23726.93</v>
      </c>
      <c r="N20" s="137">
        <f t="shared" si="0"/>
        <v>23726.93</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10200.36</v>
      </c>
      <c r="K21" s="136">
        <f t="shared" si="0"/>
        <v>10200.36</v>
      </c>
      <c r="L21" s="136">
        <f t="shared" si="0"/>
        <v>2040.0699999999997</v>
      </c>
      <c r="M21" s="177">
        <f t="shared" si="0"/>
        <v>12240.43</v>
      </c>
      <c r="N21" s="137">
        <f t="shared" si="0"/>
        <v>12240.43</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9352.58</v>
      </c>
      <c r="K22" s="136">
        <f t="shared" si="0"/>
        <v>9352.58</v>
      </c>
      <c r="L22" s="136">
        <f t="shared" si="0"/>
        <v>1870.5200000000004</v>
      </c>
      <c r="M22" s="177">
        <f t="shared" si="0"/>
        <v>11223.1</v>
      </c>
      <c r="N22" s="137">
        <f t="shared" si="0"/>
        <v>11223.1</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8750.81</v>
      </c>
      <c r="K23" s="136">
        <f t="shared" si="0"/>
        <v>8750.81</v>
      </c>
      <c r="L23" s="136">
        <f t="shared" si="0"/>
        <v>1750.1599999999999</v>
      </c>
      <c r="M23" s="177">
        <f t="shared" si="0"/>
        <v>10500.97</v>
      </c>
      <c r="N23" s="137">
        <f t="shared" si="0"/>
        <v>10500.97</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9646.23</v>
      </c>
      <c r="K24" s="136">
        <f t="shared" si="0"/>
        <v>9646.23</v>
      </c>
      <c r="L24" s="136">
        <f t="shared" si="0"/>
        <v>1929.25</v>
      </c>
      <c r="M24" s="177">
        <f t="shared" si="0"/>
        <v>11575.48</v>
      </c>
      <c r="N24" s="137">
        <f t="shared" si="0"/>
        <v>11575.48</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8550.57</v>
      </c>
      <c r="K25" s="136">
        <f t="shared" si="0"/>
        <v>8550.57</v>
      </c>
      <c r="L25" s="136">
        <f t="shared" si="0"/>
        <v>1710.1100000000006</v>
      </c>
      <c r="M25" s="177">
        <f t="shared" si="0"/>
        <v>10260.68</v>
      </c>
      <c r="N25" s="137">
        <f t="shared" si="0"/>
        <v>10260.68</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7993.21</v>
      </c>
      <c r="K26" s="136">
        <f t="shared" si="0"/>
        <v>7993.21</v>
      </c>
      <c r="L26" s="136">
        <f t="shared" si="0"/>
        <v>1598.6400000000003</v>
      </c>
      <c r="M26" s="177">
        <f t="shared" si="0"/>
        <v>9591.85</v>
      </c>
      <c r="N26" s="137">
        <f t="shared" si="0"/>
        <v>9591.85</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3525.42</v>
      </c>
      <c r="K27" s="136">
        <f t="shared" si="2"/>
        <v>3525.42</v>
      </c>
      <c r="L27" s="136">
        <f t="shared" si="2"/>
        <v>705.07999999999993</v>
      </c>
      <c r="M27" s="177">
        <f t="shared" si="2"/>
        <v>4230.5</v>
      </c>
      <c r="N27" s="137">
        <f t="shared" si="2"/>
        <v>4230.5</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5192.53</v>
      </c>
      <c r="K28" s="136">
        <f t="shared" si="2"/>
        <v>5192.53</v>
      </c>
      <c r="L28" s="136">
        <f t="shared" si="2"/>
        <v>1038.5100000000002</v>
      </c>
      <c r="M28" s="177">
        <f t="shared" si="2"/>
        <v>6231.04</v>
      </c>
      <c r="N28" s="137">
        <f t="shared" si="2"/>
        <v>6231.04</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5968.48</v>
      </c>
      <c r="K29" s="136">
        <f t="shared" si="2"/>
        <v>5968.48</v>
      </c>
      <c r="L29" s="136">
        <f t="shared" si="2"/>
        <v>1193.7000000000007</v>
      </c>
      <c r="M29" s="177">
        <f t="shared" si="2"/>
        <v>7162.18</v>
      </c>
      <c r="N29" s="137">
        <f t="shared" si="2"/>
        <v>7162.18</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5521.48</v>
      </c>
      <c r="K30" s="136">
        <f t="shared" si="2"/>
        <v>5521.48</v>
      </c>
      <c r="L30" s="136">
        <f t="shared" si="2"/>
        <v>1104.3000000000002</v>
      </c>
      <c r="M30" s="177">
        <f t="shared" si="2"/>
        <v>6625.78</v>
      </c>
      <c r="N30" s="137">
        <f t="shared" si="2"/>
        <v>6625.78</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6702.45</v>
      </c>
      <c r="K31" s="136">
        <f t="shared" si="2"/>
        <v>6702.45</v>
      </c>
      <c r="L31" s="136">
        <f t="shared" si="2"/>
        <v>1340.4899999999998</v>
      </c>
      <c r="M31" s="177">
        <f t="shared" si="2"/>
        <v>8042.94</v>
      </c>
      <c r="N31" s="137">
        <f t="shared" si="2"/>
        <v>8042.94</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5777.9</v>
      </c>
      <c r="K32" s="136">
        <f t="shared" si="2"/>
        <v>5777.9</v>
      </c>
      <c r="L32" s="136">
        <f t="shared" si="2"/>
        <v>1155.58</v>
      </c>
      <c r="M32" s="177">
        <f t="shared" si="2"/>
        <v>6933.48</v>
      </c>
      <c r="N32" s="137">
        <f t="shared" si="2"/>
        <v>6933.48</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6258.01</v>
      </c>
      <c r="K33" s="136">
        <f t="shared" si="2"/>
        <v>6258.01</v>
      </c>
      <c r="L33" s="136">
        <f t="shared" si="2"/>
        <v>1251.5999999999995</v>
      </c>
      <c r="M33" s="177">
        <f t="shared" si="2"/>
        <v>7509.61</v>
      </c>
      <c r="N33" s="137">
        <f t="shared" si="2"/>
        <v>7509.61</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5827.21</v>
      </c>
      <c r="K34" s="136">
        <f t="shared" si="2"/>
        <v>5827.21</v>
      </c>
      <c r="L34" s="136">
        <f t="shared" si="2"/>
        <v>1165.4399999999996</v>
      </c>
      <c r="M34" s="177">
        <f t="shared" si="2"/>
        <v>6992.65</v>
      </c>
      <c r="N34" s="137">
        <f t="shared" si="2"/>
        <v>6992.65</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5236.3599999999997</v>
      </c>
      <c r="K35" s="136">
        <f t="shared" si="2"/>
        <v>5236.3599999999997</v>
      </c>
      <c r="L35" s="136">
        <f t="shared" si="2"/>
        <v>1047.2700000000004</v>
      </c>
      <c r="M35" s="177">
        <f t="shared" si="2"/>
        <v>6283.63</v>
      </c>
      <c r="N35" s="137">
        <f t="shared" si="2"/>
        <v>6283.63</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5007</v>
      </c>
      <c r="K36" s="136">
        <f t="shared" si="2"/>
        <v>5007</v>
      </c>
      <c r="L36" s="136">
        <f t="shared" si="2"/>
        <v>1001.3999999999996</v>
      </c>
      <c r="M36" s="177">
        <f t="shared" si="2"/>
        <v>6008.4</v>
      </c>
      <c r="N36" s="137">
        <f t="shared" si="2"/>
        <v>6008.4</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5635.26</v>
      </c>
      <c r="K37" s="136">
        <f t="shared" si="3"/>
        <v>5635.26</v>
      </c>
      <c r="L37" s="136">
        <f t="shared" si="3"/>
        <v>1127.0500000000002</v>
      </c>
      <c r="M37" s="177">
        <f t="shared" si="3"/>
        <v>6762.31</v>
      </c>
      <c r="N37" s="137">
        <f t="shared" si="3"/>
        <v>6762.31</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4973.75</v>
      </c>
      <c r="K38" s="136">
        <f t="shared" si="3"/>
        <v>4973.75</v>
      </c>
      <c r="L38" s="136">
        <f t="shared" si="3"/>
        <v>994.75</v>
      </c>
      <c r="M38" s="177">
        <f t="shared" si="3"/>
        <v>5968.5</v>
      </c>
      <c r="N38" s="137">
        <f t="shared" si="3"/>
        <v>5968.5</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4470.49</v>
      </c>
      <c r="K39" s="136">
        <f t="shared" si="3"/>
        <v>4470.49</v>
      </c>
      <c r="L39" s="136">
        <f t="shared" si="3"/>
        <v>894.10000000000036</v>
      </c>
      <c r="M39" s="177">
        <f t="shared" si="3"/>
        <v>5364.59</v>
      </c>
      <c r="N39" s="137">
        <f t="shared" si="3"/>
        <v>5364.59</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4357.68</v>
      </c>
      <c r="K40" s="136">
        <f t="shared" si="3"/>
        <v>4357.68</v>
      </c>
      <c r="L40" s="136">
        <f t="shared" si="3"/>
        <v>871.54</v>
      </c>
      <c r="M40" s="177">
        <f t="shared" si="3"/>
        <v>5229.22</v>
      </c>
      <c r="N40" s="137">
        <f t="shared" si="3"/>
        <v>5229.22</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3639.32</v>
      </c>
      <c r="K41" s="136">
        <f t="shared" si="3"/>
        <v>3639.32</v>
      </c>
      <c r="L41" s="136">
        <f t="shared" si="3"/>
        <v>727.86000000000013</v>
      </c>
      <c r="M41" s="177">
        <f t="shared" si="3"/>
        <v>4367.18</v>
      </c>
      <c r="N41" s="137">
        <f t="shared" si="3"/>
        <v>4367.18</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3685.98</v>
      </c>
      <c r="K42" s="136">
        <f t="shared" si="3"/>
        <v>3685.98</v>
      </c>
      <c r="L42" s="136">
        <f t="shared" si="3"/>
        <v>737.20000000000027</v>
      </c>
      <c r="M42" s="177">
        <f t="shared" si="3"/>
        <v>4423.18</v>
      </c>
      <c r="N42" s="137">
        <f t="shared" si="3"/>
        <v>4423.18</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3864.52</v>
      </c>
      <c r="K43" s="136">
        <f t="shared" si="3"/>
        <v>3864.52</v>
      </c>
      <c r="L43" s="136">
        <f t="shared" si="3"/>
        <v>772.90000000000009</v>
      </c>
      <c r="M43" s="177">
        <f t="shared" si="3"/>
        <v>4637.42</v>
      </c>
      <c r="N43" s="137">
        <f t="shared" si="3"/>
        <v>4637.42</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3569.59</v>
      </c>
      <c r="K44" s="136">
        <f t="shared" si="3"/>
        <v>3569.59</v>
      </c>
      <c r="L44" s="136">
        <f t="shared" si="3"/>
        <v>713.92000000000007</v>
      </c>
      <c r="M44" s="177">
        <f t="shared" si="3"/>
        <v>4283.51</v>
      </c>
      <c r="N44" s="137">
        <f t="shared" si="3"/>
        <v>4283.51</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3460.97</v>
      </c>
      <c r="K45" s="136">
        <f t="shared" si="3"/>
        <v>3460.97</v>
      </c>
      <c r="L45" s="136">
        <f t="shared" si="3"/>
        <v>692.19</v>
      </c>
      <c r="M45" s="177">
        <f t="shared" si="3"/>
        <v>4153.16</v>
      </c>
      <c r="N45" s="137">
        <f t="shared" si="3"/>
        <v>4153.16</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3958.13</v>
      </c>
      <c r="K48" s="136">
        <f t="shared" si="4"/>
        <v>3958.13</v>
      </c>
      <c r="L48" s="136">
        <f t="shared" si="4"/>
        <v>791.63000000000011</v>
      </c>
      <c r="M48" s="177">
        <f t="shared" si="4"/>
        <v>4749.76</v>
      </c>
      <c r="N48" s="137">
        <f t="shared" si="4"/>
        <v>4749.76</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1169.3800000000001</v>
      </c>
      <c r="K49" s="136">
        <f t="shared" si="4"/>
        <v>1169.3800000000001</v>
      </c>
      <c r="L49" s="136">
        <f t="shared" si="4"/>
        <v>233.87999999999988</v>
      </c>
      <c r="M49" s="177">
        <f t="shared" si="4"/>
        <v>1403.26</v>
      </c>
      <c r="N49" s="137">
        <f t="shared" si="4"/>
        <v>1403.26</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2581.4299999999998</v>
      </c>
      <c r="K50" s="136">
        <f t="shared" si="4"/>
        <v>2581.4299999999998</v>
      </c>
      <c r="L50" s="136">
        <f t="shared" si="4"/>
        <v>516.29</v>
      </c>
      <c r="M50" s="177">
        <f t="shared" si="4"/>
        <v>3097.72</v>
      </c>
      <c r="N50" s="137">
        <f t="shared" si="4"/>
        <v>3097.72</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3190.14</v>
      </c>
      <c r="K51" s="136">
        <f t="shared" si="4"/>
        <v>3190.14</v>
      </c>
      <c r="L51" s="136">
        <f t="shared" si="4"/>
        <v>638.0300000000002</v>
      </c>
      <c r="M51" s="177">
        <f t="shared" si="4"/>
        <v>3828.17</v>
      </c>
      <c r="N51" s="137">
        <f t="shared" si="4"/>
        <v>3828.17</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3367.52</v>
      </c>
      <c r="K52" s="136">
        <f t="shared" si="4"/>
        <v>3367.52</v>
      </c>
      <c r="L52" s="136">
        <f t="shared" si="4"/>
        <v>673.5</v>
      </c>
      <c r="M52" s="177">
        <f t="shared" si="4"/>
        <v>4041.02</v>
      </c>
      <c r="N52" s="137">
        <f t="shared" si="4"/>
        <v>4041.02</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2898.44</v>
      </c>
      <c r="K53" s="136">
        <f t="shared" si="4"/>
        <v>2898.44</v>
      </c>
      <c r="L53" s="136">
        <f t="shared" si="4"/>
        <v>579.69000000000005</v>
      </c>
      <c r="M53" s="177">
        <f t="shared" si="4"/>
        <v>3478.13</v>
      </c>
      <c r="N53" s="137">
        <f t="shared" si="4"/>
        <v>3478.13</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2295.09</v>
      </c>
      <c r="K54" s="136">
        <f t="shared" si="4"/>
        <v>2295.09</v>
      </c>
      <c r="L54" s="136">
        <f t="shared" si="4"/>
        <v>459.02</v>
      </c>
      <c r="M54" s="177">
        <f t="shared" si="4"/>
        <v>2754.11</v>
      </c>
      <c r="N54" s="137">
        <f t="shared" si="4"/>
        <v>2754.11</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3482.25</v>
      </c>
      <c r="K55" s="136">
        <f t="shared" si="4"/>
        <v>3482.25</v>
      </c>
      <c r="L55" s="136">
        <f t="shared" si="4"/>
        <v>696.44999999999982</v>
      </c>
      <c r="M55" s="177">
        <f t="shared" si="4"/>
        <v>4178.7</v>
      </c>
      <c r="N55" s="137">
        <f t="shared" si="4"/>
        <v>4178.7</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2578.2800000000002</v>
      </c>
      <c r="K56" s="136">
        <f t="shared" si="4"/>
        <v>2578.2800000000002</v>
      </c>
      <c r="L56" s="136">
        <f t="shared" si="4"/>
        <v>515.65999999999985</v>
      </c>
      <c r="M56" s="177">
        <f t="shared" si="4"/>
        <v>3093.94</v>
      </c>
      <c r="N56" s="137">
        <f t="shared" si="4"/>
        <v>3093.94</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2624.1</v>
      </c>
      <c r="K57" s="136">
        <f t="shared" si="5"/>
        <v>2624.1</v>
      </c>
      <c r="L57" s="136">
        <f t="shared" si="5"/>
        <v>524.82000000000016</v>
      </c>
      <c r="M57" s="177">
        <f t="shared" si="5"/>
        <v>3148.92</v>
      </c>
      <c r="N57" s="137">
        <f t="shared" si="5"/>
        <v>3148.92</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945.42</v>
      </c>
      <c r="K58" s="136">
        <f t="shared" si="5"/>
        <v>945.42</v>
      </c>
      <c r="L58" s="136">
        <f t="shared" si="5"/>
        <v>189.08000000000004</v>
      </c>
      <c r="M58" s="177">
        <f t="shared" si="5"/>
        <v>1134.5</v>
      </c>
      <c r="N58" s="137">
        <f t="shared" si="5"/>
        <v>1134.5</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2062.9499999999998</v>
      </c>
      <c r="K59" s="136">
        <f t="shared" si="5"/>
        <v>2062.9499999999998</v>
      </c>
      <c r="L59" s="136">
        <f t="shared" si="5"/>
        <v>412.59000000000015</v>
      </c>
      <c r="M59" s="177">
        <f t="shared" si="5"/>
        <v>2475.54</v>
      </c>
      <c r="N59" s="137">
        <f t="shared" si="5"/>
        <v>2475.54</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1779.79</v>
      </c>
      <c r="K60" s="136">
        <f t="shared" si="5"/>
        <v>1779.79</v>
      </c>
      <c r="L60" s="136">
        <f t="shared" si="5"/>
        <v>355.96000000000004</v>
      </c>
      <c r="M60" s="177">
        <f t="shared" si="5"/>
        <v>2135.75</v>
      </c>
      <c r="N60" s="137">
        <f t="shared" si="5"/>
        <v>2135.75</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2274.2600000000002</v>
      </c>
      <c r="K61" s="136">
        <f t="shared" si="5"/>
        <v>2274.2600000000002</v>
      </c>
      <c r="L61" s="136">
        <f t="shared" si="5"/>
        <v>454.84999999999991</v>
      </c>
      <c r="M61" s="177">
        <f t="shared" si="5"/>
        <v>2729.11</v>
      </c>
      <c r="N61" s="137">
        <f t="shared" si="5"/>
        <v>2729.11</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1875.91</v>
      </c>
      <c r="K62" s="136">
        <f t="shared" si="5"/>
        <v>1875.91</v>
      </c>
      <c r="L62" s="136">
        <f t="shared" si="5"/>
        <v>375.18000000000006</v>
      </c>
      <c r="M62" s="177">
        <f t="shared" si="5"/>
        <v>2251.09</v>
      </c>
      <c r="N62" s="137">
        <f t="shared" si="5"/>
        <v>2251.09</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2140.62</v>
      </c>
      <c r="K63" s="136">
        <f t="shared" si="5"/>
        <v>2140.62</v>
      </c>
      <c r="L63" s="136">
        <f t="shared" si="5"/>
        <v>428.11999999999989</v>
      </c>
      <c r="M63" s="177">
        <f t="shared" si="5"/>
        <v>2568.7399999999998</v>
      </c>
      <c r="N63" s="137">
        <f t="shared" si="5"/>
        <v>2568.7399999999998</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2449.67</v>
      </c>
      <c r="K64" s="136">
        <f t="shared" si="5"/>
        <v>2449.67</v>
      </c>
      <c r="L64" s="136">
        <f t="shared" si="5"/>
        <v>489.92999999999984</v>
      </c>
      <c r="M64" s="177">
        <f t="shared" si="5"/>
        <v>2939.6</v>
      </c>
      <c r="N64" s="137">
        <f t="shared" si="5"/>
        <v>2939.6</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1815.47</v>
      </c>
      <c r="K65" s="136">
        <f t="shared" si="5"/>
        <v>1815.47</v>
      </c>
      <c r="L65" s="136">
        <f t="shared" si="5"/>
        <v>363.08999999999992</v>
      </c>
      <c r="M65" s="177">
        <f t="shared" si="5"/>
        <v>2178.56</v>
      </c>
      <c r="N65" s="137">
        <f t="shared" si="5"/>
        <v>2178.56</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2018.12</v>
      </c>
      <c r="K66" s="136">
        <f t="shared" si="5"/>
        <v>2018.12</v>
      </c>
      <c r="L66" s="136">
        <f t="shared" si="5"/>
        <v>403.61999999999989</v>
      </c>
      <c r="M66" s="177">
        <f t="shared" si="5"/>
        <v>2421.7399999999998</v>
      </c>
      <c r="N66" s="137">
        <f t="shared" si="5"/>
        <v>2421.7399999999998</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2066.04</v>
      </c>
      <c r="K67" s="136">
        <f t="shared" si="6"/>
        <v>2066.04</v>
      </c>
      <c r="L67" s="136">
        <f t="shared" si="6"/>
        <v>413.21000000000004</v>
      </c>
      <c r="M67" s="177">
        <f t="shared" si="6"/>
        <v>2479.25</v>
      </c>
      <c r="N67" s="137">
        <f t="shared" si="6"/>
        <v>2479.25</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2146.7199999999998</v>
      </c>
      <c r="K68" s="136">
        <f t="shared" si="6"/>
        <v>2146.7199999999998</v>
      </c>
      <c r="L68" s="136">
        <f t="shared" si="6"/>
        <v>429.34000000000015</v>
      </c>
      <c r="M68" s="177">
        <f t="shared" si="6"/>
        <v>2576.06</v>
      </c>
      <c r="N68" s="137">
        <f t="shared" si="6"/>
        <v>2576.06</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1473.44</v>
      </c>
      <c r="K69" s="136">
        <f t="shared" si="6"/>
        <v>1473.44</v>
      </c>
      <c r="L69" s="136">
        <f t="shared" si="6"/>
        <v>294.69000000000005</v>
      </c>
      <c r="M69" s="177">
        <f t="shared" si="6"/>
        <v>1768.13</v>
      </c>
      <c r="N69" s="137">
        <f t="shared" si="6"/>
        <v>1768.13</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2099</v>
      </c>
      <c r="K70" s="136">
        <f t="shared" si="6"/>
        <v>2099</v>
      </c>
      <c r="L70" s="136">
        <f t="shared" si="6"/>
        <v>419.80000000000018</v>
      </c>
      <c r="M70" s="177">
        <f t="shared" si="6"/>
        <v>2518.8000000000002</v>
      </c>
      <c r="N70" s="137">
        <f t="shared" si="6"/>
        <v>2518.8000000000002</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640.67999999999995</v>
      </c>
      <c r="K71" s="136">
        <f t="shared" si="6"/>
        <v>640.67999999999995</v>
      </c>
      <c r="L71" s="136">
        <f t="shared" si="6"/>
        <v>128.1400000000001</v>
      </c>
      <c r="M71" s="177">
        <f t="shared" si="6"/>
        <v>768.82</v>
      </c>
      <c r="N71" s="137">
        <f t="shared" si="6"/>
        <v>768.82</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1892.24</v>
      </c>
      <c r="K72" s="136">
        <f t="shared" si="6"/>
        <v>1892.24</v>
      </c>
      <c r="L72" s="136">
        <f t="shared" si="6"/>
        <v>378.45000000000005</v>
      </c>
      <c r="M72" s="177">
        <f t="shared" si="6"/>
        <v>2270.69</v>
      </c>
      <c r="N72" s="137">
        <f t="shared" si="6"/>
        <v>2270.69</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1335.16</v>
      </c>
      <c r="K74" s="136">
        <f t="shared" si="6"/>
        <v>1335.16</v>
      </c>
      <c r="L74" s="136">
        <f t="shared" si="6"/>
        <v>267.02999999999997</v>
      </c>
      <c r="M74" s="177">
        <f t="shared" si="6"/>
        <v>1602.19</v>
      </c>
      <c r="N74" s="137">
        <f t="shared" si="6"/>
        <v>1602.19</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1647.15</v>
      </c>
      <c r="K75" s="136">
        <f t="shared" si="6"/>
        <v>1647.15</v>
      </c>
      <c r="L75" s="136">
        <f t="shared" si="6"/>
        <v>329.42999999999984</v>
      </c>
      <c r="M75" s="177">
        <f t="shared" si="6"/>
        <v>1976.58</v>
      </c>
      <c r="N75" s="137">
        <f t="shared" si="6"/>
        <v>1976.58</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1441.62</v>
      </c>
      <c r="K76" s="136">
        <f t="shared" si="6"/>
        <v>1441.62</v>
      </c>
      <c r="L76" s="136">
        <f t="shared" si="6"/>
        <v>288.32000000000016</v>
      </c>
      <c r="M76" s="177">
        <f t="shared" si="6"/>
        <v>1729.94</v>
      </c>
      <c r="N76" s="137">
        <f t="shared" si="6"/>
        <v>1729.94</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1565.38</v>
      </c>
      <c r="K77" s="136">
        <f t="shared" si="7"/>
        <v>1565.38</v>
      </c>
      <c r="L77" s="136">
        <f t="shared" si="7"/>
        <v>313.07999999999993</v>
      </c>
      <c r="M77" s="177">
        <f t="shared" si="7"/>
        <v>1878.46</v>
      </c>
      <c r="N77" s="137">
        <f t="shared" si="7"/>
        <v>1878.46</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1987.57</v>
      </c>
      <c r="K78" s="136">
        <f t="shared" si="7"/>
        <v>1987.57</v>
      </c>
      <c r="L78" s="136">
        <f t="shared" si="7"/>
        <v>397.51</v>
      </c>
      <c r="M78" s="177">
        <f t="shared" si="7"/>
        <v>2385.08</v>
      </c>
      <c r="N78" s="137">
        <f t="shared" si="7"/>
        <v>2385.08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2079.9</v>
      </c>
      <c r="K79" s="136">
        <f t="shared" si="7"/>
        <v>2079.9</v>
      </c>
      <c r="L79" s="136">
        <f t="shared" si="7"/>
        <v>415.98</v>
      </c>
      <c r="M79" s="177">
        <f t="shared" si="7"/>
        <v>2495.88</v>
      </c>
      <c r="N79" s="137">
        <f t="shared" si="7"/>
        <v>2495.88</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1569.06</v>
      </c>
      <c r="K80" s="136">
        <f t="shared" si="7"/>
        <v>1569.06</v>
      </c>
      <c r="L80" s="136">
        <f t="shared" si="7"/>
        <v>313.80999999999995</v>
      </c>
      <c r="M80" s="177">
        <f t="shared" si="7"/>
        <v>1882.87</v>
      </c>
      <c r="N80" s="137">
        <f t="shared" si="7"/>
        <v>1882.87</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1478.17</v>
      </c>
      <c r="K81" s="136">
        <f t="shared" si="7"/>
        <v>1478.17</v>
      </c>
      <c r="L81" s="136">
        <f t="shared" si="7"/>
        <v>295.62999999999988</v>
      </c>
      <c r="M81" s="177">
        <f t="shared" si="7"/>
        <v>1773.8</v>
      </c>
      <c r="N81" s="137">
        <f t="shared" si="7"/>
        <v>1773.8</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1447.6</v>
      </c>
      <c r="K82" s="136">
        <f t="shared" si="7"/>
        <v>1447.6</v>
      </c>
      <c r="L82" s="136">
        <f t="shared" si="7"/>
        <v>289.52</v>
      </c>
      <c r="M82" s="177">
        <f t="shared" si="7"/>
        <v>1737.12</v>
      </c>
      <c r="N82" s="137">
        <f t="shared" si="7"/>
        <v>1737.12</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1259</v>
      </c>
      <c r="K83" s="136">
        <f t="shared" si="7"/>
        <v>1259</v>
      </c>
      <c r="L83" s="136">
        <f t="shared" si="7"/>
        <v>251.79999999999995</v>
      </c>
      <c r="M83" s="177">
        <f t="shared" si="7"/>
        <v>1510.8</v>
      </c>
      <c r="N83" s="137">
        <f t="shared" si="7"/>
        <v>1510.8</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1621.33</v>
      </c>
      <c r="K84" s="136">
        <f t="shared" si="7"/>
        <v>1621.33</v>
      </c>
      <c r="L84" s="136">
        <f t="shared" si="7"/>
        <v>324.27</v>
      </c>
      <c r="M84" s="177">
        <f t="shared" si="7"/>
        <v>1945.6</v>
      </c>
      <c r="N84" s="137">
        <f t="shared" si="7"/>
        <v>1945.6</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1476.25</v>
      </c>
      <c r="K85" s="136">
        <f t="shared" si="7"/>
        <v>1476.25</v>
      </c>
      <c r="L85" s="136">
        <f t="shared" si="7"/>
        <v>295.25</v>
      </c>
      <c r="M85" s="177">
        <f t="shared" si="7"/>
        <v>1771.5</v>
      </c>
      <c r="N85" s="137">
        <f t="shared" si="7"/>
        <v>1771.5</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1346.65</v>
      </c>
      <c r="K86" s="136">
        <f t="shared" si="7"/>
        <v>1346.65</v>
      </c>
      <c r="L86" s="136">
        <f t="shared" si="7"/>
        <v>269.32999999999993</v>
      </c>
      <c r="M86" s="177">
        <f t="shared" si="7"/>
        <v>1615.98</v>
      </c>
      <c r="N86" s="137">
        <f t="shared" si="7"/>
        <v>1615.98</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1657.72</v>
      </c>
      <c r="K87" s="136">
        <f t="shared" si="9"/>
        <v>1657.72</v>
      </c>
      <c r="L87" s="136">
        <f t="shared" si="9"/>
        <v>331.53999999999996</v>
      </c>
      <c r="M87" s="177">
        <f t="shared" si="9"/>
        <v>1989.26</v>
      </c>
      <c r="N87" s="137">
        <f t="shared" si="9"/>
        <v>1989.26</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1520.89</v>
      </c>
      <c r="K88" s="136">
        <f t="shared" si="9"/>
        <v>1520.89</v>
      </c>
      <c r="L88" s="136">
        <f t="shared" si="9"/>
        <v>304.17999999999984</v>
      </c>
      <c r="M88" s="177">
        <f t="shared" si="9"/>
        <v>1825.07</v>
      </c>
      <c r="N88" s="137">
        <f t="shared" si="9"/>
        <v>1825.07</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1397.2</v>
      </c>
      <c r="K89" s="136">
        <f t="shared" si="9"/>
        <v>1397.2</v>
      </c>
      <c r="L89" s="136">
        <f t="shared" si="9"/>
        <v>279.44000000000005</v>
      </c>
      <c r="M89" s="177">
        <f t="shared" si="9"/>
        <v>1676.64</v>
      </c>
      <c r="N89" s="137">
        <f t="shared" si="9"/>
        <v>1676.64</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1190.28</v>
      </c>
      <c r="K90" s="136">
        <f t="shared" si="9"/>
        <v>1190.28</v>
      </c>
      <c r="L90" s="136">
        <f t="shared" si="9"/>
        <v>238.05999999999995</v>
      </c>
      <c r="M90" s="177">
        <f t="shared" si="9"/>
        <v>1428.34</v>
      </c>
      <c r="N90" s="137">
        <f t="shared" si="9"/>
        <v>1428.34</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1593.12</v>
      </c>
      <c r="K91" s="136">
        <f t="shared" si="9"/>
        <v>1593.12</v>
      </c>
      <c r="L91" s="136">
        <f t="shared" si="9"/>
        <v>318.62000000000012</v>
      </c>
      <c r="M91" s="177">
        <f t="shared" si="9"/>
        <v>1911.74</v>
      </c>
      <c r="N91" s="137">
        <f t="shared" si="9"/>
        <v>1911.74</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1991.35</v>
      </c>
      <c r="K92" s="136">
        <f t="shared" si="9"/>
        <v>1991.35</v>
      </c>
      <c r="L92" s="136">
        <f t="shared" si="9"/>
        <v>398.27</v>
      </c>
      <c r="M92" s="177">
        <f t="shared" si="9"/>
        <v>2389.62</v>
      </c>
      <c r="N92" s="137">
        <f t="shared" si="9"/>
        <v>2389.62</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1601.54</v>
      </c>
      <c r="K93" s="136">
        <f t="shared" si="9"/>
        <v>1601.54</v>
      </c>
      <c r="L93" s="136">
        <f t="shared" si="9"/>
        <v>320.30999999999995</v>
      </c>
      <c r="M93" s="177">
        <f t="shared" si="9"/>
        <v>1921.85</v>
      </c>
      <c r="N93" s="137">
        <f t="shared" si="9"/>
        <v>1921.85</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1470</v>
      </c>
      <c r="K94" s="136">
        <f t="shared" si="9"/>
        <v>1470</v>
      </c>
      <c r="L94" s="136">
        <f t="shared" si="9"/>
        <v>294</v>
      </c>
      <c r="M94" s="177">
        <f t="shared" si="9"/>
        <v>1764</v>
      </c>
      <c r="N94" s="137">
        <f t="shared" si="9"/>
        <v>1764</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1489.78</v>
      </c>
      <c r="K95" s="136">
        <f t="shared" si="9"/>
        <v>1489.78</v>
      </c>
      <c r="L95" s="136">
        <f t="shared" si="9"/>
        <v>297.96000000000004</v>
      </c>
      <c r="M95" s="177">
        <f t="shared" si="9"/>
        <v>1787.74</v>
      </c>
      <c r="N95" s="137">
        <f t="shared" si="9"/>
        <v>1787.74</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1489.78</v>
      </c>
      <c r="K96" s="136">
        <f t="shared" si="9"/>
        <v>1489.78</v>
      </c>
      <c r="L96" s="136">
        <f t="shared" si="9"/>
        <v>297.96000000000004</v>
      </c>
      <c r="M96" s="177">
        <f t="shared" si="9"/>
        <v>1787.74</v>
      </c>
      <c r="N96" s="137">
        <f t="shared" si="9"/>
        <v>1787.74</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1517.74</v>
      </c>
      <c r="K97" s="136">
        <f t="shared" si="10"/>
        <v>1517.74</v>
      </c>
      <c r="L97" s="136">
        <f t="shared" si="10"/>
        <v>303.54999999999995</v>
      </c>
      <c r="M97" s="177">
        <f t="shared" si="10"/>
        <v>1821.29</v>
      </c>
      <c r="N97" s="137">
        <f t="shared" si="10"/>
        <v>1821.29</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1613.52</v>
      </c>
      <c r="K98" s="136">
        <f t="shared" si="10"/>
        <v>1613.52</v>
      </c>
      <c r="L98" s="136">
        <f t="shared" si="10"/>
        <v>322.70000000000005</v>
      </c>
      <c r="M98" s="177">
        <f t="shared" si="10"/>
        <v>1936.22</v>
      </c>
      <c r="N98" s="137">
        <f t="shared" si="10"/>
        <v>1936.22</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1472.29</v>
      </c>
      <c r="K99" s="136">
        <f t="shared" si="10"/>
        <v>1472.29</v>
      </c>
      <c r="L99" s="136">
        <f t="shared" si="10"/>
        <v>294.46000000000004</v>
      </c>
      <c r="M99" s="177">
        <f t="shared" si="10"/>
        <v>1766.75</v>
      </c>
      <c r="N99" s="137">
        <f t="shared" si="10"/>
        <v>1766.75</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1482.1</v>
      </c>
      <c r="K100" s="136">
        <f t="shared" si="10"/>
        <v>1482.1</v>
      </c>
      <c r="L100" s="136">
        <f t="shared" si="10"/>
        <v>296.42000000000007</v>
      </c>
      <c r="M100" s="177">
        <f t="shared" si="10"/>
        <v>1778.52</v>
      </c>
      <c r="N100" s="137">
        <f t="shared" si="10"/>
        <v>1778.52</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1079.71</v>
      </c>
      <c r="K101" s="136">
        <f t="shared" si="10"/>
        <v>1079.71</v>
      </c>
      <c r="L101" s="136">
        <f t="shared" si="10"/>
        <v>215.94000000000005</v>
      </c>
      <c r="M101" s="177">
        <f t="shared" si="10"/>
        <v>1295.6500000000001</v>
      </c>
      <c r="N101" s="137">
        <f t="shared" si="10"/>
        <v>1295.6500000000001</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889.92</v>
      </c>
      <c r="K102" s="136">
        <f t="shared" si="10"/>
        <v>889.92</v>
      </c>
      <c r="L102" s="136">
        <f t="shared" si="10"/>
        <v>177.98000000000013</v>
      </c>
      <c r="M102" s="177">
        <f t="shared" si="10"/>
        <v>1067.9000000000001</v>
      </c>
      <c r="N102" s="137">
        <f t="shared" si="10"/>
        <v>1067.9000000000001</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967.33</v>
      </c>
      <c r="K103" s="136">
        <f t="shared" si="10"/>
        <v>967.33</v>
      </c>
      <c r="L103" s="136">
        <f t="shared" si="10"/>
        <v>193.46999999999991</v>
      </c>
      <c r="M103" s="177">
        <f t="shared" si="10"/>
        <v>1160.8</v>
      </c>
      <c r="N103" s="137">
        <f t="shared" si="10"/>
        <v>1160.8</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1099.1199999999999</v>
      </c>
      <c r="K104" s="136">
        <f t="shared" si="10"/>
        <v>1099.1199999999999</v>
      </c>
      <c r="L104" s="136">
        <f t="shared" si="10"/>
        <v>219.82000000000016</v>
      </c>
      <c r="M104" s="177">
        <f t="shared" si="10"/>
        <v>1318.94</v>
      </c>
      <c r="N104" s="137">
        <f t="shared" si="10"/>
        <v>1318.94</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1164.33</v>
      </c>
      <c r="K105" s="136">
        <f t="shared" si="10"/>
        <v>1164.33</v>
      </c>
      <c r="L105" s="136">
        <f t="shared" si="10"/>
        <v>232.87000000000012</v>
      </c>
      <c r="M105" s="177">
        <f t="shared" si="10"/>
        <v>1397.2</v>
      </c>
      <c r="N105" s="137">
        <f t="shared" si="10"/>
        <v>1397.2</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1213.55</v>
      </c>
      <c r="K106" s="136">
        <f t="shared" si="10"/>
        <v>1213.55</v>
      </c>
      <c r="L106" s="136">
        <f t="shared" si="10"/>
        <v>242.71000000000004</v>
      </c>
      <c r="M106" s="177">
        <f t="shared" si="10"/>
        <v>1456.26</v>
      </c>
      <c r="N106" s="137">
        <f t="shared" si="10"/>
        <v>1456.26</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1184.57</v>
      </c>
      <c r="K107" s="136">
        <f t="shared" si="11"/>
        <v>1184.57</v>
      </c>
      <c r="L107" s="136">
        <f t="shared" si="11"/>
        <v>236.91000000000008</v>
      </c>
      <c r="M107" s="177">
        <f t="shared" si="11"/>
        <v>1421.48</v>
      </c>
      <c r="N107" s="137">
        <f t="shared" si="11"/>
        <v>1421.48</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1143.6400000000001</v>
      </c>
      <c r="K108" s="136">
        <f t="shared" si="11"/>
        <v>1143.6400000000001</v>
      </c>
      <c r="L108" s="136">
        <f t="shared" si="11"/>
        <v>228.72999999999979</v>
      </c>
      <c r="M108" s="177">
        <f t="shared" si="11"/>
        <v>1372.37</v>
      </c>
      <c r="N108" s="137">
        <f t="shared" si="11"/>
        <v>1372.37</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1384.14</v>
      </c>
      <c r="K109" s="136">
        <f t="shared" si="11"/>
        <v>1384.14</v>
      </c>
      <c r="L109" s="136">
        <f t="shared" si="11"/>
        <v>276.82999999999993</v>
      </c>
      <c r="M109" s="177">
        <f t="shared" si="11"/>
        <v>1660.97</v>
      </c>
      <c r="N109" s="137">
        <f t="shared" si="11"/>
        <v>1660.97</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1078.6500000000001</v>
      </c>
      <c r="K110" s="136">
        <f t="shared" si="11"/>
        <v>1078.6500000000001</v>
      </c>
      <c r="L110" s="136">
        <f t="shared" si="11"/>
        <v>215.73000000000002</v>
      </c>
      <c r="M110" s="177">
        <f t="shared" si="11"/>
        <v>1294.3800000000001</v>
      </c>
      <c r="N110" s="137">
        <f t="shared" si="11"/>
        <v>1294.3800000000001</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1392.99</v>
      </c>
      <c r="K111" s="136">
        <f t="shared" si="11"/>
        <v>1392.99</v>
      </c>
      <c r="L111" s="136">
        <f t="shared" si="11"/>
        <v>278.59999999999991</v>
      </c>
      <c r="M111" s="177">
        <f t="shared" si="11"/>
        <v>1671.59</v>
      </c>
      <c r="N111" s="137">
        <f t="shared" si="11"/>
        <v>1671.59</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1148.19</v>
      </c>
      <c r="K112" s="136">
        <f t="shared" si="11"/>
        <v>1148.19</v>
      </c>
      <c r="L112" s="136">
        <f t="shared" si="11"/>
        <v>229.63999999999987</v>
      </c>
      <c r="M112" s="177">
        <f t="shared" si="11"/>
        <v>1377.83</v>
      </c>
      <c r="N112" s="137">
        <f t="shared" si="11"/>
        <v>1377.83</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3" t="s">
        <v>179</v>
      </c>
      <c r="C2017" s="703"/>
      <c r="D2017" s="703"/>
      <c r="E2017" s="703"/>
      <c r="F2017" s="703"/>
      <c r="G2017" s="143">
        <f>SUM(G17:G2016)</f>
        <v>0</v>
      </c>
      <c r="H2017" s="149"/>
      <c r="I2017" s="149"/>
      <c r="J2017" s="149"/>
      <c r="K2017" s="148">
        <f>SUM(K17:K2016)</f>
        <v>349672.30999999994</v>
      </c>
      <c r="L2017" s="148">
        <f>SUM(L17:L2016)</f>
        <v>69934.47000000003</v>
      </c>
      <c r="M2017" s="148"/>
      <c r="N2017" s="148">
        <f>SUM(N17:N2016)</f>
        <v>419606.77999999985</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419606.77999999985</v>
      </c>
      <c r="M3" s="248">
        <f>_xlfn.XLOOKUP(M2,расчет!14:14,расчет!13:13,0,0)</f>
        <v>349672.30999999994</v>
      </c>
      <c r="N3" s="248">
        <f>_xlfn.XLOOKUP(N2,расчет!14:14,расчет!13:13,0,0)</f>
        <v>53247.26</v>
      </c>
      <c r="O3" s="246" t="str">
        <f>VLOOKUP(O$2,расчет!$B$5:$D$12,3,FALSE)</f>
        <v>DDP</v>
      </c>
      <c r="P3" s="246">
        <f>VLOOKUP(P$2,расчет!$B$5:$D$12,3,FALSE)</f>
        <v>60</v>
      </c>
      <c r="Q3" s="246">
        <f>offer_post_pmt_due</f>
        <v>0</v>
      </c>
      <c r="R3" s="246" t="str">
        <f>VLOOKUP(R$2,расчет!$B$5:$D$12,3,FALSE)</f>
        <v>частичная оплата</v>
      </c>
      <c r="S3" s="249">
        <f>расчет!J5</f>
        <v>0.3</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7686.558386829056</v>
      </c>
      <c r="AA3" s="248">
        <f>_xlfn.XLOOKUP(AA2,расчет!14:14,расчет!13:13,0,0)</f>
        <v>0</v>
      </c>
      <c r="AB3" s="248">
        <f>_xlfn.XLOOKUP(AB2,расчет!14:14,расчет!13:13,0,0)</f>
        <v>0</v>
      </c>
      <c r="AC3" s="248">
        <f>_xlfn.XLOOKUP(AC2,расчет!14:14,расчет!13:13,0,0)</f>
        <v>2499.9999999999995</v>
      </c>
      <c r="AD3" s="248">
        <f>_xlfn.XLOOKUP(AD2,расчет!14:14,расчет!13:13,0,0)</f>
        <v>6123.1999999999971</v>
      </c>
      <c r="AE3" s="248">
        <f>_xlfn.XLOOKUP(AE2,расчет!14:14,расчет!13:13,0,0)</f>
        <v>9657.6899999999987</v>
      </c>
      <c r="AF3" s="248">
        <f>_xlfn.XLOOKUP(AF2,расчет!14:14,расчет!13:13,0,0)</f>
        <v>0</v>
      </c>
      <c r="AG3" s="248">
        <f>_xlfn.XLOOKUP(AG2,расчет!14:14,расчет!13:13,0,0)</f>
        <v>280248.61999999988</v>
      </c>
      <c r="AH3" s="247">
        <f>_xlfn.XLOOKUP(AH2,расчет!14:14,расчет!13:13,0,0)</f>
        <v>0.19000007921537643</v>
      </c>
      <c r="AI3" s="248">
        <f>_xlfn.XLOOKUP(AI2,расчет!14:14,расчет!13:13,0,0)</f>
        <v>0</v>
      </c>
      <c r="AJ3" s="248">
        <f>_xlfn.XLOOKUP(AJ2,расчет!14:14,расчет!13:13,0,0)</f>
        <v>10184.629902651437</v>
      </c>
      <c r="AK3" s="248">
        <f>_xlfn.XLOOKUP(AK2,расчет!14:14,расчет!13:13,0,0)</f>
        <v>5991.7834217142836</v>
      </c>
      <c r="AL3" s="248">
        <f>_xlfn.XLOOKUP(AL2,расчет!14:14,расчет!13:13,0,0)</f>
        <v>69934.47000000003</v>
      </c>
      <c r="AM3" s="248">
        <f>_xlfn.XLOOKUP(AM2,расчет!14:14,расчет!13:13,0,0)</f>
        <v>55039.536</v>
      </c>
      <c r="AN3" s="248">
        <f>_xlfn.XLOOKUP(AN2,расчет!14:14,расчет!13:13,0,0)</f>
        <v>14894.933999999997</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0.1796315363978227</v>
      </c>
    </row>
    <row r="8" spans="2:15" x14ac:dyDescent="0.25">
      <c r="B8" t="str" cm="1">
        <f t="array" ref="B8:C66">TRANSPOSE(расчет!A14:BG15)</f>
        <v>№п.п.</v>
      </c>
      <c r="C8">
        <v>0</v>
      </c>
      <c r="D8" s="85" cm="1">
        <f t="array" ref="D8:D66">TRANSPOSE(расчет!A13:BG13)</f>
        <v>0</v>
      </c>
      <c r="G8" s="310" t="s">
        <v>119</v>
      </c>
      <c r="H8" s="308">
        <f>H12/H13</f>
        <v>1.361752173831086</v>
      </c>
    </row>
    <row r="9" spans="2:15" x14ac:dyDescent="0.25">
      <c r="B9" t="str">
        <v>Бренд</v>
      </c>
      <c r="C9">
        <v>1</v>
      </c>
      <c r="D9">
        <v>0</v>
      </c>
      <c r="G9" s="303" t="str">
        <f>расчет!B10</f>
        <v>Условие расчетов с Заказчиком</v>
      </c>
      <c r="H9" s="303" t="str">
        <f>offer_pmt_terms</f>
        <v>частичная оплата: 30%-аванс в течении 5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349672.30999999994</v>
      </c>
      <c r="I12" s="230">
        <f t="shared" ref="I12:I35" si="0">H12/H$12</f>
        <v>1</v>
      </c>
      <c r="J12" s="231">
        <f>расчет!AL13</f>
        <v>419606.77999999985</v>
      </c>
      <c r="K12" s="232">
        <f>J12-H12</f>
        <v>69934.469999999914</v>
      </c>
      <c r="L12" s="427">
        <f>H12-M12</f>
        <v>349672.30999999994</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0.73434801075929224</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92891.144733893423</v>
      </c>
      <c r="I14" s="218">
        <f t="shared" si="0"/>
        <v>0.26565198924070776</v>
      </c>
      <c r="J14" s="219"/>
      <c r="K14" s="88">
        <f>J14-H14</f>
        <v>-92891.144733893423</v>
      </c>
      <c r="L14" s="429">
        <f t="shared" si="1"/>
        <v>92891.144733893423</v>
      </c>
      <c r="M14" s="217">
        <f>+M12-M13</f>
        <v>0</v>
      </c>
    </row>
    <row r="15" spans="2:15" ht="15.75" thickTop="1" x14ac:dyDescent="0.25">
      <c r="B15" t="str">
        <v>Фасовка</v>
      </c>
      <c r="C15">
        <v>7</v>
      </c>
      <c r="D15">
        <v>0</v>
      </c>
      <c r="G15" s="214" t="str">
        <f>расчет!V2</f>
        <v>"ОТКУДА" - Стамбул</v>
      </c>
      <c r="H15" s="215">
        <f>расчет!W2</f>
        <v>2000</v>
      </c>
      <c r="I15" s="87">
        <f t="shared" si="0"/>
        <v>5.7196407688100909E-3</v>
      </c>
      <c r="L15" s="430">
        <f t="shared" si="1"/>
        <v>0</v>
      </c>
      <c r="M15" s="431">
        <f>H15</f>
        <v>2000</v>
      </c>
    </row>
    <row r="16" spans="2:15" x14ac:dyDescent="0.25">
      <c r="B16" t="str">
        <v>Общий вес</v>
      </c>
      <c r="C16">
        <v>8</v>
      </c>
      <c r="D16">
        <v>0</v>
      </c>
      <c r="G16" s="214" t="str">
        <f>расчет!V3</f>
        <v>ТР - РФ (граница)</v>
      </c>
      <c r="H16" s="215">
        <f>расчет!W3</f>
        <v>1000</v>
      </c>
      <c r="I16" s="432">
        <f t="shared" si="0"/>
        <v>2.8598203844050455E-3</v>
      </c>
      <c r="J16" s="433"/>
      <c r="K16" s="433"/>
      <c r="L16" s="434">
        <f t="shared" si="1"/>
        <v>0</v>
      </c>
      <c r="M16" s="431">
        <f>H16</f>
        <v>1000</v>
      </c>
    </row>
    <row r="17" spans="2:15" x14ac:dyDescent="0.25">
      <c r="B17" t="str">
        <v>Валюта закупки</v>
      </c>
      <c r="C17">
        <v>9</v>
      </c>
      <c r="D17">
        <v>0</v>
      </c>
      <c r="G17" s="214" t="str">
        <f>расчет!V4</f>
        <v>РФ (граница)  - "КУДА"</v>
      </c>
      <c r="H17" s="215">
        <f>расчет!W4</f>
        <v>1500</v>
      </c>
      <c r="I17" s="432">
        <f t="shared" si="0"/>
        <v>4.2897305766075684E-3</v>
      </c>
      <c r="J17" s="433"/>
      <c r="K17" s="433"/>
      <c r="L17" s="434">
        <f t="shared" si="1"/>
        <v>0</v>
      </c>
      <c r="M17" s="431">
        <f t="shared" ref="M17:M22" si="2">H17</f>
        <v>1500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2.8598203844050452E-4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5.7196407688100905E-4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8.5794611532151357E-4</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1.1439281537620181E-3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1.4299101922025227E-3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3.5232987135870158E-4</v>
      </c>
      <c r="L23" s="430">
        <f t="shared" si="1"/>
        <v>0</v>
      </c>
      <c r="M23" s="215">
        <f>H23</f>
        <v>123.19999999999999</v>
      </c>
    </row>
    <row r="24" spans="2:15" x14ac:dyDescent="0.25">
      <c r="B24" t="str">
        <v>Курс валют к валюте КП</v>
      </c>
      <c r="C24">
        <v>16</v>
      </c>
      <c r="D24">
        <v>0</v>
      </c>
      <c r="G24" s="178" t="s">
        <v>129</v>
      </c>
      <c r="H24" s="435">
        <f>VLOOKUP(G24,B:D,3,FALSE)</f>
        <v>6123.1999999999971</v>
      </c>
      <c r="I24" s="436">
        <f t="shared" si="0"/>
        <v>1.7511252177788966E-2</v>
      </c>
      <c r="J24" s="178" t="b">
        <f>H24=SUM(H15:H23)</f>
        <v>1</v>
      </c>
      <c r="K24" s="178"/>
      <c r="L24" s="430">
        <f>H24-M24</f>
        <v>0</v>
      </c>
      <c r="M24" s="435">
        <f>+SUM(M15:M23)</f>
        <v>6123.2</v>
      </c>
    </row>
    <row r="25" spans="2:15" x14ac:dyDescent="0.25">
      <c r="B25" t="str">
        <v>Цена Закупки в валюте КП без НДС за шт.</v>
      </c>
      <c r="C25">
        <v>17</v>
      </c>
      <c r="D25">
        <v>0</v>
      </c>
      <c r="G25" s="83" t="s">
        <v>58</v>
      </c>
      <c r="H25" s="435">
        <f t="shared" ref="H25:H26" si="3">VLOOKUP(G25,B:D,3,FALSE)</f>
        <v>9657.6899999999987</v>
      </c>
      <c r="I25" s="87">
        <f t="shared" si="0"/>
        <v>2.7619258728264758E-2</v>
      </c>
      <c r="K25" s="437">
        <f>H25/H13</f>
        <v>3.7610585612817736E-2</v>
      </c>
      <c r="L25" s="430">
        <f t="shared" si="1"/>
        <v>0</v>
      </c>
      <c r="M25" s="85">
        <f>H25</f>
        <v>9657.6899999999987</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0</v>
      </c>
      <c r="G27" s="223" t="s">
        <v>236</v>
      </c>
      <c r="H27" s="582">
        <f>+SUM(H13,H24:H26)</f>
        <v>272562.0552661065</v>
      </c>
      <c r="I27" s="225">
        <f t="shared" si="0"/>
        <v>0.77947852166534592</v>
      </c>
      <c r="L27" s="438">
        <f t="shared" si="1"/>
        <v>256781.12765552089</v>
      </c>
      <c r="M27" s="224">
        <f>M13+M24+K25+M25+M26</f>
        <v>15780.927610585612</v>
      </c>
    </row>
    <row r="28" spans="2:15" ht="15.75" thickBot="1" x14ac:dyDescent="0.3">
      <c r="B28" t="str">
        <v>Логистика РФ</v>
      </c>
      <c r="C28">
        <v>20</v>
      </c>
      <c r="D28">
        <v>2499.9999999999995</v>
      </c>
      <c r="G28" s="216" t="s">
        <v>220</v>
      </c>
      <c r="H28" s="217">
        <f>H14-SUM(H24,H25:H26)</f>
        <v>77110.254733893424</v>
      </c>
      <c r="I28" s="218">
        <f t="shared" si="0"/>
        <v>0.22052147833465405</v>
      </c>
      <c r="J28" s="226">
        <f>H12-H27</f>
        <v>77110.254733893438</v>
      </c>
      <c r="L28" s="429">
        <f t="shared" si="1"/>
        <v>92891.144733893423</v>
      </c>
      <c r="M28" s="217">
        <f>M14-M24-M25-M26</f>
        <v>-15780.89</v>
      </c>
    </row>
    <row r="29" spans="2:15" ht="15.75" thickTop="1" x14ac:dyDescent="0.25">
      <c r="B29" t="str">
        <v>Итого Логистика</v>
      </c>
      <c r="C29">
        <v>21</v>
      </c>
      <c r="D29">
        <v>6123.1999999999971</v>
      </c>
      <c r="G29" s="83" t="s">
        <v>183</v>
      </c>
      <c r="H29" s="85">
        <f>VLOOKUP(G29,B:D,3,FALSE)</f>
        <v>5991.7834217142836</v>
      </c>
      <c r="I29" s="87">
        <f t="shared" si="0"/>
        <v>1.7135424368358722E-2</v>
      </c>
      <c r="J29" s="97">
        <v>0</v>
      </c>
      <c r="K29" s="439">
        <v>0.04</v>
      </c>
      <c r="L29" s="428">
        <f t="shared" si="1"/>
        <v>0</v>
      </c>
      <c r="M29" s="85">
        <f>H29</f>
        <v>5991.7834217142836</v>
      </c>
      <c r="N29" s="473">
        <f>H29/0.02</f>
        <v>299589.17108571419</v>
      </c>
      <c r="O29" s="473">
        <f>N29-H13</f>
        <v>42808.005819607672</v>
      </c>
    </row>
    <row r="30" spans="2:15" x14ac:dyDescent="0.25">
      <c r="B30" t="str">
        <v>Код ТН ВЭД</v>
      </c>
      <c r="C30">
        <v>22</v>
      </c>
      <c r="D30">
        <v>0</v>
      </c>
      <c r="G30" s="83" t="s">
        <v>265</v>
      </c>
      <c r="H30" s="85">
        <f>VLOOKUP(G30,B:D,3,FALSE)</f>
        <v>10184.629902651437</v>
      </c>
      <c r="I30" s="87">
        <f t="shared" si="0"/>
        <v>2.9126212203223752E-2</v>
      </c>
      <c r="J30" s="97">
        <v>0</v>
      </c>
      <c r="K30" s="97"/>
      <c r="L30" s="428">
        <f t="shared" si="1"/>
        <v>0</v>
      </c>
      <c r="M30" s="85">
        <f>H30</f>
        <v>10184.629902651437</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9657.6899999999987</v>
      </c>
      <c r="G32" s="83" t="s">
        <v>240</v>
      </c>
      <c r="H32" s="85">
        <f>VLOOKUP(G32,B:D,3,FALSE)</f>
        <v>7686.558386829056</v>
      </c>
      <c r="I32" s="87">
        <f t="shared" si="0"/>
        <v>2.1982176360573296E-2</v>
      </c>
      <c r="L32" s="428">
        <f t="shared" si="1"/>
        <v>0</v>
      </c>
      <c r="M32" s="85">
        <f t="shared" si="4"/>
        <v>7686.558386829056</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23862.971711194776</v>
      </c>
      <c r="I34" s="222">
        <f t="shared" si="0"/>
        <v>6.824381293215577E-2</v>
      </c>
      <c r="L34" s="440">
        <f t="shared" si="1"/>
        <v>0</v>
      </c>
      <c r="M34" s="221">
        <f>SUM(M29:M33)</f>
        <v>23862.971711194776</v>
      </c>
    </row>
    <row r="35" spans="2:15" x14ac:dyDescent="0.25">
      <c r="B35" t="str">
        <v>Итого Себестоимость товара (без НДС)</v>
      </c>
      <c r="C35">
        <v>27</v>
      </c>
      <c r="D35">
        <v>280248.61999999988</v>
      </c>
      <c r="F35" t="str">
        <f>расчет!AF14</f>
        <v>Профит чистый (без НДС и фин. расходов и отката)</v>
      </c>
      <c r="G35" s="441" t="s">
        <v>221</v>
      </c>
      <c r="H35" s="442">
        <f>H28-H34</f>
        <v>53247.283022698648</v>
      </c>
      <c r="I35" s="443">
        <f t="shared" si="0"/>
        <v>0.15227766540249829</v>
      </c>
      <c r="J35" s="444">
        <f>VLOOKUP(F35,B:D,3,FALSE)</f>
        <v>53247.26</v>
      </c>
      <c r="K35" s="351">
        <f>ROUND(J35,1)-ROUND(H35,1)</f>
        <v>0</v>
      </c>
      <c r="L35" s="445">
        <f t="shared" si="1"/>
        <v>92891.144733893423</v>
      </c>
      <c r="M35" s="442">
        <f>+M28-M34</f>
        <v>-39643.861711194775</v>
      </c>
    </row>
    <row r="36" spans="2:15" ht="21" x14ac:dyDescent="0.35">
      <c r="B36" t="str">
        <v>Наценка Общая в %</v>
      </c>
      <c r="C36">
        <v>28</v>
      </c>
      <c r="D36">
        <v>0.19000007921537643</v>
      </c>
      <c r="G36" s="715" t="s">
        <v>312</v>
      </c>
      <c r="H36" s="716"/>
      <c r="I36" s="716"/>
      <c r="J36" s="446">
        <v>0.5</v>
      </c>
      <c r="K36" s="447">
        <v>0.25</v>
      </c>
      <c r="L36" s="448" t="s">
        <v>313</v>
      </c>
      <c r="M36" s="583">
        <f>(M$35*$J36)*$K36</f>
        <v>-4955.4827138993469</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-4955.4827138993469</v>
      </c>
      <c r="N37" s="459" t="s">
        <v>322</v>
      </c>
    </row>
    <row r="38" spans="2:15" ht="15.75" thickBot="1" x14ac:dyDescent="0.3">
      <c r="B38" t="str">
        <v>Себестоимость + Маржа (без НДС)</v>
      </c>
      <c r="C38">
        <v>30</v>
      </c>
      <c r="D38">
        <v>333495.87999999977</v>
      </c>
      <c r="G38" s="454" t="s">
        <v>68</v>
      </c>
      <c r="H38" s="450">
        <f>H39*(1+H40)</f>
        <v>282459.28179271717</v>
      </c>
      <c r="I38" s="451"/>
      <c r="J38" s="455"/>
      <c r="K38" s="455"/>
      <c r="L38" s="456" t="s">
        <v>315</v>
      </c>
      <c r="M38" s="457">
        <f>+M36+M37</f>
        <v>-9910.9654277986938</v>
      </c>
      <c r="O38" s="587"/>
    </row>
    <row r="39" spans="2:15" ht="15.75" thickTop="1" x14ac:dyDescent="0.25">
      <c r="B39" t="str">
        <v>Профит чистый (без НДС и фин. расходов и отката)</v>
      </c>
      <c r="C39">
        <v>31</v>
      </c>
      <c r="D39">
        <v>53247.26</v>
      </c>
      <c r="G39" s="454" t="s">
        <v>103</v>
      </c>
      <c r="H39" s="458">
        <f>H13</f>
        <v>256781.16526610652</v>
      </c>
      <c r="I39" s="451"/>
      <c r="J39" s="455"/>
      <c r="K39" s="459"/>
      <c r="L39" s="460" t="s">
        <v>316</v>
      </c>
      <c r="M39" s="585">
        <f>M35-M38</f>
        <v>-29732.896283396083</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122.464</v>
      </c>
      <c r="N40" s="459" t="s">
        <v>324</v>
      </c>
      <c r="O40" s="459"/>
    </row>
    <row r="41" spans="2:15" x14ac:dyDescent="0.25">
      <c r="B41" t="str">
        <v>Резерв на отриц. курсовую разницу (3% в договоре)</v>
      </c>
      <c r="C41">
        <v>33</v>
      </c>
      <c r="D41">
        <v>10184.629902651437</v>
      </c>
      <c r="G41" s="454"/>
      <c r="H41" s="450"/>
      <c r="I41" s="451"/>
      <c r="J41" s="717" t="s">
        <v>318</v>
      </c>
      <c r="K41" s="717"/>
      <c r="L41" s="717"/>
      <c r="M41" s="586">
        <f>M39-M40</f>
        <v>-29855.360283396083</v>
      </c>
    </row>
    <row r="42" spans="2:15" x14ac:dyDescent="0.25">
      <c r="B42" t="str">
        <v>Комиссия фин/агента (% затрат вне РФ)</v>
      </c>
      <c r="C42">
        <v>34</v>
      </c>
      <c r="D42">
        <v>5991.7834217142836</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349672.30999999994</v>
      </c>
      <c r="G44" s="465"/>
      <c r="H44" s="466"/>
      <c r="I44" s="466"/>
      <c r="J44" s="466"/>
      <c r="K44" s="466"/>
      <c r="L44" s="467"/>
      <c r="M44" s="466"/>
    </row>
    <row r="45" spans="2:15" x14ac:dyDescent="0.25">
      <c r="B45" t="str">
        <v>Итого Сумма Продажи с НДС</v>
      </c>
      <c r="C45">
        <v>37</v>
      </c>
      <c r="D45">
        <v>419606.77999999985</v>
      </c>
    </row>
    <row r="46" spans="2:15" ht="15.75" thickBot="1" x14ac:dyDescent="0.3">
      <c r="B46" t="str">
        <v>Цена продажи c НДС</v>
      </c>
      <c r="C46">
        <v>38</v>
      </c>
      <c r="D46">
        <v>0</v>
      </c>
    </row>
    <row r="47" spans="2:15" x14ac:dyDescent="0.25">
      <c r="B47" t="str">
        <v>НДС с продаж</v>
      </c>
      <c r="C47">
        <v>39</v>
      </c>
      <c r="D47">
        <v>69934.47000000003</v>
      </c>
      <c r="K47" s="718" t="s">
        <v>119</v>
      </c>
      <c r="L47"/>
      <c r="M47"/>
    </row>
    <row r="48" spans="2:15" ht="15.75" thickBot="1" x14ac:dyDescent="0.3">
      <c r="B48" t="str">
        <v>НДС (при импорте в РФ)</v>
      </c>
      <c r="C48">
        <v>40</v>
      </c>
      <c r="D48">
        <v>55039.536</v>
      </c>
      <c r="K48" s="719"/>
      <c r="L48"/>
      <c r="M48"/>
    </row>
    <row r="49" spans="2:13" ht="17.25" thickBot="1" x14ac:dyDescent="0.4">
      <c r="B49" t="str">
        <v>НДС к уплате за вычетом импортного НДС</v>
      </c>
      <c r="C49">
        <v>41</v>
      </c>
      <c r="D49">
        <v>14894.933999999997</v>
      </c>
      <c r="K49" s="468">
        <f>H8</f>
        <v>1.361752173831086</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7686.558386829056</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x14ac:dyDescent="0.25">
      <c r="A13" s="513" t="s">
        <v>389</v>
      </c>
      <c r="B13" s="521" t="str">
        <f>'КП price'!K9</f>
        <v>частичная оплата: 30%-аванс в течении 5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31649.21</v>
      </c>
      <c r="F11" s="557">
        <f>D11*E11</f>
        <v>31649.21</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27293.29</v>
      </c>
      <c r="F12" s="557">
        <f t="shared" ref="F12:F75" si="0">E12-D12</f>
        <v>27292.29</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26759.5</v>
      </c>
      <c r="F13" s="557">
        <f t="shared" si="0"/>
        <v>26758.5</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23726.93</v>
      </c>
      <c r="F14" s="557">
        <f t="shared" si="0"/>
        <v>23725.93</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12240.43</v>
      </c>
      <c r="F15" s="557">
        <f t="shared" si="0"/>
        <v>12239.43</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11223.1</v>
      </c>
      <c r="F16" s="557">
        <f t="shared" si="0"/>
        <v>11222.1</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10500.97</v>
      </c>
      <c r="F17" s="557">
        <f t="shared" si="0"/>
        <v>10499.97</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11575.48</v>
      </c>
      <c r="F18" s="557">
        <f t="shared" si="0"/>
        <v>11574.48</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10260.68</v>
      </c>
      <c r="F19" s="557">
        <f t="shared" si="0"/>
        <v>10259.68</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9591.85</v>
      </c>
      <c r="F20" s="557">
        <f t="shared" si="0"/>
        <v>9590.85</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4230.5</v>
      </c>
      <c r="F21" s="557">
        <f t="shared" si="0"/>
        <v>4229.5</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6231.04</v>
      </c>
      <c r="F22" s="557">
        <f t="shared" si="0"/>
        <v>6230.04</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7162.18</v>
      </c>
      <c r="F23" s="557">
        <f t="shared" si="0"/>
        <v>7161.18</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6625.78</v>
      </c>
      <c r="F24" s="557">
        <f t="shared" si="0"/>
        <v>6624.78</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8042.94</v>
      </c>
      <c r="F25" s="557">
        <f t="shared" si="0"/>
        <v>8041.94</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6933.48</v>
      </c>
      <c r="F26" s="557">
        <f t="shared" si="0"/>
        <v>6932.48</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7509.61</v>
      </c>
      <c r="F27" s="557">
        <f t="shared" si="0"/>
        <v>7508.61</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6992.65</v>
      </c>
      <c r="F28" s="557">
        <f t="shared" si="0"/>
        <v>6991.65</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6283.63</v>
      </c>
      <c r="F29" s="557">
        <f t="shared" si="0"/>
        <v>6282.63</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6008.4</v>
      </c>
      <c r="F30" s="557">
        <f t="shared" si="0"/>
        <v>6007.4</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6762.31</v>
      </c>
      <c r="F31" s="557">
        <f t="shared" si="0"/>
        <v>6761.31</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5968.5</v>
      </c>
      <c r="F32" s="557">
        <f t="shared" si="0"/>
        <v>5967.5</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5364.59</v>
      </c>
      <c r="F33" s="557">
        <f t="shared" si="0"/>
        <v>5363.59</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5229.22</v>
      </c>
      <c r="F34" s="557">
        <f t="shared" si="0"/>
        <v>5228.22</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4367.18</v>
      </c>
      <c r="F35" s="557">
        <f t="shared" si="0"/>
        <v>4366.18</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4423.18</v>
      </c>
      <c r="F36" s="557">
        <f t="shared" si="0"/>
        <v>4422.18</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4637.42</v>
      </c>
      <c r="F37" s="557">
        <f t="shared" si="0"/>
        <v>4636.42</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4283.51</v>
      </c>
      <c r="F38" s="557">
        <f t="shared" si="0"/>
        <v>4282.51</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4153.16</v>
      </c>
      <c r="F39" s="557">
        <f t="shared" si="0"/>
        <v>4152.16</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4749.76</v>
      </c>
      <c r="F42" s="557">
        <f t="shared" si="0"/>
        <v>4748.76</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1403.26</v>
      </c>
      <c r="F43" s="557">
        <f t="shared" si="0"/>
        <v>1402.26</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3097.72</v>
      </c>
      <c r="F44" s="557">
        <f t="shared" si="0"/>
        <v>3096.72</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3828.17</v>
      </c>
      <c r="F45" s="557">
        <f t="shared" si="0"/>
        <v>3827.17</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4041.02</v>
      </c>
      <c r="F46" s="557">
        <f t="shared" si="0"/>
        <v>4040.02</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3478.13</v>
      </c>
      <c r="F47" s="557">
        <f t="shared" si="0"/>
        <v>3477.13</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2754.11</v>
      </c>
      <c r="F48" s="557">
        <f t="shared" si="0"/>
        <v>2753.11</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4178.7</v>
      </c>
      <c r="F49" s="557">
        <f t="shared" si="0"/>
        <v>4177.7</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3093.94</v>
      </c>
      <c r="F50" s="557">
        <f t="shared" si="0"/>
        <v>3092.94</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3148.92</v>
      </c>
      <c r="F51" s="557">
        <f t="shared" si="0"/>
        <v>3147.92</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1134.5</v>
      </c>
      <c r="F52" s="557">
        <f t="shared" si="0"/>
        <v>1133.5</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2475.54</v>
      </c>
      <c r="F53" s="557">
        <f t="shared" si="0"/>
        <v>2474.54</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2135.75</v>
      </c>
      <c r="F54" s="557">
        <f t="shared" si="0"/>
        <v>2134.75</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2729.11</v>
      </c>
      <c r="F55" s="557">
        <f t="shared" si="0"/>
        <v>2728.11</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2251.09</v>
      </c>
      <c r="F56" s="557">
        <f t="shared" si="0"/>
        <v>2250.09</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2568.7399999999998</v>
      </c>
      <c r="F57" s="557">
        <f t="shared" si="0"/>
        <v>2567.7399999999998</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2939.6</v>
      </c>
      <c r="F58" s="557">
        <f t="shared" si="0"/>
        <v>2938.6</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2178.56</v>
      </c>
      <c r="F59" s="557">
        <f t="shared" si="0"/>
        <v>2177.56</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2421.7399999999998</v>
      </c>
      <c r="F60" s="557">
        <f t="shared" si="0"/>
        <v>2420.7399999999998</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2479.25</v>
      </c>
      <c r="F61" s="557">
        <f t="shared" si="0"/>
        <v>2478.25</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2576.06</v>
      </c>
      <c r="F62" s="557">
        <f t="shared" si="0"/>
        <v>2575.06</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1768.13</v>
      </c>
      <c r="F63" s="557">
        <f t="shared" si="0"/>
        <v>1767.13</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2518.8000000000002</v>
      </c>
      <c r="F64" s="557">
        <f t="shared" si="0"/>
        <v>2517.8000000000002</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768.82</v>
      </c>
      <c r="F65" s="557">
        <f t="shared" si="0"/>
        <v>767.82</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2270.69</v>
      </c>
      <c r="F66" s="557">
        <f t="shared" si="0"/>
        <v>2269.69</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1602.19</v>
      </c>
      <c r="F68" s="557">
        <f t="shared" si="0"/>
        <v>1601.19</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1976.58</v>
      </c>
      <c r="F69" s="557">
        <f t="shared" si="0"/>
        <v>1975.58</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1729.94</v>
      </c>
      <c r="F70" s="557">
        <f t="shared" si="0"/>
        <v>1728.94</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1878.46</v>
      </c>
      <c r="F71" s="557">
        <f t="shared" si="0"/>
        <v>1877.46</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2385.08</v>
      </c>
      <c r="F72" s="557">
        <f t="shared" si="0"/>
        <v>2384.08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2495.88</v>
      </c>
      <c r="F73" s="557">
        <f t="shared" si="0"/>
        <v>2494.88</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1882.87</v>
      </c>
      <c r="F74" s="557">
        <f t="shared" si="0"/>
        <v>1881.87</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1773.8</v>
      </c>
      <c r="F75" s="557">
        <f t="shared" si="0"/>
        <v>1772.8</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1737.12</v>
      </c>
      <c r="F76" s="557">
        <f t="shared" ref="F76:F110" si="2">E76-D76</f>
        <v>1736.12</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1510.8</v>
      </c>
      <c r="F77" s="557">
        <f t="shared" si="2"/>
        <v>1509.8</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1945.6</v>
      </c>
      <c r="F78" s="557">
        <f t="shared" si="2"/>
        <v>1944.6</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1771.5</v>
      </c>
      <c r="F79" s="557">
        <f t="shared" si="2"/>
        <v>1770.5</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1615.98</v>
      </c>
      <c r="F80" s="557">
        <f t="shared" si="2"/>
        <v>1614.98</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1989.26</v>
      </c>
      <c r="F81" s="557">
        <f t="shared" si="2"/>
        <v>1988.26</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1825.07</v>
      </c>
      <c r="F82" s="557">
        <f t="shared" si="2"/>
        <v>1824.07</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1676.64</v>
      </c>
      <c r="F83" s="557">
        <f t="shared" si="2"/>
        <v>1675.64</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1428.34</v>
      </c>
      <c r="F84" s="557">
        <f t="shared" si="2"/>
        <v>1427.34</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1911.74</v>
      </c>
      <c r="F85" s="557">
        <f t="shared" si="2"/>
        <v>1910.74</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2389.62</v>
      </c>
      <c r="F86" s="557">
        <f t="shared" si="2"/>
        <v>2388.62</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1921.85</v>
      </c>
      <c r="F87" s="557">
        <f t="shared" si="2"/>
        <v>1920.85</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1764</v>
      </c>
      <c r="F88" s="557">
        <f t="shared" si="2"/>
        <v>1763</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1787.74</v>
      </c>
      <c r="F89" s="557">
        <f t="shared" si="2"/>
        <v>1786.74</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1787.74</v>
      </c>
      <c r="F90" s="557">
        <f t="shared" si="2"/>
        <v>1786.74</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1821.29</v>
      </c>
      <c r="F91" s="557">
        <f t="shared" si="2"/>
        <v>1820.29</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1936.22</v>
      </c>
      <c r="F92" s="557">
        <f t="shared" si="2"/>
        <v>1935.22</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1766.75</v>
      </c>
      <c r="F93" s="557">
        <f t="shared" si="2"/>
        <v>1765.75</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1778.52</v>
      </c>
      <c r="F94" s="557">
        <f t="shared" si="2"/>
        <v>1777.52</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1295.6500000000001</v>
      </c>
      <c r="F95" s="557">
        <f t="shared" si="2"/>
        <v>1294.6500000000001</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1067.9000000000001</v>
      </c>
      <c r="F96" s="557">
        <f t="shared" si="2"/>
        <v>1066.9000000000001</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1160.8</v>
      </c>
      <c r="F97" s="557">
        <f t="shared" si="2"/>
        <v>1159.8</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1318.94</v>
      </c>
      <c r="F98" s="557">
        <f t="shared" si="2"/>
        <v>1317.94</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1397.2</v>
      </c>
      <c r="F99" s="557">
        <f t="shared" si="2"/>
        <v>1396.2</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1456.26</v>
      </c>
      <c r="F100" s="557">
        <f t="shared" si="2"/>
        <v>1455.26</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1421.48</v>
      </c>
      <c r="F101" s="557">
        <f t="shared" si="2"/>
        <v>1420.48</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1372.37</v>
      </c>
      <c r="F102" s="557">
        <f t="shared" si="2"/>
        <v>1371.37</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1660.97</v>
      </c>
      <c r="F103" s="557">
        <f t="shared" si="2"/>
        <v>1659.97</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1294.3800000000001</v>
      </c>
      <c r="F104" s="557">
        <f t="shared" si="2"/>
        <v>1293.3800000000001</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1671.59</v>
      </c>
      <c r="F105" s="557">
        <f t="shared" si="2"/>
        <v>1670.59</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1377.83</v>
      </c>
      <c r="F106" s="557">
        <f t="shared" si="2"/>
        <v>1376.83</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419511.77999999985</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частичная оплата: 30%-аванс в течении 5 календарных дней с даты подписания спецификации</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E27" sqref="E2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sheetProtection algorithmName="SHA-512" hashValue="OJNETKWwd1T1Xo5mgT0miYpCZBvzLomxD/ywcQmxWScnzR9RYBgwqn7mCi82sJBTp8e5YJGrWIzv3KaGFSWCpQ==" saltValue="/0JAXqi/Z8IEoDdFqUYpIw=="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2025-11-12T21:10:24Z</dcterms:modified>
</cp:coreProperties>
</file>