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5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6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9258d1367456ee/Documents/At home work folder/Hillslope sediment transport/Data/Surface transport rates/"/>
    </mc:Choice>
  </mc:AlternateContent>
  <xr:revisionPtr revIDLastSave="623" documentId="13_ncr:1_{40DF3C0E-D68A-4F3E-BD4F-D5FD9066042B}" xr6:coauthVersionLast="47" xr6:coauthVersionMax="47" xr10:uidLastSave="{F0B9D250-3D54-485C-8533-323AD52F9AB6}"/>
  <bookViews>
    <workbookView xWindow="-108" yWindow="-108" windowWidth="23256" windowHeight="12456" tabRatio="717" xr2:uid="{00000000-000D-0000-FFFF-FFFF00000000}"/>
  </bookViews>
  <sheets>
    <sheet name="Total sed transport" sheetId="18" r:id="rId1"/>
    <sheet name="all-studies sed transport" sheetId="40" r:id="rId2"/>
    <sheet name="grain-model-imputs" sheetId="22" r:id="rId3"/>
    <sheet name="2020 transport" sheetId="2" r:id="rId4"/>
    <sheet name="Lee Vining Climate" sheetId="42" r:id="rId5"/>
    <sheet name="2021 transport" sheetId="3" r:id="rId6"/>
    <sheet name="2022 transport" sheetId="15" r:id="rId7"/>
    <sheet name="2023 transport" sheetId="21" r:id="rId8"/>
    <sheet name="Tim's MBO 1 2017" sheetId="4" r:id="rId9"/>
    <sheet name="Tim's MBO 2 2017" sheetId="5" r:id="rId10"/>
    <sheet name="Tim's MBO 3 2017" sheetId="6" r:id="rId11"/>
    <sheet name="Rob's pebbles" sheetId="8" r:id="rId12"/>
    <sheet name="diameter + transport" sheetId="7" r:id="rId13"/>
    <sheet name="Slope angle and transport rates" sheetId="17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0" i="42" l="1"/>
  <c r="AN46" i="42"/>
  <c r="AS34" i="42"/>
  <c r="AS42" i="42" s="1"/>
  <c r="N34" i="42"/>
  <c r="N41" i="42" s="1"/>
  <c r="F38" i="22"/>
  <c r="F35" i="22"/>
  <c r="C38" i="22"/>
  <c r="F39" i="22"/>
  <c r="C39" i="22"/>
  <c r="K85" i="18"/>
  <c r="K86" i="18"/>
  <c r="K87" i="18"/>
  <c r="K88" i="18"/>
  <c r="K89" i="18"/>
  <c r="K90" i="18"/>
  <c r="K91" i="18"/>
  <c r="K92" i="18"/>
  <c r="K93" i="18"/>
  <c r="K84" i="18"/>
  <c r="L85" i="18"/>
  <c r="L86" i="18"/>
  <c r="L87" i="18"/>
  <c r="L88" i="18"/>
  <c r="L89" i="18"/>
  <c r="L90" i="18"/>
  <c r="L91" i="18"/>
  <c r="L92" i="18"/>
  <c r="L93" i="18"/>
  <c r="L84" i="18"/>
  <c r="J92" i="18"/>
  <c r="J91" i="18"/>
  <c r="K71" i="18"/>
  <c r="K70" i="18"/>
  <c r="K69" i="18"/>
  <c r="K68" i="18"/>
  <c r="K67" i="18"/>
  <c r="K66" i="18"/>
  <c r="K65" i="18"/>
  <c r="K64" i="18"/>
  <c r="L74" i="18"/>
  <c r="L68" i="18"/>
  <c r="L69" i="18"/>
  <c r="L70" i="18"/>
  <c r="L71" i="18"/>
  <c r="L72" i="18"/>
  <c r="L73" i="18"/>
  <c r="L67" i="18"/>
  <c r="K72" i="18"/>
  <c r="K73" i="18"/>
  <c r="G74" i="18"/>
  <c r="L66" i="18"/>
  <c r="L65" i="18"/>
  <c r="L64" i="18"/>
  <c r="J71" i="18"/>
  <c r="J72" i="18" s="1"/>
  <c r="L54" i="18"/>
  <c r="K54" i="18"/>
  <c r="L48" i="18"/>
  <c r="L49" i="18"/>
  <c r="L50" i="18"/>
  <c r="L51" i="18"/>
  <c r="L52" i="18"/>
  <c r="L53" i="18"/>
  <c r="L47" i="18"/>
  <c r="L46" i="18"/>
  <c r="L45" i="18"/>
  <c r="L44" i="18"/>
  <c r="K45" i="18"/>
  <c r="K46" i="18"/>
  <c r="K47" i="18"/>
  <c r="K48" i="18"/>
  <c r="K49" i="18"/>
  <c r="K50" i="18"/>
  <c r="K51" i="18"/>
  <c r="K52" i="18"/>
  <c r="K53" i="18"/>
  <c r="K44" i="18"/>
  <c r="J52" i="18"/>
  <c r="J51" i="18"/>
  <c r="K8" i="18"/>
  <c r="K7" i="18"/>
  <c r="K6" i="18"/>
  <c r="K5" i="18"/>
  <c r="G15" i="18"/>
  <c r="L15" i="18"/>
  <c r="K15" i="18"/>
  <c r="L9" i="18"/>
  <c r="L10" i="18"/>
  <c r="L11" i="18"/>
  <c r="L12" i="18"/>
  <c r="L13" i="18"/>
  <c r="L14" i="18"/>
  <c r="L8" i="18"/>
  <c r="L7" i="18"/>
  <c r="L6" i="18"/>
  <c r="L5" i="18"/>
  <c r="J12" i="18"/>
  <c r="J13" i="18" s="1"/>
  <c r="AH43" i="42"/>
  <c r="AI43" i="42"/>
  <c r="AJ43" i="42"/>
  <c r="AK43" i="42"/>
  <c r="AL43" i="42"/>
  <c r="AM43" i="42"/>
  <c r="AN43" i="42"/>
  <c r="AO43" i="42"/>
  <c r="AP43" i="42"/>
  <c r="AQ43" i="42"/>
  <c r="AR43" i="42"/>
  <c r="AS43" i="42"/>
  <c r="AH42" i="42"/>
  <c r="AI42" i="42"/>
  <c r="AJ42" i="42"/>
  <c r="AK42" i="42"/>
  <c r="AL42" i="42"/>
  <c r="AM42" i="42"/>
  <c r="AO42" i="42"/>
  <c r="AP42" i="42"/>
  <c r="AQ42" i="42"/>
  <c r="AR42" i="42"/>
  <c r="AG42" i="42"/>
  <c r="AG43" i="42"/>
  <c r="AH41" i="42"/>
  <c r="AI41" i="42"/>
  <c r="AJ41" i="42"/>
  <c r="AK41" i="42"/>
  <c r="AN41" i="42"/>
  <c r="AP41" i="42"/>
  <c r="AR41" i="42"/>
  <c r="AG41" i="42"/>
  <c r="S44" i="42"/>
  <c r="T44" i="42"/>
  <c r="U44" i="42"/>
  <c r="V44" i="42"/>
  <c r="W44" i="42"/>
  <c r="X44" i="42"/>
  <c r="Y44" i="42"/>
  <c r="Z44" i="42"/>
  <c r="AA44" i="42"/>
  <c r="AB44" i="42"/>
  <c r="AC44" i="42"/>
  <c r="AD44" i="42"/>
  <c r="S43" i="42"/>
  <c r="T43" i="42"/>
  <c r="U43" i="42"/>
  <c r="V43" i="42"/>
  <c r="W43" i="42"/>
  <c r="X43" i="42"/>
  <c r="Y43" i="42"/>
  <c r="Z43" i="42"/>
  <c r="AA43" i="42"/>
  <c r="AB43" i="42"/>
  <c r="AC43" i="42"/>
  <c r="AD43" i="42"/>
  <c r="S42" i="42"/>
  <c r="T42" i="42"/>
  <c r="U42" i="42"/>
  <c r="V42" i="42"/>
  <c r="W42" i="42"/>
  <c r="X42" i="42"/>
  <c r="Y42" i="42"/>
  <c r="Z42" i="42"/>
  <c r="AA42" i="42"/>
  <c r="AB42" i="42"/>
  <c r="AC42" i="42"/>
  <c r="AD42" i="42"/>
  <c r="S41" i="42"/>
  <c r="T41" i="42"/>
  <c r="U41" i="42"/>
  <c r="V41" i="42"/>
  <c r="W41" i="42"/>
  <c r="X41" i="42"/>
  <c r="Y41" i="42"/>
  <c r="Z41" i="42"/>
  <c r="AA41" i="42"/>
  <c r="AB41" i="42"/>
  <c r="AC41" i="42"/>
  <c r="AD41" i="42"/>
  <c r="R42" i="42"/>
  <c r="R43" i="42"/>
  <c r="R44" i="42"/>
  <c r="R41" i="42"/>
  <c r="C44" i="42"/>
  <c r="D44" i="42"/>
  <c r="E44" i="42"/>
  <c r="F44" i="42"/>
  <c r="G44" i="42"/>
  <c r="H44" i="42"/>
  <c r="J44" i="42"/>
  <c r="K44" i="42"/>
  <c r="L44" i="42"/>
  <c r="M44" i="42"/>
  <c r="C43" i="42"/>
  <c r="D43" i="42"/>
  <c r="F43" i="42"/>
  <c r="G43" i="42"/>
  <c r="H43" i="42"/>
  <c r="I43" i="42"/>
  <c r="J43" i="42"/>
  <c r="K43" i="42"/>
  <c r="L43" i="42"/>
  <c r="M43" i="42"/>
  <c r="C42" i="42"/>
  <c r="E42" i="42"/>
  <c r="H42" i="42"/>
  <c r="I42" i="42"/>
  <c r="J42" i="42"/>
  <c r="K42" i="42"/>
  <c r="L42" i="42"/>
  <c r="M42" i="42"/>
  <c r="B42" i="42"/>
  <c r="B43" i="42"/>
  <c r="B44" i="42"/>
  <c r="C41" i="42"/>
  <c r="D41" i="42"/>
  <c r="E41" i="42"/>
  <c r="F41" i="42"/>
  <c r="G41" i="42"/>
  <c r="H41" i="42"/>
  <c r="J41" i="42"/>
  <c r="K41" i="42"/>
  <c r="L41" i="42"/>
  <c r="M41" i="42"/>
  <c r="B41" i="42"/>
  <c r="F17" i="22"/>
  <c r="AB24" i="40"/>
  <c r="AB23" i="40"/>
  <c r="AB22" i="40"/>
  <c r="AB21" i="40"/>
  <c r="AB20" i="40"/>
  <c r="AB19" i="40"/>
  <c r="AB18" i="40"/>
  <c r="AB17" i="40"/>
  <c r="AB16" i="40"/>
  <c r="AB15" i="40"/>
  <c r="AB14" i="40"/>
  <c r="AB13" i="40"/>
  <c r="AB12" i="40"/>
  <c r="AB11" i="40"/>
  <c r="AB10" i="40"/>
  <c r="AB9" i="40"/>
  <c r="AB8" i="40"/>
  <c r="AB7" i="40"/>
  <c r="AB6" i="40"/>
  <c r="AB5" i="40"/>
  <c r="AB4" i="40"/>
  <c r="AB3" i="40"/>
  <c r="AB2" i="40"/>
  <c r="V35" i="40"/>
  <c r="V34" i="40"/>
  <c r="V33" i="40"/>
  <c r="V32" i="40"/>
  <c r="V31" i="40"/>
  <c r="V30" i="40"/>
  <c r="V29" i="40"/>
  <c r="V28" i="40"/>
  <c r="V27" i="40"/>
  <c r="V26" i="40"/>
  <c r="V25" i="40"/>
  <c r="V24" i="40"/>
  <c r="V23" i="40"/>
  <c r="V22" i="40"/>
  <c r="V21" i="40"/>
  <c r="V20" i="40"/>
  <c r="V19" i="40"/>
  <c r="V18" i="40"/>
  <c r="V17" i="40"/>
  <c r="V16" i="40"/>
  <c r="V15" i="40"/>
  <c r="V14" i="40"/>
  <c r="V13" i="40"/>
  <c r="V12" i="40"/>
  <c r="V11" i="40"/>
  <c r="V10" i="40"/>
  <c r="V9" i="40"/>
  <c r="V8" i="40"/>
  <c r="V7" i="40"/>
  <c r="V6" i="40"/>
  <c r="V5" i="40"/>
  <c r="V4" i="40"/>
  <c r="V3" i="40"/>
  <c r="V2" i="40"/>
  <c r="K30" i="40"/>
  <c r="K31" i="40"/>
  <c r="K32" i="40"/>
  <c r="K33" i="40"/>
  <c r="K34" i="40"/>
  <c r="K35" i="40"/>
  <c r="K36" i="40"/>
  <c r="K29" i="40"/>
  <c r="P29" i="40"/>
  <c r="P30" i="40"/>
  <c r="P31" i="40"/>
  <c r="P32" i="40"/>
  <c r="P33" i="40"/>
  <c r="P34" i="40"/>
  <c r="P35" i="40"/>
  <c r="P28" i="40"/>
  <c r="P27" i="40"/>
  <c r="P26" i="40"/>
  <c r="P25" i="40"/>
  <c r="P24" i="40"/>
  <c r="P23" i="40"/>
  <c r="P22" i="40"/>
  <c r="P21" i="40"/>
  <c r="P20" i="40"/>
  <c r="P19" i="40"/>
  <c r="P18" i="40"/>
  <c r="P17" i="40"/>
  <c r="P16" i="40"/>
  <c r="P15" i="40"/>
  <c r="P14" i="40"/>
  <c r="P13" i="40"/>
  <c r="P12" i="40"/>
  <c r="P11" i="40"/>
  <c r="P10" i="40"/>
  <c r="P9" i="40"/>
  <c r="P8" i="40"/>
  <c r="P7" i="40"/>
  <c r="P3" i="40"/>
  <c r="P4" i="40"/>
  <c r="P5" i="40"/>
  <c r="P6" i="40"/>
  <c r="P2" i="40"/>
  <c r="K27" i="40"/>
  <c r="K28" i="40"/>
  <c r="K22" i="40"/>
  <c r="K23" i="40"/>
  <c r="K24" i="40"/>
  <c r="K25" i="40"/>
  <c r="K26" i="40"/>
  <c r="K21" i="40"/>
  <c r="K3" i="40"/>
  <c r="K4" i="40"/>
  <c r="K5" i="40"/>
  <c r="K6" i="40"/>
  <c r="K7" i="40"/>
  <c r="K8" i="40"/>
  <c r="K9" i="40"/>
  <c r="K10" i="40"/>
  <c r="K11" i="40"/>
  <c r="K12" i="40"/>
  <c r="K13" i="40"/>
  <c r="K14" i="40"/>
  <c r="K15" i="40"/>
  <c r="K16" i="40"/>
  <c r="K17" i="40"/>
  <c r="K18" i="40"/>
  <c r="K19" i="40"/>
  <c r="K20" i="40"/>
  <c r="K2" i="40"/>
  <c r="L8" i="40"/>
  <c r="L7" i="40"/>
  <c r="AS41" i="42" l="1"/>
  <c r="N42" i="42"/>
  <c r="N44" i="42"/>
  <c r="N43" i="42"/>
  <c r="K74" i="18"/>
  <c r="Q21" i="4" a="1"/>
  <c r="Q21" i="4" s="1"/>
  <c r="P21" i="4"/>
  <c r="Q20" i="4"/>
  <c r="P20" i="4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4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5" i="4"/>
  <c r="K118" i="18"/>
  <c r="C128" i="18"/>
  <c r="F120" i="18"/>
  <c r="K119" i="18" s="1"/>
  <c r="C123" i="18"/>
  <c r="I17" i="22"/>
  <c r="C17" i="22"/>
  <c r="D163" i="18"/>
  <c r="C163" i="18"/>
  <c r="H160" i="18"/>
  <c r="G160" i="18"/>
  <c r="H148" i="18"/>
  <c r="H149" i="18"/>
  <c r="H150" i="18"/>
  <c r="H151" i="18"/>
  <c r="H152" i="18"/>
  <c r="H153" i="18"/>
  <c r="H154" i="18"/>
  <c r="H155" i="18"/>
  <c r="H156" i="18"/>
  <c r="H157" i="18"/>
  <c r="H158" i="18"/>
  <c r="H159" i="18"/>
  <c r="H103" i="18"/>
  <c r="H104" i="18"/>
  <c r="H105" i="18"/>
  <c r="H106" i="18"/>
  <c r="H107" i="18"/>
  <c r="H108" i="18"/>
  <c r="H109" i="18"/>
  <c r="H110" i="18"/>
  <c r="H111" i="18"/>
  <c r="H112" i="18"/>
  <c r="H113" i="18"/>
  <c r="H147" i="18"/>
  <c r="G148" i="18"/>
  <c r="G149" i="18"/>
  <c r="G150" i="18"/>
  <c r="G151" i="18"/>
  <c r="G152" i="18"/>
  <c r="G153" i="18"/>
  <c r="G154" i="18"/>
  <c r="G155" i="18"/>
  <c r="G156" i="18"/>
  <c r="G157" i="18"/>
  <c r="G158" i="18"/>
  <c r="G159" i="18"/>
  <c r="G147" i="18"/>
  <c r="D162" i="18"/>
  <c r="C162" i="18"/>
  <c r="D161" i="18"/>
  <c r="C161" i="18"/>
  <c r="D160" i="18"/>
  <c r="C160" i="18"/>
  <c r="D148" i="18"/>
  <c r="D149" i="18"/>
  <c r="D150" i="18"/>
  <c r="D151" i="18"/>
  <c r="F151" i="18" s="1"/>
  <c r="D152" i="18"/>
  <c r="D153" i="18"/>
  <c r="D154" i="18"/>
  <c r="D155" i="18"/>
  <c r="F155" i="18" s="1"/>
  <c r="D156" i="18"/>
  <c r="D157" i="18"/>
  <c r="F157" i="18" s="1"/>
  <c r="D158" i="18"/>
  <c r="F158" i="18" s="1"/>
  <c r="D159" i="18"/>
  <c r="F159" i="18" s="1"/>
  <c r="D147" i="18"/>
  <c r="C148" i="18"/>
  <c r="C149" i="18"/>
  <c r="C150" i="18"/>
  <c r="C151" i="18"/>
  <c r="C152" i="18"/>
  <c r="C153" i="18"/>
  <c r="C154" i="18"/>
  <c r="E154" i="18" s="1"/>
  <c r="C155" i="18"/>
  <c r="E155" i="18" s="1"/>
  <c r="C156" i="18"/>
  <c r="E156" i="18" s="1"/>
  <c r="C157" i="18"/>
  <c r="E157" i="18" s="1"/>
  <c r="C158" i="18"/>
  <c r="E158" i="18" s="1"/>
  <c r="C159" i="18"/>
  <c r="E159" i="18" s="1"/>
  <c r="C147" i="18"/>
  <c r="E147" i="18" s="1"/>
  <c r="B158" i="18"/>
  <c r="B157" i="18"/>
  <c r="F156" i="18"/>
  <c r="F154" i="18"/>
  <c r="F153" i="18"/>
  <c r="E153" i="18"/>
  <c r="E152" i="18"/>
  <c r="E151" i="18"/>
  <c r="F150" i="18"/>
  <c r="F149" i="18"/>
  <c r="E149" i="18"/>
  <c r="F148" i="18"/>
  <c r="E148" i="18"/>
  <c r="F147" i="18"/>
  <c r="G123" i="18"/>
  <c r="G122" i="18"/>
  <c r="F119" i="18"/>
  <c r="F118" i="18"/>
  <c r="F152" i="18" l="1"/>
  <c r="E150" i="18"/>
  <c r="F132" i="18"/>
  <c r="F133" i="18"/>
  <c r="F134" i="18"/>
  <c r="F135" i="18"/>
  <c r="F136" i="18"/>
  <c r="F137" i="18"/>
  <c r="F138" i="18"/>
  <c r="F139" i="18"/>
  <c r="F140" i="18"/>
  <c r="F141" i="18"/>
  <c r="F142" i="18"/>
  <c r="F143" i="18"/>
  <c r="F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31" i="18"/>
  <c r="D144" i="18"/>
  <c r="C144" i="18"/>
  <c r="D139" i="18"/>
  <c r="D140" i="18"/>
  <c r="D141" i="18"/>
  <c r="D142" i="18"/>
  <c r="D143" i="18"/>
  <c r="D138" i="18"/>
  <c r="D137" i="18"/>
  <c r="D136" i="18"/>
  <c r="D135" i="18"/>
  <c r="D134" i="18"/>
  <c r="C134" i="18"/>
  <c r="C135" i="18"/>
  <c r="C136" i="18"/>
  <c r="C137" i="18"/>
  <c r="C138" i="18"/>
  <c r="C139" i="18"/>
  <c r="C140" i="18"/>
  <c r="C141" i="18"/>
  <c r="C142" i="18"/>
  <c r="C143" i="18"/>
  <c r="B141" i="18"/>
  <c r="B142" i="18" s="1"/>
  <c r="C126" i="18"/>
  <c r="C121" i="18"/>
  <c r="C102" i="18"/>
  <c r="E102" i="18" s="1"/>
  <c r="C112" i="18"/>
  <c r="C101" i="18"/>
  <c r="B111" i="18"/>
  <c r="B112" i="18" s="1"/>
  <c r="B91" i="18"/>
  <c r="B92" i="18" s="1"/>
  <c r="B51" i="18"/>
  <c r="B52" i="18" s="1"/>
  <c r="B31" i="18"/>
  <c r="B32" i="18" s="1"/>
  <c r="F14" i="18"/>
  <c r="E14" i="18"/>
  <c r="B12" i="18"/>
  <c r="F12" i="18" s="1"/>
  <c r="E2" i="21"/>
  <c r="F2" i="21"/>
  <c r="E3" i="21"/>
  <c r="F3" i="21"/>
  <c r="G3" i="21"/>
  <c r="E4" i="21"/>
  <c r="F4" i="21"/>
  <c r="E5" i="21"/>
  <c r="F5" i="21"/>
  <c r="G5" i="21"/>
  <c r="E6" i="21"/>
  <c r="F6" i="21"/>
  <c r="E7" i="21"/>
  <c r="F7" i="21"/>
  <c r="E8" i="21"/>
  <c r="F8" i="21"/>
  <c r="E9" i="21"/>
  <c r="F9" i="21"/>
  <c r="G9" i="21"/>
  <c r="E10" i="21"/>
  <c r="F10" i="21"/>
  <c r="E11" i="21"/>
  <c r="F11" i="21"/>
  <c r="G11" i="21"/>
  <c r="B12" i="21"/>
  <c r="E12" i="21" s="1"/>
  <c r="E14" i="21"/>
  <c r="F14" i="21"/>
  <c r="C15" i="21"/>
  <c r="G13" i="21" s="1"/>
  <c r="D15" i="21"/>
  <c r="H13" i="21" s="1"/>
  <c r="E21" i="21"/>
  <c r="F21" i="21"/>
  <c r="G21" i="21"/>
  <c r="H21" i="21"/>
  <c r="E22" i="21"/>
  <c r="F22" i="21"/>
  <c r="E23" i="21"/>
  <c r="F23" i="21"/>
  <c r="G23" i="21"/>
  <c r="H23" i="21"/>
  <c r="E24" i="21"/>
  <c r="F24" i="21"/>
  <c r="E25" i="21"/>
  <c r="F25" i="21"/>
  <c r="G25" i="21"/>
  <c r="H25" i="21"/>
  <c r="E26" i="21"/>
  <c r="F26" i="21"/>
  <c r="E27" i="21"/>
  <c r="F27" i="21"/>
  <c r="G27" i="21"/>
  <c r="H27" i="21"/>
  <c r="E28" i="21"/>
  <c r="F28" i="21"/>
  <c r="E29" i="21"/>
  <c r="F29" i="21"/>
  <c r="G29" i="21"/>
  <c r="H29" i="21"/>
  <c r="E30" i="21"/>
  <c r="F30" i="21"/>
  <c r="B31" i="21"/>
  <c r="B32" i="21" s="1"/>
  <c r="F31" i="21"/>
  <c r="G31" i="21"/>
  <c r="H31" i="21"/>
  <c r="G32" i="21"/>
  <c r="E33" i="21"/>
  <c r="F33" i="21"/>
  <c r="G33" i="21"/>
  <c r="C34" i="21"/>
  <c r="G22" i="21" s="1"/>
  <c r="D34" i="21"/>
  <c r="H33" i="21" s="1"/>
  <c r="C37" i="21"/>
  <c r="D37" i="21"/>
  <c r="E40" i="21"/>
  <c r="F40" i="21"/>
  <c r="E41" i="21"/>
  <c r="F41" i="21"/>
  <c r="E42" i="21"/>
  <c r="F42" i="21"/>
  <c r="E43" i="21"/>
  <c r="F43" i="21"/>
  <c r="E44" i="21"/>
  <c r="F44" i="21"/>
  <c r="E45" i="21"/>
  <c r="F45" i="21"/>
  <c r="E46" i="21"/>
  <c r="F46" i="21"/>
  <c r="E47" i="21"/>
  <c r="F47" i="21"/>
  <c r="E48" i="21"/>
  <c r="F48" i="21"/>
  <c r="E49" i="21"/>
  <c r="F49" i="21"/>
  <c r="B50" i="21"/>
  <c r="E50" i="21" s="1"/>
  <c r="E52" i="21"/>
  <c r="F52" i="21"/>
  <c r="C53" i="21"/>
  <c r="G51" i="21" s="1"/>
  <c r="D53" i="21"/>
  <c r="H51" i="21" s="1"/>
  <c r="E59" i="21"/>
  <c r="F59" i="21"/>
  <c r="G59" i="21"/>
  <c r="H59" i="21"/>
  <c r="E60" i="21"/>
  <c r="F60" i="21"/>
  <c r="E61" i="21"/>
  <c r="F61" i="21"/>
  <c r="G61" i="21"/>
  <c r="H61" i="21"/>
  <c r="E62" i="21"/>
  <c r="F62" i="21"/>
  <c r="E63" i="21"/>
  <c r="F63" i="21"/>
  <c r="G63" i="21"/>
  <c r="H63" i="21"/>
  <c r="E64" i="21"/>
  <c r="F64" i="21"/>
  <c r="E65" i="21"/>
  <c r="F65" i="21"/>
  <c r="G65" i="21"/>
  <c r="H65" i="21"/>
  <c r="E66" i="21"/>
  <c r="F66" i="21"/>
  <c r="E67" i="21"/>
  <c r="F67" i="21"/>
  <c r="G67" i="21"/>
  <c r="H67" i="21"/>
  <c r="E68" i="21"/>
  <c r="F68" i="21"/>
  <c r="B69" i="21"/>
  <c r="B70" i="21" s="1"/>
  <c r="F69" i="21"/>
  <c r="G69" i="21"/>
  <c r="H69" i="21"/>
  <c r="G70" i="21"/>
  <c r="E71" i="21"/>
  <c r="F71" i="21"/>
  <c r="G71" i="21"/>
  <c r="C72" i="21"/>
  <c r="G60" i="21" s="1"/>
  <c r="D72" i="21"/>
  <c r="H71" i="21" s="1"/>
  <c r="C75" i="21"/>
  <c r="D75" i="21"/>
  <c r="E78" i="21"/>
  <c r="F78" i="21"/>
  <c r="E79" i="21"/>
  <c r="F79" i="21"/>
  <c r="E80" i="21"/>
  <c r="F80" i="21"/>
  <c r="E81" i="21"/>
  <c r="F81" i="21"/>
  <c r="E82" i="21"/>
  <c r="F82" i="21"/>
  <c r="E83" i="21"/>
  <c r="F83" i="21"/>
  <c r="E84" i="21"/>
  <c r="F84" i="21"/>
  <c r="E85" i="21"/>
  <c r="F85" i="21"/>
  <c r="E86" i="21"/>
  <c r="F86" i="21"/>
  <c r="E87" i="21"/>
  <c r="F87" i="21"/>
  <c r="B88" i="21"/>
  <c r="E88" i="21" s="1"/>
  <c r="E90" i="21"/>
  <c r="F90" i="21"/>
  <c r="C91" i="21"/>
  <c r="G89" i="21" s="1"/>
  <c r="D91" i="21"/>
  <c r="H89" i="21" s="1"/>
  <c r="E97" i="21"/>
  <c r="F97" i="21"/>
  <c r="G97" i="21"/>
  <c r="H97" i="21"/>
  <c r="E98" i="21"/>
  <c r="F98" i="21"/>
  <c r="E99" i="21"/>
  <c r="F99" i="21"/>
  <c r="G99" i="21"/>
  <c r="H99" i="21"/>
  <c r="E100" i="21"/>
  <c r="F100" i="21"/>
  <c r="E101" i="21"/>
  <c r="F101" i="21"/>
  <c r="G101" i="21"/>
  <c r="H101" i="21"/>
  <c r="E102" i="21"/>
  <c r="F102" i="21"/>
  <c r="E103" i="21"/>
  <c r="F103" i="21"/>
  <c r="G103" i="21"/>
  <c r="H103" i="21"/>
  <c r="E104" i="21"/>
  <c r="F104" i="21"/>
  <c r="E105" i="21"/>
  <c r="F105" i="21"/>
  <c r="G105" i="21"/>
  <c r="H105" i="21"/>
  <c r="E106" i="21"/>
  <c r="F106" i="21"/>
  <c r="B107" i="21"/>
  <c r="B108" i="21" s="1"/>
  <c r="F107" i="21"/>
  <c r="G107" i="21"/>
  <c r="H107" i="21"/>
  <c r="G108" i="21"/>
  <c r="E109" i="21"/>
  <c r="F109" i="21"/>
  <c r="G109" i="21"/>
  <c r="C110" i="21"/>
  <c r="G98" i="21" s="1"/>
  <c r="D110" i="21"/>
  <c r="H109" i="21" s="1"/>
  <c r="C113" i="21"/>
  <c r="D113" i="21"/>
  <c r="D56" i="18"/>
  <c r="D47" i="18"/>
  <c r="F47" i="18" s="1"/>
  <c r="D46" i="18"/>
  <c r="F46" i="18" s="1"/>
  <c r="D45" i="18"/>
  <c r="D44" i="18"/>
  <c r="F44" i="18" s="1"/>
  <c r="C56" i="18"/>
  <c r="C47" i="18"/>
  <c r="E47" i="18" s="1"/>
  <c r="C46" i="18"/>
  <c r="E46" i="18" s="1"/>
  <c r="C45" i="18"/>
  <c r="E45" i="18" s="1"/>
  <c r="D76" i="18"/>
  <c r="D69" i="18"/>
  <c r="F69" i="18" s="1"/>
  <c r="D68" i="18"/>
  <c r="F68" i="18" s="1"/>
  <c r="D67" i="18"/>
  <c r="F67" i="18" s="1"/>
  <c r="D66" i="18"/>
  <c r="F66" i="18" s="1"/>
  <c r="D65" i="18"/>
  <c r="F65" i="18" s="1"/>
  <c r="C76" i="18"/>
  <c r="C70" i="18"/>
  <c r="E70" i="18" s="1"/>
  <c r="C69" i="18"/>
  <c r="E69" i="18" s="1"/>
  <c r="C68" i="18"/>
  <c r="E68" i="18" s="1"/>
  <c r="C67" i="18"/>
  <c r="E67" i="18" s="1"/>
  <c r="C66" i="18"/>
  <c r="E66" i="18" s="1"/>
  <c r="C64" i="18"/>
  <c r="E64" i="18" s="1"/>
  <c r="D64" i="18"/>
  <c r="F64" i="18" s="1"/>
  <c r="C65" i="18"/>
  <c r="D71" i="18"/>
  <c r="D111" i="18" s="1"/>
  <c r="D70" i="18"/>
  <c r="F70" i="18" s="1"/>
  <c r="D72" i="18"/>
  <c r="D112" i="18" s="1"/>
  <c r="C71" i="18"/>
  <c r="C111" i="18" s="1"/>
  <c r="B71" i="18"/>
  <c r="B72" i="18" s="1"/>
  <c r="E72" i="18" s="1"/>
  <c r="E3" i="15"/>
  <c r="E4" i="15"/>
  <c r="E5" i="15"/>
  <c r="E6" i="15"/>
  <c r="E7" i="15"/>
  <c r="E8" i="15"/>
  <c r="E9" i="15"/>
  <c r="E10" i="15"/>
  <c r="E11" i="15"/>
  <c r="E2" i="15"/>
  <c r="F23" i="18"/>
  <c r="E2" i="18"/>
  <c r="F2" i="18"/>
  <c r="D3" i="18"/>
  <c r="F3" i="18" s="1"/>
  <c r="E3" i="18"/>
  <c r="D4" i="18"/>
  <c r="F4" i="18" s="1"/>
  <c r="E4" i="18"/>
  <c r="C5" i="18"/>
  <c r="E5" i="18" s="1"/>
  <c r="D5" i="18"/>
  <c r="F5" i="18" s="1"/>
  <c r="C6" i="18"/>
  <c r="E6" i="18" s="1"/>
  <c r="D6" i="18"/>
  <c r="F6" i="18" s="1"/>
  <c r="D7" i="18"/>
  <c r="F7" i="18" s="1"/>
  <c r="E7" i="18"/>
  <c r="E8" i="18"/>
  <c r="F8" i="18"/>
  <c r="E9" i="18"/>
  <c r="F9" i="18"/>
  <c r="E10" i="18"/>
  <c r="F10" i="18"/>
  <c r="E11" i="18"/>
  <c r="F11" i="18"/>
  <c r="C17" i="18"/>
  <c r="C116" i="18" s="1"/>
  <c r="C122" i="18" s="1"/>
  <c r="D17" i="18"/>
  <c r="D116" i="18" s="1"/>
  <c r="C127" i="18" s="1"/>
  <c r="E21" i="18"/>
  <c r="F21" i="18"/>
  <c r="E22" i="18"/>
  <c r="F22" i="18"/>
  <c r="E23" i="18"/>
  <c r="E24" i="18"/>
  <c r="F24" i="18"/>
  <c r="E25" i="18"/>
  <c r="F25" i="18"/>
  <c r="E26" i="18"/>
  <c r="F26" i="18"/>
  <c r="E27" i="18"/>
  <c r="F27" i="18"/>
  <c r="E28" i="18"/>
  <c r="F28" i="18"/>
  <c r="E29" i="18"/>
  <c r="F29" i="18"/>
  <c r="E30" i="18"/>
  <c r="F30" i="18"/>
  <c r="E33" i="18"/>
  <c r="F33" i="18"/>
  <c r="C34" i="18"/>
  <c r="G22" i="18" s="1"/>
  <c r="D34" i="18"/>
  <c r="H22" i="18" s="1"/>
  <c r="E41" i="18"/>
  <c r="F41" i="18"/>
  <c r="E42" i="18"/>
  <c r="F42" i="18"/>
  <c r="D43" i="18"/>
  <c r="F43" i="18" s="1"/>
  <c r="E43" i="18"/>
  <c r="C44" i="18"/>
  <c r="E44" i="18" s="1"/>
  <c r="C48" i="18"/>
  <c r="E48" i="18" s="1"/>
  <c r="D48" i="18"/>
  <c r="F48" i="18" s="1"/>
  <c r="C49" i="18"/>
  <c r="E49" i="18" s="1"/>
  <c r="D49" i="18"/>
  <c r="C50" i="18"/>
  <c r="E50" i="18" s="1"/>
  <c r="D50" i="18"/>
  <c r="F50" i="18" s="1"/>
  <c r="C53" i="18"/>
  <c r="E53" i="18" s="1"/>
  <c r="D53" i="18"/>
  <c r="F53" i="18" s="1"/>
  <c r="D61" i="18"/>
  <c r="F61" i="18" s="1"/>
  <c r="E61" i="18"/>
  <c r="D62" i="18"/>
  <c r="F62" i="18" s="1"/>
  <c r="E62" i="18"/>
  <c r="C63" i="18"/>
  <c r="E63" i="18" s="1"/>
  <c r="D63" i="18"/>
  <c r="F63" i="18" s="1"/>
  <c r="C73" i="18"/>
  <c r="E73" i="18" s="1"/>
  <c r="D73" i="18"/>
  <c r="F73" i="18" s="1"/>
  <c r="E81" i="18"/>
  <c r="F81" i="18"/>
  <c r="E82" i="18"/>
  <c r="F82" i="18"/>
  <c r="E83" i="18"/>
  <c r="F83" i="18"/>
  <c r="E84" i="18"/>
  <c r="F84" i="18"/>
  <c r="E85" i="18"/>
  <c r="F85" i="18"/>
  <c r="E86" i="18"/>
  <c r="F86" i="18"/>
  <c r="E87" i="18"/>
  <c r="F87" i="18"/>
  <c r="E88" i="18"/>
  <c r="F88" i="18"/>
  <c r="E89" i="18"/>
  <c r="F89" i="18"/>
  <c r="E90" i="18"/>
  <c r="F90" i="18"/>
  <c r="E93" i="18"/>
  <c r="F93" i="18"/>
  <c r="C94" i="18"/>
  <c r="G81" i="18" s="1"/>
  <c r="D94" i="18"/>
  <c r="H82" i="18" s="1"/>
  <c r="J23" i="6"/>
  <c r="J24" i="6" s="1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4" i="6"/>
  <c r="L5" i="5"/>
  <c r="L6" i="5"/>
  <c r="L7" i="5"/>
  <c r="L8" i="5"/>
  <c r="L9" i="5"/>
  <c r="L10" i="5"/>
  <c r="L11" i="5"/>
  <c r="L12" i="5"/>
  <c r="L13" i="5"/>
  <c r="L14" i="5"/>
  <c r="L15" i="5"/>
  <c r="L16" i="5"/>
  <c r="L4" i="5"/>
  <c r="J21" i="5"/>
  <c r="F66" i="2"/>
  <c r="E66" i="2"/>
  <c r="F65" i="2"/>
  <c r="E65" i="2"/>
  <c r="F64" i="2"/>
  <c r="E64" i="2"/>
  <c r="F63" i="2"/>
  <c r="E63" i="2"/>
  <c r="F62" i="2"/>
  <c r="E62" i="2"/>
  <c r="F61" i="2"/>
  <c r="D68" i="2" s="1"/>
  <c r="E61" i="2"/>
  <c r="C68" i="2" s="1"/>
  <c r="F60" i="2"/>
  <c r="E60" i="2"/>
  <c r="C54" i="2"/>
  <c r="E31" i="2"/>
  <c r="F52" i="2"/>
  <c r="E52" i="2"/>
  <c r="F51" i="2"/>
  <c r="E51" i="2"/>
  <c r="F50" i="2"/>
  <c r="E50" i="2"/>
  <c r="F49" i="2"/>
  <c r="E49" i="2"/>
  <c r="F48" i="2"/>
  <c r="E48" i="2"/>
  <c r="F47" i="2"/>
  <c r="D54" i="2" s="1"/>
  <c r="E47" i="2"/>
  <c r="F46" i="2"/>
  <c r="E46" i="2"/>
  <c r="F37" i="2"/>
  <c r="E37" i="2"/>
  <c r="F36" i="2"/>
  <c r="E36" i="2"/>
  <c r="F35" i="2"/>
  <c r="E35" i="2"/>
  <c r="F34" i="2"/>
  <c r="E34" i="2"/>
  <c r="C39" i="2" s="1"/>
  <c r="F33" i="2"/>
  <c r="E33" i="2"/>
  <c r="F32" i="2"/>
  <c r="D39" i="2" s="1"/>
  <c r="E32" i="2"/>
  <c r="F31" i="2"/>
  <c r="F22" i="2"/>
  <c r="E22" i="2"/>
  <c r="F21" i="2"/>
  <c r="E21" i="2"/>
  <c r="F20" i="2"/>
  <c r="E20" i="2"/>
  <c r="F19" i="2"/>
  <c r="E19" i="2"/>
  <c r="F18" i="2"/>
  <c r="E18" i="2"/>
  <c r="F17" i="2"/>
  <c r="E17" i="2"/>
  <c r="F16" i="2"/>
  <c r="E16" i="2"/>
  <c r="C24" i="2" s="1"/>
  <c r="I24" i="2"/>
  <c r="F3" i="2"/>
  <c r="F4" i="2"/>
  <c r="F5" i="2"/>
  <c r="F6" i="2"/>
  <c r="F7" i="2"/>
  <c r="F8" i="2"/>
  <c r="F2" i="2"/>
  <c r="D10" i="2" s="1"/>
  <c r="E2" i="2"/>
  <c r="E3" i="2"/>
  <c r="E5" i="2"/>
  <c r="E6" i="2"/>
  <c r="E7" i="2"/>
  <c r="E8" i="2"/>
  <c r="E4" i="2"/>
  <c r="C10" i="2" s="1"/>
  <c r="K23" i="4"/>
  <c r="H89" i="15"/>
  <c r="H90" i="15"/>
  <c r="H91" i="15"/>
  <c r="H92" i="15"/>
  <c r="H93" i="15"/>
  <c r="H97" i="15"/>
  <c r="H98" i="15"/>
  <c r="H88" i="15"/>
  <c r="G89" i="15"/>
  <c r="G90" i="15"/>
  <c r="G92" i="15"/>
  <c r="G94" i="15"/>
  <c r="G95" i="15"/>
  <c r="G96" i="15"/>
  <c r="G97" i="15"/>
  <c r="G98" i="15"/>
  <c r="F89" i="15"/>
  <c r="F90" i="15"/>
  <c r="F91" i="15"/>
  <c r="F92" i="15"/>
  <c r="F93" i="15"/>
  <c r="F94" i="15"/>
  <c r="F95" i="15"/>
  <c r="F96" i="15"/>
  <c r="F97" i="15"/>
  <c r="F98" i="15"/>
  <c r="F88" i="15"/>
  <c r="E89" i="15"/>
  <c r="E90" i="15"/>
  <c r="C100" i="15" s="1"/>
  <c r="E91" i="15"/>
  <c r="E92" i="15"/>
  <c r="E93" i="15"/>
  <c r="E94" i="15"/>
  <c r="E95" i="15"/>
  <c r="E96" i="15"/>
  <c r="E97" i="15"/>
  <c r="E98" i="15"/>
  <c r="E88" i="15"/>
  <c r="D99" i="15"/>
  <c r="H96" i="15" s="1"/>
  <c r="C99" i="15"/>
  <c r="C102" i="15" s="1"/>
  <c r="C85" i="15"/>
  <c r="F72" i="15"/>
  <c r="F73" i="15"/>
  <c r="F74" i="15"/>
  <c r="F75" i="15"/>
  <c r="F76" i="15"/>
  <c r="F77" i="15"/>
  <c r="F78" i="15"/>
  <c r="F79" i="15"/>
  <c r="F80" i="15"/>
  <c r="F81" i="15"/>
  <c r="F71" i="15"/>
  <c r="E72" i="15"/>
  <c r="E73" i="15"/>
  <c r="E74" i="15"/>
  <c r="E75" i="15"/>
  <c r="E76" i="15"/>
  <c r="E77" i="15"/>
  <c r="E78" i="15"/>
  <c r="E79" i="15"/>
  <c r="E80" i="15"/>
  <c r="E81" i="15"/>
  <c r="E71" i="15"/>
  <c r="G72" i="15"/>
  <c r="G73" i="15"/>
  <c r="G74" i="15"/>
  <c r="G75" i="15"/>
  <c r="G77" i="15"/>
  <c r="G78" i="15"/>
  <c r="G79" i="15"/>
  <c r="G80" i="15"/>
  <c r="G81" i="15"/>
  <c r="G71" i="15"/>
  <c r="D82" i="15"/>
  <c r="H75" i="15" s="1"/>
  <c r="C82" i="15"/>
  <c r="G76" i="15" s="1"/>
  <c r="F21" i="15"/>
  <c r="F22" i="15"/>
  <c r="F23" i="15"/>
  <c r="F24" i="15"/>
  <c r="F25" i="15"/>
  <c r="F26" i="15"/>
  <c r="F27" i="15"/>
  <c r="F28" i="15"/>
  <c r="F29" i="15"/>
  <c r="F30" i="15"/>
  <c r="F20" i="15"/>
  <c r="E21" i="15"/>
  <c r="E22" i="15"/>
  <c r="E23" i="15"/>
  <c r="E24" i="15"/>
  <c r="E25" i="15"/>
  <c r="E26" i="15"/>
  <c r="E27" i="15"/>
  <c r="E28" i="15"/>
  <c r="E29" i="15"/>
  <c r="E30" i="15"/>
  <c r="E20" i="15"/>
  <c r="F3" i="15"/>
  <c r="F4" i="15"/>
  <c r="F5" i="15"/>
  <c r="F6" i="15"/>
  <c r="F7" i="15"/>
  <c r="F8" i="15"/>
  <c r="F9" i="15"/>
  <c r="F10" i="15"/>
  <c r="D14" i="15" s="1"/>
  <c r="F11" i="15"/>
  <c r="F12" i="15"/>
  <c r="F2" i="15"/>
  <c r="E12" i="15"/>
  <c r="E20" i="7"/>
  <c r="E21" i="7"/>
  <c r="E19" i="7"/>
  <c r="E4" i="7"/>
  <c r="E3" i="7"/>
  <c r="C34" i="15"/>
  <c r="D32" i="7"/>
  <c r="E22" i="7"/>
  <c r="E23" i="7"/>
  <c r="E24" i="7"/>
  <c r="E25" i="7"/>
  <c r="E26" i="7"/>
  <c r="E27" i="7"/>
  <c r="E28" i="7"/>
  <c r="E29" i="7"/>
  <c r="D15" i="7"/>
  <c r="F4" i="7"/>
  <c r="F5" i="7"/>
  <c r="F6" i="7"/>
  <c r="F8" i="7"/>
  <c r="F12" i="7"/>
  <c r="F3" i="7"/>
  <c r="E5" i="7"/>
  <c r="E6" i="7"/>
  <c r="E7" i="7"/>
  <c r="E8" i="7"/>
  <c r="E9" i="7"/>
  <c r="E10" i="7"/>
  <c r="E11" i="7"/>
  <c r="E12" i="7"/>
  <c r="E2" i="7"/>
  <c r="D13" i="7"/>
  <c r="D16" i="7" s="1"/>
  <c r="D30" i="7"/>
  <c r="F24" i="7" s="1"/>
  <c r="H25" i="8"/>
  <c r="K20" i="8"/>
  <c r="E112" i="18" l="1"/>
  <c r="C108" i="18"/>
  <c r="G108" i="18" s="1"/>
  <c r="F111" i="18"/>
  <c r="D110" i="18"/>
  <c r="D109" i="18"/>
  <c r="D108" i="18"/>
  <c r="D107" i="18"/>
  <c r="D106" i="18"/>
  <c r="F109" i="18"/>
  <c r="G111" i="18"/>
  <c r="E111" i="18"/>
  <c r="F112" i="18"/>
  <c r="C110" i="18"/>
  <c r="C109" i="18"/>
  <c r="D105" i="18"/>
  <c r="G102" i="18"/>
  <c r="C103" i="18"/>
  <c r="D104" i="18"/>
  <c r="D103" i="18"/>
  <c r="C113" i="18"/>
  <c r="D101" i="18"/>
  <c r="D102" i="18"/>
  <c r="E108" i="18"/>
  <c r="G101" i="18"/>
  <c r="G112" i="18"/>
  <c r="D113" i="18"/>
  <c r="E101" i="18"/>
  <c r="C107" i="18"/>
  <c r="C106" i="18"/>
  <c r="C105" i="18"/>
  <c r="F108" i="18"/>
  <c r="C104" i="18"/>
  <c r="H92" i="18"/>
  <c r="H91" i="18"/>
  <c r="G92" i="18"/>
  <c r="G91" i="18"/>
  <c r="E12" i="18"/>
  <c r="H32" i="18"/>
  <c r="H31" i="18"/>
  <c r="G32" i="18"/>
  <c r="G31" i="18"/>
  <c r="B13" i="18"/>
  <c r="F13" i="18" s="1"/>
  <c r="F71" i="18"/>
  <c r="E71" i="18"/>
  <c r="E108" i="21"/>
  <c r="F108" i="21"/>
  <c r="E70" i="21"/>
  <c r="F70" i="21"/>
  <c r="D73" i="21" s="1"/>
  <c r="D111" i="21"/>
  <c r="D35" i="21"/>
  <c r="E32" i="21"/>
  <c r="F32" i="21"/>
  <c r="G47" i="21"/>
  <c r="H87" i="21"/>
  <c r="H85" i="21"/>
  <c r="H83" i="21"/>
  <c r="H81" i="21"/>
  <c r="H79" i="21"/>
  <c r="H49" i="21"/>
  <c r="H47" i="21"/>
  <c r="H45" i="21"/>
  <c r="H43" i="21"/>
  <c r="H41" i="21"/>
  <c r="H11" i="21"/>
  <c r="H9" i="21"/>
  <c r="H7" i="21"/>
  <c r="H5" i="21"/>
  <c r="H3" i="21"/>
  <c r="G85" i="21"/>
  <c r="G43" i="21"/>
  <c r="H108" i="21"/>
  <c r="E107" i="21"/>
  <c r="H90" i="21"/>
  <c r="B89" i="21"/>
  <c r="H70" i="21"/>
  <c r="E69" i="21"/>
  <c r="H52" i="21"/>
  <c r="B51" i="21"/>
  <c r="H32" i="21"/>
  <c r="E31" i="21"/>
  <c r="C35" i="21" s="1"/>
  <c r="H14" i="21"/>
  <c r="B13" i="21"/>
  <c r="G79" i="21"/>
  <c r="G90" i="21"/>
  <c r="H88" i="21"/>
  <c r="G52" i="21"/>
  <c r="H50" i="21"/>
  <c r="G14" i="21"/>
  <c r="H12" i="21"/>
  <c r="G83" i="21"/>
  <c r="G49" i="21"/>
  <c r="G41" i="21"/>
  <c r="G7" i="21"/>
  <c r="H106" i="21"/>
  <c r="H104" i="21"/>
  <c r="H102" i="21"/>
  <c r="H100" i="21"/>
  <c r="H98" i="21"/>
  <c r="D94" i="21"/>
  <c r="G88" i="21"/>
  <c r="H86" i="21"/>
  <c r="H84" i="21"/>
  <c r="H82" i="21"/>
  <c r="H80" i="21"/>
  <c r="H78" i="21"/>
  <c r="H68" i="21"/>
  <c r="H66" i="21"/>
  <c r="H64" i="21"/>
  <c r="H62" i="21"/>
  <c r="H60" i="21"/>
  <c r="D56" i="21"/>
  <c r="G50" i="21"/>
  <c r="H48" i="21"/>
  <c r="H46" i="21"/>
  <c r="H44" i="21"/>
  <c r="H42" i="21"/>
  <c r="H40" i="21"/>
  <c r="H30" i="21"/>
  <c r="H28" i="21"/>
  <c r="H26" i="21"/>
  <c r="H24" i="21"/>
  <c r="H22" i="21"/>
  <c r="D18" i="21"/>
  <c r="G12" i="21"/>
  <c r="H10" i="21"/>
  <c r="H8" i="21"/>
  <c r="H6" i="21"/>
  <c r="H4" i="21"/>
  <c r="H2" i="21"/>
  <c r="G106" i="21"/>
  <c r="G104" i="21"/>
  <c r="G102" i="21"/>
  <c r="G100" i="21"/>
  <c r="C94" i="21"/>
  <c r="F88" i="21"/>
  <c r="G86" i="21"/>
  <c r="G84" i="21"/>
  <c r="G82" i="21"/>
  <c r="G80" i="21"/>
  <c r="G78" i="21"/>
  <c r="G68" i="21"/>
  <c r="G66" i="21"/>
  <c r="G64" i="21"/>
  <c r="G62" i="21"/>
  <c r="C56" i="21"/>
  <c r="F50" i="21"/>
  <c r="G48" i="21"/>
  <c r="G46" i="21"/>
  <c r="G44" i="21"/>
  <c r="G42" i="21"/>
  <c r="G40" i="21"/>
  <c r="G30" i="21"/>
  <c r="G28" i="21"/>
  <c r="G26" i="21"/>
  <c r="G24" i="21"/>
  <c r="C18" i="21"/>
  <c r="F12" i="21"/>
  <c r="G10" i="21"/>
  <c r="G8" i="21"/>
  <c r="G6" i="21"/>
  <c r="G4" i="21"/>
  <c r="G2" i="21"/>
  <c r="G81" i="21"/>
  <c r="G45" i="21"/>
  <c r="G87" i="21"/>
  <c r="F72" i="18"/>
  <c r="G82" i="18"/>
  <c r="G90" i="18"/>
  <c r="G84" i="18"/>
  <c r="H27" i="18"/>
  <c r="C97" i="18"/>
  <c r="G86" i="18"/>
  <c r="H33" i="18"/>
  <c r="H21" i="18"/>
  <c r="F10" i="7"/>
  <c r="D14" i="7"/>
  <c r="F23" i="7"/>
  <c r="D100" i="15"/>
  <c r="H95" i="15"/>
  <c r="D102" i="15"/>
  <c r="F9" i="7"/>
  <c r="F19" i="7"/>
  <c r="F22" i="7"/>
  <c r="D31" i="7"/>
  <c r="G88" i="15"/>
  <c r="G91" i="15"/>
  <c r="H94" i="15"/>
  <c r="D24" i="2"/>
  <c r="C95" i="18"/>
  <c r="D54" i="18"/>
  <c r="H41" i="18" s="1"/>
  <c r="F7" i="7"/>
  <c r="F28" i="7"/>
  <c r="F20" i="7"/>
  <c r="G88" i="18"/>
  <c r="D95" i="18"/>
  <c r="C74" i="18"/>
  <c r="F27" i="7"/>
  <c r="H23" i="18"/>
  <c r="F21" i="7"/>
  <c r="F26" i="7"/>
  <c r="H29" i="18"/>
  <c r="H71" i="15"/>
  <c r="D35" i="18"/>
  <c r="F29" i="7"/>
  <c r="F25" i="7"/>
  <c r="D85" i="15"/>
  <c r="F11" i="7"/>
  <c r="G93" i="15"/>
  <c r="H25" i="18"/>
  <c r="C35" i="18"/>
  <c r="G33" i="18"/>
  <c r="G25" i="18"/>
  <c r="H93" i="18"/>
  <c r="H89" i="18"/>
  <c r="H87" i="18"/>
  <c r="H85" i="18"/>
  <c r="H83" i="18"/>
  <c r="H81" i="18"/>
  <c r="D37" i="18"/>
  <c r="D15" i="18"/>
  <c r="H13" i="18" s="1"/>
  <c r="G27" i="18"/>
  <c r="G21" i="18"/>
  <c r="G93" i="18"/>
  <c r="G89" i="18"/>
  <c r="G87" i="18"/>
  <c r="G85" i="18"/>
  <c r="G83" i="18"/>
  <c r="F49" i="18"/>
  <c r="F45" i="18"/>
  <c r="C37" i="18"/>
  <c r="C15" i="18"/>
  <c r="G13" i="18" s="1"/>
  <c r="G29" i="18"/>
  <c r="G23" i="18"/>
  <c r="D97" i="18"/>
  <c r="D74" i="18"/>
  <c r="E65" i="18"/>
  <c r="C54" i="18"/>
  <c r="G50" i="18" s="1"/>
  <c r="H30" i="18"/>
  <c r="H28" i="18"/>
  <c r="H26" i="18"/>
  <c r="H24" i="18"/>
  <c r="G30" i="18"/>
  <c r="G28" i="18"/>
  <c r="G26" i="18"/>
  <c r="G24" i="18"/>
  <c r="H90" i="18"/>
  <c r="H88" i="18"/>
  <c r="H86" i="18"/>
  <c r="H84" i="18"/>
  <c r="J22" i="5"/>
  <c r="H74" i="15"/>
  <c r="H81" i="15"/>
  <c r="H73" i="15"/>
  <c r="H80" i="15"/>
  <c r="H72" i="15"/>
  <c r="H79" i="15"/>
  <c r="H76" i="15"/>
  <c r="H78" i="15"/>
  <c r="H77" i="15"/>
  <c r="D83" i="15"/>
  <c r="C83" i="15"/>
  <c r="C14" i="15"/>
  <c r="D33" i="7"/>
  <c r="G15" i="8"/>
  <c r="E24" i="8" s="1"/>
  <c r="C21" i="8"/>
  <c r="K70" i="3"/>
  <c r="K60" i="3"/>
  <c r="K58" i="3"/>
  <c r="D79" i="3"/>
  <c r="D66" i="3"/>
  <c r="C27" i="3"/>
  <c r="D63" i="3"/>
  <c r="K59" i="3" s="1"/>
  <c r="C63" i="3"/>
  <c r="J58" i="3" s="1"/>
  <c r="F75" i="3"/>
  <c r="G75" i="3" s="1"/>
  <c r="F74" i="3"/>
  <c r="G74" i="3" s="1"/>
  <c r="H73" i="3"/>
  <c r="G73" i="3"/>
  <c r="H72" i="3"/>
  <c r="G72" i="3"/>
  <c r="H71" i="3"/>
  <c r="G71" i="3"/>
  <c r="H70" i="3"/>
  <c r="G70" i="3"/>
  <c r="F69" i="3"/>
  <c r="H69" i="3" s="1"/>
  <c r="F62" i="3"/>
  <c r="G62" i="3" s="1"/>
  <c r="F61" i="3"/>
  <c r="G61" i="3" s="1"/>
  <c r="H60" i="3"/>
  <c r="G60" i="3"/>
  <c r="H59" i="3"/>
  <c r="G59" i="3"/>
  <c r="H58" i="3"/>
  <c r="G58" i="3"/>
  <c r="H57" i="3"/>
  <c r="G57" i="3"/>
  <c r="F56" i="3"/>
  <c r="H56" i="3" s="1"/>
  <c r="D76" i="3"/>
  <c r="K74" i="3" s="1"/>
  <c r="C76" i="3"/>
  <c r="J75" i="3" s="1"/>
  <c r="F49" i="3"/>
  <c r="G49" i="3" s="1"/>
  <c r="F48" i="3"/>
  <c r="G48" i="3" s="1"/>
  <c r="G47" i="3"/>
  <c r="G46" i="3"/>
  <c r="G45" i="3"/>
  <c r="G44" i="3"/>
  <c r="F43" i="3"/>
  <c r="D50" i="3"/>
  <c r="J46" i="3" s="1"/>
  <c r="C50" i="3"/>
  <c r="I47" i="3" s="1"/>
  <c r="G31" i="3"/>
  <c r="G32" i="3"/>
  <c r="G33" i="3"/>
  <c r="G34" i="3"/>
  <c r="F36" i="3"/>
  <c r="G36" i="3" s="1"/>
  <c r="F35" i="3"/>
  <c r="G35" i="3" s="1"/>
  <c r="F30" i="3"/>
  <c r="G30" i="3" s="1"/>
  <c r="D37" i="3"/>
  <c r="J33" i="3" s="1"/>
  <c r="C37" i="3"/>
  <c r="C40" i="3" s="1"/>
  <c r="F21" i="3"/>
  <c r="G21" i="3" s="1"/>
  <c r="F20" i="3"/>
  <c r="G20" i="3" s="1"/>
  <c r="F19" i="3"/>
  <c r="G19" i="3" s="1"/>
  <c r="D24" i="3"/>
  <c r="J20" i="3" s="1"/>
  <c r="C24" i="3"/>
  <c r="C25" i="3" s="1"/>
  <c r="C10" i="3"/>
  <c r="D9" i="3"/>
  <c r="D10" i="3" s="1"/>
  <c r="C9" i="3"/>
  <c r="I8" i="3" s="1"/>
  <c r="F106" i="18" l="1"/>
  <c r="F107" i="18"/>
  <c r="F110" i="18"/>
  <c r="G110" i="18"/>
  <c r="E110" i="18"/>
  <c r="F113" i="18"/>
  <c r="G103" i="18"/>
  <c r="E103" i="18"/>
  <c r="C115" i="18" s="1"/>
  <c r="F102" i="18"/>
  <c r="H102" i="18"/>
  <c r="G109" i="18"/>
  <c r="E109" i="18"/>
  <c r="G113" i="18"/>
  <c r="E113" i="18"/>
  <c r="F105" i="18"/>
  <c r="F101" i="18"/>
  <c r="H101" i="18"/>
  <c r="G104" i="18"/>
  <c r="E104" i="18"/>
  <c r="F103" i="18"/>
  <c r="E106" i="18"/>
  <c r="G106" i="18"/>
  <c r="G107" i="18"/>
  <c r="E107" i="18"/>
  <c r="D114" i="18"/>
  <c r="D117" i="18" s="1"/>
  <c r="C114" i="18"/>
  <c r="C117" i="18" s="1"/>
  <c r="G105" i="18"/>
  <c r="E105" i="18"/>
  <c r="F104" i="18"/>
  <c r="E13" i="18"/>
  <c r="H6" i="18"/>
  <c r="H12" i="18"/>
  <c r="C16" i="18"/>
  <c r="G12" i="18"/>
  <c r="E51" i="21"/>
  <c r="C54" i="21" s="1"/>
  <c r="F51" i="21"/>
  <c r="D16" i="21"/>
  <c r="C73" i="21"/>
  <c r="C111" i="21"/>
  <c r="D54" i="21"/>
  <c r="E13" i="21"/>
  <c r="C16" i="21" s="1"/>
  <c r="F13" i="21"/>
  <c r="F89" i="21"/>
  <c r="D92" i="21" s="1"/>
  <c r="E89" i="21"/>
  <c r="C92" i="21" s="1"/>
  <c r="H49" i="18"/>
  <c r="H44" i="18"/>
  <c r="D57" i="18"/>
  <c r="H53" i="18"/>
  <c r="H46" i="18"/>
  <c r="H50" i="18"/>
  <c r="H69" i="18"/>
  <c r="H72" i="18"/>
  <c r="H71" i="18"/>
  <c r="G67" i="18"/>
  <c r="G71" i="18"/>
  <c r="G72" i="18"/>
  <c r="G61" i="18"/>
  <c r="G62" i="18"/>
  <c r="G65" i="18"/>
  <c r="G5" i="18"/>
  <c r="H70" i="18"/>
  <c r="C55" i="18"/>
  <c r="G68" i="18"/>
  <c r="G70" i="18"/>
  <c r="G63" i="18"/>
  <c r="G49" i="18"/>
  <c r="C77" i="18"/>
  <c r="C75" i="18"/>
  <c r="G69" i="18"/>
  <c r="G64" i="18"/>
  <c r="G66" i="18"/>
  <c r="D55" i="18"/>
  <c r="G73" i="18"/>
  <c r="J17" i="3"/>
  <c r="J21" i="3"/>
  <c r="I30" i="3"/>
  <c r="I34" i="3"/>
  <c r="J43" i="3"/>
  <c r="J47" i="3"/>
  <c r="J59" i="3"/>
  <c r="K71" i="3"/>
  <c r="K75" i="3"/>
  <c r="J2" i="3"/>
  <c r="D27" i="3"/>
  <c r="I3" i="3"/>
  <c r="J3" i="3"/>
  <c r="J9" i="3" s="1"/>
  <c r="I18" i="3"/>
  <c r="I22" i="3"/>
  <c r="J30" i="3"/>
  <c r="J37" i="3" s="1"/>
  <c r="J34" i="3"/>
  <c r="I44" i="3"/>
  <c r="I48" i="3"/>
  <c r="J60" i="3"/>
  <c r="K61" i="3"/>
  <c r="J72" i="3"/>
  <c r="H42" i="18"/>
  <c r="D40" i="3"/>
  <c r="I5" i="3"/>
  <c r="J4" i="3"/>
  <c r="J18" i="3"/>
  <c r="J22" i="3"/>
  <c r="I31" i="3"/>
  <c r="I35" i="3"/>
  <c r="J44" i="3"/>
  <c r="J48" i="3"/>
  <c r="J61" i="3"/>
  <c r="K62" i="3"/>
  <c r="K72" i="3"/>
  <c r="H48" i="18"/>
  <c r="C53" i="3"/>
  <c r="I2" i="3"/>
  <c r="J5" i="3"/>
  <c r="I19" i="3"/>
  <c r="I23" i="3"/>
  <c r="J31" i="3"/>
  <c r="J35" i="3"/>
  <c r="I45" i="3"/>
  <c r="I49" i="3"/>
  <c r="J62" i="3"/>
  <c r="J69" i="3"/>
  <c r="J73" i="3"/>
  <c r="D53" i="3"/>
  <c r="I4" i="3"/>
  <c r="J6" i="3"/>
  <c r="J19" i="3"/>
  <c r="J23" i="3"/>
  <c r="I32" i="3"/>
  <c r="I36" i="3"/>
  <c r="J45" i="3"/>
  <c r="J49" i="3"/>
  <c r="K56" i="3"/>
  <c r="K69" i="3"/>
  <c r="K73" i="3"/>
  <c r="C66" i="3"/>
  <c r="I6" i="3"/>
  <c r="J7" i="3"/>
  <c r="I20" i="3"/>
  <c r="I15" i="3"/>
  <c r="J32" i="3"/>
  <c r="J36" i="3"/>
  <c r="I46" i="3"/>
  <c r="J56" i="3"/>
  <c r="K57" i="3"/>
  <c r="J70" i="3"/>
  <c r="J74" i="3"/>
  <c r="D75" i="18"/>
  <c r="H47" i="18"/>
  <c r="H43" i="18"/>
  <c r="C12" i="3"/>
  <c r="I7" i="3"/>
  <c r="J8" i="3"/>
  <c r="I16" i="3"/>
  <c r="I33" i="3"/>
  <c r="J57" i="3"/>
  <c r="D12" i="3"/>
  <c r="C79" i="3"/>
  <c r="I17" i="3"/>
  <c r="I21" i="3"/>
  <c r="I43" i="3"/>
  <c r="J71" i="3"/>
  <c r="H5" i="18"/>
  <c r="G45" i="18"/>
  <c r="H45" i="18"/>
  <c r="G46" i="18"/>
  <c r="H65" i="18"/>
  <c r="H62" i="18"/>
  <c r="H3" i="18"/>
  <c r="H8" i="18"/>
  <c r="H10" i="18"/>
  <c r="H14" i="18"/>
  <c r="D18" i="18"/>
  <c r="H4" i="18"/>
  <c r="H9" i="18"/>
  <c r="H2" i="18"/>
  <c r="H7" i="18"/>
  <c r="H11" i="18"/>
  <c r="D16" i="18"/>
  <c r="H73" i="18"/>
  <c r="D77" i="18"/>
  <c r="H63" i="18"/>
  <c r="H67" i="18"/>
  <c r="H64" i="18"/>
  <c r="H68" i="18"/>
  <c r="H61" i="18"/>
  <c r="G43" i="18"/>
  <c r="G47" i="18"/>
  <c r="G53" i="18"/>
  <c r="C57" i="18"/>
  <c r="G41" i="18"/>
  <c r="G42" i="18"/>
  <c r="G44" i="18"/>
  <c r="G48" i="18"/>
  <c r="H66" i="18"/>
  <c r="G6" i="18"/>
  <c r="G3" i="18"/>
  <c r="G8" i="18"/>
  <c r="G10" i="18"/>
  <c r="G14" i="18"/>
  <c r="C18" i="18"/>
  <c r="G2" i="18"/>
  <c r="G11" i="18"/>
  <c r="G9" i="18"/>
  <c r="G4" i="18"/>
  <c r="G7" i="18"/>
  <c r="K63" i="3"/>
  <c r="J63" i="3"/>
  <c r="I9" i="3"/>
  <c r="D77" i="3"/>
  <c r="D64" i="3"/>
  <c r="C77" i="3"/>
  <c r="G56" i="3"/>
  <c r="C64" i="3" s="1"/>
  <c r="G69" i="3"/>
  <c r="D38" i="3"/>
  <c r="C38" i="3"/>
  <c r="D51" i="3"/>
  <c r="D25" i="3"/>
  <c r="G43" i="3"/>
  <c r="C51" i="3" s="1"/>
  <c r="D115" i="18" l="1"/>
  <c r="I50" i="3"/>
  <c r="J76" i="3"/>
  <c r="J50" i="3"/>
  <c r="K76" i="3"/>
  <c r="I37" i="3"/>
  <c r="I24" i="3"/>
  <c r="J2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<sst xmlns="http://schemas.openxmlformats.org/spreadsheetml/2006/main" count="1237" uniqueCount="313">
  <si>
    <t>1.981mm</t>
  </si>
  <si>
    <t>0.589-1.0mm</t>
  </si>
  <si>
    <t>-4.25 to - 13.75</t>
  </si>
  <si>
    <t>-4.25 to 4.25</t>
  </si>
  <si>
    <t>4.25 to 13.75</t>
  </si>
  <si>
    <t>13.75 to 23.25</t>
  </si>
  <si>
    <t>23.25 to 32.75</t>
  </si>
  <si>
    <t>32.75 to 42.25</t>
  </si>
  <si>
    <t>42.25 to 51.75</t>
  </si>
  <si>
    <t>Total recovered</t>
  </si>
  <si>
    <t>Avg displacement</t>
  </si>
  <si>
    <t>Total placed in field</t>
  </si>
  <si>
    <t>Recovery %</t>
  </si>
  <si>
    <t>2mm</t>
  </si>
  <si>
    <t>0.75mm</t>
  </si>
  <si>
    <t>three data points</t>
  </si>
  <si>
    <t>One data point</t>
  </si>
  <si>
    <t>Three data points</t>
  </si>
  <si>
    <t>Sample #</t>
  </si>
  <si>
    <t>Distance from origin (mm)</t>
  </si>
  <si>
    <t>Percent of recovered</t>
  </si>
  <si>
    <t>2021-BC-GT-1</t>
  </si>
  <si>
    <t>Slope angle: 18 degrees</t>
  </si>
  <si>
    <t>2021-BC-GT-3</t>
  </si>
  <si>
    <t>280 missing</t>
  </si>
  <si>
    <t>Slope angle: 25 degrees</t>
  </si>
  <si>
    <t>2021-BC-GT-4</t>
  </si>
  <si>
    <t>Angle: 23 degrees</t>
  </si>
  <si>
    <t>2021-BC-GT-7</t>
  </si>
  <si>
    <t>2021-BC-GT-8</t>
  </si>
  <si>
    <t>Angle: 27 degrees</t>
  </si>
  <si>
    <t>2021-SC-GT-1</t>
  </si>
  <si>
    <t>Angle: 10 degrees</t>
  </si>
  <si>
    <t>-23.25 to -32.75</t>
  </si>
  <si>
    <t>-13.75 to -23.25</t>
  </si>
  <si>
    <t>2021-SC-GT-2</t>
  </si>
  <si>
    <t>Angle: 11.2 degrees</t>
  </si>
  <si>
    <t>2021-SC-GT-3</t>
  </si>
  <si>
    <t>2021-SC-GT-4</t>
  </si>
  <si>
    <t>Angle: 9.5 degrees</t>
  </si>
  <si>
    <t>2021-SC-GT-5</t>
  </si>
  <si>
    <t>Angle: 9 degrees</t>
  </si>
  <si>
    <t>total placed in field</t>
  </si>
  <si>
    <t>2021-SC-GT-6</t>
  </si>
  <si>
    <t>Angle: 8 degrees</t>
  </si>
  <si>
    <t>0.7 mm grains (AG-MBO-1-2017)</t>
  </si>
  <si>
    <t>3 mm grains (AG-MBO-1-2017)</t>
  </si>
  <si>
    <t xml:space="preserve">Table 3.1. Transport distances for 0.7 mm and 3 mm grains on a 14 degree slope angle. </t>
  </si>
  <si>
    <t>Distance traveled (m)</t>
  </si>
  <si>
    <t># grains</t>
  </si>
  <si>
    <t>% grains</t>
  </si>
  <si>
    <t>AG-MBO-1-2017</t>
  </si>
  <si>
    <t>Slope angle: 14 degrees</t>
  </si>
  <si>
    <t>(min)</t>
  </si>
  <si>
    <t>(max)</t>
  </si>
  <si>
    <t>(average)</t>
  </si>
  <si>
    <t>recovered</t>
  </si>
  <si>
    <t>Distance traveled (cm)</t>
  </si>
  <si>
    <t>0.7 mm grains</t>
  </si>
  <si>
    <t>3 mm grains</t>
  </si>
  <si>
    <t>Est average transport distance (m):</t>
  </si>
  <si>
    <t>Est average max transport distance (m):</t>
  </si>
  <si>
    <t>Est average min transport distance (m):</t>
  </si>
  <si>
    <t>0.7 mm grains (AG-MBY-2-2017)</t>
  </si>
  <si>
    <t>3 mm grains (AG-MBY-2-2017)</t>
  </si>
  <si>
    <t>Table 3.3. Transport distances for 0.7 mm and 3 mm grains on a 20 degree slope angle.</t>
  </si>
  <si>
    <t>AG-MBY-2-2017</t>
  </si>
  <si>
    <t>Slope angle: 20 degrees</t>
  </si>
  <si>
    <t>0.7 mm grains (AG-MBY-3-2017)</t>
  </si>
  <si>
    <t>3 mm grains (AG-MBY-3-2017)</t>
  </si>
  <si>
    <t>Distance traveled</t>
  </si>
  <si>
    <t>Table 3.5. Transport distances for 0.7 mm and 3 mm grains on a 27 degree slope angle.</t>
  </si>
  <si>
    <t>AG-MBY-3-2017</t>
  </si>
  <si>
    <t>Slope angle: 27 degrees</t>
  </si>
  <si>
    <t>2021 - SC-PB - 2</t>
  </si>
  <si>
    <t>Pebble</t>
  </si>
  <si>
    <t>Transport distance</t>
  </si>
  <si>
    <t>2021-SC-PB-1</t>
  </si>
  <si>
    <t>Mean =</t>
  </si>
  <si>
    <t xml:space="preserve">Mean = </t>
  </si>
  <si>
    <t>Grain Diameter</t>
  </si>
  <si>
    <t>Transport Distance</t>
  </si>
  <si>
    <t>Slope angle</t>
  </si>
  <si>
    <t>Independent</t>
  </si>
  <si>
    <t>mean transport:</t>
  </si>
  <si>
    <t>3mm</t>
  </si>
  <si>
    <t>slope angle</t>
  </si>
  <si>
    <t>independent</t>
  </si>
  <si>
    <t># collected</t>
  </si>
  <si>
    <t>30mm</t>
  </si>
  <si>
    <t>mean transport</t>
  </si>
  <si>
    <t>transport distance</t>
  </si>
  <si>
    <t>Angle: 19 degrees</t>
  </si>
  <si>
    <t>2022-SC-GT-6</t>
  </si>
  <si>
    <t>Relative recovery (0.75mm)</t>
  </si>
  <si>
    <t>Relative recovery (2mm)</t>
  </si>
  <si>
    <t>Total dis. For bin (0.75mm)</t>
  </si>
  <si>
    <t>Total dis. For bin (2mm)</t>
  </si>
  <si>
    <t>Angle: 21 degrees</t>
  </si>
  <si>
    <t>2022-SC-GT-5</t>
  </si>
  <si>
    <t>Angle: 20 degrees</t>
  </si>
  <si>
    <t>2022-SC-GT-4</t>
  </si>
  <si>
    <t>2022-SC-GT-3</t>
  </si>
  <si>
    <t>0.589 - 1.0mm</t>
  </si>
  <si>
    <t>Ave displacement (cm)</t>
  </si>
  <si>
    <t>2022-SC-GT-2</t>
  </si>
  <si>
    <t>Avg displacement (cm)</t>
  </si>
  <si>
    <t>Angle: 18 degrees</t>
  </si>
  <si>
    <t>2022-SC-GT-1</t>
  </si>
  <si>
    <t>Distance from origin (cm)</t>
  </si>
  <si>
    <t>Mass 2mm</t>
  </si>
  <si>
    <t>0.15g per 12</t>
  </si>
  <si>
    <t>mass 0.75</t>
  </si>
  <si>
    <t>0.04g per 50</t>
  </si>
  <si>
    <t>***** revisit field placements by using mass calculation from 2022 sheet</t>
  </si>
  <si>
    <t>2022-sc-pb-2</t>
  </si>
  <si>
    <t>pebble</t>
  </si>
  <si>
    <t>mean =</t>
  </si>
  <si>
    <t>&gt;=25</t>
  </si>
  <si>
    <t>20 to 24</t>
  </si>
  <si>
    <t>15 to 19</t>
  </si>
  <si>
    <t>one data point</t>
  </si>
  <si>
    <t>10 to 14</t>
  </si>
  <si>
    <t>5 to 9</t>
  </si>
  <si>
    <t>4.1 cm</t>
  </si>
  <si>
    <t>Number recovered</t>
  </si>
  <si>
    <t>Numbered recovered</t>
  </si>
  <si>
    <t>Relative recovery</t>
  </si>
  <si>
    <t>Displacement</t>
  </si>
  <si>
    <t>Relavtive recovery</t>
  </si>
  <si>
    <t>Grain diameter</t>
  </si>
  <si>
    <t>*** The calculations for transport rate use the absolute value of upslope transport. If the absolute value is not taken then transport rates become lower.</t>
  </si>
  <si>
    <t>Heavily bioturbated by elodeous beetle</t>
  </si>
  <si>
    <t>***0.75mm grains for 9.5cm bin estimated since sample was lost. Estimation created from exponential model of 2022-sc-sgt-5 and 2022-sc-sgt-6 data which were near one another</t>
  </si>
  <si>
    <t>Red highlighted fields are unknown. Do not trust. Only trust average displacement data</t>
  </si>
  <si>
    <t>3mm transport distance(cm)</t>
  </si>
  <si>
    <t>2mm transport distance (cm)</t>
  </si>
  <si>
    <t>0.75mm transport distance (cm)</t>
  </si>
  <si>
    <t>total recovered</t>
  </si>
  <si>
    <t>Total grains</t>
  </si>
  <si>
    <t>Two data points</t>
  </si>
  <si>
    <t>seven data points</t>
  </si>
  <si>
    <t>Two data points (effectivley one)</t>
  </si>
  <si>
    <t>0.75 mm</t>
  </si>
  <si>
    <t>2023-BS-SGT-2</t>
  </si>
  <si>
    <t>2023-BC-SGT-1</t>
  </si>
  <si>
    <t>2023-BS-SGT-3</t>
  </si>
  <si>
    <t>2023-BS-SGT-5</t>
  </si>
  <si>
    <t>2023-BS-SGT-4</t>
  </si>
  <si>
    <t>2023-BS-SGT-6</t>
  </si>
  <si>
    <t>11 data points</t>
  </si>
  <si>
    <t>4 data points</t>
  </si>
  <si>
    <t>All angles</t>
  </si>
  <si>
    <t>19 data points</t>
  </si>
  <si>
    <t>removed 10-14 for low data</t>
  </si>
  <si>
    <t>2 mm particle mass</t>
  </si>
  <si>
    <t>2 mm particle volume - torus</t>
  </si>
  <si>
    <t>2 mm particle density</t>
  </si>
  <si>
    <t>2500 kg/m3</t>
  </si>
  <si>
    <t>0.75 mm particle volume</t>
  </si>
  <si>
    <t>double triangular prism with base side lengh 0.75 mm and height 0.75 mm</t>
  </si>
  <si>
    <t>0.75 particle mass</t>
  </si>
  <si>
    <t>0.75 mm particle density</t>
  </si>
  <si>
    <t>Model transport</t>
  </si>
  <si>
    <t>2 mm model mass distance</t>
  </si>
  <si>
    <t>2 mm total mass</t>
  </si>
  <si>
    <t>0.75 mm total mass</t>
  </si>
  <si>
    <t>0.75 mm mass-distance</t>
  </si>
  <si>
    <t>wt% of 2 mm is about half of 0.75</t>
  </si>
  <si>
    <t>total mass 2 mm</t>
  </si>
  <si>
    <t>double mass 2 mm</t>
  </si>
  <si>
    <t>--&gt; assumes we have 2:0.75 mm grain gsd ratio equal to field site</t>
  </si>
  <si>
    <t>mass distance</t>
  </si>
  <si>
    <t>greater than 14 degrees</t>
  </si>
  <si>
    <t>16 data points</t>
  </si>
  <si>
    <t>Total transport distance 2 mm</t>
  </si>
  <si>
    <t>Total transport distance 0.75 mm</t>
  </si>
  <si>
    <t>Total Placed</t>
  </si>
  <si>
    <t>recovery rate</t>
  </si>
  <si>
    <t>Average transport distance</t>
  </si>
  <si>
    <t>num_stationary</t>
  </si>
  <si>
    <t>2 mm - 10 degrees</t>
  </si>
  <si>
    <t>2 mm - 5 degrees</t>
  </si>
  <si>
    <t>2 mm - 15 degrees</t>
  </si>
  <si>
    <t>2 mm - 20 degrees</t>
  </si>
  <si>
    <t>2 mm - 25 degrees</t>
  </si>
  <si>
    <t>radial</t>
  </si>
  <si>
    <t>downslope</t>
  </si>
  <si>
    <t>alpha</t>
  </si>
  <si>
    <t>probability</t>
  </si>
  <si>
    <t>0.75 mm - 5 degrees</t>
  </si>
  <si>
    <t>0.75 mm - 10 degrees</t>
  </si>
  <si>
    <t>0.75 mm - 15 degrees</t>
  </si>
  <si>
    <t>0.75 mm - 20 degrees</t>
  </si>
  <si>
    <t>0.75 mm - 25 degrees</t>
  </si>
  <si>
    <t>Total Transport distance</t>
  </si>
  <si>
    <t>distance</t>
  </si>
  <si>
    <t>elevation</t>
  </si>
  <si>
    <t>2 mm particles</t>
  </si>
  <si>
    <t>0.75 mm particles</t>
  </si>
  <si>
    <t>average</t>
  </si>
  <si>
    <t>Radial Downslope bias</t>
  </si>
  <si>
    <t>** Weird stuff happens at 10 degrees!</t>
  </si>
  <si>
    <t>0.75 mm - 30 degrees</t>
  </si>
  <si>
    <t>0.75 mm - 35 degrees</t>
  </si>
  <si>
    <t>Apply mass-transfer across 1 m</t>
  </si>
  <si>
    <t>2 mm</t>
  </si>
  <si>
    <t>kg*m/m</t>
  </si>
  <si>
    <t>Study name</t>
  </si>
  <si>
    <t>Sediment Size</t>
  </si>
  <si>
    <t>Hillslope angle</t>
  </si>
  <si>
    <t>Chance, 2025 - Field experiments</t>
  </si>
  <si>
    <t>Chance, 2025 - computer experiments</t>
  </si>
  <si>
    <t>Transport rate (cm/yr)</t>
  </si>
  <si>
    <t>Weunscher, 2018</t>
  </si>
  <si>
    <t>0.7 mm average</t>
  </si>
  <si>
    <t>3 mm average</t>
  </si>
  <si>
    <t>Average distance</t>
  </si>
  <si>
    <t>Maddoff, 2015</t>
  </si>
  <si>
    <t>all angles</t>
  </si>
  <si>
    <t>Kirkyby, 1974</t>
  </si>
  <si>
    <t>Study name, all hillslope angles</t>
  </si>
  <si>
    <t>sediment size</t>
  </si>
  <si>
    <t>Chance, 2025 - computer corrected</t>
  </si>
  <si>
    <t>Maddof, 2015</t>
  </si>
  <si>
    <t>Kirkby, 1974</t>
  </si>
  <si>
    <t>Maddof, 2015 theoretical, no pebbles</t>
  </si>
  <si>
    <t>perisco, 2005</t>
  </si>
  <si>
    <t>Perisco, 2005</t>
  </si>
  <si>
    <t>sediment size (cm)</t>
  </si>
  <si>
    <t>maddoff, 2015; theoretical w/o pebbles</t>
  </si>
  <si>
    <t>sediment size (mm)</t>
  </si>
  <si>
    <t>All data:</t>
  </si>
  <si>
    <t>Power, R2 = 0.4685</t>
  </si>
  <si>
    <t>Risa &amp; Kirkby</t>
  </si>
  <si>
    <t>Power, R2 = 0.4641</t>
  </si>
  <si>
    <t>Rob, Tim, perisco</t>
  </si>
  <si>
    <t>Power, R2 =  0.328</t>
  </si>
  <si>
    <t>`</t>
  </si>
  <si>
    <t>T</t>
  </si>
  <si>
    <t>M</t>
  </si>
  <si>
    <t>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</si>
  <si>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</si>
  <si>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</si>
  <si>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</si>
  <si>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</si>
  <si>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</si>
  <si>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</si>
  <si>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</si>
  <si>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</si>
  <si>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</si>
  <si>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</si>
  <si>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</si>
  <si>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Mean</t>
  </si>
  <si>
    <t>Max</t>
  </si>
  <si>
    <t>Min</t>
  </si>
  <si>
    <t>December</t>
  </si>
  <si>
    <t>Annual</t>
  </si>
  <si>
    <t>Precip</t>
  </si>
  <si>
    <t>Temp</t>
  </si>
  <si>
    <t>In.</t>
  </si>
  <si>
    <t>F</t>
  </si>
  <si>
    <t>Sno Depth</t>
  </si>
  <si>
    <t>inches</t>
  </si>
  <si>
    <t>1993-1994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</si>
  <si>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</si>
  <si>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</si>
  <si>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</si>
  <si>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</si>
  <si>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</si>
  <si>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</si>
  <si>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</si>
  <si>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</si>
  <si>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</si>
  <si>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</si>
  <si>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</si>
  <si>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</si>
  <si>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</si>
  <si>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</si>
  <si>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</si>
  <si>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</si>
  <si>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</si>
  <si>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</si>
  <si>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</si>
  <si>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</si>
  <si>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</si>
  <si>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</si>
  <si>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</si>
  <si>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</si>
  <si>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</si>
  <si>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</si>
  <si>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2020-2021</t>
  </si>
  <si>
    <t>2021-2022</t>
  </si>
  <si>
    <t>2022-2023</t>
  </si>
  <si>
    <t>2023-2024</t>
  </si>
  <si>
    <t>M - Missing</t>
  </si>
  <si>
    <t>T = Trace</t>
  </si>
  <si>
    <t>Anomaly:</t>
  </si>
  <si>
    <t>year-mean</t>
  </si>
  <si>
    <t>EXPONENIAL INSTEAD OF PARETO</t>
  </si>
  <si>
    <t>Grid</t>
  </si>
  <si>
    <t>Num Particles</t>
  </si>
  <si>
    <t>downhill/rad</t>
  </si>
  <si>
    <t>2/98</t>
  </si>
  <si>
    <t>4/96</t>
  </si>
  <si>
    <t>6/94</t>
  </si>
  <si>
    <t>8/92</t>
  </si>
  <si>
    <t>10/90</t>
  </si>
  <si>
    <t>np.random.exponential</t>
  </si>
  <si>
    <t>move_decisions</t>
  </si>
  <si>
    <t>Distance</t>
  </si>
  <si>
    <t>Move probability</t>
  </si>
  <si>
    <t>** Not enough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</si>
</sst>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10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sz val="13"/>
      <color rgb="FF000000"/>
      <name val="Times New Roman"/>
      <family val="1"/>
    </font>
    <font>
      <sz val="11"/>
      <name val="Calibri"/>
      <family val="2"/>
      <scheme val="minor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.8000000000000007"/>
      <color rgb="FFBCBEC4"/>
      <name val="JetBrains Mono"/>
      <family val="3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4F1FB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3BAAE3"/>
      </left>
      <right style="medium">
        <color rgb="FF3BAAE3"/>
      </right>
      <top style="medium">
        <color rgb="FF3BAAE3"/>
      </top>
      <bottom style="medium">
        <color rgb="FF3BAAE3"/>
      </bottom>
      <diagonal/>
    </border>
    <border>
      <left style="medium">
        <color rgb="FF3BAAE3"/>
      </left>
      <right/>
      <top style="medium">
        <color rgb="FF3BAAE3"/>
      </top>
      <bottom style="medium">
        <color rgb="FF3BAAE3"/>
      </bottom>
      <diagonal/>
    </border>
    <border>
      <left style="medium">
        <color rgb="FF3BAAE3"/>
      </left>
      <right style="medium">
        <color rgb="FF3BAAE3"/>
      </right>
      <top style="medium">
        <color rgb="FF3BAAE3"/>
      </top>
      <bottom/>
      <diagonal/>
    </border>
    <border>
      <left style="medium">
        <color rgb="FF3BAAE3"/>
      </left>
      <right style="medium">
        <color rgb="FF3BAAE3"/>
      </right>
      <top/>
      <bottom style="medium">
        <color rgb="FF3BAAE3"/>
      </bottom>
      <diagonal/>
    </border>
    <border>
      <left style="medium">
        <color rgb="FF3BAAE3"/>
      </left>
      <right/>
      <top style="medium">
        <color rgb="FF3BAAE3"/>
      </top>
      <bottom/>
      <diagonal/>
    </border>
    <border>
      <left style="medium">
        <color rgb="FF3BAAE3"/>
      </left>
      <right/>
      <top/>
      <bottom style="medium">
        <color rgb="FF3BAAE3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1" fillId="0" borderId="0" xfId="0" quotePrefix="1" applyFont="1"/>
    <xf numFmtId="0" fontId="3" fillId="2" borderId="1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" xfId="0" applyFont="1" applyFill="1" applyBorder="1"/>
    <xf numFmtId="0" fontId="3" fillId="2" borderId="0" xfId="0" applyFont="1" applyFill="1"/>
    <xf numFmtId="0" fontId="3" fillId="2" borderId="2" xfId="0" applyFont="1" applyFill="1" applyBorder="1"/>
    <xf numFmtId="0" fontId="1" fillId="2" borderId="0" xfId="0" applyFont="1" applyFill="1"/>
    <xf numFmtId="0" fontId="1" fillId="2" borderId="2" xfId="0" applyFont="1" applyFill="1" applyBorder="1"/>
    <xf numFmtId="0" fontId="3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5" fillId="2" borderId="0" xfId="0" applyFont="1" applyFill="1"/>
    <xf numFmtId="0" fontId="4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/>
    <xf numFmtId="2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3" borderId="0" xfId="0" applyFill="1"/>
    <xf numFmtId="16" fontId="0" fillId="0" borderId="0" xfId="0" applyNumberFormat="1"/>
    <xf numFmtId="0" fontId="6" fillId="3" borderId="0" xfId="0" applyFont="1" applyFill="1"/>
    <xf numFmtId="0" fontId="0" fillId="4" borderId="0" xfId="0" applyFill="1"/>
    <xf numFmtId="0" fontId="0" fillId="0" borderId="0" xfId="0" quotePrefix="1"/>
    <xf numFmtId="0" fontId="7" fillId="5" borderId="14" xfId="0" applyFont="1" applyFill="1" applyBorder="1" applyAlignment="1">
      <alignment vertical="center"/>
    </xf>
    <xf numFmtId="0" fontId="8" fillId="6" borderId="14" xfId="0" applyFont="1" applyFill="1" applyBorder="1" applyAlignment="1">
      <alignment horizontal="center" vertical="center" wrapText="1"/>
    </xf>
    <xf numFmtId="0" fontId="7" fillId="5" borderId="15" xfId="0" applyFont="1" applyFill="1" applyBorder="1" applyAlignment="1">
      <alignment vertical="center"/>
    </xf>
    <xf numFmtId="0" fontId="7" fillId="5" borderId="18" xfId="0" applyFont="1" applyFill="1" applyBorder="1" applyAlignment="1">
      <alignment vertical="center"/>
    </xf>
    <xf numFmtId="0" fontId="7" fillId="5" borderId="19" xfId="0" applyFont="1" applyFill="1" applyBorder="1" applyAlignment="1">
      <alignment vertical="center"/>
    </xf>
    <xf numFmtId="17" fontId="0" fillId="0" borderId="0" xfId="0" quotePrefix="1" applyNumberFormat="1"/>
    <xf numFmtId="0" fontId="9" fillId="0" borderId="0" xfId="0" applyFont="1" applyAlignment="1">
      <alignment vertical="center"/>
    </xf>
    <xf numFmtId="0" fontId="8" fillId="6" borderId="16" xfId="0" applyFont="1" applyFill="1" applyBorder="1" applyAlignment="1">
      <alignment horizontal="center" vertical="center" wrapText="1"/>
    </xf>
    <xf numFmtId="0" fontId="8" fillId="6" borderId="17" xfId="0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vertical="center"/>
    </xf>
    <xf numFmtId="0" fontId="7" fillId="5" borderId="17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'Total sed transport'!$L$63</c:f>
              <c:strCache>
                <c:ptCount val="1"/>
                <c:pt idx="0">
                  <c:v>0.75 mm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'Total sed transport'!$J$64:$J$73</c:f>
              <c:numCache>
                <c:formatCode>General</c:formatCode>
                <c:ptCount val="10"/>
                <c:pt idx="0">
                  <c:v>0</c:v>
                </c:pt>
                <c:pt idx="1">
                  <c:v>9.5</c:v>
                </c:pt>
                <c:pt idx="2">
                  <c:v>19</c:v>
                </c:pt>
                <c:pt idx="3">
                  <c:v>28.5</c:v>
                </c:pt>
                <c:pt idx="4">
                  <c:v>38</c:v>
                </c:pt>
                <c:pt idx="5">
                  <c:v>47.5</c:v>
                </c:pt>
                <c:pt idx="6">
                  <c:v>57</c:v>
                </c:pt>
                <c:pt idx="7">
                  <c:v>66.5</c:v>
                </c:pt>
                <c:pt idx="8">
                  <c:v>76</c:v>
                </c:pt>
                <c:pt idx="9">
                  <c:v>100</c:v>
                </c:pt>
              </c:numCache>
            </c:numRef>
          </c:cat>
          <c:val>
            <c:numRef>
              <c:f>'Total sed transport'!$L$64:$L$73</c:f>
              <c:numCache>
                <c:formatCode>General</c:formatCode>
                <c:ptCount val="10"/>
                <c:pt idx="0">
                  <c:v>44.313958674000297</c:v>
                </c:pt>
                <c:pt idx="1">
                  <c:v>30.444477478816708</c:v>
                </c:pt>
                <c:pt idx="2">
                  <c:v>7.9976215251969673</c:v>
                </c:pt>
                <c:pt idx="3">
                  <c:v>11.565333729745801</c:v>
                </c:pt>
                <c:pt idx="4">
                  <c:v>2.4379366731083691</c:v>
                </c:pt>
                <c:pt idx="5">
                  <c:v>2.7352460234874387</c:v>
                </c:pt>
                <c:pt idx="6">
                  <c:v>0.11892374015162775</c:v>
                </c:pt>
                <c:pt idx="7">
                  <c:v>0.11892374015162775</c:v>
                </c:pt>
                <c:pt idx="8">
                  <c:v>5.9461870075813876E-2</c:v>
                </c:pt>
                <c:pt idx="9">
                  <c:v>0.14865467518953471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D6-43F9-BA40-9D3382F1B2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20270127"/>
        <c:axId val="1920271567"/>
      </c:barChart>
      <c:catAx>
        <c:axId val="1920270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0271567"/>
        <c:crosses val="autoZero"/>
        <c:auto val="1"/>
        <c:lblAlgn val="ctr"/>
        <c:lblOffset val="100"/>
        <c:noMultiLvlLbl val="0"/>
      </c:catAx>
      <c:valAx>
        <c:axId val="1920271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02701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Transport distance as a function of grain size</a:t>
            </a:r>
          </a:p>
        </c:rich>
      </c:tx>
      <c:layout>
        <c:manualLayout>
          <c:xMode val="edge"/>
          <c:yMode val="edge"/>
          <c:x val="0.10676188811585349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2888280269314154E-2"/>
          <c:y val="0.17634259259259263"/>
          <c:w val="0.67692456921145727"/>
          <c:h val="0.70696741032370958"/>
        </c:manualLayout>
      </c:layout>
      <c:scatterChart>
        <c:scatterStyle val="lineMarker"/>
        <c:varyColors val="0"/>
        <c:ser>
          <c:idx val="0"/>
          <c:order val="0"/>
          <c:tx>
            <c:v>All Data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bg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C00000"/>
                </a:solidFill>
                <a:prstDash val="solid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33068482064741905"/>
                  <c:y val="0.3245213619130942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'all-studies sed transport'!$AB$2:$AB$24</c:f>
              <c:numCache>
                <c:formatCode>General</c:formatCode>
                <c:ptCount val="23"/>
                <c:pt idx="0">
                  <c:v>0.2</c:v>
                </c:pt>
                <c:pt idx="1">
                  <c:v>7.4999999999999997E-2</c:v>
                </c:pt>
                <c:pt idx="2">
                  <c:v>2</c:v>
                </c:pt>
                <c:pt idx="3">
                  <c:v>0.3</c:v>
                </c:pt>
                <c:pt idx="4">
                  <c:v>6.9999999999999993E-2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2.5</c:v>
                </c:pt>
                <c:pt idx="14">
                  <c:v>8.5</c:v>
                </c:pt>
                <c:pt idx="15">
                  <c:v>3</c:v>
                </c:pt>
                <c:pt idx="16">
                  <c:v>1.5</c:v>
                </c:pt>
                <c:pt idx="17">
                  <c:v>1</c:v>
                </c:pt>
                <c:pt idx="18">
                  <c:v>3.5</c:v>
                </c:pt>
                <c:pt idx="19">
                  <c:v>2.5</c:v>
                </c:pt>
                <c:pt idx="20">
                  <c:v>0.5</c:v>
                </c:pt>
                <c:pt idx="21">
                  <c:v>0.3</c:v>
                </c:pt>
                <c:pt idx="22">
                  <c:v>0.2</c:v>
                </c:pt>
              </c:numCache>
            </c:numRef>
          </c:xVal>
          <c:yVal>
            <c:numRef>
              <c:f>'all-studies sed transport'!$AC$2:$AC$24</c:f>
              <c:numCache>
                <c:formatCode>General</c:formatCode>
                <c:ptCount val="23"/>
                <c:pt idx="0">
                  <c:v>16.899999999999999</c:v>
                </c:pt>
                <c:pt idx="1">
                  <c:v>16</c:v>
                </c:pt>
                <c:pt idx="2">
                  <c:v>4</c:v>
                </c:pt>
                <c:pt idx="3">
                  <c:v>19.3</c:v>
                </c:pt>
                <c:pt idx="4">
                  <c:v>10.3</c:v>
                </c:pt>
                <c:pt idx="5">
                  <c:v>5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4</c:v>
                </c:pt>
                <c:pt idx="10">
                  <c:v>2</c:v>
                </c:pt>
                <c:pt idx="11">
                  <c:v>4</c:v>
                </c:pt>
                <c:pt idx="12">
                  <c:v>5</c:v>
                </c:pt>
                <c:pt idx="13">
                  <c:v>8</c:v>
                </c:pt>
                <c:pt idx="14">
                  <c:v>0.5</c:v>
                </c:pt>
                <c:pt idx="15">
                  <c:v>3</c:v>
                </c:pt>
                <c:pt idx="16">
                  <c:v>10</c:v>
                </c:pt>
                <c:pt idx="17">
                  <c:v>9</c:v>
                </c:pt>
                <c:pt idx="18">
                  <c:v>0.05</c:v>
                </c:pt>
                <c:pt idx="19">
                  <c:v>0.7</c:v>
                </c:pt>
                <c:pt idx="20">
                  <c:v>2</c:v>
                </c:pt>
                <c:pt idx="21">
                  <c:v>5.3</c:v>
                </c:pt>
                <c:pt idx="22">
                  <c:v>7.6660000000000004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E8-4009-8938-9CBE1DCD9A6E}"/>
            </c:ext>
          </c:extLst>
        </c:ser>
        <c:ser>
          <c:idx val="1"/>
          <c:order val="1"/>
          <c:tx>
            <c:v>Chance, 2025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'all-studies sed transport'!$AB$2:$AB$4</c:f>
              <c:numCache>
                <c:formatCode>General</c:formatCode>
                <c:ptCount val="3"/>
                <c:pt idx="0">
                  <c:v>0.2</c:v>
                </c:pt>
                <c:pt idx="1">
                  <c:v>7.4999999999999997E-2</c:v>
                </c:pt>
                <c:pt idx="2">
                  <c:v>2</c:v>
                </c:pt>
              </c:numCache>
            </c:numRef>
          </c:xVal>
          <c:yVal>
            <c:numRef>
              <c:f>'all-studies sed transport'!$AC$2:$AC$4</c:f>
              <c:numCache>
                <c:formatCode>General</c:formatCode>
                <c:ptCount val="3"/>
                <c:pt idx="0">
                  <c:v>16.899999999999999</c:v>
                </c:pt>
                <c:pt idx="1">
                  <c:v>16</c:v>
                </c:pt>
                <c:pt idx="2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E8-4009-8938-9CBE1DCD9A6E}"/>
            </c:ext>
          </c:extLst>
        </c:ser>
        <c:ser>
          <c:idx val="2"/>
          <c:order val="2"/>
          <c:tx>
            <c:v>Wuenscher, 2018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'all-studies sed transport'!$AB$5:$AB$6</c:f>
              <c:numCache>
                <c:formatCode>General</c:formatCode>
                <c:ptCount val="2"/>
                <c:pt idx="0">
                  <c:v>0.3</c:v>
                </c:pt>
                <c:pt idx="1">
                  <c:v>6.9999999999999993E-2</c:v>
                </c:pt>
              </c:numCache>
            </c:numRef>
          </c:xVal>
          <c:yVal>
            <c:numRef>
              <c:f>'all-studies sed transport'!$AC$5:$AC$6</c:f>
              <c:numCache>
                <c:formatCode>General</c:formatCode>
                <c:ptCount val="2"/>
                <c:pt idx="0">
                  <c:v>19.3</c:v>
                </c:pt>
                <c:pt idx="1">
                  <c:v>10.3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EE8-4009-8938-9CBE1DCD9A6E}"/>
            </c:ext>
          </c:extLst>
        </c:ser>
        <c:ser>
          <c:idx val="3"/>
          <c:order val="3"/>
          <c:tx>
            <c:v>Perisco et al., 2005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'all-studies sed transport'!$AB$7:$AB$14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xVal>
          <c:yVal>
            <c:numRef>
              <c:f>'all-studies sed transport'!$AC$7:$AC$14</c:f>
              <c:numCache>
                <c:formatCode>General</c:formatCode>
                <c:ptCount val="8"/>
                <c:pt idx="0">
                  <c:v>5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4</c:v>
                </c:pt>
                <c:pt idx="5">
                  <c:v>2</c:v>
                </c:pt>
                <c:pt idx="6">
                  <c:v>4</c:v>
                </c:pt>
                <c:pt idx="7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E8-4009-8938-9CBE1DCD9A6E}"/>
            </c:ext>
          </c:extLst>
        </c:ser>
        <c:ser>
          <c:idx val="4"/>
          <c:order val="4"/>
          <c:tx>
            <c:v>Madoff, 2015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'all-studies sed transport'!$AB$15:$AB$19</c:f>
              <c:numCache>
                <c:formatCode>General</c:formatCode>
                <c:ptCount val="5"/>
                <c:pt idx="0">
                  <c:v>2.5</c:v>
                </c:pt>
                <c:pt idx="1">
                  <c:v>8.5</c:v>
                </c:pt>
                <c:pt idx="2">
                  <c:v>3</c:v>
                </c:pt>
                <c:pt idx="3">
                  <c:v>1.5</c:v>
                </c:pt>
                <c:pt idx="4">
                  <c:v>1</c:v>
                </c:pt>
              </c:numCache>
            </c:numRef>
          </c:xVal>
          <c:yVal>
            <c:numRef>
              <c:f>'all-studies sed transport'!$AC$15:$AC$19</c:f>
              <c:numCache>
                <c:formatCode>General</c:formatCode>
                <c:ptCount val="5"/>
                <c:pt idx="0">
                  <c:v>8</c:v>
                </c:pt>
                <c:pt idx="1">
                  <c:v>0.5</c:v>
                </c:pt>
                <c:pt idx="2">
                  <c:v>3</c:v>
                </c:pt>
                <c:pt idx="3">
                  <c:v>10</c:v>
                </c:pt>
                <c:pt idx="4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EE8-4009-8938-9CBE1DCD9A6E}"/>
            </c:ext>
          </c:extLst>
        </c:ser>
        <c:ser>
          <c:idx val="5"/>
          <c:order val="5"/>
          <c:tx>
            <c:v>Kirkby &amp; Kirkby, 1974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'all-studies sed transport'!$AB$20:$AB$24</c:f>
              <c:numCache>
                <c:formatCode>General</c:formatCode>
                <c:ptCount val="5"/>
                <c:pt idx="0">
                  <c:v>3.5</c:v>
                </c:pt>
                <c:pt idx="1">
                  <c:v>2.5</c:v>
                </c:pt>
                <c:pt idx="2">
                  <c:v>0.5</c:v>
                </c:pt>
                <c:pt idx="3">
                  <c:v>0.3</c:v>
                </c:pt>
                <c:pt idx="4">
                  <c:v>0.2</c:v>
                </c:pt>
              </c:numCache>
            </c:numRef>
          </c:xVal>
          <c:yVal>
            <c:numRef>
              <c:f>'all-studies sed transport'!$AC$20:$AC$24</c:f>
              <c:numCache>
                <c:formatCode>General</c:formatCode>
                <c:ptCount val="5"/>
                <c:pt idx="0">
                  <c:v>0.05</c:v>
                </c:pt>
                <c:pt idx="1">
                  <c:v>0.7</c:v>
                </c:pt>
                <c:pt idx="2">
                  <c:v>2</c:v>
                </c:pt>
                <c:pt idx="3">
                  <c:v>5.3</c:v>
                </c:pt>
                <c:pt idx="4">
                  <c:v>7.6660000000000004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EE8-4009-8938-9CBE1DCD9A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1666383"/>
        <c:axId val="1681667215"/>
      </c:scatterChart>
      <c:valAx>
        <c:axId val="1681666383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Grain Diameter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1667215"/>
        <c:crosses val="autoZero"/>
        <c:crossBetween val="midCat"/>
      </c:valAx>
      <c:valAx>
        <c:axId val="1681667215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Annual</a:t>
                </a:r>
                <a:r>
                  <a:rPr lang="en-US" baseline="0"/>
                  <a:t> Transport Distance (cm)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8633540372670808E-2"/>
              <c:y val="0.214247594050743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16663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2022-SC-SGT-1, 18 degree hillslope (2mm n=0, 0.75mm n=889)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'2022 transport'!$H$1</c:f>
              <c:strCache>
                <c:ptCount val="1"/>
                <c:pt idx="0">
                  <c:v>Relative recovery (0.75mm)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'2022 transport'!$B$2:$B$12</c:f>
              <c:numCache>
                <c:formatCode>General</c:formatCode>
                <c:ptCount val="11"/>
                <c:pt idx="0">
                  <c:v>-28.5</c:v>
                </c:pt>
                <c:pt idx="1">
                  <c:v>-19</c:v>
                </c:pt>
                <c:pt idx="2">
                  <c:v>-9.5</c:v>
                </c:pt>
                <c:pt idx="3">
                  <c:v>0</c:v>
                </c:pt>
                <c:pt idx="4">
                  <c:v>9.5</c:v>
                </c:pt>
                <c:pt idx="5">
                  <c:v>19</c:v>
                </c:pt>
                <c:pt idx="6">
                  <c:v>28.5</c:v>
                </c:pt>
                <c:pt idx="7">
                  <c:v>38</c:v>
                </c:pt>
                <c:pt idx="8">
                  <c:v>47.5</c:v>
                </c:pt>
                <c:pt idx="9">
                  <c:v>57</c:v>
                </c:pt>
                <c:pt idx="10">
                  <c:v>100</c:v>
                </c:pt>
              </c:numCache>
            </c:numRef>
          </c:xVal>
          <c:yVal>
            <c:numRef>
              <c:f>'2022 transport'!$H$2:$H$12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4.0494938129999998</c:v>
                </c:pt>
                <c:pt idx="3">
                  <c:v>80.989876269999996</c:v>
                </c:pt>
                <c:pt idx="4">
                  <c:v>11.02362205</c:v>
                </c:pt>
                <c:pt idx="5">
                  <c:v>3.9370078739999999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65-4C16-9A48-EE44F8BEA3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8088048"/>
        <c:axId val="1658085136"/>
      </c:scatterChart>
      <c:valAx>
        <c:axId val="1658088048"/>
        <c:scaling>
          <c:orientation val="minMax"/>
          <c:min val="-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Transport</a:t>
                </a:r>
                <a:r>
                  <a:rPr lang="en-US" baseline="0"/>
                  <a:t> distance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8085136"/>
        <c:crosses val="autoZero"/>
        <c:crossBetween val="midCat"/>
      </c:valAx>
      <c:valAx>
        <c:axId val="165808513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 of recovered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8088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2022-SC-SGT-2, 9 degree hillslope (2mm n=187, 0.75mm n=2020)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'2022 transport'!$G$19</c:f>
              <c:strCache>
                <c:ptCount val="1"/>
                <c:pt idx="0">
                  <c:v>Relative recovery (2mm)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'2022 transport'!$B$20:$B$30</c:f>
              <c:numCache>
                <c:formatCode>General</c:formatCode>
                <c:ptCount val="11"/>
                <c:pt idx="0">
                  <c:v>-28.5</c:v>
                </c:pt>
                <c:pt idx="1">
                  <c:v>-19</c:v>
                </c:pt>
                <c:pt idx="2">
                  <c:v>-9.5</c:v>
                </c:pt>
                <c:pt idx="3">
                  <c:v>0</c:v>
                </c:pt>
                <c:pt idx="4">
                  <c:v>9.5</c:v>
                </c:pt>
                <c:pt idx="5">
                  <c:v>19</c:v>
                </c:pt>
                <c:pt idx="6">
                  <c:v>28.5</c:v>
                </c:pt>
                <c:pt idx="7">
                  <c:v>38</c:v>
                </c:pt>
                <c:pt idx="8">
                  <c:v>47.5</c:v>
                </c:pt>
                <c:pt idx="9">
                  <c:v>57</c:v>
                </c:pt>
                <c:pt idx="10">
                  <c:v>100</c:v>
                </c:pt>
              </c:numCache>
            </c:numRef>
          </c:xVal>
          <c:yVal>
            <c:numRef>
              <c:f>'2022 transport'!$G$20:$G$30</c:f>
              <c:numCache>
                <c:formatCode>General</c:formatCode>
                <c:ptCount val="11"/>
                <c:pt idx="0">
                  <c:v>0</c:v>
                </c:pt>
                <c:pt idx="1">
                  <c:v>6.4171122990000002</c:v>
                </c:pt>
                <c:pt idx="2">
                  <c:v>0</c:v>
                </c:pt>
                <c:pt idx="3">
                  <c:v>80.213903740000006</c:v>
                </c:pt>
                <c:pt idx="4">
                  <c:v>13.36898396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A4-4E84-9395-4F0F11F101A3}"/>
            </c:ext>
          </c:extLst>
        </c:ser>
        <c:ser>
          <c:idx val="1"/>
          <c:order val="1"/>
          <c:tx>
            <c:strRef>
              <c:f>'2022 transport'!$H$19</c:f>
              <c:strCache>
                <c:ptCount val="1"/>
                <c:pt idx="0">
                  <c:v>Relative recovery (0.75mm)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'2022 transport'!$B$20:$B$30</c:f>
              <c:numCache>
                <c:formatCode>General</c:formatCode>
                <c:ptCount val="11"/>
                <c:pt idx="0">
                  <c:v>-28.5</c:v>
                </c:pt>
                <c:pt idx="1">
                  <c:v>-19</c:v>
                </c:pt>
                <c:pt idx="2">
                  <c:v>-9.5</c:v>
                </c:pt>
                <c:pt idx="3">
                  <c:v>0</c:v>
                </c:pt>
                <c:pt idx="4">
                  <c:v>9.5</c:v>
                </c:pt>
                <c:pt idx="5">
                  <c:v>19</c:v>
                </c:pt>
                <c:pt idx="6">
                  <c:v>28.5</c:v>
                </c:pt>
                <c:pt idx="7">
                  <c:v>38</c:v>
                </c:pt>
                <c:pt idx="8">
                  <c:v>47.5</c:v>
                </c:pt>
                <c:pt idx="9">
                  <c:v>57</c:v>
                </c:pt>
                <c:pt idx="10">
                  <c:v>100</c:v>
                </c:pt>
              </c:numCache>
            </c:numRef>
          </c:xVal>
          <c:yVal>
            <c:numRef>
              <c:f>'2022 transport'!$H$20:$H$30</c:f>
              <c:numCache>
                <c:formatCode>General</c:formatCode>
                <c:ptCount val="11"/>
                <c:pt idx="0">
                  <c:v>0</c:v>
                </c:pt>
                <c:pt idx="1">
                  <c:v>0.29702970299999998</c:v>
                </c:pt>
                <c:pt idx="2">
                  <c:v>0.79207920799999998</c:v>
                </c:pt>
                <c:pt idx="3">
                  <c:v>96.534653469999995</c:v>
                </c:pt>
                <c:pt idx="4">
                  <c:v>2.2277227719999999</c:v>
                </c:pt>
                <c:pt idx="5">
                  <c:v>0.148514851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A4-4E84-9395-4F0F11F101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3210720"/>
        <c:axId val="1763196992"/>
      </c:scatterChart>
      <c:valAx>
        <c:axId val="1763210720"/>
        <c:scaling>
          <c:orientation val="minMax"/>
          <c:min val="-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Transport</a:t>
                </a:r>
                <a:r>
                  <a:rPr lang="en-US" baseline="0"/>
                  <a:t> distance (cm)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3196992"/>
        <c:crosses val="autoZero"/>
        <c:crossBetween val="midCat"/>
      </c:valAx>
      <c:valAx>
        <c:axId val="176319699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 of recovered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3210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2022-SC--SGT-3, 20 degree hillslope (2mm n=89, 0.75mm n=997)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'2022 transport'!$G$36</c:f>
              <c:strCache>
                <c:ptCount val="1"/>
                <c:pt idx="0">
                  <c:v>Relative recovery (2mm)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'2022 transport'!$B$37:$B$47</c:f>
              <c:numCache>
                <c:formatCode>General</c:formatCode>
                <c:ptCount val="11"/>
                <c:pt idx="0">
                  <c:v>-28.5</c:v>
                </c:pt>
                <c:pt idx="1">
                  <c:v>-19</c:v>
                </c:pt>
                <c:pt idx="2">
                  <c:v>-9.5</c:v>
                </c:pt>
                <c:pt idx="3">
                  <c:v>0</c:v>
                </c:pt>
                <c:pt idx="4">
                  <c:v>9.5</c:v>
                </c:pt>
                <c:pt idx="5">
                  <c:v>19</c:v>
                </c:pt>
                <c:pt idx="6">
                  <c:v>28.5</c:v>
                </c:pt>
                <c:pt idx="7">
                  <c:v>38</c:v>
                </c:pt>
                <c:pt idx="8">
                  <c:v>47.5</c:v>
                </c:pt>
                <c:pt idx="9">
                  <c:v>57</c:v>
                </c:pt>
                <c:pt idx="10">
                  <c:v>100</c:v>
                </c:pt>
              </c:numCache>
            </c:numRef>
          </c:xVal>
          <c:yVal>
            <c:numRef>
              <c:f>'2022 transport'!$G$37:$G$47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22.47191011</c:v>
                </c:pt>
                <c:pt idx="4">
                  <c:v>44.943820219999999</c:v>
                </c:pt>
                <c:pt idx="5">
                  <c:v>7.8651685389999999</c:v>
                </c:pt>
                <c:pt idx="6">
                  <c:v>11.23595506</c:v>
                </c:pt>
                <c:pt idx="7">
                  <c:v>3.370786517</c:v>
                </c:pt>
                <c:pt idx="8">
                  <c:v>6.741573034</c:v>
                </c:pt>
                <c:pt idx="9">
                  <c:v>0</c:v>
                </c:pt>
                <c:pt idx="10">
                  <c:v>3.370786517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91-42C4-924D-D0A901CC6D1A}"/>
            </c:ext>
          </c:extLst>
        </c:ser>
        <c:ser>
          <c:idx val="1"/>
          <c:order val="1"/>
          <c:tx>
            <c:strRef>
              <c:f>'2022 transport'!$H$36</c:f>
              <c:strCache>
                <c:ptCount val="1"/>
                <c:pt idx="0">
                  <c:v>Relative recovery (0.75mm)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'2022 transport'!$B$37:$B$47</c:f>
              <c:numCache>
                <c:formatCode>General</c:formatCode>
                <c:ptCount val="11"/>
                <c:pt idx="0">
                  <c:v>-28.5</c:v>
                </c:pt>
                <c:pt idx="1">
                  <c:v>-19</c:v>
                </c:pt>
                <c:pt idx="2">
                  <c:v>-9.5</c:v>
                </c:pt>
                <c:pt idx="3">
                  <c:v>0</c:v>
                </c:pt>
                <c:pt idx="4">
                  <c:v>9.5</c:v>
                </c:pt>
                <c:pt idx="5">
                  <c:v>19</c:v>
                </c:pt>
                <c:pt idx="6">
                  <c:v>28.5</c:v>
                </c:pt>
                <c:pt idx="7">
                  <c:v>38</c:v>
                </c:pt>
                <c:pt idx="8">
                  <c:v>47.5</c:v>
                </c:pt>
                <c:pt idx="9">
                  <c:v>57</c:v>
                </c:pt>
                <c:pt idx="10">
                  <c:v>100</c:v>
                </c:pt>
              </c:numCache>
            </c:numRef>
          </c:xVal>
          <c:yVal>
            <c:numRef>
              <c:f>'2022 transport'!$H$37:$H$47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62.992125979999997</c:v>
                </c:pt>
                <c:pt idx="4">
                  <c:v>40.494938130000001</c:v>
                </c:pt>
                <c:pt idx="5">
                  <c:v>4.4994375700000004</c:v>
                </c:pt>
                <c:pt idx="6">
                  <c:v>1.799775028</c:v>
                </c:pt>
                <c:pt idx="7">
                  <c:v>0.33745781800000002</c:v>
                </c:pt>
                <c:pt idx="8">
                  <c:v>1.349831271</c:v>
                </c:pt>
                <c:pt idx="9">
                  <c:v>0</c:v>
                </c:pt>
                <c:pt idx="10">
                  <c:v>0.67491563600000004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291-42C4-924D-D0A901CC6D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9776368"/>
        <c:axId val="1749777200"/>
      </c:scatterChart>
      <c:valAx>
        <c:axId val="1749776368"/>
        <c:scaling>
          <c:orientation val="minMax"/>
          <c:min val="-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Transport</a:t>
                </a:r>
                <a:r>
                  <a:rPr lang="en-US" baseline="0"/>
                  <a:t> distance (cm)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9777200"/>
        <c:crosses val="autoZero"/>
        <c:crossBetween val="midCat"/>
      </c:valAx>
      <c:valAx>
        <c:axId val="1749777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 of recovered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9776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2022-Sc-SGT-4, 20 degree hillslope (2mm n = 38, 0.75mm n = 1278)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'2022 transport'!$G$53</c:f>
              <c:strCache>
                <c:ptCount val="1"/>
                <c:pt idx="0">
                  <c:v>Relative recovery (2mm)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'2022 transport'!$B$54:$B$64</c:f>
              <c:numCache>
                <c:formatCode>General</c:formatCode>
                <c:ptCount val="11"/>
                <c:pt idx="0">
                  <c:v>-28.5</c:v>
                </c:pt>
                <c:pt idx="1">
                  <c:v>-19</c:v>
                </c:pt>
                <c:pt idx="2">
                  <c:v>-9.5</c:v>
                </c:pt>
                <c:pt idx="3">
                  <c:v>0</c:v>
                </c:pt>
                <c:pt idx="4">
                  <c:v>9.5</c:v>
                </c:pt>
                <c:pt idx="5">
                  <c:v>19</c:v>
                </c:pt>
                <c:pt idx="6">
                  <c:v>28.5</c:v>
                </c:pt>
                <c:pt idx="7">
                  <c:v>38</c:v>
                </c:pt>
                <c:pt idx="8">
                  <c:v>47.5</c:v>
                </c:pt>
                <c:pt idx="9">
                  <c:v>57</c:v>
                </c:pt>
                <c:pt idx="10">
                  <c:v>100</c:v>
                </c:pt>
              </c:numCache>
            </c:numRef>
          </c:xVal>
          <c:yVal>
            <c:numRef>
              <c:f>'2022 transport'!$G$54:$G$64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78.947368420000004</c:v>
                </c:pt>
                <c:pt idx="4">
                  <c:v>13.15789474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7.8947368420000004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55-477B-8247-0A609F54C2C6}"/>
            </c:ext>
          </c:extLst>
        </c:ser>
        <c:ser>
          <c:idx val="1"/>
          <c:order val="1"/>
          <c:tx>
            <c:strRef>
              <c:f>'2022 transport'!$H$53</c:f>
              <c:strCache>
                <c:ptCount val="1"/>
                <c:pt idx="0">
                  <c:v>Relative recovery (0.75mm)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'2022 transport'!$B$54:$B$64</c:f>
              <c:numCache>
                <c:formatCode>General</c:formatCode>
                <c:ptCount val="11"/>
                <c:pt idx="0">
                  <c:v>-28.5</c:v>
                </c:pt>
                <c:pt idx="1">
                  <c:v>-19</c:v>
                </c:pt>
                <c:pt idx="2">
                  <c:v>-9.5</c:v>
                </c:pt>
                <c:pt idx="3">
                  <c:v>0</c:v>
                </c:pt>
                <c:pt idx="4">
                  <c:v>9.5</c:v>
                </c:pt>
                <c:pt idx="5">
                  <c:v>19</c:v>
                </c:pt>
                <c:pt idx="6">
                  <c:v>28.5</c:v>
                </c:pt>
                <c:pt idx="7">
                  <c:v>38</c:v>
                </c:pt>
                <c:pt idx="8">
                  <c:v>47.5</c:v>
                </c:pt>
                <c:pt idx="9">
                  <c:v>57</c:v>
                </c:pt>
                <c:pt idx="10">
                  <c:v>100</c:v>
                </c:pt>
              </c:numCache>
            </c:numRef>
          </c:xVal>
          <c:yVal>
            <c:numRef>
              <c:f>'2022 transport'!$H$54:$H$64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9.8591549300000008</c:v>
                </c:pt>
                <c:pt idx="3">
                  <c:v>86.071987480000004</c:v>
                </c:pt>
                <c:pt idx="4">
                  <c:v>2.8169014080000001</c:v>
                </c:pt>
                <c:pt idx="5">
                  <c:v>0.46948356800000002</c:v>
                </c:pt>
                <c:pt idx="6">
                  <c:v>0.23474178400000001</c:v>
                </c:pt>
                <c:pt idx="7">
                  <c:v>0</c:v>
                </c:pt>
                <c:pt idx="8">
                  <c:v>0.23474178400000001</c:v>
                </c:pt>
                <c:pt idx="9">
                  <c:v>0</c:v>
                </c:pt>
                <c:pt idx="10">
                  <c:v>0.31298904500000002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655-477B-8247-0A609F54C2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6263520"/>
        <c:axId val="1656261856"/>
      </c:scatterChart>
      <c:valAx>
        <c:axId val="1656263520"/>
        <c:scaling>
          <c:orientation val="minMax"/>
          <c:min val="-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Transport distance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6261856"/>
        <c:crosses val="autoZero"/>
        <c:crossBetween val="midCat"/>
      </c:valAx>
      <c:valAx>
        <c:axId val="1656261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 recovered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62635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2022-SC-SGT-5, 21 degree high bioturbated hillslope (2mm n=8, 0.75mm n = 822)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'2022 transport'!$G$70</c:f>
              <c:strCache>
                <c:ptCount val="1"/>
                <c:pt idx="0">
                  <c:v>Relative recovery (2mm)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'2022 transport'!$B$71:$B$81</c:f>
              <c:numCache>
                <c:formatCode>General</c:formatCode>
                <c:ptCount val="11"/>
                <c:pt idx="0">
                  <c:v>-28.5</c:v>
                </c:pt>
                <c:pt idx="1">
                  <c:v>-19</c:v>
                </c:pt>
                <c:pt idx="2">
                  <c:v>-9.5</c:v>
                </c:pt>
                <c:pt idx="3">
                  <c:v>0</c:v>
                </c:pt>
                <c:pt idx="4">
                  <c:v>9.5</c:v>
                </c:pt>
                <c:pt idx="5">
                  <c:v>19</c:v>
                </c:pt>
                <c:pt idx="6">
                  <c:v>28.5</c:v>
                </c:pt>
                <c:pt idx="7">
                  <c:v>38</c:v>
                </c:pt>
                <c:pt idx="8">
                  <c:v>47.5</c:v>
                </c:pt>
                <c:pt idx="9">
                  <c:v>57</c:v>
                </c:pt>
                <c:pt idx="10">
                  <c:v>100</c:v>
                </c:pt>
              </c:numCache>
            </c:numRef>
          </c:xVal>
          <c:yVal>
            <c:numRef>
              <c:f>'2022 transport'!$G$71:$G$81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100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4A-43C7-BF69-A3651831ED3B}"/>
            </c:ext>
          </c:extLst>
        </c:ser>
        <c:ser>
          <c:idx val="1"/>
          <c:order val="1"/>
          <c:tx>
            <c:strRef>
              <c:f>'2022 transport'!$H$70</c:f>
              <c:strCache>
                <c:ptCount val="1"/>
                <c:pt idx="0">
                  <c:v>Relative recovery (0.75mm)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'2022 transport'!$B$71:$B$81</c:f>
              <c:numCache>
                <c:formatCode>General</c:formatCode>
                <c:ptCount val="11"/>
                <c:pt idx="0">
                  <c:v>-28.5</c:v>
                </c:pt>
                <c:pt idx="1">
                  <c:v>-19</c:v>
                </c:pt>
                <c:pt idx="2">
                  <c:v>-9.5</c:v>
                </c:pt>
                <c:pt idx="3">
                  <c:v>0</c:v>
                </c:pt>
                <c:pt idx="4">
                  <c:v>9.5</c:v>
                </c:pt>
                <c:pt idx="5">
                  <c:v>19</c:v>
                </c:pt>
                <c:pt idx="6">
                  <c:v>28.5</c:v>
                </c:pt>
                <c:pt idx="7">
                  <c:v>38</c:v>
                </c:pt>
                <c:pt idx="8">
                  <c:v>47.5</c:v>
                </c:pt>
                <c:pt idx="9">
                  <c:v>57</c:v>
                </c:pt>
                <c:pt idx="10">
                  <c:v>100</c:v>
                </c:pt>
              </c:numCache>
            </c:numRef>
          </c:xVal>
          <c:yVal>
            <c:numRef>
              <c:f>'2022 transport'!$H$71:$H$81</c:f>
              <c:numCache>
                <c:formatCode>General</c:formatCode>
                <c:ptCount val="11"/>
                <c:pt idx="0">
                  <c:v>0.48661800486618007</c:v>
                </c:pt>
                <c:pt idx="1">
                  <c:v>1.5815085158150852</c:v>
                </c:pt>
                <c:pt idx="2">
                  <c:v>10.70559610705596</c:v>
                </c:pt>
                <c:pt idx="3">
                  <c:v>54.014598540145982</c:v>
                </c:pt>
                <c:pt idx="4">
                  <c:v>24.330900243309003</c:v>
                </c:pt>
                <c:pt idx="5">
                  <c:v>8.2725060827250605</c:v>
                </c:pt>
                <c:pt idx="6">
                  <c:v>0.24330900243309003</c:v>
                </c:pt>
                <c:pt idx="7">
                  <c:v>0.36496350364963503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A4A-43C7-BF69-A3651831ED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736240"/>
        <c:axId val="1759738736"/>
      </c:scatterChart>
      <c:valAx>
        <c:axId val="1759736240"/>
        <c:scaling>
          <c:orientation val="minMax"/>
          <c:min val="-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Transport distance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738736"/>
        <c:crosses val="autoZero"/>
        <c:crossBetween val="midCat"/>
      </c:valAx>
      <c:valAx>
        <c:axId val="175973873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 of recovered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7362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2022-Sc-SGT-6, 19 degree highly bioturbated hillslope</a:t>
            </a:r>
            <a:r>
              <a:rPr lang="en-US" baseline="0"/>
              <a:t> (2mm n = 102, 0.75mm n=719)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'2022 transport'!$G$87</c:f>
              <c:strCache>
                <c:ptCount val="1"/>
                <c:pt idx="0">
                  <c:v>Relative recovery (2mm)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'2022 transport'!$B$88:$B$98</c:f>
              <c:numCache>
                <c:formatCode>General</c:formatCode>
                <c:ptCount val="11"/>
                <c:pt idx="0">
                  <c:v>-28.5</c:v>
                </c:pt>
                <c:pt idx="1">
                  <c:v>-19</c:v>
                </c:pt>
                <c:pt idx="2">
                  <c:v>-9.5</c:v>
                </c:pt>
                <c:pt idx="3">
                  <c:v>0</c:v>
                </c:pt>
                <c:pt idx="4">
                  <c:v>9.5</c:v>
                </c:pt>
                <c:pt idx="5">
                  <c:v>19</c:v>
                </c:pt>
                <c:pt idx="6">
                  <c:v>28.5</c:v>
                </c:pt>
                <c:pt idx="7">
                  <c:v>38</c:v>
                </c:pt>
                <c:pt idx="8">
                  <c:v>47.5</c:v>
                </c:pt>
                <c:pt idx="9">
                  <c:v>57</c:v>
                </c:pt>
                <c:pt idx="10">
                  <c:v>100</c:v>
                </c:pt>
              </c:numCache>
            </c:numRef>
          </c:xVal>
          <c:yVal>
            <c:numRef>
              <c:f>'2022 transport'!$G$88:$G$98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83.333333333333343</c:v>
                </c:pt>
                <c:pt idx="4">
                  <c:v>14.705882352941178</c:v>
                </c:pt>
                <c:pt idx="5">
                  <c:v>1.9607843137254901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AF-42D8-8EA6-F540CD0E1C71}"/>
            </c:ext>
          </c:extLst>
        </c:ser>
        <c:ser>
          <c:idx val="1"/>
          <c:order val="1"/>
          <c:tx>
            <c:strRef>
              <c:f>'2022 transport'!$H$87</c:f>
              <c:strCache>
                <c:ptCount val="1"/>
                <c:pt idx="0">
                  <c:v>Relative recovery (0.75mm)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'2022 transport'!$B$88:$B$98</c:f>
              <c:numCache>
                <c:formatCode>General</c:formatCode>
                <c:ptCount val="11"/>
                <c:pt idx="0">
                  <c:v>-28.5</c:v>
                </c:pt>
                <c:pt idx="1">
                  <c:v>-19</c:v>
                </c:pt>
                <c:pt idx="2">
                  <c:v>-9.5</c:v>
                </c:pt>
                <c:pt idx="3">
                  <c:v>0</c:v>
                </c:pt>
                <c:pt idx="4">
                  <c:v>9.5</c:v>
                </c:pt>
                <c:pt idx="5">
                  <c:v>19</c:v>
                </c:pt>
                <c:pt idx="6">
                  <c:v>28.5</c:v>
                </c:pt>
                <c:pt idx="7">
                  <c:v>38</c:v>
                </c:pt>
                <c:pt idx="8">
                  <c:v>47.5</c:v>
                </c:pt>
                <c:pt idx="9">
                  <c:v>57</c:v>
                </c:pt>
                <c:pt idx="10">
                  <c:v>100</c:v>
                </c:pt>
              </c:numCache>
            </c:numRef>
          </c:xVal>
          <c:yVal>
            <c:numRef>
              <c:f>'2022 transport'!$H$88:$H$98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0.41724617524339358</c:v>
                </c:pt>
                <c:pt idx="3">
                  <c:v>69.54102920723227</c:v>
                </c:pt>
                <c:pt idx="4">
                  <c:v>29.207232267037554</c:v>
                </c:pt>
                <c:pt idx="5">
                  <c:v>0.83449235048678716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2AF-42D8-8EA6-F540CD0E1C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3600608"/>
        <c:axId val="1553601024"/>
      </c:scatterChart>
      <c:valAx>
        <c:axId val="1553600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Transport distance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3601024"/>
        <c:crosses val="autoZero"/>
        <c:crossBetween val="midCat"/>
      </c:valAx>
      <c:valAx>
        <c:axId val="155360102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 recovered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36006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2023-BC-SGT-1; 20 deg. slope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'2023 transport'!$G$1</c:f>
              <c:strCache>
                <c:ptCount val="1"/>
                <c:pt idx="0">
                  <c:v>Relative recovery (2mm)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'2023 transport'!$B$2:$B$14</c:f>
              <c:numCache>
                <c:formatCode>General</c:formatCode>
                <c:ptCount val="13"/>
                <c:pt idx="0">
                  <c:v>-28.5</c:v>
                </c:pt>
                <c:pt idx="1">
                  <c:v>-19</c:v>
                </c:pt>
                <c:pt idx="2">
                  <c:v>-9.5</c:v>
                </c:pt>
                <c:pt idx="3">
                  <c:v>0</c:v>
                </c:pt>
                <c:pt idx="4">
                  <c:v>9.5</c:v>
                </c:pt>
                <c:pt idx="5">
                  <c:v>19</c:v>
                </c:pt>
                <c:pt idx="6">
                  <c:v>28.5</c:v>
                </c:pt>
                <c:pt idx="7">
                  <c:v>38</c:v>
                </c:pt>
                <c:pt idx="8">
                  <c:v>47.5</c:v>
                </c:pt>
                <c:pt idx="9">
                  <c:v>57</c:v>
                </c:pt>
                <c:pt idx="10">
                  <c:v>66.5</c:v>
                </c:pt>
                <c:pt idx="11">
                  <c:v>76</c:v>
                </c:pt>
                <c:pt idx="12">
                  <c:v>100</c:v>
                </c:pt>
              </c:numCache>
            </c:numRef>
          </c:cat>
          <c:val>
            <c:numRef>
              <c:f>'2023 transport'!$G$2:$G$14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47.787610619469028</c:v>
                </c:pt>
                <c:pt idx="5">
                  <c:v>5.3097345132743365</c:v>
                </c:pt>
                <c:pt idx="6">
                  <c:v>24.778761061946902</c:v>
                </c:pt>
                <c:pt idx="7">
                  <c:v>18.584070796460178</c:v>
                </c:pt>
                <c:pt idx="8">
                  <c:v>1.7699115044247788</c:v>
                </c:pt>
                <c:pt idx="9">
                  <c:v>0</c:v>
                </c:pt>
                <c:pt idx="10">
                  <c:v>1.7699115044247788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55-4479-B50F-3FCF3D22DC26}"/>
            </c:ext>
          </c:extLst>
        </c:ser>
        <c:ser>
          <c:idx val="1"/>
          <c:order val="1"/>
          <c:tx>
            <c:strRef>
              <c:f>'2023 transport'!$H$1</c:f>
              <c:strCache>
                <c:ptCount val="1"/>
                <c:pt idx="0">
                  <c:v>Relative recovery (0.75mm)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'2023 transport'!$B$2:$B$14</c:f>
              <c:numCache>
                <c:formatCode>General</c:formatCode>
                <c:ptCount val="13"/>
                <c:pt idx="0">
                  <c:v>-28.5</c:v>
                </c:pt>
                <c:pt idx="1">
                  <c:v>-19</c:v>
                </c:pt>
                <c:pt idx="2">
                  <c:v>-9.5</c:v>
                </c:pt>
                <c:pt idx="3">
                  <c:v>0</c:v>
                </c:pt>
                <c:pt idx="4">
                  <c:v>9.5</c:v>
                </c:pt>
                <c:pt idx="5">
                  <c:v>19</c:v>
                </c:pt>
                <c:pt idx="6">
                  <c:v>28.5</c:v>
                </c:pt>
                <c:pt idx="7">
                  <c:v>38</c:v>
                </c:pt>
                <c:pt idx="8">
                  <c:v>47.5</c:v>
                </c:pt>
                <c:pt idx="9">
                  <c:v>57</c:v>
                </c:pt>
                <c:pt idx="10">
                  <c:v>66.5</c:v>
                </c:pt>
                <c:pt idx="11">
                  <c:v>76</c:v>
                </c:pt>
                <c:pt idx="12">
                  <c:v>100</c:v>
                </c:pt>
              </c:numCache>
            </c:numRef>
          </c:cat>
          <c:val>
            <c:numRef>
              <c:f>'2023 transport'!$H$2:$H$14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10.822510822510822</c:v>
                </c:pt>
                <c:pt idx="4">
                  <c:v>51.94805194805194</c:v>
                </c:pt>
                <c:pt idx="5">
                  <c:v>7.7922077922077921</c:v>
                </c:pt>
                <c:pt idx="6">
                  <c:v>7.7922077922077921</c:v>
                </c:pt>
                <c:pt idx="7">
                  <c:v>5.1948051948051948</c:v>
                </c:pt>
                <c:pt idx="8">
                  <c:v>12.554112554112553</c:v>
                </c:pt>
                <c:pt idx="9">
                  <c:v>0</c:v>
                </c:pt>
                <c:pt idx="10">
                  <c:v>2.1645021645021645</c:v>
                </c:pt>
                <c:pt idx="11">
                  <c:v>1.7316017316017316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55-4479-B50F-3FCF3D22DC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6401759"/>
        <c:axId val="236398015"/>
      </c:barChart>
      <c:catAx>
        <c:axId val="2364017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</a:t>
                </a:r>
                <a:r>
                  <a:rPr lang="en-US" baseline="0"/>
                  <a:t> downslope (cm)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398015"/>
        <c:crosses val="autoZero"/>
        <c:auto val="1"/>
        <c:lblAlgn val="ctr"/>
        <c:lblOffset val="100"/>
        <c:noMultiLvlLbl val="0"/>
      </c:catAx>
      <c:valAx>
        <c:axId val="236398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Relative recovery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401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2023-BC-SGT-2; 20 deg. slope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'2023 transport'!$G$20</c:f>
              <c:strCache>
                <c:ptCount val="1"/>
                <c:pt idx="0">
                  <c:v>Relative recovery (2mm)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'2023 transport'!$B$21:$B$33</c:f>
              <c:numCache>
                <c:formatCode>General</c:formatCode>
                <c:ptCount val="13"/>
                <c:pt idx="0">
                  <c:v>-28.5</c:v>
                </c:pt>
                <c:pt idx="1">
                  <c:v>-19</c:v>
                </c:pt>
                <c:pt idx="2">
                  <c:v>-9.5</c:v>
                </c:pt>
                <c:pt idx="3">
                  <c:v>0</c:v>
                </c:pt>
                <c:pt idx="4">
                  <c:v>9.5</c:v>
                </c:pt>
                <c:pt idx="5">
                  <c:v>19</c:v>
                </c:pt>
                <c:pt idx="6">
                  <c:v>28.5</c:v>
                </c:pt>
                <c:pt idx="7">
                  <c:v>38</c:v>
                </c:pt>
                <c:pt idx="8">
                  <c:v>47.5</c:v>
                </c:pt>
                <c:pt idx="9">
                  <c:v>57</c:v>
                </c:pt>
                <c:pt idx="10">
                  <c:v>66.5</c:v>
                </c:pt>
                <c:pt idx="11">
                  <c:v>76</c:v>
                </c:pt>
                <c:pt idx="12">
                  <c:v>100</c:v>
                </c:pt>
              </c:numCache>
            </c:numRef>
          </c:cat>
          <c:val>
            <c:numRef>
              <c:f>'2023 transport'!$G$21:$G$33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35.714285714285715</c:v>
                </c:pt>
                <c:pt idx="5">
                  <c:v>21.428571428571427</c:v>
                </c:pt>
                <c:pt idx="6">
                  <c:v>21.428571428571427</c:v>
                </c:pt>
                <c:pt idx="7">
                  <c:v>21.428571428571427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D9-4D46-9545-80B6F9EB52EC}"/>
            </c:ext>
          </c:extLst>
        </c:ser>
        <c:ser>
          <c:idx val="1"/>
          <c:order val="1"/>
          <c:tx>
            <c:strRef>
              <c:f>'2023 transport'!$H$20</c:f>
              <c:strCache>
                <c:ptCount val="1"/>
                <c:pt idx="0">
                  <c:v>Relative recovery (0.75mm)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'2023 transport'!$B$21:$B$33</c:f>
              <c:numCache>
                <c:formatCode>General</c:formatCode>
                <c:ptCount val="13"/>
                <c:pt idx="0">
                  <c:v>-28.5</c:v>
                </c:pt>
                <c:pt idx="1">
                  <c:v>-19</c:v>
                </c:pt>
                <c:pt idx="2">
                  <c:v>-9.5</c:v>
                </c:pt>
                <c:pt idx="3">
                  <c:v>0</c:v>
                </c:pt>
                <c:pt idx="4">
                  <c:v>9.5</c:v>
                </c:pt>
                <c:pt idx="5">
                  <c:v>19</c:v>
                </c:pt>
                <c:pt idx="6">
                  <c:v>28.5</c:v>
                </c:pt>
                <c:pt idx="7">
                  <c:v>38</c:v>
                </c:pt>
                <c:pt idx="8">
                  <c:v>47.5</c:v>
                </c:pt>
                <c:pt idx="9">
                  <c:v>57</c:v>
                </c:pt>
                <c:pt idx="10">
                  <c:v>66.5</c:v>
                </c:pt>
                <c:pt idx="11">
                  <c:v>76</c:v>
                </c:pt>
                <c:pt idx="12">
                  <c:v>100</c:v>
                </c:pt>
              </c:numCache>
            </c:numRef>
          </c:cat>
          <c:val>
            <c:numRef>
              <c:f>'2023 transport'!$H$21:$H$33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92.116182572614107</c:v>
                </c:pt>
                <c:pt idx="4">
                  <c:v>6.2240663900414939</c:v>
                </c:pt>
                <c:pt idx="5">
                  <c:v>1.0373443983402488</c:v>
                </c:pt>
                <c:pt idx="6">
                  <c:v>0.62240663900414939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D9-4D46-9545-80B6F9EB52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3995823"/>
        <c:axId val="203987087"/>
      </c:barChart>
      <c:catAx>
        <c:axId val="2039958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downslope (cm)</a:t>
                </a:r>
              </a:p>
            </c:rich>
          </c:tx>
          <c:layout>
            <c:manualLayout>
              <c:xMode val="edge"/>
              <c:yMode val="edge"/>
              <c:x val="0.492172353455818"/>
              <c:y val="0.772777048702245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987087"/>
        <c:crosses val="autoZero"/>
        <c:auto val="1"/>
        <c:lblAlgn val="ctr"/>
        <c:lblOffset val="100"/>
        <c:noMultiLvlLbl val="0"/>
      </c:catAx>
      <c:valAx>
        <c:axId val="203987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relative recovery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995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2023-BC-SGT-3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'2023 transport'!$G$39</c:f>
              <c:strCache>
                <c:ptCount val="1"/>
                <c:pt idx="0">
                  <c:v>Relative recovery (2mm)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'2023 transport'!$B$40:$B$52</c:f>
              <c:numCache>
                <c:formatCode>General</c:formatCode>
                <c:ptCount val="13"/>
                <c:pt idx="0">
                  <c:v>-28.5</c:v>
                </c:pt>
                <c:pt idx="1">
                  <c:v>-19</c:v>
                </c:pt>
                <c:pt idx="2">
                  <c:v>-9.5</c:v>
                </c:pt>
                <c:pt idx="3">
                  <c:v>0</c:v>
                </c:pt>
                <c:pt idx="4">
                  <c:v>9.5</c:v>
                </c:pt>
                <c:pt idx="5">
                  <c:v>19</c:v>
                </c:pt>
                <c:pt idx="6">
                  <c:v>28.5</c:v>
                </c:pt>
                <c:pt idx="7">
                  <c:v>38</c:v>
                </c:pt>
                <c:pt idx="8">
                  <c:v>47.5</c:v>
                </c:pt>
                <c:pt idx="9">
                  <c:v>57</c:v>
                </c:pt>
                <c:pt idx="10">
                  <c:v>66.5</c:v>
                </c:pt>
                <c:pt idx="11">
                  <c:v>76</c:v>
                </c:pt>
                <c:pt idx="12">
                  <c:v>100</c:v>
                </c:pt>
              </c:numCache>
            </c:numRef>
          </c:cat>
          <c:val>
            <c:numRef>
              <c:f>'2023 transport'!$G$40:$G$52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4.895104895104895</c:v>
                </c:pt>
                <c:pt idx="5">
                  <c:v>26.573426573426573</c:v>
                </c:pt>
                <c:pt idx="6">
                  <c:v>30.76923076923077</c:v>
                </c:pt>
                <c:pt idx="7">
                  <c:v>29.37062937062937</c:v>
                </c:pt>
                <c:pt idx="8">
                  <c:v>5.5944055944055942</c:v>
                </c:pt>
                <c:pt idx="9">
                  <c:v>2.7972027972027971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A8-44AD-8027-564192E40E0D}"/>
            </c:ext>
          </c:extLst>
        </c:ser>
        <c:ser>
          <c:idx val="1"/>
          <c:order val="1"/>
          <c:tx>
            <c:strRef>
              <c:f>'2023 transport'!$H$39</c:f>
              <c:strCache>
                <c:ptCount val="1"/>
                <c:pt idx="0">
                  <c:v>Relative recovery (0.75mm)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'2023 transport'!$B$40:$B$52</c:f>
              <c:numCache>
                <c:formatCode>General</c:formatCode>
                <c:ptCount val="13"/>
                <c:pt idx="0">
                  <c:v>-28.5</c:v>
                </c:pt>
                <c:pt idx="1">
                  <c:v>-19</c:v>
                </c:pt>
                <c:pt idx="2">
                  <c:v>-9.5</c:v>
                </c:pt>
                <c:pt idx="3">
                  <c:v>0</c:v>
                </c:pt>
                <c:pt idx="4">
                  <c:v>9.5</c:v>
                </c:pt>
                <c:pt idx="5">
                  <c:v>19</c:v>
                </c:pt>
                <c:pt idx="6">
                  <c:v>28.5</c:v>
                </c:pt>
                <c:pt idx="7">
                  <c:v>38</c:v>
                </c:pt>
                <c:pt idx="8">
                  <c:v>47.5</c:v>
                </c:pt>
                <c:pt idx="9">
                  <c:v>57</c:v>
                </c:pt>
                <c:pt idx="10">
                  <c:v>66.5</c:v>
                </c:pt>
                <c:pt idx="11">
                  <c:v>76</c:v>
                </c:pt>
                <c:pt idx="12">
                  <c:v>100</c:v>
                </c:pt>
              </c:numCache>
            </c:numRef>
          </c:cat>
          <c:val>
            <c:numRef>
              <c:f>'2023 transport'!$H$40:$H$52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5.5016181229773462</c:v>
                </c:pt>
                <c:pt idx="4">
                  <c:v>25.889967637540451</c:v>
                </c:pt>
                <c:pt idx="5">
                  <c:v>50.970873786407765</c:v>
                </c:pt>
                <c:pt idx="6">
                  <c:v>7.7669902912621351</c:v>
                </c:pt>
                <c:pt idx="7">
                  <c:v>4.8543689320388346</c:v>
                </c:pt>
                <c:pt idx="8">
                  <c:v>3.2362459546925564</c:v>
                </c:pt>
                <c:pt idx="9">
                  <c:v>1.2944983818770228</c:v>
                </c:pt>
                <c:pt idx="10">
                  <c:v>0.48543689320388345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A8-44AD-8027-564192E40E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1971439"/>
        <c:axId val="201970191"/>
      </c:barChart>
      <c:catAx>
        <c:axId val="2019714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downslope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970191"/>
        <c:crosses val="autoZero"/>
        <c:auto val="1"/>
        <c:lblAlgn val="ctr"/>
        <c:lblOffset val="100"/>
        <c:noMultiLvlLbl val="0"/>
      </c:catAx>
      <c:valAx>
        <c:axId val="201970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Relative recovery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971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2023-BC-SGT-4; 20 deg. slope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'2023 transport'!$G$58</c:f>
              <c:strCache>
                <c:ptCount val="1"/>
                <c:pt idx="0">
                  <c:v>Relative recovery (2mm)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'2023 transport'!$B$59:$B$71</c:f>
              <c:numCache>
                <c:formatCode>General</c:formatCode>
                <c:ptCount val="13"/>
                <c:pt idx="0">
                  <c:v>-28.5</c:v>
                </c:pt>
                <c:pt idx="1">
                  <c:v>-19</c:v>
                </c:pt>
                <c:pt idx="2">
                  <c:v>-9.5</c:v>
                </c:pt>
                <c:pt idx="3">
                  <c:v>0</c:v>
                </c:pt>
                <c:pt idx="4">
                  <c:v>9.5</c:v>
                </c:pt>
                <c:pt idx="5">
                  <c:v>19</c:v>
                </c:pt>
                <c:pt idx="6">
                  <c:v>28.5</c:v>
                </c:pt>
                <c:pt idx="7">
                  <c:v>38</c:v>
                </c:pt>
                <c:pt idx="8">
                  <c:v>47.5</c:v>
                </c:pt>
                <c:pt idx="9">
                  <c:v>57</c:v>
                </c:pt>
                <c:pt idx="10">
                  <c:v>66.5</c:v>
                </c:pt>
                <c:pt idx="11">
                  <c:v>76</c:v>
                </c:pt>
                <c:pt idx="12">
                  <c:v>100</c:v>
                </c:pt>
              </c:numCache>
            </c:numRef>
          </c:cat>
          <c:val>
            <c:numRef>
              <c:f>'2023 transport'!$G$59:$G$71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85.714285714285708</c:v>
                </c:pt>
                <c:pt idx="5">
                  <c:v>7.3732718894009217</c:v>
                </c:pt>
                <c:pt idx="6">
                  <c:v>5.0691244239631335</c:v>
                </c:pt>
                <c:pt idx="7">
                  <c:v>1.8433179723502304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3B-49C2-B673-54B6CD81EDB1}"/>
            </c:ext>
          </c:extLst>
        </c:ser>
        <c:ser>
          <c:idx val="1"/>
          <c:order val="1"/>
          <c:tx>
            <c:strRef>
              <c:f>'2023 transport'!$H$58</c:f>
              <c:strCache>
                <c:ptCount val="1"/>
                <c:pt idx="0">
                  <c:v>Relative recovery (0.75mm)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'2023 transport'!$B$59:$B$71</c:f>
              <c:numCache>
                <c:formatCode>General</c:formatCode>
                <c:ptCount val="13"/>
                <c:pt idx="0">
                  <c:v>-28.5</c:v>
                </c:pt>
                <c:pt idx="1">
                  <c:v>-19</c:v>
                </c:pt>
                <c:pt idx="2">
                  <c:v>-9.5</c:v>
                </c:pt>
                <c:pt idx="3">
                  <c:v>0</c:v>
                </c:pt>
                <c:pt idx="4">
                  <c:v>9.5</c:v>
                </c:pt>
                <c:pt idx="5">
                  <c:v>19</c:v>
                </c:pt>
                <c:pt idx="6">
                  <c:v>28.5</c:v>
                </c:pt>
                <c:pt idx="7">
                  <c:v>38</c:v>
                </c:pt>
                <c:pt idx="8">
                  <c:v>47.5</c:v>
                </c:pt>
                <c:pt idx="9">
                  <c:v>57</c:v>
                </c:pt>
                <c:pt idx="10">
                  <c:v>66.5</c:v>
                </c:pt>
                <c:pt idx="11">
                  <c:v>76</c:v>
                </c:pt>
                <c:pt idx="12">
                  <c:v>100</c:v>
                </c:pt>
              </c:numCache>
            </c:numRef>
          </c:cat>
          <c:val>
            <c:numRef>
              <c:f>'2023 transport'!$H$59:$H$71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5.5016181229773462</c:v>
                </c:pt>
                <c:pt idx="4">
                  <c:v>90.614886731391593</c:v>
                </c:pt>
                <c:pt idx="5">
                  <c:v>3.2362459546925564</c:v>
                </c:pt>
                <c:pt idx="6">
                  <c:v>0.64724919093851141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3B-49C2-B673-54B6CD81ED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1601695"/>
        <c:axId val="211591295"/>
      </c:barChart>
      <c:catAx>
        <c:axId val="2116016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downslope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591295"/>
        <c:crosses val="autoZero"/>
        <c:auto val="1"/>
        <c:lblAlgn val="ctr"/>
        <c:lblOffset val="100"/>
        <c:noMultiLvlLbl val="0"/>
      </c:catAx>
      <c:valAx>
        <c:axId val="211591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relative recovery %</a:t>
                </a:r>
              </a:p>
            </c:rich>
          </c:tx>
          <c:layout>
            <c:manualLayout>
              <c:xMode val="edge"/>
              <c:yMode val="edge"/>
              <c:x val="2.7777777777777776E-2"/>
              <c:y val="0.3459295713035870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601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2023-BC-SGT-5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'2023 transport'!$G$77</c:f>
              <c:strCache>
                <c:ptCount val="1"/>
                <c:pt idx="0">
                  <c:v>Relative recovery (2mm)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'2023 transport'!$B$78:$B$90</c:f>
              <c:numCache>
                <c:formatCode>General</c:formatCode>
                <c:ptCount val="13"/>
                <c:pt idx="0">
                  <c:v>-28.5</c:v>
                </c:pt>
                <c:pt idx="1">
                  <c:v>-19</c:v>
                </c:pt>
                <c:pt idx="2">
                  <c:v>-9.5</c:v>
                </c:pt>
                <c:pt idx="3">
                  <c:v>0</c:v>
                </c:pt>
                <c:pt idx="4">
                  <c:v>9.5</c:v>
                </c:pt>
                <c:pt idx="5">
                  <c:v>19</c:v>
                </c:pt>
                <c:pt idx="6">
                  <c:v>28.5</c:v>
                </c:pt>
                <c:pt idx="7">
                  <c:v>38</c:v>
                </c:pt>
                <c:pt idx="8">
                  <c:v>47.5</c:v>
                </c:pt>
                <c:pt idx="9">
                  <c:v>57</c:v>
                </c:pt>
                <c:pt idx="10">
                  <c:v>66.5</c:v>
                </c:pt>
                <c:pt idx="11">
                  <c:v>76</c:v>
                </c:pt>
                <c:pt idx="12">
                  <c:v>100</c:v>
                </c:pt>
              </c:numCache>
            </c:numRef>
          </c:cat>
          <c:val>
            <c:numRef>
              <c:f>'2023 transport'!$G$78:$G$90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3.1496062992125982</c:v>
                </c:pt>
                <c:pt idx="4">
                  <c:v>0</c:v>
                </c:pt>
                <c:pt idx="5">
                  <c:v>6.2992125984251963</c:v>
                </c:pt>
                <c:pt idx="6">
                  <c:v>44.094488188976378</c:v>
                </c:pt>
                <c:pt idx="7">
                  <c:v>37.795275590551178</c:v>
                </c:pt>
                <c:pt idx="8">
                  <c:v>6.2992125984251963</c:v>
                </c:pt>
                <c:pt idx="9">
                  <c:v>2.3622047244094486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E5-484A-9685-309391C5B12F}"/>
            </c:ext>
          </c:extLst>
        </c:ser>
        <c:ser>
          <c:idx val="1"/>
          <c:order val="1"/>
          <c:tx>
            <c:strRef>
              <c:f>'2023 transport'!$H$77</c:f>
              <c:strCache>
                <c:ptCount val="1"/>
                <c:pt idx="0">
                  <c:v>Relative recovery (0.75mm)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'2023 transport'!$B$78:$B$90</c:f>
              <c:numCache>
                <c:formatCode>General</c:formatCode>
                <c:ptCount val="13"/>
                <c:pt idx="0">
                  <c:v>-28.5</c:v>
                </c:pt>
                <c:pt idx="1">
                  <c:v>-19</c:v>
                </c:pt>
                <c:pt idx="2">
                  <c:v>-9.5</c:v>
                </c:pt>
                <c:pt idx="3">
                  <c:v>0</c:v>
                </c:pt>
                <c:pt idx="4">
                  <c:v>9.5</c:v>
                </c:pt>
                <c:pt idx="5">
                  <c:v>19</c:v>
                </c:pt>
                <c:pt idx="6">
                  <c:v>28.5</c:v>
                </c:pt>
                <c:pt idx="7">
                  <c:v>38</c:v>
                </c:pt>
                <c:pt idx="8">
                  <c:v>47.5</c:v>
                </c:pt>
                <c:pt idx="9">
                  <c:v>57</c:v>
                </c:pt>
                <c:pt idx="10">
                  <c:v>66.5</c:v>
                </c:pt>
                <c:pt idx="11">
                  <c:v>76</c:v>
                </c:pt>
                <c:pt idx="12">
                  <c:v>100</c:v>
                </c:pt>
              </c:numCache>
            </c:numRef>
          </c:cat>
          <c:val>
            <c:numRef>
              <c:f>'2023 transport'!$H$78:$H$90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0.42372881355932202</c:v>
                </c:pt>
                <c:pt idx="5">
                  <c:v>3.8135593220338984</c:v>
                </c:pt>
                <c:pt idx="6">
                  <c:v>72.033898305084747</c:v>
                </c:pt>
                <c:pt idx="7">
                  <c:v>11.864406779661017</c:v>
                </c:pt>
                <c:pt idx="8">
                  <c:v>11.864406779661017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E5-484A-9685-309391C5B1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5955583"/>
        <c:axId val="245938111"/>
      </c:barChart>
      <c:catAx>
        <c:axId val="2459555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downslope (cm)</a:t>
                </a:r>
              </a:p>
            </c:rich>
          </c:tx>
          <c:layout>
            <c:manualLayout>
              <c:xMode val="edge"/>
              <c:yMode val="edge"/>
              <c:x val="0.4858390201224847"/>
              <c:y val="0.772777048702245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938111"/>
        <c:crosses val="autoZero"/>
        <c:auto val="1"/>
        <c:lblAlgn val="ctr"/>
        <c:lblOffset val="100"/>
        <c:noMultiLvlLbl val="0"/>
      </c:catAx>
      <c:valAx>
        <c:axId val="245938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relative recovery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955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2023-BC-SGT-6; 18 deg. slope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'2023 transport'!$G$96</c:f>
              <c:strCache>
                <c:ptCount val="1"/>
                <c:pt idx="0">
                  <c:v>Relative recovery (2mm)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'2023 transport'!$B$97:$B$109</c:f>
              <c:numCache>
                <c:formatCode>General</c:formatCode>
                <c:ptCount val="13"/>
                <c:pt idx="0">
                  <c:v>-28.5</c:v>
                </c:pt>
                <c:pt idx="1">
                  <c:v>-19</c:v>
                </c:pt>
                <c:pt idx="2">
                  <c:v>-9.5</c:v>
                </c:pt>
                <c:pt idx="3">
                  <c:v>0</c:v>
                </c:pt>
                <c:pt idx="4">
                  <c:v>9.5</c:v>
                </c:pt>
                <c:pt idx="5">
                  <c:v>19</c:v>
                </c:pt>
                <c:pt idx="6">
                  <c:v>28.5</c:v>
                </c:pt>
                <c:pt idx="7">
                  <c:v>38</c:v>
                </c:pt>
                <c:pt idx="8">
                  <c:v>47.5</c:v>
                </c:pt>
                <c:pt idx="9">
                  <c:v>57</c:v>
                </c:pt>
                <c:pt idx="10">
                  <c:v>66.5</c:v>
                </c:pt>
                <c:pt idx="11">
                  <c:v>76</c:v>
                </c:pt>
                <c:pt idx="12">
                  <c:v>100</c:v>
                </c:pt>
              </c:numCache>
            </c:numRef>
          </c:cat>
          <c:val>
            <c:numRef>
              <c:f>'2023 transport'!$G$97:$G$109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41.48936170212766</c:v>
                </c:pt>
                <c:pt idx="5">
                  <c:v>51.063829787234042</c:v>
                </c:pt>
                <c:pt idx="6">
                  <c:v>7.4468085106382977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67-444F-AF26-53FD9907E8DA}"/>
            </c:ext>
          </c:extLst>
        </c:ser>
        <c:ser>
          <c:idx val="1"/>
          <c:order val="1"/>
          <c:tx>
            <c:strRef>
              <c:f>'2023 transport'!$H$96</c:f>
              <c:strCache>
                <c:ptCount val="1"/>
                <c:pt idx="0">
                  <c:v>Relative recovery (0.75mm)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'2023 transport'!$B$97:$B$109</c:f>
              <c:numCache>
                <c:formatCode>General</c:formatCode>
                <c:ptCount val="13"/>
                <c:pt idx="0">
                  <c:v>-28.5</c:v>
                </c:pt>
                <c:pt idx="1">
                  <c:v>-19</c:v>
                </c:pt>
                <c:pt idx="2">
                  <c:v>-9.5</c:v>
                </c:pt>
                <c:pt idx="3">
                  <c:v>0</c:v>
                </c:pt>
                <c:pt idx="4">
                  <c:v>9.5</c:v>
                </c:pt>
                <c:pt idx="5">
                  <c:v>19</c:v>
                </c:pt>
                <c:pt idx="6">
                  <c:v>28.5</c:v>
                </c:pt>
                <c:pt idx="7">
                  <c:v>38</c:v>
                </c:pt>
                <c:pt idx="8">
                  <c:v>47.5</c:v>
                </c:pt>
                <c:pt idx="9">
                  <c:v>57</c:v>
                </c:pt>
                <c:pt idx="10">
                  <c:v>66.5</c:v>
                </c:pt>
                <c:pt idx="11">
                  <c:v>76</c:v>
                </c:pt>
                <c:pt idx="12">
                  <c:v>100</c:v>
                </c:pt>
              </c:numCache>
            </c:numRef>
          </c:cat>
          <c:val>
            <c:numRef>
              <c:f>'2023 transport'!$H$97:$H$109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2.2770398481973433</c:v>
                </c:pt>
                <c:pt idx="4">
                  <c:v>56.925996204933583</c:v>
                </c:pt>
                <c:pt idx="5">
                  <c:v>39.848197343453513</c:v>
                </c:pt>
                <c:pt idx="6">
                  <c:v>0.94876660341555974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67-444F-AF26-53FD9907E8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5932287"/>
        <c:axId val="245937279"/>
      </c:barChart>
      <c:catAx>
        <c:axId val="245932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downslope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937279"/>
        <c:crosses val="autoZero"/>
        <c:auto val="1"/>
        <c:lblAlgn val="ctr"/>
        <c:lblOffset val="100"/>
        <c:noMultiLvlLbl val="0"/>
      </c:catAx>
      <c:valAx>
        <c:axId val="245937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Relative recovery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932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'diameter + transport'!$J$8</c:f>
              <c:strCache>
                <c:ptCount val="1"/>
                <c:pt idx="0">
                  <c:v>Grain diameter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'diameter + transport'!$I$9:$I$12</c:f>
              <c:numCache>
                <c:formatCode>General</c:formatCode>
                <c:ptCount val="4"/>
                <c:pt idx="0">
                  <c:v>3.3</c:v>
                </c:pt>
                <c:pt idx="1">
                  <c:v>3</c:v>
                </c:pt>
                <c:pt idx="2">
                  <c:v>15.75</c:v>
                </c:pt>
                <c:pt idx="3">
                  <c:v>4.0999999999999996</c:v>
                </c:pt>
              </c:numCache>
            </c:numRef>
          </c:xVal>
          <c:yVal>
            <c:numRef>
              <c:f>'diameter + transport'!$J$9:$J$12</c:f>
              <c:numCache>
                <c:formatCode>General</c:formatCode>
                <c:ptCount val="4"/>
                <c:pt idx="0">
                  <c:v>0.75</c:v>
                </c:pt>
                <c:pt idx="1">
                  <c:v>2</c:v>
                </c:pt>
                <c:pt idx="2">
                  <c:v>3</c:v>
                </c:pt>
                <c:pt idx="3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B5-4E56-8F56-5CFBFDA2E4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5593312"/>
        <c:axId val="1465591648"/>
      </c:scatterChart>
      <c:valAx>
        <c:axId val="1465593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591648"/>
        <c:crosses val="autoZero"/>
        <c:crossBetween val="midCat"/>
      </c:valAx>
      <c:valAx>
        <c:axId val="1465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593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Transport distance with hillslope</a:t>
            </a:r>
            <a:r>
              <a:rPr lang="en-US" baseline="0"/>
              <a:t> angle (With Tim's 3mm)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'Slope angle and transport rates'!$B$1</c:f>
              <c:strCache>
                <c:ptCount val="1"/>
                <c:pt idx="0">
                  <c:v>3mm transport distance(cm)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'Slope angle and transport rates'!$A$2:$A$6</c:f>
              <c:numCache>
                <c:formatCode>General</c:formatCode>
                <c:ptCount val="5"/>
                <c:pt idx="0">
                  <c:v>7</c:v>
                </c:pt>
                <c:pt idx="1">
                  <c:v>12</c:v>
                </c:pt>
                <c:pt idx="2">
                  <c:v>17</c:v>
                </c:pt>
                <c:pt idx="3">
                  <c:v>22</c:v>
                </c:pt>
                <c:pt idx="4">
                  <c:v>27</c:v>
                </c:pt>
              </c:numCache>
            </c:numRef>
          </c:cat>
          <c:val>
            <c:numRef>
              <c:f>'Slope angle and transport rates'!$B$2:$B$6</c:f>
              <c:numCache>
                <c:formatCode>General</c:formatCode>
                <c:ptCount val="5"/>
                <c:pt idx="0">
                  <c:v>0</c:v>
                </c:pt>
                <c:pt idx="1">
                  <c:v>6</c:v>
                </c:pt>
                <c:pt idx="2">
                  <c:v>0</c:v>
                </c:pt>
                <c:pt idx="3">
                  <c:v>9.6999999999999993</c:v>
                </c:pt>
                <c:pt idx="4">
                  <c:v>40.200000000000003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89-4C1D-B850-C80F21FED2B8}"/>
            </c:ext>
          </c:extLst>
        </c:ser>
        <c:ser>
          <c:idx val="1"/>
          <c:order val="1"/>
          <c:tx>
            <c:strRef>
              <c:f>'Slope angle and transport rates'!$C$1</c:f>
              <c:strCache>
                <c:ptCount val="1"/>
                <c:pt idx="0">
                  <c:v>2mm transport distance (cm)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'Slope angle and transport rates'!$A$2:$A$6</c:f>
              <c:numCache>
                <c:formatCode>General</c:formatCode>
                <c:ptCount val="5"/>
                <c:pt idx="0">
                  <c:v>7</c:v>
                </c:pt>
                <c:pt idx="1">
                  <c:v>12</c:v>
                </c:pt>
                <c:pt idx="2">
                  <c:v>17</c:v>
                </c:pt>
                <c:pt idx="3">
                  <c:v>22</c:v>
                </c:pt>
                <c:pt idx="4">
                  <c:v>27</c:v>
                </c:pt>
              </c:numCache>
            </c:numRef>
          </c:cat>
          <c:val>
            <c:numRef>
              <c:f>'Slope angle and transport rates'!$C$2:$C$6</c:f>
              <c:numCache>
                <c:formatCode>General</c:formatCode>
                <c:ptCount val="5"/>
                <c:pt idx="0">
                  <c:v>1.1000000000000001</c:v>
                </c:pt>
                <c:pt idx="1">
                  <c:v>9.5</c:v>
                </c:pt>
                <c:pt idx="2">
                  <c:v>2.2000000000000002</c:v>
                </c:pt>
                <c:pt idx="3">
                  <c:v>11.7</c:v>
                </c:pt>
                <c:pt idx="4">
                  <c:v>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89-4C1D-B850-C80F21FED2B8}"/>
            </c:ext>
          </c:extLst>
        </c:ser>
        <c:ser>
          <c:idx val="2"/>
          <c:order val="2"/>
          <c:tx>
            <c:strRef>
              <c:f>'Slope angle and transport rates'!$D$1</c:f>
              <c:strCache>
                <c:ptCount val="1"/>
                <c:pt idx="0">
                  <c:v>0.75mm transport distance (cm)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'Slope angle and transport rates'!$A$2:$A$6</c:f>
              <c:numCache>
                <c:formatCode>General</c:formatCode>
                <c:ptCount val="5"/>
                <c:pt idx="0">
                  <c:v>7</c:v>
                </c:pt>
                <c:pt idx="1">
                  <c:v>12</c:v>
                </c:pt>
                <c:pt idx="2">
                  <c:v>17</c:v>
                </c:pt>
                <c:pt idx="3">
                  <c:v>22</c:v>
                </c:pt>
                <c:pt idx="4">
                  <c:v>27</c:v>
                </c:pt>
              </c:numCache>
            </c:numRef>
          </c:cat>
          <c:val>
            <c:numRef>
              <c:f>'Slope angle and transport rates'!$D$2:$D$6</c:f>
              <c:numCache>
                <c:formatCode>General</c:formatCode>
                <c:ptCount val="5"/>
                <c:pt idx="0">
                  <c:v>2.5</c:v>
                </c:pt>
                <c:pt idx="1">
                  <c:v>11</c:v>
                </c:pt>
                <c:pt idx="2">
                  <c:v>3.6</c:v>
                </c:pt>
                <c:pt idx="3">
                  <c:v>4.5</c:v>
                </c:pt>
                <c:pt idx="4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389-4C1D-B850-C80F21FED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8558960"/>
        <c:axId val="1708559376"/>
      </c:lineChart>
      <c:catAx>
        <c:axId val="17085589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Hillslope angle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8559376"/>
        <c:crosses val="autoZero"/>
        <c:auto val="1"/>
        <c:lblAlgn val="ctr"/>
        <c:lblOffset val="100"/>
        <c:noMultiLvlLbl val="0"/>
      </c:catAx>
      <c:valAx>
        <c:axId val="1708559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</a:t>
                </a:r>
                <a:r>
                  <a:rPr lang="en-US" baseline="0"/>
                  <a:t> ransport distance (cm)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8558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Transport distance with hillslope angle (only Rob's</a:t>
            </a:r>
            <a:r>
              <a:rPr lang="en-US" baseline="0"/>
              <a:t> data)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'Slope angle and transport rates'!$C$1</c:f>
              <c:strCache>
                <c:ptCount val="1"/>
                <c:pt idx="0">
                  <c:v>2mm transport distance (cm)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'Slope angle and transport rates'!$A$2:$A$6</c:f>
              <c:numCache>
                <c:formatCode>General</c:formatCode>
                <c:ptCount val="5"/>
                <c:pt idx="0">
                  <c:v>7</c:v>
                </c:pt>
                <c:pt idx="1">
                  <c:v>12</c:v>
                </c:pt>
                <c:pt idx="2">
                  <c:v>17</c:v>
                </c:pt>
                <c:pt idx="3">
                  <c:v>22</c:v>
                </c:pt>
                <c:pt idx="4">
                  <c:v>27</c:v>
                </c:pt>
              </c:numCache>
            </c:numRef>
          </c:cat>
          <c:val>
            <c:numRef>
              <c:f>'Slope angle and transport rates'!$C$2:$C$6</c:f>
              <c:numCache>
                <c:formatCode>General</c:formatCode>
                <c:ptCount val="5"/>
                <c:pt idx="0">
                  <c:v>1.1000000000000001</c:v>
                </c:pt>
                <c:pt idx="1">
                  <c:v>9.5</c:v>
                </c:pt>
                <c:pt idx="2">
                  <c:v>2.2000000000000002</c:v>
                </c:pt>
                <c:pt idx="3">
                  <c:v>11.7</c:v>
                </c:pt>
                <c:pt idx="4">
                  <c:v>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3D-4F93-A50A-EC74CBE57EB7}"/>
            </c:ext>
          </c:extLst>
        </c:ser>
        <c:ser>
          <c:idx val="1"/>
          <c:order val="1"/>
          <c:tx>
            <c:strRef>
              <c:f>'Slope angle and transport rates'!$D$1</c:f>
              <c:strCache>
                <c:ptCount val="1"/>
                <c:pt idx="0">
                  <c:v>0.75mm transport distance (cm)</c:v>
                </c:pt>
              </c:strCache>
            </c:strRef>
          </c:tx>
          <c:spPr>
            <a:ln w="28575" cap="rnd">
              <a:solidFill>
                <a:schemeClr val="bg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'Slope angle and transport rates'!$A$2:$A$6</c:f>
              <c:numCache>
                <c:formatCode>General</c:formatCode>
                <c:ptCount val="5"/>
                <c:pt idx="0">
                  <c:v>7</c:v>
                </c:pt>
                <c:pt idx="1">
                  <c:v>12</c:v>
                </c:pt>
                <c:pt idx="2">
                  <c:v>17</c:v>
                </c:pt>
                <c:pt idx="3">
                  <c:v>22</c:v>
                </c:pt>
                <c:pt idx="4">
                  <c:v>27</c:v>
                </c:pt>
              </c:numCache>
            </c:numRef>
          </c:cat>
          <c:val>
            <c:numRef>
              <c:f>'Slope angle and transport rates'!$D$2:$D$6</c:f>
              <c:numCache>
                <c:formatCode>General</c:formatCode>
                <c:ptCount val="5"/>
                <c:pt idx="0">
                  <c:v>2.5</c:v>
                </c:pt>
                <c:pt idx="1">
                  <c:v>11</c:v>
                </c:pt>
                <c:pt idx="2">
                  <c:v>3.6</c:v>
                </c:pt>
                <c:pt idx="3">
                  <c:v>4.5</c:v>
                </c:pt>
                <c:pt idx="4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C3D-4F93-A50A-EC74CBE57E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0008960"/>
        <c:axId val="1560009376"/>
      </c:lineChart>
      <c:catAx>
        <c:axId val="15600089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Hillelsope angle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0009376"/>
        <c:crosses val="autoZero"/>
        <c:auto val="1"/>
        <c:lblAlgn val="ctr"/>
        <c:lblOffset val="100"/>
        <c:noMultiLvlLbl val="0"/>
      </c:catAx>
      <c:valAx>
        <c:axId val="1560009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Transport distance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0008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297180</xdr:colOff>
      <xdr:row>60</xdr:row>
      <xdr:rowOff>80010</xdr:rowOff>
    </xdr:from>
    <xdr:to>
      <xdr:col>6</xdr:col>
      <xdr:colOff>1203960</xdr:colOff>
      <xdr:row>75</xdr:row>
      <xdr:rowOff>80010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C050C6E1-2CD6-516C-F47E-CB858F2663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1007745</xdr:colOff>
      <xdr:row>7</xdr:row>
      <xdr:rowOff>21907</xdr:rowOff>
    </xdr:from>
    <xdr:to>
      <xdr:col>22</xdr:col>
      <xdr:colOff>1045845</xdr:colOff>
      <xdr:row>21</xdr:row>
      <xdr:rowOff>90487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3B46714-E346-4526-82AE-5A98F963B9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76200</xdr:colOff>
      <xdr:row>1</xdr:row>
      <xdr:rowOff>47625</xdr:rowOff>
    </xdr:from>
    <xdr:to>
      <xdr:col>15</xdr:col>
      <xdr:colOff>123825</xdr:colOff>
      <xdr:row>15</xdr:row>
      <xdr:rowOff>123825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42862</xdr:colOff>
      <xdr:row>16</xdr:row>
      <xdr:rowOff>38100</xdr:rowOff>
    </xdr:from>
    <xdr:to>
      <xdr:col>15</xdr:col>
      <xdr:colOff>90487</xdr:colOff>
      <xdr:row>30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128587</xdr:colOff>
      <xdr:row>33</xdr:row>
      <xdr:rowOff>85725</xdr:rowOff>
    </xdr:from>
    <xdr:to>
      <xdr:col>15</xdr:col>
      <xdr:colOff>176212</xdr:colOff>
      <xdr:row>47</xdr:row>
      <xdr:rowOff>161925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271462</xdr:colOff>
      <xdr:row>51</xdr:row>
      <xdr:rowOff>9525</xdr:rowOff>
    </xdr:from>
    <xdr:to>
      <xdr:col>15</xdr:col>
      <xdr:colOff>319087</xdr:colOff>
      <xdr:row>65</xdr:row>
      <xdr:rowOff>85725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280987</xdr:colOff>
      <xdr:row>67</xdr:row>
      <xdr:rowOff>95250</xdr:rowOff>
    </xdr:from>
    <xdr:to>
      <xdr:col>15</xdr:col>
      <xdr:colOff>328612</xdr:colOff>
      <xdr:row>81</xdr:row>
      <xdr:rowOff>171450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233362</xdr:colOff>
      <xdr:row>84</xdr:row>
      <xdr:rowOff>161925</xdr:rowOff>
    </xdr:from>
    <xdr:to>
      <xdr:col>15</xdr:col>
      <xdr:colOff>280987</xdr:colOff>
      <xdr:row>99</xdr:row>
      <xdr:rowOff>47625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314325</xdr:colOff>
      <xdr:row>1</xdr:row>
      <xdr:rowOff>61912</xdr:rowOff>
    </xdr:from>
    <xdr:to>
      <xdr:col>16</xdr:col>
      <xdr:colOff>9525</xdr:colOff>
      <xdr:row>15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2DC7AC-93E9-4C9E-8F14-EF59DC0E5F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352425</xdr:colOff>
      <xdr:row>19</xdr:row>
      <xdr:rowOff>80962</xdr:rowOff>
    </xdr:from>
    <xdr:to>
      <xdr:col>16</xdr:col>
      <xdr:colOff>47625</xdr:colOff>
      <xdr:row>33</xdr:row>
      <xdr:rowOff>157162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5010EAF-47E9-4E7F-9AF9-CA172995E8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552450</xdr:colOff>
      <xdr:row>38</xdr:row>
      <xdr:rowOff>185737</xdr:rowOff>
    </xdr:from>
    <xdr:to>
      <xdr:col>16</xdr:col>
      <xdr:colOff>247650</xdr:colOff>
      <xdr:row>53</xdr:row>
      <xdr:rowOff>71437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FB2A1AE-C985-41EF-9D8F-A0C194408A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238125</xdr:colOff>
      <xdr:row>59</xdr:row>
      <xdr:rowOff>14287</xdr:rowOff>
    </xdr:from>
    <xdr:to>
      <xdr:col>16</xdr:col>
      <xdr:colOff>542925</xdr:colOff>
      <xdr:row>73</xdr:row>
      <xdr:rowOff>90487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E8256DE-E86B-4A4A-8793-884A1231A8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85725</xdr:colOff>
      <xdr:row>77</xdr:row>
      <xdr:rowOff>71437</xdr:rowOff>
    </xdr:from>
    <xdr:to>
      <xdr:col>16</xdr:col>
      <xdr:colOff>390525</xdr:colOff>
      <xdr:row>91</xdr:row>
      <xdr:rowOff>147637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DF9C3C4-8A18-4500-8A06-F6913F69FA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314325</xdr:colOff>
      <xdr:row>95</xdr:row>
      <xdr:rowOff>157162</xdr:rowOff>
    </xdr:from>
    <xdr:to>
      <xdr:col>16</xdr:col>
      <xdr:colOff>9525</xdr:colOff>
      <xdr:row>110</xdr:row>
      <xdr:rowOff>42862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49290A4-CEEB-4017-8AF4-AA4706E7E7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676275</xdr:colOff>
      <xdr:row>16</xdr:row>
      <xdr:rowOff>38100</xdr:rowOff>
    </xdr:from>
    <xdr:to>
      <xdr:col>14</xdr:col>
      <xdr:colOff>695325</xdr:colOff>
      <xdr:row>30</xdr:row>
      <xdr:rowOff>114300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795337</xdr:colOff>
      <xdr:row>13</xdr:row>
      <xdr:rowOff>95250</xdr:rowOff>
    </xdr:from>
    <xdr:to>
      <xdr:col>6</xdr:col>
      <xdr:colOff>452437</xdr:colOff>
      <xdr:row>27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100012</xdr:colOff>
      <xdr:row>13</xdr:row>
      <xdr:rowOff>76200</xdr:rowOff>
    </xdr:from>
    <xdr:to>
      <xdr:col>14</xdr:col>
      <xdr:colOff>404812</xdr:colOff>
      <xdr:row>27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3"/>
  <sheetViews>
    <sheetView tabSelected="1" topLeftCell="A110" zoomScaleNormal="100" workbookViewId="0">
      <selection activeCell="D118" sqref="D118"/>
    </sheetView>
  </sheetViews>
  <sheetFormatPr defaultRowHeight="14.4"/>
  <cols>
    <col min="1" max="1" width="17.33203125" customWidth="1"/>
    <col min="2" max="2" width="24.88671875" customWidth="1"/>
    <col min="3" max="3" width="12" bestFit="1" customWidth="1"/>
    <col min="4" max="4" width="14.6640625" customWidth="1"/>
    <col min="5" max="5" width="25.109375" customWidth="1"/>
    <col min="6" max="6" width="28.33203125" customWidth="1"/>
    <col min="7" max="7" width="26.5546875" customWidth="1"/>
    <col min="8" max="8" width="28.88671875" customWidth="1"/>
  </cols>
  <sheetData>
    <row r="1" spans="1:12">
      <c r="A1" t="s">
        <v>82</v>
      </c>
      <c r="B1" t="s">
        <v>109</v>
      </c>
      <c r="C1" t="s">
        <v>0</v>
      </c>
      <c r="D1" t="s">
        <v>14</v>
      </c>
      <c r="E1" t="s">
        <v>97</v>
      </c>
      <c r="F1" t="s">
        <v>96</v>
      </c>
      <c r="G1" t="s">
        <v>95</v>
      </c>
      <c r="H1" t="s">
        <v>94</v>
      </c>
      <c r="I1" t="s">
        <v>131</v>
      </c>
    </row>
    <row r="2" spans="1:12">
      <c r="A2" t="s">
        <v>123</v>
      </c>
      <c r="B2">
        <v>-28.5</v>
      </c>
      <c r="C2">
        <v>0</v>
      </c>
      <c r="D2">
        <v>0</v>
      </c>
      <c r="E2">
        <f>(C2*B2)</f>
        <v>0</v>
      </c>
      <c r="F2">
        <f>ABS(D2*B2)</f>
        <v>0</v>
      </c>
      <c r="G2">
        <f t="shared" ref="G2:G14" si="0">C2/C$15*100</f>
        <v>0</v>
      </c>
      <c r="H2">
        <f t="shared" ref="H2:H14" si="1">D2/D$15*100</f>
        <v>0</v>
      </c>
    </row>
    <row r="3" spans="1:12">
      <c r="A3" t="s">
        <v>15</v>
      </c>
      <c r="B3">
        <v>-19</v>
      </c>
      <c r="C3">
        <v>12</v>
      </c>
      <c r="D3">
        <f>0+6</f>
        <v>6</v>
      </c>
      <c r="E3">
        <f>ABS(C3*B3)</f>
        <v>228</v>
      </c>
      <c r="F3">
        <f>ABS(D3*B3)</f>
        <v>114</v>
      </c>
      <c r="G3">
        <f t="shared" si="0"/>
        <v>1.0247651579846286</v>
      </c>
      <c r="H3">
        <f t="shared" si="1"/>
        <v>8.0493694660584911E-2</v>
      </c>
    </row>
    <row r="4" spans="1:12">
      <c r="B4">
        <v>-9.5</v>
      </c>
      <c r="C4">
        <v>24</v>
      </c>
      <c r="D4">
        <f>602+16</f>
        <v>618</v>
      </c>
      <c r="E4">
        <f>ABS(C4*B4)</f>
        <v>228</v>
      </c>
      <c r="F4">
        <f>ABS(D4*B4)</f>
        <v>5871</v>
      </c>
      <c r="G4">
        <f t="shared" si="0"/>
        <v>2.0495303159692573</v>
      </c>
      <c r="H4">
        <f t="shared" si="1"/>
        <v>8.290850550040247</v>
      </c>
      <c r="J4" t="s">
        <v>196</v>
      </c>
      <c r="K4" t="s">
        <v>206</v>
      </c>
      <c r="L4" t="s">
        <v>143</v>
      </c>
    </row>
    <row r="5" spans="1:12">
      <c r="B5">
        <v>0</v>
      </c>
      <c r="C5">
        <f>920+150</f>
        <v>1070</v>
      </c>
      <c r="D5">
        <f>3985+1950</f>
        <v>5935</v>
      </c>
      <c r="E5">
        <f t="shared" ref="E5:E14" si="2">C5*B5</f>
        <v>0</v>
      </c>
      <c r="F5">
        <f t="shared" ref="F5:F14" si="3">D5*B5</f>
        <v>0</v>
      </c>
      <c r="G5">
        <f t="shared" si="0"/>
        <v>91.374893253629381</v>
      </c>
      <c r="H5">
        <f t="shared" si="1"/>
        <v>79.621679635095262</v>
      </c>
      <c r="J5">
        <v>0</v>
      </c>
      <c r="K5">
        <f>G5</f>
        <v>91.374893253629381</v>
      </c>
      <c r="L5">
        <f>H5</f>
        <v>79.621679635095262</v>
      </c>
    </row>
    <row r="6" spans="1:12">
      <c r="B6">
        <v>9.5</v>
      </c>
      <c r="C6">
        <f>22+25</f>
        <v>47</v>
      </c>
      <c r="D6">
        <f>449+45</f>
        <v>494</v>
      </c>
      <c r="E6">
        <f t="shared" si="2"/>
        <v>446.5</v>
      </c>
      <c r="F6">
        <f t="shared" si="3"/>
        <v>4693</v>
      </c>
      <c r="G6">
        <f t="shared" si="0"/>
        <v>4.0136635354397949</v>
      </c>
      <c r="H6">
        <f t="shared" si="1"/>
        <v>6.6273141937214923</v>
      </c>
      <c r="J6">
        <v>9.5</v>
      </c>
      <c r="K6">
        <f>G6+G4</f>
        <v>6.0631938514090518</v>
      </c>
      <c r="L6">
        <f>H6+H4</f>
        <v>14.918164743761739</v>
      </c>
    </row>
    <row r="7" spans="1:12">
      <c r="B7">
        <v>19</v>
      </c>
      <c r="C7">
        <v>10</v>
      </c>
      <c r="D7">
        <f>361+3</f>
        <v>364</v>
      </c>
      <c r="E7">
        <f t="shared" si="2"/>
        <v>190</v>
      </c>
      <c r="F7">
        <f t="shared" si="3"/>
        <v>6916</v>
      </c>
      <c r="G7">
        <f t="shared" si="0"/>
        <v>0.85397096498719038</v>
      </c>
      <c r="H7">
        <f t="shared" si="1"/>
        <v>4.8832841427421521</v>
      </c>
      <c r="J7">
        <v>19</v>
      </c>
      <c r="K7">
        <f>G7+G3</f>
        <v>1.8787361229718189</v>
      </c>
      <c r="L7">
        <f>H3+H7</f>
        <v>4.9637778374027368</v>
      </c>
    </row>
    <row r="8" spans="1:12">
      <c r="B8">
        <v>28.5</v>
      </c>
      <c r="C8">
        <v>8</v>
      </c>
      <c r="D8">
        <v>32</v>
      </c>
      <c r="E8">
        <f t="shared" si="2"/>
        <v>228</v>
      </c>
      <c r="F8">
        <f t="shared" si="3"/>
        <v>912</v>
      </c>
      <c r="G8">
        <f t="shared" si="0"/>
        <v>0.68317677198975235</v>
      </c>
      <c r="H8">
        <f t="shared" si="1"/>
        <v>0.42929970485645291</v>
      </c>
      <c r="J8">
        <v>28.5</v>
      </c>
      <c r="K8">
        <f>G8</f>
        <v>0.68317677198975235</v>
      </c>
      <c r="L8">
        <f>H8</f>
        <v>0.42929970485645291</v>
      </c>
    </row>
    <row r="9" spans="1:12">
      <c r="B9">
        <v>38</v>
      </c>
      <c r="C9">
        <v>0</v>
      </c>
      <c r="D9">
        <v>5</v>
      </c>
      <c r="E9">
        <f t="shared" si="2"/>
        <v>0</v>
      </c>
      <c r="F9">
        <f t="shared" si="3"/>
        <v>190</v>
      </c>
      <c r="G9">
        <f t="shared" si="0"/>
        <v>0</v>
      </c>
      <c r="H9">
        <f t="shared" si="1"/>
        <v>6.7078078883820766E-2</v>
      </c>
      <c r="J9">
        <v>38</v>
      </c>
      <c r="K9">
        <v>0</v>
      </c>
      <c r="L9">
        <f t="shared" ref="L9:L14" si="4">H9</f>
        <v>6.7078078883820766E-2</v>
      </c>
    </row>
    <row r="10" spans="1:12">
      <c r="B10">
        <v>47.5</v>
      </c>
      <c r="C10">
        <v>0</v>
      </c>
      <c r="D10">
        <v>0</v>
      </c>
      <c r="E10">
        <f t="shared" si="2"/>
        <v>0</v>
      </c>
      <c r="F10">
        <f t="shared" si="3"/>
        <v>0</v>
      </c>
      <c r="G10">
        <f t="shared" si="0"/>
        <v>0</v>
      </c>
      <c r="H10">
        <f t="shared" si="1"/>
        <v>0</v>
      </c>
      <c r="J10">
        <v>47.5</v>
      </c>
      <c r="K10">
        <v>0</v>
      </c>
      <c r="L10">
        <f t="shared" si="4"/>
        <v>0</v>
      </c>
    </row>
    <row r="11" spans="1:12">
      <c r="B11">
        <v>57</v>
      </c>
      <c r="C11">
        <v>0</v>
      </c>
      <c r="D11">
        <v>0</v>
      </c>
      <c r="E11">
        <f t="shared" si="2"/>
        <v>0</v>
      </c>
      <c r="F11">
        <f t="shared" si="3"/>
        <v>0</v>
      </c>
      <c r="G11">
        <f t="shared" si="0"/>
        <v>0</v>
      </c>
      <c r="H11">
        <f t="shared" si="1"/>
        <v>0</v>
      </c>
      <c r="J11">
        <v>57</v>
      </c>
      <c r="K11">
        <v>0</v>
      </c>
      <c r="L11">
        <f t="shared" si="4"/>
        <v>0</v>
      </c>
    </row>
    <row r="12" spans="1:12">
      <c r="B12">
        <f>B11+9.5</f>
        <v>66.5</v>
      </c>
      <c r="C12">
        <v>0</v>
      </c>
      <c r="D12">
        <v>0</v>
      </c>
      <c r="E12">
        <f t="shared" si="2"/>
        <v>0</v>
      </c>
      <c r="F12">
        <f t="shared" si="3"/>
        <v>0</v>
      </c>
      <c r="G12">
        <f t="shared" si="0"/>
        <v>0</v>
      </c>
      <c r="H12">
        <f t="shared" si="1"/>
        <v>0</v>
      </c>
      <c r="J12">
        <f>J11+9.5</f>
        <v>66.5</v>
      </c>
      <c r="K12">
        <v>0</v>
      </c>
      <c r="L12">
        <f t="shared" si="4"/>
        <v>0</v>
      </c>
    </row>
    <row r="13" spans="1:12">
      <c r="B13">
        <f>B12+9.5</f>
        <v>76</v>
      </c>
      <c r="C13">
        <v>0</v>
      </c>
      <c r="D13">
        <v>0</v>
      </c>
      <c r="E13">
        <f t="shared" si="2"/>
        <v>0</v>
      </c>
      <c r="F13">
        <f t="shared" si="3"/>
        <v>0</v>
      </c>
      <c r="G13">
        <f t="shared" si="0"/>
        <v>0</v>
      </c>
      <c r="H13">
        <f t="shared" si="1"/>
        <v>0</v>
      </c>
      <c r="J13">
        <f>J12+9.5</f>
        <v>76</v>
      </c>
      <c r="K13">
        <v>0</v>
      </c>
      <c r="L13">
        <f t="shared" si="4"/>
        <v>0</v>
      </c>
    </row>
    <row r="14" spans="1:12">
      <c r="B14">
        <v>100</v>
      </c>
      <c r="C14">
        <v>0</v>
      </c>
      <c r="D14">
        <v>0</v>
      </c>
      <c r="E14">
        <f t="shared" si="2"/>
        <v>0</v>
      </c>
      <c r="F14">
        <f t="shared" si="3"/>
        <v>0</v>
      </c>
      <c r="G14">
        <f t="shared" si="0"/>
        <v>0</v>
      </c>
      <c r="H14">
        <f t="shared" si="1"/>
        <v>0</v>
      </c>
      <c r="J14">
        <v>100</v>
      </c>
      <c r="K14">
        <v>0</v>
      </c>
      <c r="L14">
        <f t="shared" si="4"/>
        <v>0</v>
      </c>
    </row>
    <row r="15" spans="1:12">
      <c r="B15" t="s">
        <v>9</v>
      </c>
      <c r="C15">
        <f>SUM(C2:C14)</f>
        <v>1171</v>
      </c>
      <c r="D15">
        <f>SUM(D2:D14)</f>
        <v>7454</v>
      </c>
      <c r="G15">
        <f>SUM(G2:G14)</f>
        <v>99.999999999999986</v>
      </c>
      <c r="K15">
        <f>SUM(K5:K14)</f>
        <v>100</v>
      </c>
      <c r="L15">
        <f>SUM(L5:L14)</f>
        <v>100</v>
      </c>
    </row>
    <row r="16" spans="1:12">
      <c r="B16" t="s">
        <v>106</v>
      </c>
      <c r="C16">
        <f>SUM(E2:E14)/C15</f>
        <v>1.1276686592655849</v>
      </c>
      <c r="D16">
        <f>SUM(F2:F14)/D15</f>
        <v>2.5081835256238261</v>
      </c>
    </row>
    <row r="17" spans="1:8">
      <c r="B17" t="s">
        <v>11</v>
      </c>
      <c r="C17">
        <f>4000+247</f>
        <v>4247</v>
      </c>
      <c r="D17">
        <f>20000+3125</f>
        <v>23125</v>
      </c>
    </row>
    <row r="18" spans="1:8">
      <c r="B18" t="s">
        <v>12</v>
      </c>
      <c r="C18">
        <f>C15/C17*100</f>
        <v>27.572404049917587</v>
      </c>
      <c r="D18">
        <f>D15/D17*100</f>
        <v>32.233513513513515</v>
      </c>
    </row>
    <row r="20" spans="1:8">
      <c r="A20" t="s">
        <v>82</v>
      </c>
      <c r="B20" t="s">
        <v>109</v>
      </c>
      <c r="C20" t="s">
        <v>0</v>
      </c>
      <c r="D20" t="s">
        <v>1</v>
      </c>
      <c r="E20" t="s">
        <v>97</v>
      </c>
      <c r="F20" t="s">
        <v>96</v>
      </c>
      <c r="G20" t="s">
        <v>95</v>
      </c>
      <c r="H20" t="s">
        <v>94</v>
      </c>
    </row>
    <row r="21" spans="1:8">
      <c r="A21" s="35" t="s">
        <v>122</v>
      </c>
      <c r="B21">
        <v>-28.5</v>
      </c>
      <c r="C21">
        <v>0</v>
      </c>
      <c r="D21">
        <v>0</v>
      </c>
      <c r="E21">
        <f>ABS(C21*B21)</f>
        <v>0</v>
      </c>
      <c r="F21">
        <f>ABS(D21*B21)</f>
        <v>0</v>
      </c>
      <c r="G21">
        <f t="shared" ref="G21:G33" si="5">C21/C$34*100</f>
        <v>0</v>
      </c>
      <c r="H21">
        <f t="shared" ref="H21:H33" si="6">D21/D$34*100</f>
        <v>0</v>
      </c>
    </row>
    <row r="22" spans="1:8">
      <c r="A22" t="s">
        <v>121</v>
      </c>
      <c r="B22">
        <v>-19</v>
      </c>
      <c r="C22">
        <v>0</v>
      </c>
      <c r="D22">
        <v>0</v>
      </c>
      <c r="E22">
        <f>ABS(C22*B22)</f>
        <v>0</v>
      </c>
      <c r="F22">
        <f>ABS(D22*B22)</f>
        <v>0</v>
      </c>
      <c r="G22">
        <f t="shared" si="5"/>
        <v>0</v>
      </c>
      <c r="H22">
        <f t="shared" si="6"/>
        <v>0</v>
      </c>
    </row>
    <row r="23" spans="1:8">
      <c r="B23">
        <v>-9.5</v>
      </c>
      <c r="C23">
        <v>4</v>
      </c>
      <c r="D23">
        <v>0</v>
      </c>
      <c r="E23">
        <f>ABS(C23*B23)</f>
        <v>38</v>
      </c>
      <c r="F23">
        <f>ABS(D23*B23)</f>
        <v>0</v>
      </c>
      <c r="G23">
        <f t="shared" si="5"/>
        <v>36.363636363636367</v>
      </c>
      <c r="H23">
        <f t="shared" si="6"/>
        <v>0</v>
      </c>
    </row>
    <row r="24" spans="1:8">
      <c r="B24">
        <v>0</v>
      </c>
      <c r="C24">
        <v>0</v>
      </c>
      <c r="D24">
        <v>27</v>
      </c>
      <c r="E24">
        <f t="shared" ref="E24:E33" si="7">C24*B24</f>
        <v>0</v>
      </c>
      <c r="F24">
        <f t="shared" ref="F24:F33" si="8">D24*B24</f>
        <v>0</v>
      </c>
      <c r="G24">
        <f t="shared" si="5"/>
        <v>0</v>
      </c>
      <c r="H24">
        <f t="shared" si="6"/>
        <v>5.9080962800875279</v>
      </c>
    </row>
    <row r="25" spans="1:8">
      <c r="B25">
        <v>9.5</v>
      </c>
      <c r="C25">
        <v>7</v>
      </c>
      <c r="D25">
        <v>345</v>
      </c>
      <c r="E25">
        <f t="shared" si="7"/>
        <v>66.5</v>
      </c>
      <c r="F25">
        <f t="shared" si="8"/>
        <v>3277.5</v>
      </c>
      <c r="G25">
        <f t="shared" si="5"/>
        <v>63.636363636363633</v>
      </c>
      <c r="H25">
        <f t="shared" si="6"/>
        <v>75.492341356673961</v>
      </c>
    </row>
    <row r="26" spans="1:8">
      <c r="B26">
        <v>19</v>
      </c>
      <c r="C26">
        <v>0</v>
      </c>
      <c r="D26">
        <v>70</v>
      </c>
      <c r="E26">
        <f t="shared" si="7"/>
        <v>0</v>
      </c>
      <c r="F26">
        <f t="shared" si="8"/>
        <v>1330</v>
      </c>
      <c r="G26">
        <f t="shared" si="5"/>
        <v>0</v>
      </c>
      <c r="H26">
        <f t="shared" si="6"/>
        <v>15.317286652078774</v>
      </c>
    </row>
    <row r="27" spans="1:8">
      <c r="B27">
        <v>28.5</v>
      </c>
      <c r="C27">
        <v>0</v>
      </c>
      <c r="D27">
        <v>15</v>
      </c>
      <c r="E27">
        <f t="shared" si="7"/>
        <v>0</v>
      </c>
      <c r="F27">
        <f t="shared" si="8"/>
        <v>427.5</v>
      </c>
      <c r="G27">
        <f t="shared" si="5"/>
        <v>0</v>
      </c>
      <c r="H27">
        <f t="shared" si="6"/>
        <v>3.2822757111597372</v>
      </c>
    </row>
    <row r="28" spans="1:8">
      <c r="B28">
        <v>38</v>
      </c>
      <c r="C28">
        <v>0</v>
      </c>
      <c r="D28">
        <v>0</v>
      </c>
      <c r="E28">
        <f t="shared" si="7"/>
        <v>0</v>
      </c>
      <c r="F28">
        <f t="shared" si="8"/>
        <v>0</v>
      </c>
      <c r="G28">
        <f t="shared" si="5"/>
        <v>0</v>
      </c>
      <c r="H28">
        <f t="shared" si="6"/>
        <v>0</v>
      </c>
    </row>
    <row r="29" spans="1:8">
      <c r="B29">
        <v>47.5</v>
      </c>
      <c r="C29">
        <v>0</v>
      </c>
      <c r="D29">
        <v>0</v>
      </c>
      <c r="E29">
        <f t="shared" si="7"/>
        <v>0</v>
      </c>
      <c r="F29">
        <f t="shared" si="8"/>
        <v>0</v>
      </c>
      <c r="G29">
        <f t="shared" si="5"/>
        <v>0</v>
      </c>
      <c r="H29">
        <f t="shared" si="6"/>
        <v>0</v>
      </c>
    </row>
    <row r="30" spans="1:8">
      <c r="B30">
        <v>57</v>
      </c>
      <c r="C30">
        <v>0</v>
      </c>
      <c r="D30">
        <v>0</v>
      </c>
      <c r="E30">
        <f t="shared" si="7"/>
        <v>0</v>
      </c>
      <c r="F30">
        <f t="shared" si="8"/>
        <v>0</v>
      </c>
      <c r="G30">
        <f t="shared" si="5"/>
        <v>0</v>
      </c>
      <c r="H30">
        <f t="shared" si="6"/>
        <v>0</v>
      </c>
    </row>
    <row r="31" spans="1:8">
      <c r="B31">
        <f>B30+9.5</f>
        <v>66.5</v>
      </c>
      <c r="C31">
        <v>0</v>
      </c>
      <c r="D31">
        <v>0</v>
      </c>
      <c r="E31">
        <v>0</v>
      </c>
      <c r="F31">
        <v>0</v>
      </c>
      <c r="G31">
        <f t="shared" si="5"/>
        <v>0</v>
      </c>
      <c r="H31">
        <f t="shared" si="6"/>
        <v>0</v>
      </c>
    </row>
    <row r="32" spans="1:8">
      <c r="B32">
        <f>B31+9.5</f>
        <v>76</v>
      </c>
      <c r="C32">
        <v>0</v>
      </c>
      <c r="D32">
        <v>0</v>
      </c>
      <c r="E32">
        <v>0</v>
      </c>
      <c r="F32">
        <v>0</v>
      </c>
      <c r="G32">
        <f t="shared" si="5"/>
        <v>0</v>
      </c>
      <c r="H32">
        <f t="shared" si="6"/>
        <v>0</v>
      </c>
    </row>
    <row r="33" spans="1:12">
      <c r="B33">
        <v>100</v>
      </c>
      <c r="C33">
        <v>0</v>
      </c>
      <c r="D33">
        <v>0</v>
      </c>
      <c r="E33">
        <f t="shared" si="7"/>
        <v>0</v>
      </c>
      <c r="F33">
        <f t="shared" si="8"/>
        <v>0</v>
      </c>
      <c r="G33">
        <f t="shared" si="5"/>
        <v>0</v>
      </c>
      <c r="H33">
        <f t="shared" si="6"/>
        <v>0</v>
      </c>
    </row>
    <row r="34" spans="1:12">
      <c r="B34" t="s">
        <v>9</v>
      </c>
      <c r="C34">
        <f>SUM(C21:C33)</f>
        <v>11</v>
      </c>
      <c r="D34">
        <f>SUM(D21:D33)</f>
        <v>457</v>
      </c>
    </row>
    <row r="35" spans="1:12">
      <c r="B35" t="s">
        <v>106</v>
      </c>
      <c r="C35">
        <f>SUM(E21:E33)/C34</f>
        <v>9.5</v>
      </c>
      <c r="D35">
        <f>SUM(F21:F33)/D34</f>
        <v>11.017505470459518</v>
      </c>
    </row>
    <row r="36" spans="1:12">
      <c r="B36" t="s">
        <v>11</v>
      </c>
      <c r="C36">
        <v>1000</v>
      </c>
      <c r="D36">
        <v>5000</v>
      </c>
    </row>
    <row r="37" spans="1:12">
      <c r="B37" t="s">
        <v>12</v>
      </c>
      <c r="C37">
        <f>C34/C36*100</f>
        <v>1.0999999999999999</v>
      </c>
      <c r="D37">
        <f>D34/D36*100</f>
        <v>9.1399999999999988</v>
      </c>
    </row>
    <row r="40" spans="1:12">
      <c r="A40" t="s">
        <v>82</v>
      </c>
      <c r="B40" t="s">
        <v>109</v>
      </c>
      <c r="C40" t="s">
        <v>0</v>
      </c>
      <c r="D40" t="s">
        <v>1</v>
      </c>
      <c r="E40" t="s">
        <v>97</v>
      </c>
      <c r="F40" t="s">
        <v>96</v>
      </c>
      <c r="G40" t="s">
        <v>95</v>
      </c>
      <c r="H40" t="s">
        <v>94</v>
      </c>
    </row>
    <row r="41" spans="1:12">
      <c r="A41" t="s">
        <v>120</v>
      </c>
      <c r="B41">
        <v>-28.5</v>
      </c>
      <c r="C41">
        <v>0</v>
      </c>
      <c r="D41">
        <v>0</v>
      </c>
      <c r="E41">
        <f>ABS(C41*B41)</f>
        <v>0</v>
      </c>
      <c r="F41">
        <f>ABS(D41*B41)</f>
        <v>0</v>
      </c>
      <c r="G41">
        <f t="shared" ref="G41:G53" si="9">C41/C$54*100</f>
        <v>0</v>
      </c>
      <c r="H41">
        <f t="shared" ref="H41:H53" si="10">D41/D$54*100</f>
        <v>0</v>
      </c>
    </row>
    <row r="42" spans="1:12">
      <c r="A42" t="s">
        <v>151</v>
      </c>
      <c r="B42">
        <v>-19</v>
      </c>
      <c r="C42">
        <v>0</v>
      </c>
      <c r="D42">
        <v>3</v>
      </c>
      <c r="E42">
        <f>ABS(C42*B42)</f>
        <v>0</v>
      </c>
      <c r="F42">
        <f>ABS(D42*B42)</f>
        <v>57</v>
      </c>
      <c r="G42">
        <f t="shared" si="9"/>
        <v>0</v>
      </c>
      <c r="H42">
        <f t="shared" si="10"/>
        <v>0.12185215272136475</v>
      </c>
    </row>
    <row r="43" spans="1:12">
      <c r="B43">
        <v>-9.5</v>
      </c>
      <c r="C43">
        <v>0</v>
      </c>
      <c r="D43">
        <f>36+126+3</f>
        <v>165</v>
      </c>
      <c r="E43">
        <f>ABS(C43*B43)</f>
        <v>0</v>
      </c>
      <c r="F43">
        <f>ABS(D43*B43)</f>
        <v>1567.5</v>
      </c>
      <c r="G43">
        <f t="shared" si="9"/>
        <v>0</v>
      </c>
      <c r="H43">
        <f t="shared" si="10"/>
        <v>6.7018683996750612</v>
      </c>
      <c r="J43" t="s">
        <v>196</v>
      </c>
      <c r="K43" t="s">
        <v>206</v>
      </c>
      <c r="L43" t="s">
        <v>143</v>
      </c>
    </row>
    <row r="44" spans="1:12">
      <c r="B44">
        <v>0</v>
      </c>
      <c r="C44">
        <f>26+85</f>
        <v>111</v>
      </c>
      <c r="D44">
        <f>720+54+500+12</f>
        <v>1286</v>
      </c>
      <c r="E44">
        <f t="shared" ref="E44:E53" si="11">C44*B44</f>
        <v>0</v>
      </c>
      <c r="F44">
        <f t="shared" ref="F44:F53" si="12">D44*B44</f>
        <v>0</v>
      </c>
      <c r="G44">
        <f t="shared" si="9"/>
        <v>47.033898305084747</v>
      </c>
      <c r="H44">
        <f t="shared" si="10"/>
        <v>52.233956133225021</v>
      </c>
      <c r="J44">
        <v>0</v>
      </c>
      <c r="K44">
        <f>G44</f>
        <v>47.033898305084747</v>
      </c>
      <c r="L44">
        <f>H44</f>
        <v>52.233956133225021</v>
      </c>
    </row>
    <row r="45" spans="1:12">
      <c r="B45">
        <v>9.5</v>
      </c>
      <c r="C45">
        <f>14+15+39</f>
        <v>68</v>
      </c>
      <c r="D45">
        <f>98+123+210+300</f>
        <v>731</v>
      </c>
      <c r="E45">
        <f t="shared" si="11"/>
        <v>646</v>
      </c>
      <c r="F45">
        <f t="shared" si="12"/>
        <v>6944.5</v>
      </c>
      <c r="G45">
        <f t="shared" si="9"/>
        <v>28.8135593220339</v>
      </c>
      <c r="H45">
        <f t="shared" si="10"/>
        <v>29.691307879772545</v>
      </c>
      <c r="J45">
        <v>9.5</v>
      </c>
      <c r="K45">
        <f t="shared" ref="K45:K53" si="13">G45</f>
        <v>28.8135593220339</v>
      </c>
      <c r="L45">
        <f>H45+H43</f>
        <v>36.393176279447609</v>
      </c>
    </row>
    <row r="46" spans="1:12">
      <c r="B46">
        <v>19</v>
      </c>
      <c r="C46">
        <f>0+2+48</f>
        <v>50</v>
      </c>
      <c r="D46">
        <f>35+5+6+210</f>
        <v>256</v>
      </c>
      <c r="E46">
        <f t="shared" si="11"/>
        <v>950</v>
      </c>
      <c r="F46">
        <f t="shared" si="12"/>
        <v>4864</v>
      </c>
      <c r="G46">
        <f t="shared" si="9"/>
        <v>21.1864406779661</v>
      </c>
      <c r="H46">
        <f t="shared" si="10"/>
        <v>10.398050365556458</v>
      </c>
      <c r="J46">
        <v>19</v>
      </c>
      <c r="K46">
        <f t="shared" si="13"/>
        <v>21.1864406779661</v>
      </c>
      <c r="L46">
        <f>H46+H42</f>
        <v>10.519902518277823</v>
      </c>
    </row>
    <row r="47" spans="1:12">
      <c r="B47">
        <v>28.5</v>
      </c>
      <c r="C47">
        <f>0+7</f>
        <v>7</v>
      </c>
      <c r="D47">
        <f>0+16+5</f>
        <v>21</v>
      </c>
      <c r="E47">
        <f t="shared" si="11"/>
        <v>199.5</v>
      </c>
      <c r="F47">
        <f t="shared" si="12"/>
        <v>598.5</v>
      </c>
      <c r="G47">
        <f t="shared" si="9"/>
        <v>2.9661016949152543</v>
      </c>
      <c r="H47">
        <f t="shared" si="10"/>
        <v>0.85296506904955316</v>
      </c>
      <c r="J47">
        <v>28.5</v>
      </c>
      <c r="K47">
        <f t="shared" si="13"/>
        <v>2.9661016949152543</v>
      </c>
      <c r="L47">
        <f>H47</f>
        <v>0.85296506904955316</v>
      </c>
    </row>
    <row r="48" spans="1:12">
      <c r="B48">
        <v>38</v>
      </c>
      <c r="C48">
        <f>0</f>
        <v>0</v>
      </c>
      <c r="D48">
        <f>0</f>
        <v>0</v>
      </c>
      <c r="E48">
        <f t="shared" si="11"/>
        <v>0</v>
      </c>
      <c r="F48">
        <f t="shared" si="12"/>
        <v>0</v>
      </c>
      <c r="G48">
        <f t="shared" si="9"/>
        <v>0</v>
      </c>
      <c r="H48">
        <f t="shared" si="10"/>
        <v>0</v>
      </c>
      <c r="J48">
        <v>38</v>
      </c>
      <c r="K48">
        <f t="shared" si="13"/>
        <v>0</v>
      </c>
      <c r="L48">
        <f t="shared" ref="L48:L53" si="14">H48</f>
        <v>0</v>
      </c>
    </row>
    <row r="49" spans="1:12">
      <c r="B49">
        <v>47.5</v>
      </c>
      <c r="C49">
        <f>0</f>
        <v>0</v>
      </c>
      <c r="D49">
        <f>0</f>
        <v>0</v>
      </c>
      <c r="E49">
        <f t="shared" si="11"/>
        <v>0</v>
      </c>
      <c r="F49">
        <f t="shared" si="12"/>
        <v>0</v>
      </c>
      <c r="G49">
        <f t="shared" si="9"/>
        <v>0</v>
      </c>
      <c r="H49">
        <f t="shared" si="10"/>
        <v>0</v>
      </c>
      <c r="J49">
        <v>47.5</v>
      </c>
      <c r="K49">
        <f t="shared" si="13"/>
        <v>0</v>
      </c>
      <c r="L49">
        <f t="shared" si="14"/>
        <v>0</v>
      </c>
    </row>
    <row r="50" spans="1:12">
      <c r="B50">
        <v>57</v>
      </c>
      <c r="C50">
        <f>0+0</f>
        <v>0</v>
      </c>
      <c r="D50">
        <f>0</f>
        <v>0</v>
      </c>
      <c r="E50">
        <f t="shared" si="11"/>
        <v>0</v>
      </c>
      <c r="F50">
        <f t="shared" si="12"/>
        <v>0</v>
      </c>
      <c r="G50">
        <f t="shared" si="9"/>
        <v>0</v>
      </c>
      <c r="H50">
        <f t="shared" si="10"/>
        <v>0</v>
      </c>
      <c r="J50">
        <v>57</v>
      </c>
      <c r="K50">
        <f t="shared" si="13"/>
        <v>0</v>
      </c>
      <c r="L50">
        <f t="shared" si="14"/>
        <v>0</v>
      </c>
    </row>
    <row r="51" spans="1:12">
      <c r="B51">
        <f>B50+9.5</f>
        <v>66.5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J51">
        <f>J50+9.5</f>
        <v>66.5</v>
      </c>
      <c r="K51">
        <f t="shared" si="13"/>
        <v>0</v>
      </c>
      <c r="L51">
        <f t="shared" si="14"/>
        <v>0</v>
      </c>
    </row>
    <row r="52" spans="1:12">
      <c r="B52">
        <f>B51+9.5</f>
        <v>76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J52">
        <f>J51+9.5</f>
        <v>76</v>
      </c>
      <c r="K52">
        <f t="shared" si="13"/>
        <v>0</v>
      </c>
      <c r="L52">
        <f t="shared" si="14"/>
        <v>0</v>
      </c>
    </row>
    <row r="53" spans="1:12">
      <c r="B53">
        <v>100</v>
      </c>
      <c r="C53">
        <f>0</f>
        <v>0</v>
      </c>
      <c r="D53">
        <f>0</f>
        <v>0</v>
      </c>
      <c r="E53">
        <f t="shared" si="11"/>
        <v>0</v>
      </c>
      <c r="F53">
        <f t="shared" si="12"/>
        <v>0</v>
      </c>
      <c r="G53">
        <f t="shared" si="9"/>
        <v>0</v>
      </c>
      <c r="H53">
        <f t="shared" si="10"/>
        <v>0</v>
      </c>
      <c r="J53">
        <v>100</v>
      </c>
      <c r="K53">
        <f t="shared" si="13"/>
        <v>0</v>
      </c>
      <c r="L53">
        <f t="shared" si="14"/>
        <v>0</v>
      </c>
    </row>
    <row r="54" spans="1:12">
      <c r="B54" t="s">
        <v>9</v>
      </c>
      <c r="C54">
        <f>SUM(C41:C53)</f>
        <v>236</v>
      </c>
      <c r="D54">
        <f>SUM(D41:D53)</f>
        <v>2462</v>
      </c>
      <c r="K54">
        <f>SUM(K44:K53)</f>
        <v>100</v>
      </c>
      <c r="L54">
        <f>SUM(L44:L53)</f>
        <v>100.00000000000001</v>
      </c>
    </row>
    <row r="55" spans="1:12">
      <c r="B55" t="s">
        <v>106</v>
      </c>
      <c r="C55">
        <f>SUM(E41:E53)/C54</f>
        <v>7.6080508474576272</v>
      </c>
      <c r="D55">
        <f>SUM(F41:F53)/D54</f>
        <v>5.6992282696994314</v>
      </c>
    </row>
    <row r="56" spans="1:12">
      <c r="B56" t="s">
        <v>11</v>
      </c>
      <c r="C56">
        <f>300+255+247+500</f>
        <v>1302</v>
      </c>
      <c r="D56">
        <f>1000+3250+3125+2300</f>
        <v>9675</v>
      </c>
    </row>
    <row r="57" spans="1:12">
      <c r="B57" t="s">
        <v>12</v>
      </c>
      <c r="C57">
        <f>C54/C56*100</f>
        <v>18.125960061443934</v>
      </c>
      <c r="D57">
        <f>D54/D56*100</f>
        <v>25.447028423772611</v>
      </c>
    </row>
    <row r="60" spans="1:12">
      <c r="A60" t="s">
        <v>82</v>
      </c>
      <c r="B60" t="s">
        <v>109</v>
      </c>
      <c r="C60" t="s">
        <v>0</v>
      </c>
      <c r="D60" t="s">
        <v>1</v>
      </c>
      <c r="E60" t="s">
        <v>97</v>
      </c>
      <c r="F60" t="s">
        <v>96</v>
      </c>
      <c r="G60" t="s">
        <v>95</v>
      </c>
      <c r="H60" t="s">
        <v>94</v>
      </c>
    </row>
    <row r="61" spans="1:12">
      <c r="A61" t="s">
        <v>119</v>
      </c>
      <c r="B61">
        <v>-28.5</v>
      </c>
      <c r="C61">
        <v>0</v>
      </c>
      <c r="D61">
        <f>0+4</f>
        <v>4</v>
      </c>
      <c r="E61">
        <f>ABS(C61*B61)</f>
        <v>0</v>
      </c>
      <c r="F61">
        <f>ABS(D61*B61)</f>
        <v>114</v>
      </c>
      <c r="G61">
        <f t="shared" ref="G61:G73" si="15">C61/C$74*100</f>
        <v>0</v>
      </c>
      <c r="H61">
        <f t="shared" ref="H61:H73" si="16">D61/D$74*100</f>
        <v>5.9461870075813876E-2</v>
      </c>
    </row>
    <row r="62" spans="1:12">
      <c r="A62" t="s">
        <v>150</v>
      </c>
      <c r="B62">
        <v>-19</v>
      </c>
      <c r="C62">
        <v>0</v>
      </c>
      <c r="D62">
        <f>0+13</f>
        <v>13</v>
      </c>
      <c r="E62">
        <f>ABS(C62*B62)</f>
        <v>0</v>
      </c>
      <c r="F62">
        <f>ABS(D62*B62)</f>
        <v>247</v>
      </c>
      <c r="G62">
        <f t="shared" si="15"/>
        <v>0</v>
      </c>
      <c r="H62">
        <f t="shared" si="16"/>
        <v>0.19325107774639513</v>
      </c>
    </row>
    <row r="63" spans="1:12">
      <c r="B63">
        <v>-9.5</v>
      </c>
      <c r="C63">
        <f>0+8</f>
        <v>8</v>
      </c>
      <c r="D63">
        <f>9+126+88</f>
        <v>223</v>
      </c>
      <c r="E63">
        <f>ABS(C63*B63)</f>
        <v>76</v>
      </c>
      <c r="F63">
        <f>ABS(D63*B63)</f>
        <v>2118.5</v>
      </c>
      <c r="G63">
        <f t="shared" si="15"/>
        <v>1.0139416983523446</v>
      </c>
      <c r="H63">
        <f t="shared" si="16"/>
        <v>3.3149992567266238</v>
      </c>
      <c r="J63" t="s">
        <v>310</v>
      </c>
      <c r="K63" t="s">
        <v>206</v>
      </c>
      <c r="L63" t="s">
        <v>143</v>
      </c>
    </row>
    <row r="64" spans="1:12">
      <c r="B64">
        <v>0</v>
      </c>
      <c r="C64">
        <f>26+20+30+4</f>
        <v>80</v>
      </c>
      <c r="D64">
        <f>340+560+1100+444+25+444+34+34</f>
        <v>2981</v>
      </c>
      <c r="E64">
        <f t="shared" ref="E64:E73" si="17">C64*B64</f>
        <v>0</v>
      </c>
      <c r="F64">
        <f t="shared" ref="F64:F73" si="18">D64*B64</f>
        <v>0</v>
      </c>
      <c r="G64">
        <f t="shared" si="15"/>
        <v>10.139416983523446</v>
      </c>
      <c r="H64">
        <f t="shared" si="16"/>
        <v>44.313958674000297</v>
      </c>
      <c r="J64">
        <v>0</v>
      </c>
      <c r="K64">
        <f>G64</f>
        <v>10.139416983523446</v>
      </c>
      <c r="L64">
        <f>H64</f>
        <v>44.313958674000297</v>
      </c>
    </row>
    <row r="65" spans="1:12">
      <c r="B65">
        <v>9.5</v>
      </c>
      <c r="C65">
        <f>14+40+5+54+5+7+186</f>
        <v>311</v>
      </c>
      <c r="D65">
        <f>355+360+36+200+120+30+160+560+4</f>
        <v>1825</v>
      </c>
      <c r="E65">
        <f t="shared" si="17"/>
        <v>2954.5</v>
      </c>
      <c r="F65">
        <f t="shared" si="18"/>
        <v>17337.5</v>
      </c>
      <c r="G65">
        <f t="shared" si="15"/>
        <v>39.416983523447399</v>
      </c>
      <c r="H65">
        <f t="shared" si="16"/>
        <v>27.129478222090086</v>
      </c>
      <c r="J65">
        <v>9.5</v>
      </c>
      <c r="K65">
        <f>G65+G63</f>
        <v>40.430925221799747</v>
      </c>
      <c r="L65">
        <f>H65+H63</f>
        <v>30.444477478816708</v>
      </c>
    </row>
    <row r="66" spans="1:12">
      <c r="B66">
        <v>19</v>
      </c>
      <c r="C66">
        <f>0+7+6+3+38+16+8</f>
        <v>78</v>
      </c>
      <c r="D66">
        <f>17+40+6+68+18+5+315+20+36</f>
        <v>525</v>
      </c>
      <c r="E66">
        <f t="shared" si="17"/>
        <v>1482</v>
      </c>
      <c r="F66">
        <f t="shared" si="18"/>
        <v>9975</v>
      </c>
      <c r="G66">
        <f t="shared" si="15"/>
        <v>9.8859315589353614</v>
      </c>
      <c r="H66">
        <f t="shared" si="16"/>
        <v>7.8043704474505722</v>
      </c>
      <c r="J66">
        <v>19</v>
      </c>
      <c r="K66">
        <f t="shared" ref="K66:K71" si="19">G66</f>
        <v>9.8859315589353614</v>
      </c>
      <c r="L66">
        <f>H66+H62</f>
        <v>7.9976215251969673</v>
      </c>
    </row>
    <row r="67" spans="1:12">
      <c r="B67">
        <v>28.5</v>
      </c>
      <c r="C67">
        <f>0+10+28+3+44+11+56</f>
        <v>152</v>
      </c>
      <c r="D67">
        <f>4+16+3+2+18+3+48+4+680</f>
        <v>778</v>
      </c>
      <c r="E67">
        <f t="shared" si="17"/>
        <v>4332</v>
      </c>
      <c r="F67">
        <f t="shared" si="18"/>
        <v>22173</v>
      </c>
      <c r="G67">
        <f t="shared" si="15"/>
        <v>19.264892268694549</v>
      </c>
      <c r="H67">
        <f t="shared" si="16"/>
        <v>11.565333729745801</v>
      </c>
      <c r="J67">
        <v>28.5</v>
      </c>
      <c r="K67">
        <f t="shared" si="19"/>
        <v>19.264892268694549</v>
      </c>
      <c r="L67">
        <f>H67</f>
        <v>11.565333729745801</v>
      </c>
    </row>
    <row r="68" spans="1:12">
      <c r="B68">
        <v>38</v>
      </c>
      <c r="C68">
        <f>0+3+21+3+42+4+48</f>
        <v>121</v>
      </c>
      <c r="D68">
        <f>4+3+3+12+30+112</f>
        <v>164</v>
      </c>
      <c r="E68">
        <f t="shared" si="17"/>
        <v>4598</v>
      </c>
      <c r="F68">
        <f t="shared" si="18"/>
        <v>6232</v>
      </c>
      <c r="G68">
        <f t="shared" si="15"/>
        <v>15.335868187579212</v>
      </c>
      <c r="H68">
        <f t="shared" si="16"/>
        <v>2.4379366731083691</v>
      </c>
      <c r="J68">
        <v>38</v>
      </c>
      <c r="K68">
        <f t="shared" si="19"/>
        <v>15.335868187579212</v>
      </c>
      <c r="L68">
        <f t="shared" ref="L68:L73" si="20">H68</f>
        <v>2.4379366731083691</v>
      </c>
    </row>
    <row r="69" spans="1:12">
      <c r="B69">
        <v>47.5</v>
      </c>
      <c r="C69">
        <f>0+6+2+8+8</f>
        <v>24</v>
      </c>
      <c r="D69">
        <f>8+12+3+0+29+20+112</f>
        <v>184</v>
      </c>
      <c r="E69">
        <f t="shared" si="17"/>
        <v>1140</v>
      </c>
      <c r="F69">
        <f t="shared" si="18"/>
        <v>8740</v>
      </c>
      <c r="G69">
        <f t="shared" si="15"/>
        <v>3.041825095057034</v>
      </c>
      <c r="H69">
        <f t="shared" si="16"/>
        <v>2.7352460234874387</v>
      </c>
      <c r="J69">
        <v>47.5</v>
      </c>
      <c r="K69">
        <f t="shared" si="19"/>
        <v>3.041825095057034</v>
      </c>
      <c r="L69">
        <f t="shared" si="20"/>
        <v>2.7352460234874387</v>
      </c>
    </row>
    <row r="70" spans="1:12">
      <c r="B70">
        <v>57</v>
      </c>
      <c r="C70">
        <f>0+4+3</f>
        <v>7</v>
      </c>
      <c r="D70">
        <f>0+0+8</f>
        <v>8</v>
      </c>
      <c r="E70">
        <f t="shared" si="17"/>
        <v>399</v>
      </c>
      <c r="F70">
        <f t="shared" si="18"/>
        <v>456</v>
      </c>
      <c r="G70">
        <f t="shared" si="15"/>
        <v>0.88719898605830161</v>
      </c>
      <c r="H70">
        <f t="shared" si="16"/>
        <v>0.11892374015162775</v>
      </c>
      <c r="J70">
        <v>57</v>
      </c>
      <c r="K70">
        <f t="shared" si="19"/>
        <v>0.88719898605830161</v>
      </c>
      <c r="L70">
        <f t="shared" si="20"/>
        <v>0.11892374015162775</v>
      </c>
    </row>
    <row r="71" spans="1:12">
      <c r="B71">
        <f>B70+9.5</f>
        <v>66.5</v>
      </c>
      <c r="C71">
        <f>2</f>
        <v>2</v>
      </c>
      <c r="D71">
        <f>5+3</f>
        <v>8</v>
      </c>
      <c r="E71">
        <f t="shared" si="17"/>
        <v>133</v>
      </c>
      <c r="F71">
        <f t="shared" si="18"/>
        <v>532</v>
      </c>
      <c r="G71">
        <f t="shared" si="15"/>
        <v>0.25348542458808615</v>
      </c>
      <c r="H71">
        <f t="shared" si="16"/>
        <v>0.11892374015162775</v>
      </c>
      <c r="J71">
        <f>J70+9.5</f>
        <v>66.5</v>
      </c>
      <c r="K71">
        <f t="shared" si="19"/>
        <v>0.25348542458808615</v>
      </c>
      <c r="L71">
        <f t="shared" si="20"/>
        <v>0.11892374015162775</v>
      </c>
    </row>
    <row r="72" spans="1:12">
      <c r="B72">
        <f>B71+9.5</f>
        <v>76</v>
      </c>
      <c r="C72">
        <v>0</v>
      </c>
      <c r="D72">
        <f>4</f>
        <v>4</v>
      </c>
      <c r="E72">
        <f t="shared" si="17"/>
        <v>0</v>
      </c>
      <c r="F72">
        <f t="shared" si="18"/>
        <v>304</v>
      </c>
      <c r="G72">
        <f t="shared" si="15"/>
        <v>0</v>
      </c>
      <c r="H72">
        <f t="shared" si="16"/>
        <v>5.9461870075813876E-2</v>
      </c>
      <c r="J72">
        <f>J71+9.5</f>
        <v>76</v>
      </c>
      <c r="K72">
        <f t="shared" ref="K72:K73" si="21">G71</f>
        <v>0.25348542458808615</v>
      </c>
      <c r="L72">
        <f t="shared" si="20"/>
        <v>5.9461870075813876E-2</v>
      </c>
    </row>
    <row r="73" spans="1:12">
      <c r="B73">
        <v>100</v>
      </c>
      <c r="C73">
        <f>0+3+3</f>
        <v>6</v>
      </c>
      <c r="D73">
        <f>0+6+4+0</f>
        <v>10</v>
      </c>
      <c r="E73">
        <f t="shared" si="17"/>
        <v>600</v>
      </c>
      <c r="F73">
        <f t="shared" si="18"/>
        <v>1000</v>
      </c>
      <c r="G73">
        <f t="shared" si="15"/>
        <v>0.76045627376425851</v>
      </c>
      <c r="H73">
        <f t="shared" si="16"/>
        <v>0.14865467518953471</v>
      </c>
      <c r="J73">
        <v>100</v>
      </c>
      <c r="K73">
        <f t="shared" si="21"/>
        <v>0</v>
      </c>
      <c r="L73">
        <f t="shared" si="20"/>
        <v>0.14865467518953471</v>
      </c>
    </row>
    <row r="74" spans="1:12">
      <c r="B74" t="s">
        <v>9</v>
      </c>
      <c r="C74">
        <f>SUM(C61:C73)</f>
        <v>789</v>
      </c>
      <c r="D74">
        <f>SUM(D61:D73)</f>
        <v>6727</v>
      </c>
      <c r="G74">
        <f>SUM(G61:G73)</f>
        <v>100</v>
      </c>
      <c r="K74">
        <f>SUM(K64:K73)</f>
        <v>99.493029150823844</v>
      </c>
      <c r="L74">
        <f>SUM(L64:L73)</f>
        <v>99.940538129924178</v>
      </c>
    </row>
    <row r="75" spans="1:12">
      <c r="B75" t="s">
        <v>106</v>
      </c>
      <c r="C75">
        <f>SUM(E61:E73)/C74</f>
        <v>19.916983523447403</v>
      </c>
      <c r="D75">
        <f>SUM(F61:F73)/D74</f>
        <v>10.291214508696298</v>
      </c>
    </row>
    <row r="76" spans="1:12">
      <c r="B76" t="s">
        <v>11</v>
      </c>
      <c r="C76">
        <f>300+240+247+231+500+500+500+500</f>
        <v>3018</v>
      </c>
      <c r="D76">
        <f>3000+3125+3125+3125+3000+3200+2500+2500+1100</f>
        <v>24675</v>
      </c>
    </row>
    <row r="77" spans="1:12">
      <c r="B77" t="s">
        <v>12</v>
      </c>
      <c r="C77">
        <f>C74/C76*100</f>
        <v>26.143141153081512</v>
      </c>
      <c r="D77">
        <f>D74/D76*100</f>
        <v>27.26241134751773</v>
      </c>
    </row>
    <row r="80" spans="1:12">
      <c r="A80" t="s">
        <v>82</v>
      </c>
      <c r="B80" t="s">
        <v>109</v>
      </c>
      <c r="C80" t="s">
        <v>0</v>
      </c>
      <c r="D80" t="s">
        <v>1</v>
      </c>
      <c r="E80" t="s">
        <v>97</v>
      </c>
      <c r="F80" t="s">
        <v>96</v>
      </c>
      <c r="G80" t="s">
        <v>95</v>
      </c>
      <c r="H80" t="s">
        <v>94</v>
      </c>
    </row>
    <row r="81" spans="1:12">
      <c r="A81" t="s">
        <v>118</v>
      </c>
      <c r="B81">
        <v>-28.5</v>
      </c>
      <c r="C81">
        <v>0</v>
      </c>
      <c r="D81">
        <v>0</v>
      </c>
      <c r="E81">
        <f t="shared" ref="E81:E93" si="22">C81*B81</f>
        <v>0</v>
      </c>
      <c r="F81">
        <f t="shared" ref="F81:F93" si="23">D81*B81</f>
        <v>0</v>
      </c>
      <c r="G81">
        <f t="shared" ref="G81:G93" si="24">C81/C$94*100</f>
        <v>0</v>
      </c>
      <c r="H81">
        <f t="shared" ref="H81:H93" si="25">D81/D$94*100</f>
        <v>0</v>
      </c>
    </row>
    <row r="82" spans="1:12">
      <c r="A82" t="s">
        <v>16</v>
      </c>
      <c r="B82">
        <v>-19</v>
      </c>
      <c r="C82">
        <v>0</v>
      </c>
      <c r="D82">
        <v>0</v>
      </c>
      <c r="E82">
        <f t="shared" si="22"/>
        <v>0</v>
      </c>
      <c r="F82">
        <f t="shared" si="23"/>
        <v>0</v>
      </c>
      <c r="G82">
        <f t="shared" si="24"/>
        <v>0</v>
      </c>
      <c r="H82">
        <f t="shared" si="25"/>
        <v>0</v>
      </c>
    </row>
    <row r="83" spans="1:12">
      <c r="B83">
        <v>-9.5</v>
      </c>
      <c r="C83">
        <v>0</v>
      </c>
      <c r="D83">
        <v>0</v>
      </c>
      <c r="E83">
        <f t="shared" si="22"/>
        <v>0</v>
      </c>
      <c r="F83">
        <f t="shared" si="23"/>
        <v>0</v>
      </c>
      <c r="G83">
        <f t="shared" si="24"/>
        <v>0</v>
      </c>
      <c r="H83">
        <f t="shared" si="25"/>
        <v>0</v>
      </c>
      <c r="J83" t="s">
        <v>196</v>
      </c>
      <c r="K83" t="s">
        <v>206</v>
      </c>
      <c r="L83" t="s">
        <v>143</v>
      </c>
    </row>
    <row r="84" spans="1:12">
      <c r="A84" t="s">
        <v>312</v>
      </c>
      <c r="B84">
        <v>0</v>
      </c>
      <c r="C84">
        <v>140</v>
      </c>
      <c r="D84">
        <v>498</v>
      </c>
      <c r="E84">
        <f t="shared" si="22"/>
        <v>0</v>
      </c>
      <c r="F84">
        <f t="shared" si="23"/>
        <v>0</v>
      </c>
      <c r="G84">
        <f t="shared" si="24"/>
        <v>56.451612903225815</v>
      </c>
      <c r="H84">
        <f t="shared" si="25"/>
        <v>93.962264150943398</v>
      </c>
      <c r="J84">
        <v>0</v>
      </c>
      <c r="K84">
        <f>G84</f>
        <v>56.451612903225815</v>
      </c>
      <c r="L84">
        <f>H84</f>
        <v>93.962264150943398</v>
      </c>
    </row>
    <row r="85" spans="1:12">
      <c r="B85">
        <v>9.5</v>
      </c>
      <c r="C85">
        <v>80</v>
      </c>
      <c r="D85">
        <v>25</v>
      </c>
      <c r="E85">
        <f t="shared" si="22"/>
        <v>760</v>
      </c>
      <c r="F85">
        <f t="shared" si="23"/>
        <v>237.5</v>
      </c>
      <c r="G85">
        <f t="shared" si="24"/>
        <v>32.258064516129032</v>
      </c>
      <c r="H85">
        <f t="shared" si="25"/>
        <v>4.716981132075472</v>
      </c>
      <c r="J85">
        <v>9.5</v>
      </c>
      <c r="K85">
        <f t="shared" ref="K85:K93" si="26">G85</f>
        <v>32.258064516129032</v>
      </c>
      <c r="L85">
        <f t="shared" ref="L85:L93" si="27">H85</f>
        <v>4.716981132075472</v>
      </c>
    </row>
    <row r="86" spans="1:12">
      <c r="B86">
        <v>19</v>
      </c>
      <c r="C86">
        <v>20</v>
      </c>
      <c r="D86">
        <v>7</v>
      </c>
      <c r="E86">
        <f t="shared" si="22"/>
        <v>380</v>
      </c>
      <c r="F86">
        <f t="shared" si="23"/>
        <v>133</v>
      </c>
      <c r="G86">
        <f t="shared" si="24"/>
        <v>8.064516129032258</v>
      </c>
      <c r="H86">
        <f t="shared" si="25"/>
        <v>1.3207547169811322</v>
      </c>
      <c r="J86">
        <v>19</v>
      </c>
      <c r="K86">
        <f t="shared" si="26"/>
        <v>8.064516129032258</v>
      </c>
      <c r="L86">
        <f t="shared" si="27"/>
        <v>1.3207547169811322</v>
      </c>
    </row>
    <row r="87" spans="1:12">
      <c r="B87">
        <v>28.5</v>
      </c>
      <c r="C87">
        <v>8</v>
      </c>
      <c r="D87">
        <v>0</v>
      </c>
      <c r="E87">
        <f t="shared" si="22"/>
        <v>228</v>
      </c>
      <c r="F87">
        <f t="shared" si="23"/>
        <v>0</v>
      </c>
      <c r="G87">
        <f t="shared" si="24"/>
        <v>3.225806451612903</v>
      </c>
      <c r="H87">
        <f t="shared" si="25"/>
        <v>0</v>
      </c>
      <c r="J87">
        <v>28.5</v>
      </c>
      <c r="K87">
        <f t="shared" si="26"/>
        <v>3.225806451612903</v>
      </c>
      <c r="L87">
        <f t="shared" si="27"/>
        <v>0</v>
      </c>
    </row>
    <row r="88" spans="1:12">
      <c r="B88">
        <v>38</v>
      </c>
      <c r="C88">
        <v>0</v>
      </c>
      <c r="D88">
        <v>0</v>
      </c>
      <c r="E88">
        <f t="shared" si="22"/>
        <v>0</v>
      </c>
      <c r="F88">
        <f t="shared" si="23"/>
        <v>0</v>
      </c>
      <c r="G88">
        <f t="shared" si="24"/>
        <v>0</v>
      </c>
      <c r="H88">
        <f t="shared" si="25"/>
        <v>0</v>
      </c>
      <c r="J88">
        <v>38</v>
      </c>
      <c r="K88">
        <f t="shared" si="26"/>
        <v>0</v>
      </c>
      <c r="L88">
        <f t="shared" si="27"/>
        <v>0</v>
      </c>
    </row>
    <row r="89" spans="1:12">
      <c r="B89">
        <v>47.5</v>
      </c>
      <c r="C89">
        <v>0</v>
      </c>
      <c r="D89">
        <v>0</v>
      </c>
      <c r="E89">
        <f t="shared" si="22"/>
        <v>0</v>
      </c>
      <c r="F89">
        <f t="shared" si="23"/>
        <v>0</v>
      </c>
      <c r="G89">
        <f t="shared" si="24"/>
        <v>0</v>
      </c>
      <c r="H89">
        <f t="shared" si="25"/>
        <v>0</v>
      </c>
      <c r="J89">
        <v>47.5</v>
      </c>
      <c r="K89">
        <f t="shared" si="26"/>
        <v>0</v>
      </c>
      <c r="L89">
        <f t="shared" si="27"/>
        <v>0</v>
      </c>
    </row>
    <row r="90" spans="1:12">
      <c r="B90">
        <v>57</v>
      </c>
      <c r="C90">
        <v>0</v>
      </c>
      <c r="D90">
        <v>0</v>
      </c>
      <c r="E90">
        <f t="shared" si="22"/>
        <v>0</v>
      </c>
      <c r="F90">
        <f t="shared" si="23"/>
        <v>0</v>
      </c>
      <c r="G90">
        <f t="shared" si="24"/>
        <v>0</v>
      </c>
      <c r="H90">
        <f t="shared" si="25"/>
        <v>0</v>
      </c>
      <c r="J90">
        <v>57</v>
      </c>
      <c r="K90">
        <f t="shared" si="26"/>
        <v>0</v>
      </c>
      <c r="L90">
        <f t="shared" si="27"/>
        <v>0</v>
      </c>
    </row>
    <row r="91" spans="1:12">
      <c r="B91">
        <f>B90+9.5</f>
        <v>66.5</v>
      </c>
      <c r="C91">
        <v>0</v>
      </c>
      <c r="D91">
        <v>0</v>
      </c>
      <c r="E91">
        <v>0</v>
      </c>
      <c r="F91">
        <v>0</v>
      </c>
      <c r="G91">
        <f t="shared" si="24"/>
        <v>0</v>
      </c>
      <c r="H91">
        <f t="shared" si="25"/>
        <v>0</v>
      </c>
      <c r="J91">
        <f>J90+9.5</f>
        <v>66.5</v>
      </c>
      <c r="K91">
        <f t="shared" si="26"/>
        <v>0</v>
      </c>
      <c r="L91">
        <f t="shared" si="27"/>
        <v>0</v>
      </c>
    </row>
    <row r="92" spans="1:12">
      <c r="B92">
        <f>B91+9.5</f>
        <v>76</v>
      </c>
      <c r="C92">
        <v>0</v>
      </c>
      <c r="D92">
        <v>0</v>
      </c>
      <c r="E92">
        <v>0</v>
      </c>
      <c r="F92">
        <v>0</v>
      </c>
      <c r="G92">
        <f t="shared" si="24"/>
        <v>0</v>
      </c>
      <c r="H92">
        <f t="shared" si="25"/>
        <v>0</v>
      </c>
      <c r="J92">
        <f>J91+9.5</f>
        <v>76</v>
      </c>
      <c r="K92">
        <f t="shared" si="26"/>
        <v>0</v>
      </c>
      <c r="L92">
        <f t="shared" si="27"/>
        <v>0</v>
      </c>
    </row>
    <row r="93" spans="1:12">
      <c r="B93">
        <v>100</v>
      </c>
      <c r="C93">
        <v>0</v>
      </c>
      <c r="D93">
        <v>0</v>
      </c>
      <c r="E93">
        <f t="shared" si="22"/>
        <v>0</v>
      </c>
      <c r="F93">
        <f t="shared" si="23"/>
        <v>0</v>
      </c>
      <c r="G93">
        <f t="shared" si="24"/>
        <v>0</v>
      </c>
      <c r="H93">
        <f t="shared" si="25"/>
        <v>0</v>
      </c>
      <c r="J93">
        <v>100</v>
      </c>
      <c r="K93">
        <f t="shared" si="26"/>
        <v>0</v>
      </c>
      <c r="L93">
        <f t="shared" si="27"/>
        <v>0</v>
      </c>
    </row>
    <row r="94" spans="1:12">
      <c r="B94" t="s">
        <v>9</v>
      </c>
      <c r="C94">
        <f>SUM(C81:C93)</f>
        <v>248</v>
      </c>
      <c r="D94">
        <f>SUM(D81:D93)</f>
        <v>530</v>
      </c>
    </row>
    <row r="95" spans="1:12">
      <c r="B95" t="s">
        <v>106</v>
      </c>
      <c r="C95">
        <f>SUM(E81:E93)/C94</f>
        <v>5.5161290322580649</v>
      </c>
      <c r="D95">
        <f>SUM(F81:F93)/D94</f>
        <v>0.69905660377358492</v>
      </c>
    </row>
    <row r="96" spans="1:12">
      <c r="B96" t="s">
        <v>11</v>
      </c>
      <c r="C96">
        <v>300</v>
      </c>
      <c r="D96">
        <v>1000</v>
      </c>
    </row>
    <row r="97" spans="1:8">
      <c r="B97" t="s">
        <v>12</v>
      </c>
      <c r="C97">
        <f>C94/C96*100</f>
        <v>82.666666666666671</v>
      </c>
      <c r="D97">
        <f>D94/D96*100</f>
        <v>53</v>
      </c>
    </row>
    <row r="100" spans="1:8">
      <c r="A100" t="s">
        <v>82</v>
      </c>
      <c r="B100" t="s">
        <v>109</v>
      </c>
      <c r="C100" t="s">
        <v>0</v>
      </c>
      <c r="D100" t="s">
        <v>1</v>
      </c>
      <c r="E100" t="s">
        <v>97</v>
      </c>
      <c r="F100" t="s">
        <v>96</v>
      </c>
      <c r="G100" t="s">
        <v>95</v>
      </c>
      <c r="H100" t="s">
        <v>94</v>
      </c>
    </row>
    <row r="101" spans="1:8">
      <c r="A101" t="s">
        <v>152</v>
      </c>
      <c r="B101">
        <v>-28.5</v>
      </c>
      <c r="C101">
        <f>C2+C41+C61+C81</f>
        <v>0</v>
      </c>
      <c r="D101">
        <f>D2+D41+D61+D81</f>
        <v>4</v>
      </c>
      <c r="E101">
        <f>ABS(C101*B101)</f>
        <v>0</v>
      </c>
      <c r="F101">
        <f>ABS(D101*B101)</f>
        <v>114</v>
      </c>
      <c r="G101">
        <f t="shared" ref="G101:G113" si="28">C101/C$94*100</f>
        <v>0</v>
      </c>
      <c r="H101">
        <f t="shared" ref="H101:H113" si="29">D101/D$94*100</f>
        <v>0.75471698113207553</v>
      </c>
    </row>
    <row r="102" spans="1:8">
      <c r="A102" t="s">
        <v>153</v>
      </c>
      <c r="B102">
        <v>-19</v>
      </c>
      <c r="C102">
        <f t="shared" ref="C102:D113" si="30">C3+C42+C62+C82</f>
        <v>12</v>
      </c>
      <c r="D102">
        <f t="shared" si="30"/>
        <v>22</v>
      </c>
      <c r="E102">
        <f t="shared" ref="E102:E113" si="31">ABS(C102*B102)</f>
        <v>228</v>
      </c>
      <c r="F102">
        <f t="shared" ref="F102:F113" si="32">ABS(D102*B102)</f>
        <v>418</v>
      </c>
      <c r="G102">
        <f t="shared" si="28"/>
        <v>4.838709677419355</v>
      </c>
      <c r="H102">
        <f t="shared" si="29"/>
        <v>4.1509433962264151</v>
      </c>
    </row>
    <row r="103" spans="1:8">
      <c r="A103" t="s">
        <v>154</v>
      </c>
      <c r="B103">
        <v>-9.5</v>
      </c>
      <c r="C103">
        <f t="shared" si="30"/>
        <v>32</v>
      </c>
      <c r="D103">
        <f t="shared" si="30"/>
        <v>1006</v>
      </c>
      <c r="E103">
        <f t="shared" si="31"/>
        <v>304</v>
      </c>
      <c r="F103">
        <f t="shared" si="32"/>
        <v>9557</v>
      </c>
      <c r="G103">
        <f t="shared" si="28"/>
        <v>12.903225806451612</v>
      </c>
      <c r="H103">
        <f t="shared" si="29"/>
        <v>189.81132075471697</v>
      </c>
    </row>
    <row r="104" spans="1:8">
      <c r="B104">
        <v>0</v>
      </c>
      <c r="C104">
        <f t="shared" si="30"/>
        <v>1401</v>
      </c>
      <c r="D104">
        <f t="shared" si="30"/>
        <v>10700</v>
      </c>
      <c r="E104">
        <f t="shared" si="31"/>
        <v>0</v>
      </c>
      <c r="F104">
        <f t="shared" si="32"/>
        <v>0</v>
      </c>
      <c r="G104">
        <f t="shared" si="28"/>
        <v>564.91935483870975</v>
      </c>
      <c r="H104">
        <f t="shared" si="29"/>
        <v>2018.867924528302</v>
      </c>
    </row>
    <row r="105" spans="1:8">
      <c r="B105">
        <v>9.5</v>
      </c>
      <c r="C105">
        <f t="shared" si="30"/>
        <v>506</v>
      </c>
      <c r="D105">
        <f t="shared" si="30"/>
        <v>3075</v>
      </c>
      <c r="E105">
        <f t="shared" si="31"/>
        <v>4807</v>
      </c>
      <c r="F105">
        <f t="shared" si="32"/>
        <v>29212.5</v>
      </c>
      <c r="G105">
        <f t="shared" si="28"/>
        <v>204.03225806451616</v>
      </c>
      <c r="H105">
        <f t="shared" si="29"/>
        <v>580.18867924528297</v>
      </c>
    </row>
    <row r="106" spans="1:8">
      <c r="B106">
        <v>19</v>
      </c>
      <c r="C106">
        <f t="shared" si="30"/>
        <v>158</v>
      </c>
      <c r="D106">
        <f t="shared" si="30"/>
        <v>1152</v>
      </c>
      <c r="E106">
        <f t="shared" si="31"/>
        <v>3002</v>
      </c>
      <c r="F106">
        <f t="shared" si="32"/>
        <v>21888</v>
      </c>
      <c r="G106">
        <f t="shared" si="28"/>
        <v>63.70967741935484</v>
      </c>
      <c r="H106">
        <f t="shared" si="29"/>
        <v>217.35849056603774</v>
      </c>
    </row>
    <row r="107" spans="1:8">
      <c r="B107">
        <v>28.5</v>
      </c>
      <c r="C107">
        <f t="shared" si="30"/>
        <v>175</v>
      </c>
      <c r="D107">
        <f t="shared" si="30"/>
        <v>831</v>
      </c>
      <c r="E107">
        <f t="shared" si="31"/>
        <v>4987.5</v>
      </c>
      <c r="F107">
        <f t="shared" si="32"/>
        <v>23683.5</v>
      </c>
      <c r="G107">
        <f t="shared" si="28"/>
        <v>70.564516129032256</v>
      </c>
      <c r="H107">
        <f t="shared" si="29"/>
        <v>156.79245283018867</v>
      </c>
    </row>
    <row r="108" spans="1:8">
      <c r="B108">
        <v>38</v>
      </c>
      <c r="C108">
        <f t="shared" si="30"/>
        <v>121</v>
      </c>
      <c r="D108">
        <f t="shared" si="30"/>
        <v>169</v>
      </c>
      <c r="E108">
        <f t="shared" si="31"/>
        <v>4598</v>
      </c>
      <c r="F108">
        <f t="shared" si="32"/>
        <v>6422</v>
      </c>
      <c r="G108">
        <f t="shared" si="28"/>
        <v>48.79032258064516</v>
      </c>
      <c r="H108">
        <f t="shared" si="29"/>
        <v>31.886792452830186</v>
      </c>
    </row>
    <row r="109" spans="1:8">
      <c r="B109">
        <v>47.5</v>
      </c>
      <c r="C109">
        <f t="shared" si="30"/>
        <v>24</v>
      </c>
      <c r="D109">
        <f t="shared" si="30"/>
        <v>184</v>
      </c>
      <c r="E109">
        <f t="shared" si="31"/>
        <v>1140</v>
      </c>
      <c r="F109">
        <f t="shared" si="32"/>
        <v>8740</v>
      </c>
      <c r="G109">
        <f t="shared" si="28"/>
        <v>9.67741935483871</v>
      </c>
      <c r="H109">
        <f t="shared" si="29"/>
        <v>34.716981132075468</v>
      </c>
    </row>
    <row r="110" spans="1:8">
      <c r="B110">
        <v>57</v>
      </c>
      <c r="C110">
        <f t="shared" si="30"/>
        <v>7</v>
      </c>
      <c r="D110">
        <f t="shared" si="30"/>
        <v>8</v>
      </c>
      <c r="E110">
        <f t="shared" si="31"/>
        <v>399</v>
      </c>
      <c r="F110">
        <f t="shared" si="32"/>
        <v>456</v>
      </c>
      <c r="G110">
        <f t="shared" si="28"/>
        <v>2.82258064516129</v>
      </c>
      <c r="H110">
        <f t="shared" si="29"/>
        <v>1.5094339622641511</v>
      </c>
    </row>
    <row r="111" spans="1:8">
      <c r="B111">
        <f>B110+9.5</f>
        <v>66.5</v>
      </c>
      <c r="C111">
        <f t="shared" si="30"/>
        <v>2</v>
      </c>
      <c r="D111">
        <f t="shared" si="30"/>
        <v>8</v>
      </c>
      <c r="E111">
        <f t="shared" si="31"/>
        <v>133</v>
      </c>
      <c r="F111">
        <f t="shared" si="32"/>
        <v>532</v>
      </c>
      <c r="G111">
        <f t="shared" si="28"/>
        <v>0.80645161290322576</v>
      </c>
      <c r="H111">
        <f t="shared" si="29"/>
        <v>1.5094339622641511</v>
      </c>
    </row>
    <row r="112" spans="1:8">
      <c r="B112">
        <f>B111+9.5</f>
        <v>76</v>
      </c>
      <c r="C112">
        <f t="shared" si="30"/>
        <v>0</v>
      </c>
      <c r="D112">
        <f t="shared" si="30"/>
        <v>4</v>
      </c>
      <c r="E112">
        <f t="shared" si="31"/>
        <v>0</v>
      </c>
      <c r="F112">
        <f t="shared" si="32"/>
        <v>304</v>
      </c>
      <c r="G112">
        <f t="shared" si="28"/>
        <v>0</v>
      </c>
      <c r="H112">
        <f t="shared" si="29"/>
        <v>0.75471698113207553</v>
      </c>
    </row>
    <row r="113" spans="2:12">
      <c r="B113">
        <v>100</v>
      </c>
      <c r="C113">
        <f t="shared" si="30"/>
        <v>6</v>
      </c>
      <c r="D113">
        <f t="shared" si="30"/>
        <v>10</v>
      </c>
      <c r="E113">
        <f t="shared" si="31"/>
        <v>600</v>
      </c>
      <c r="F113">
        <f t="shared" si="32"/>
        <v>1000</v>
      </c>
      <c r="G113">
        <f t="shared" si="28"/>
        <v>2.4193548387096775</v>
      </c>
      <c r="H113">
        <f t="shared" si="29"/>
        <v>1.8867924528301887</v>
      </c>
    </row>
    <row r="114" spans="2:12">
      <c r="B114" t="s">
        <v>9</v>
      </c>
      <c r="C114">
        <f>SUM(C101:C113)</f>
        <v>2444</v>
      </c>
      <c r="D114">
        <f>SUM(D101:D113)</f>
        <v>17173</v>
      </c>
    </row>
    <row r="115" spans="2:12">
      <c r="B115" t="s">
        <v>106</v>
      </c>
      <c r="C115">
        <f>SUM(E101:E113)/C114</f>
        <v>8.2645253682487727</v>
      </c>
      <c r="D115">
        <f>SUM(F101:F113)/D114</f>
        <v>5.9585977988703194</v>
      </c>
    </row>
    <row r="116" spans="2:12">
      <c r="B116" t="s">
        <v>11</v>
      </c>
      <c r="C116">
        <f>C17+C56+C76+C96</f>
        <v>8867</v>
      </c>
      <c r="D116">
        <f>D17+D56+D76+D96</f>
        <v>58475</v>
      </c>
    </row>
    <row r="117" spans="2:12">
      <c r="B117" t="s">
        <v>12</v>
      </c>
      <c r="C117">
        <f>C114/C116*100</f>
        <v>27.562873576181346</v>
      </c>
      <c r="D117">
        <f>D114/D116*100</f>
        <v>29.368106028217188</v>
      </c>
      <c r="F117" t="s">
        <v>168</v>
      </c>
      <c r="J117" t="s">
        <v>205</v>
      </c>
    </row>
    <row r="118" spans="2:12">
      <c r="B118" t="s">
        <v>163</v>
      </c>
      <c r="C118">
        <v>16.899999999999999</v>
      </c>
      <c r="D118">
        <v>16</v>
      </c>
      <c r="E118" t="s">
        <v>169</v>
      </c>
      <c r="F118">
        <f>C122</f>
        <v>0.21857155</v>
      </c>
      <c r="J118" t="s">
        <v>206</v>
      </c>
      <c r="K118">
        <f>C123*10</f>
        <v>0.3038144545</v>
      </c>
      <c r="L118" t="s">
        <v>207</v>
      </c>
    </row>
    <row r="119" spans="2:12">
      <c r="B119" t="s">
        <v>156</v>
      </c>
      <c r="C119">
        <v>9.8600000000000003E-9</v>
      </c>
      <c r="E119" t="s">
        <v>170</v>
      </c>
      <c r="F119">
        <f>F118*2</f>
        <v>0.43714310000000001</v>
      </c>
      <c r="G119" s="38" t="s">
        <v>171</v>
      </c>
      <c r="J119" t="s">
        <v>143</v>
      </c>
      <c r="K119">
        <f>F120*10</f>
        <v>0.6994289600000001</v>
      </c>
      <c r="L119" t="s">
        <v>207</v>
      </c>
    </row>
    <row r="120" spans="2:12">
      <c r="B120" t="s">
        <v>157</v>
      </c>
      <c r="C120" t="s">
        <v>158</v>
      </c>
      <c r="E120" t="s">
        <v>172</v>
      </c>
      <c r="F120">
        <f>F119*D118/100</f>
        <v>6.9942896000000004E-2</v>
      </c>
    </row>
    <row r="121" spans="2:12">
      <c r="B121" t="s">
        <v>155</v>
      </c>
      <c r="C121">
        <f>C119*2500</f>
        <v>2.4649999999999999E-5</v>
      </c>
    </row>
    <row r="122" spans="2:12">
      <c r="B122" t="s">
        <v>165</v>
      </c>
      <c r="C122">
        <f>C116*C121</f>
        <v>0.21857155</v>
      </c>
      <c r="G122" s="38">
        <f>4.1/5.2</f>
        <v>0.78846153846153832</v>
      </c>
    </row>
    <row r="123" spans="2:12">
      <c r="B123" t="s">
        <v>164</v>
      </c>
      <c r="C123">
        <f>C122*(13.9/100)</f>
        <v>3.0381445450000003E-2</v>
      </c>
      <c r="G123">
        <f>2.9/5.3</f>
        <v>0.54716981132075471</v>
      </c>
    </row>
    <row r="124" spans="2:12">
      <c r="B124" t="s">
        <v>159</v>
      </c>
      <c r="C124">
        <v>2.1E-10</v>
      </c>
      <c r="D124" t="s">
        <v>160</v>
      </c>
    </row>
    <row r="125" spans="2:12">
      <c r="B125" t="s">
        <v>162</v>
      </c>
      <c r="C125" t="s">
        <v>158</v>
      </c>
    </row>
    <row r="126" spans="2:12">
      <c r="B126" t="s">
        <v>161</v>
      </c>
      <c r="C126">
        <f>C124*2500</f>
        <v>5.2499999999999995E-7</v>
      </c>
    </row>
    <row r="127" spans="2:12">
      <c r="B127" t="s">
        <v>166</v>
      </c>
      <c r="C127">
        <f>D116*C126</f>
        <v>3.0699374999999997E-2</v>
      </c>
    </row>
    <row r="128" spans="2:12">
      <c r="B128" t="s">
        <v>167</v>
      </c>
      <c r="C128">
        <f>C127*D118/100</f>
        <v>4.9118999999999994E-3</v>
      </c>
    </row>
    <row r="130" spans="1:6">
      <c r="A130" t="s">
        <v>82</v>
      </c>
      <c r="B130" t="s">
        <v>109</v>
      </c>
      <c r="C130" t="s">
        <v>0</v>
      </c>
      <c r="D130" t="s">
        <v>1</v>
      </c>
      <c r="E130" t="s">
        <v>95</v>
      </c>
      <c r="F130" t="s">
        <v>94</v>
      </c>
    </row>
    <row r="131" spans="1:6">
      <c r="A131" t="s">
        <v>152</v>
      </c>
      <c r="B131">
        <v>-28.5</v>
      </c>
      <c r="C131">
        <v>0</v>
      </c>
      <c r="D131">
        <v>0</v>
      </c>
      <c r="E131">
        <f>C131/C$144*100</f>
        <v>0</v>
      </c>
      <c r="F131">
        <f>D131/D$144*100</f>
        <v>0</v>
      </c>
    </row>
    <row r="132" spans="1:6">
      <c r="A132" t="s">
        <v>153</v>
      </c>
      <c r="B132">
        <v>-19</v>
      </c>
      <c r="C132">
        <v>0</v>
      </c>
      <c r="D132">
        <v>0</v>
      </c>
      <c r="E132">
        <f t="shared" ref="E132:E143" si="33">C132/C$144*100</f>
        <v>0</v>
      </c>
      <c r="F132">
        <f t="shared" ref="F132:F143" si="34">D132/D$144*100</f>
        <v>0</v>
      </c>
    </row>
    <row r="133" spans="1:6">
      <c r="A133" t="s">
        <v>154</v>
      </c>
      <c r="B133">
        <v>-9.5</v>
      </c>
      <c r="C133">
        <v>0</v>
      </c>
      <c r="D133">
        <v>0</v>
      </c>
      <c r="E133">
        <f t="shared" si="33"/>
        <v>0</v>
      </c>
      <c r="F133">
        <f t="shared" si="34"/>
        <v>0</v>
      </c>
    </row>
    <row r="134" spans="1:6">
      <c r="B134">
        <v>0</v>
      </c>
      <c r="C134">
        <f>C104</f>
        <v>1401</v>
      </c>
      <c r="D134">
        <f>D104</f>
        <v>10700</v>
      </c>
      <c r="E134">
        <f t="shared" si="33"/>
        <v>57.324058919803598</v>
      </c>
      <c r="F134">
        <f t="shared" si="34"/>
        <v>62.307109998253075</v>
      </c>
    </row>
    <row r="135" spans="1:6">
      <c r="B135">
        <v>9.5</v>
      </c>
      <c r="C135">
        <f>C103+C105</f>
        <v>538</v>
      </c>
      <c r="D135">
        <f>D103+D105</f>
        <v>4081</v>
      </c>
      <c r="E135">
        <f t="shared" si="33"/>
        <v>22.013093289689035</v>
      </c>
      <c r="F135">
        <f t="shared" si="34"/>
        <v>23.764048215221571</v>
      </c>
    </row>
    <row r="136" spans="1:6">
      <c r="B136">
        <v>19</v>
      </c>
      <c r="C136">
        <f>C102+C106</f>
        <v>170</v>
      </c>
      <c r="D136">
        <f>D102+D106</f>
        <v>1174</v>
      </c>
      <c r="E136">
        <f t="shared" si="33"/>
        <v>6.9558101472995082</v>
      </c>
      <c r="F136">
        <f t="shared" si="34"/>
        <v>6.8363128166307572</v>
      </c>
    </row>
    <row r="137" spans="1:6">
      <c r="B137">
        <v>28.5</v>
      </c>
      <c r="C137">
        <f>C101+C107</f>
        <v>175</v>
      </c>
      <c r="D137">
        <f>D101+D107</f>
        <v>835</v>
      </c>
      <c r="E137">
        <f t="shared" si="33"/>
        <v>7.1603927986906708</v>
      </c>
      <c r="F137">
        <f t="shared" si="34"/>
        <v>4.8622838176206837</v>
      </c>
    </row>
    <row r="138" spans="1:6">
      <c r="B138">
        <v>38</v>
      </c>
      <c r="C138">
        <f>C108</f>
        <v>121</v>
      </c>
      <c r="D138">
        <f>D108</f>
        <v>169</v>
      </c>
      <c r="E138">
        <f t="shared" si="33"/>
        <v>4.9509001636661214</v>
      </c>
      <c r="F138">
        <f t="shared" si="34"/>
        <v>0.98410295230885703</v>
      </c>
    </row>
    <row r="139" spans="1:6">
      <c r="B139">
        <v>47.5</v>
      </c>
      <c r="C139">
        <f t="shared" ref="C139:D143" si="35">C109</f>
        <v>24</v>
      </c>
      <c r="D139">
        <f t="shared" si="35"/>
        <v>184</v>
      </c>
      <c r="E139">
        <f t="shared" si="33"/>
        <v>0.98199672667757776</v>
      </c>
      <c r="F139">
        <f t="shared" si="34"/>
        <v>1.0714493681942585</v>
      </c>
    </row>
    <row r="140" spans="1:6">
      <c r="B140">
        <v>57</v>
      </c>
      <c r="C140">
        <f t="shared" si="35"/>
        <v>7</v>
      </c>
      <c r="D140">
        <f t="shared" si="35"/>
        <v>8</v>
      </c>
      <c r="E140">
        <f t="shared" si="33"/>
        <v>0.28641571194762683</v>
      </c>
      <c r="F140">
        <f t="shared" si="34"/>
        <v>4.6584755138880801E-2</v>
      </c>
    </row>
    <row r="141" spans="1:6">
      <c r="B141">
        <f>B140+9.5</f>
        <v>66.5</v>
      </c>
      <c r="C141">
        <f t="shared" si="35"/>
        <v>2</v>
      </c>
      <c r="D141">
        <f t="shared" si="35"/>
        <v>8</v>
      </c>
      <c r="E141">
        <f t="shared" si="33"/>
        <v>8.1833060556464818E-2</v>
      </c>
      <c r="F141">
        <f t="shared" si="34"/>
        <v>4.6584755138880801E-2</v>
      </c>
    </row>
    <row r="142" spans="1:6">
      <c r="B142">
        <f>B141+9.5</f>
        <v>76</v>
      </c>
      <c r="C142">
        <f t="shared" si="35"/>
        <v>0</v>
      </c>
      <c r="D142">
        <f t="shared" si="35"/>
        <v>4</v>
      </c>
      <c r="E142">
        <f t="shared" si="33"/>
        <v>0</v>
      </c>
      <c r="F142">
        <f t="shared" si="34"/>
        <v>2.3292377569440401E-2</v>
      </c>
    </row>
    <row r="143" spans="1:6">
      <c r="B143">
        <v>100</v>
      </c>
      <c r="C143">
        <f t="shared" si="35"/>
        <v>6</v>
      </c>
      <c r="D143">
        <f t="shared" si="35"/>
        <v>10</v>
      </c>
      <c r="E143">
        <f t="shared" si="33"/>
        <v>0.24549918166939444</v>
      </c>
      <c r="F143">
        <f t="shared" si="34"/>
        <v>5.8230943923601002E-2</v>
      </c>
    </row>
    <row r="144" spans="1:6">
      <c r="B144" t="s">
        <v>9</v>
      </c>
      <c r="C144">
        <f>SUM(C131:C143)</f>
        <v>2444</v>
      </c>
      <c r="D144">
        <f>SUM(D131:D143)</f>
        <v>17173</v>
      </c>
    </row>
    <row r="146" spans="1:8">
      <c r="A146" t="s">
        <v>82</v>
      </c>
      <c r="B146" t="s">
        <v>109</v>
      </c>
      <c r="C146" t="s">
        <v>0</v>
      </c>
      <c r="D146" t="s">
        <v>1</v>
      </c>
      <c r="E146" t="s">
        <v>95</v>
      </c>
      <c r="F146" t="s">
        <v>94</v>
      </c>
      <c r="G146" t="s">
        <v>175</v>
      </c>
      <c r="H146" t="s">
        <v>176</v>
      </c>
    </row>
    <row r="147" spans="1:8">
      <c r="A147" t="s">
        <v>152</v>
      </c>
      <c r="B147">
        <v>-28.5</v>
      </c>
      <c r="C147">
        <f>C41+C61+C81</f>
        <v>0</v>
      </c>
      <c r="D147">
        <f>D41+D61+D81</f>
        <v>4</v>
      </c>
      <c r="E147">
        <f>C147/C$144*100</f>
        <v>0</v>
      </c>
      <c r="F147">
        <f>D147/D$144*100</f>
        <v>2.3292377569440401E-2</v>
      </c>
      <c r="G147">
        <f>ABS(C147*B147)</f>
        <v>0</v>
      </c>
      <c r="H147">
        <f>ABS(D147*B147)</f>
        <v>114</v>
      </c>
    </row>
    <row r="148" spans="1:8">
      <c r="A148" t="s">
        <v>174</v>
      </c>
      <c r="B148">
        <v>-19</v>
      </c>
      <c r="C148">
        <f t="shared" ref="C148:D159" si="36">C42+C62+C82</f>
        <v>0</v>
      </c>
      <c r="D148">
        <f t="shared" si="36"/>
        <v>16</v>
      </c>
      <c r="E148">
        <f t="shared" ref="E148:E159" si="37">C148/C$144*100</f>
        <v>0</v>
      </c>
      <c r="F148">
        <f t="shared" ref="F148:F159" si="38">D148/D$144*100</f>
        <v>9.3169510277761602E-2</v>
      </c>
      <c r="G148">
        <f t="shared" ref="G148:G159" si="39">ABS(C148*B148)</f>
        <v>0</v>
      </c>
      <c r="H148">
        <f t="shared" ref="H148:H159" si="40">ABS(D148*B148)</f>
        <v>304</v>
      </c>
    </row>
    <row r="149" spans="1:8">
      <c r="A149" t="s">
        <v>173</v>
      </c>
      <c r="B149">
        <v>-9.5</v>
      </c>
      <c r="C149">
        <f t="shared" si="36"/>
        <v>8</v>
      </c>
      <c r="D149">
        <f t="shared" si="36"/>
        <v>388</v>
      </c>
      <c r="E149">
        <f t="shared" si="37"/>
        <v>0.32733224222585927</v>
      </c>
      <c r="F149">
        <f t="shared" si="38"/>
        <v>2.2593606242357187</v>
      </c>
      <c r="G149">
        <f t="shared" si="39"/>
        <v>76</v>
      </c>
      <c r="H149">
        <f t="shared" si="40"/>
        <v>3686</v>
      </c>
    </row>
    <row r="150" spans="1:8">
      <c r="B150">
        <v>0</v>
      </c>
      <c r="C150">
        <f t="shared" si="36"/>
        <v>331</v>
      </c>
      <c r="D150">
        <f t="shared" si="36"/>
        <v>4765</v>
      </c>
      <c r="E150">
        <f t="shared" si="37"/>
        <v>13.543371522094926</v>
      </c>
      <c r="F150">
        <f t="shared" si="38"/>
        <v>27.747044779595875</v>
      </c>
      <c r="G150">
        <f t="shared" si="39"/>
        <v>0</v>
      </c>
      <c r="H150">
        <f t="shared" si="40"/>
        <v>0</v>
      </c>
    </row>
    <row r="151" spans="1:8">
      <c r="B151">
        <v>9.5</v>
      </c>
      <c r="C151">
        <f t="shared" si="36"/>
        <v>459</v>
      </c>
      <c r="D151">
        <f t="shared" si="36"/>
        <v>2581</v>
      </c>
      <c r="E151">
        <f t="shared" si="37"/>
        <v>18.780687397708672</v>
      </c>
      <c r="F151">
        <f t="shared" si="38"/>
        <v>15.029406626681418</v>
      </c>
      <c r="G151">
        <f t="shared" si="39"/>
        <v>4360.5</v>
      </c>
      <c r="H151">
        <f t="shared" si="40"/>
        <v>24519.5</v>
      </c>
    </row>
    <row r="152" spans="1:8">
      <c r="B152">
        <v>19</v>
      </c>
      <c r="C152">
        <f t="shared" si="36"/>
        <v>148</v>
      </c>
      <c r="D152">
        <f t="shared" si="36"/>
        <v>788</v>
      </c>
      <c r="E152">
        <f t="shared" si="37"/>
        <v>6.0556464811783961</v>
      </c>
      <c r="F152">
        <f t="shared" si="38"/>
        <v>4.588598381179759</v>
      </c>
      <c r="G152">
        <f t="shared" si="39"/>
        <v>2812</v>
      </c>
      <c r="H152">
        <f t="shared" si="40"/>
        <v>14972</v>
      </c>
    </row>
    <row r="153" spans="1:8">
      <c r="B153">
        <v>28.5</v>
      </c>
      <c r="C153">
        <f t="shared" si="36"/>
        <v>167</v>
      </c>
      <c r="D153">
        <f t="shared" si="36"/>
        <v>799</v>
      </c>
      <c r="E153">
        <f t="shared" si="37"/>
        <v>6.8330605564648126</v>
      </c>
      <c r="F153">
        <f t="shared" si="38"/>
        <v>4.6526524194957206</v>
      </c>
      <c r="G153">
        <f t="shared" si="39"/>
        <v>4759.5</v>
      </c>
      <c r="H153">
        <f t="shared" si="40"/>
        <v>22771.5</v>
      </c>
    </row>
    <row r="154" spans="1:8">
      <c r="B154">
        <v>38</v>
      </c>
      <c r="C154">
        <f t="shared" si="36"/>
        <v>121</v>
      </c>
      <c r="D154">
        <f t="shared" si="36"/>
        <v>164</v>
      </c>
      <c r="E154">
        <f t="shared" si="37"/>
        <v>4.9509001636661214</v>
      </c>
      <c r="F154">
        <f t="shared" si="38"/>
        <v>0.95498748034705638</v>
      </c>
      <c r="G154">
        <f t="shared" si="39"/>
        <v>4598</v>
      </c>
      <c r="H154">
        <f t="shared" si="40"/>
        <v>6232</v>
      </c>
    </row>
    <row r="155" spans="1:8">
      <c r="B155">
        <v>47.5</v>
      </c>
      <c r="C155">
        <f t="shared" si="36"/>
        <v>24</v>
      </c>
      <c r="D155">
        <f t="shared" si="36"/>
        <v>184</v>
      </c>
      <c r="E155">
        <f t="shared" si="37"/>
        <v>0.98199672667757776</v>
      </c>
      <c r="F155">
        <f t="shared" si="38"/>
        <v>1.0714493681942585</v>
      </c>
      <c r="G155">
        <f t="shared" si="39"/>
        <v>1140</v>
      </c>
      <c r="H155">
        <f t="shared" si="40"/>
        <v>8740</v>
      </c>
    </row>
    <row r="156" spans="1:8">
      <c r="B156">
        <v>57</v>
      </c>
      <c r="C156">
        <f t="shared" si="36"/>
        <v>7</v>
      </c>
      <c r="D156">
        <f t="shared" si="36"/>
        <v>8</v>
      </c>
      <c r="E156">
        <f t="shared" si="37"/>
        <v>0.28641571194762683</v>
      </c>
      <c r="F156">
        <f t="shared" si="38"/>
        <v>4.6584755138880801E-2</v>
      </c>
      <c r="G156">
        <f t="shared" si="39"/>
        <v>399</v>
      </c>
      <c r="H156">
        <f t="shared" si="40"/>
        <v>456</v>
      </c>
    </row>
    <row r="157" spans="1:8">
      <c r="B157">
        <f>B156+9.5</f>
        <v>66.5</v>
      </c>
      <c r="C157">
        <f t="shared" si="36"/>
        <v>2</v>
      </c>
      <c r="D157">
        <f t="shared" si="36"/>
        <v>8</v>
      </c>
      <c r="E157">
        <f t="shared" si="37"/>
        <v>8.1833060556464818E-2</v>
      </c>
      <c r="F157">
        <f t="shared" si="38"/>
        <v>4.6584755138880801E-2</v>
      </c>
      <c r="G157">
        <f t="shared" si="39"/>
        <v>133</v>
      </c>
      <c r="H157">
        <f t="shared" si="40"/>
        <v>532</v>
      </c>
    </row>
    <row r="158" spans="1:8">
      <c r="B158">
        <f>B157+9.5</f>
        <v>76</v>
      </c>
      <c r="C158">
        <f t="shared" si="36"/>
        <v>0</v>
      </c>
      <c r="D158">
        <f t="shared" si="36"/>
        <v>4</v>
      </c>
      <c r="E158">
        <f t="shared" si="37"/>
        <v>0</v>
      </c>
      <c r="F158">
        <f t="shared" si="38"/>
        <v>2.3292377569440401E-2</v>
      </c>
      <c r="G158">
        <f t="shared" si="39"/>
        <v>0</v>
      </c>
      <c r="H158">
        <f t="shared" si="40"/>
        <v>304</v>
      </c>
    </row>
    <row r="159" spans="1:8">
      <c r="B159">
        <v>100</v>
      </c>
      <c r="C159">
        <f t="shared" si="36"/>
        <v>6</v>
      </c>
      <c r="D159">
        <f t="shared" si="36"/>
        <v>10</v>
      </c>
      <c r="E159">
        <f t="shared" si="37"/>
        <v>0.24549918166939444</v>
      </c>
      <c r="F159">
        <f t="shared" si="38"/>
        <v>5.8230943923601002E-2</v>
      </c>
      <c r="G159">
        <f t="shared" si="39"/>
        <v>600</v>
      </c>
      <c r="H159">
        <f t="shared" si="40"/>
        <v>1000</v>
      </c>
    </row>
    <row r="160" spans="1:8">
      <c r="B160" t="s">
        <v>9</v>
      </c>
      <c r="C160">
        <f>SUM(C147:C159)</f>
        <v>1273</v>
      </c>
      <c r="D160">
        <f>SUM(D147:D159)</f>
        <v>9719</v>
      </c>
      <c r="G160">
        <f>SUM(G147:G159)</f>
        <v>18878</v>
      </c>
      <c r="H160">
        <f>SUM(H147:H159)</f>
        <v>83631</v>
      </c>
    </row>
    <row r="161" spans="2:4">
      <c r="B161" t="s">
        <v>177</v>
      </c>
      <c r="C161">
        <f>C56+C76+C96</f>
        <v>4620</v>
      </c>
      <c r="D161">
        <f>D56+D76+D96</f>
        <v>35350</v>
      </c>
    </row>
    <row r="162" spans="2:4">
      <c r="B162" t="s">
        <v>178</v>
      </c>
      <c r="C162">
        <f>C160/C161*100</f>
        <v>27.554112554112553</v>
      </c>
      <c r="D162">
        <f>D160/D161*100</f>
        <v>27.493635077793492</v>
      </c>
    </row>
    <row r="163" spans="2:4">
      <c r="B163" t="s">
        <v>179</v>
      </c>
      <c r="C163">
        <f>G160/C160</f>
        <v>14.829536527886882</v>
      </c>
      <c r="D163">
        <f>H160/D160</f>
        <v>8.6048976232122651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E424B-E3A8-405D-9A9B-FD87E5A218C4}">
  <dimension ref="A1:AC55"/>
  <sheetViews>
    <sheetView topLeftCell="T1" workbookViewId="0">
      <selection activeCell="AC4" sqref="AC4"/>
    </sheetView>
  </sheetViews>
  <sheetFormatPr defaultRowHeight="14.4"/>
  <cols>
    <col min="1" max="1" width="34.6640625" customWidth="1"/>
    <col min="2" max="2" width="15.88671875" customWidth="1"/>
    <col min="3" max="3" width="15.44140625" customWidth="1"/>
    <col min="4" max="4" width="20.88671875" customWidth="1"/>
    <col min="7" max="8" width="18.44140625" customWidth="1"/>
    <col min="9" max="9" width="53.6640625" customWidth="1"/>
    <col min="10" max="10" width="21" customWidth="1"/>
    <col min="11" max="11" width="20.109375" customWidth="1"/>
    <col min="12" max="12" width="22.88671875" customWidth="1"/>
    <col min="14" max="14" width="37.6640625" customWidth="1"/>
    <col min="15" max="16" width="19" customWidth="1"/>
    <col min="17" max="17" width="22.5546875" customWidth="1"/>
    <col min="19" max="19" width="16.44140625" customWidth="1"/>
    <col min="20" max="20" width="39.109375" customWidth="1"/>
    <col min="21" max="21" width="18.5546875" customWidth="1"/>
    <col min="22" max="22" width="17.44140625" customWidth="1"/>
    <col min="23" max="23" width="20.33203125" customWidth="1"/>
    <col min="26" max="26" width="17.44140625" customWidth="1"/>
    <col min="27" max="27" width="12.6640625" customWidth="1"/>
  </cols>
  <sheetData>
    <row r="1" spans="1:29">
      <c r="A1" t="s">
        <v>208</v>
      </c>
      <c r="B1" t="s">
        <v>209</v>
      </c>
      <c r="C1" t="s">
        <v>210</v>
      </c>
      <c r="D1" t="s">
        <v>213</v>
      </c>
      <c r="I1" t="s">
        <v>221</v>
      </c>
      <c r="J1" t="s">
        <v>222</v>
      </c>
      <c r="K1" t="s">
        <v>229</v>
      </c>
      <c r="L1" t="s">
        <v>213</v>
      </c>
      <c r="N1" t="s">
        <v>221</v>
      </c>
      <c r="O1" t="s">
        <v>231</v>
      </c>
      <c r="P1" t="s">
        <v>229</v>
      </c>
      <c r="Q1" t="s">
        <v>213</v>
      </c>
      <c r="T1" t="s">
        <v>221</v>
      </c>
      <c r="U1" t="s">
        <v>231</v>
      </c>
      <c r="V1" t="s">
        <v>229</v>
      </c>
      <c r="W1" t="s">
        <v>213</v>
      </c>
      <c r="Z1" t="s">
        <v>221</v>
      </c>
      <c r="AA1" t="s">
        <v>231</v>
      </c>
      <c r="AB1" t="s">
        <v>229</v>
      </c>
      <c r="AC1" t="s">
        <v>213</v>
      </c>
    </row>
    <row r="2" spans="1:29">
      <c r="A2" t="s">
        <v>211</v>
      </c>
      <c r="B2">
        <v>2</v>
      </c>
      <c r="C2">
        <v>7</v>
      </c>
      <c r="D2">
        <v>1.2</v>
      </c>
      <c r="I2" t="s">
        <v>211</v>
      </c>
      <c r="J2">
        <v>2</v>
      </c>
      <c r="K2">
        <f>J2/10</f>
        <v>0.2</v>
      </c>
      <c r="L2">
        <v>8.1999999999999993</v>
      </c>
      <c r="N2" t="s">
        <v>211</v>
      </c>
      <c r="O2">
        <v>2</v>
      </c>
      <c r="P2">
        <f>O2/10</f>
        <v>0.2</v>
      </c>
      <c r="Q2">
        <v>8.1999999999999993</v>
      </c>
      <c r="T2" t="s">
        <v>211</v>
      </c>
      <c r="U2">
        <v>2</v>
      </c>
      <c r="V2">
        <f>U2/10</f>
        <v>0.2</v>
      </c>
      <c r="W2">
        <v>8.1999999999999993</v>
      </c>
      <c r="Z2" t="s">
        <v>223</v>
      </c>
      <c r="AA2">
        <v>2</v>
      </c>
      <c r="AB2">
        <f t="shared" ref="AB2:AB6" si="0">AA2/10</f>
        <v>0.2</v>
      </c>
      <c r="AC2">
        <v>16.899999999999999</v>
      </c>
    </row>
    <row r="3" spans="1:29">
      <c r="A3" t="s">
        <v>211</v>
      </c>
      <c r="B3">
        <v>2</v>
      </c>
      <c r="C3">
        <v>17</v>
      </c>
      <c r="D3">
        <v>18</v>
      </c>
      <c r="I3" t="s">
        <v>211</v>
      </c>
      <c r="J3">
        <v>0.75</v>
      </c>
      <c r="K3">
        <f t="shared" ref="K3:K20" si="1">J3/10</f>
        <v>7.4999999999999997E-2</v>
      </c>
      <c r="L3">
        <v>5.6</v>
      </c>
      <c r="N3" t="s">
        <v>211</v>
      </c>
      <c r="O3">
        <v>0.75</v>
      </c>
      <c r="P3">
        <f t="shared" ref="P3:P14" si="2">O3/10</f>
        <v>7.4999999999999997E-2</v>
      </c>
      <c r="Q3">
        <v>5.6</v>
      </c>
      <c r="T3" t="s">
        <v>211</v>
      </c>
      <c r="U3">
        <v>0.75</v>
      </c>
      <c r="V3">
        <f t="shared" ref="V3:V8" si="3">U3/10</f>
        <v>7.4999999999999997E-2</v>
      </c>
      <c r="W3">
        <v>5.6</v>
      </c>
      <c r="Z3" t="s">
        <v>223</v>
      </c>
      <c r="AA3">
        <v>0.75</v>
      </c>
      <c r="AB3">
        <f t="shared" si="0"/>
        <v>7.4999999999999997E-2</v>
      </c>
      <c r="AC3">
        <v>16</v>
      </c>
    </row>
    <row r="4" spans="1:29">
      <c r="A4" t="s">
        <v>211</v>
      </c>
      <c r="B4">
        <v>2</v>
      </c>
      <c r="C4">
        <v>22</v>
      </c>
      <c r="D4">
        <v>19</v>
      </c>
      <c r="I4" t="s">
        <v>223</v>
      </c>
      <c r="J4">
        <v>2</v>
      </c>
      <c r="K4">
        <f t="shared" si="1"/>
        <v>0.2</v>
      </c>
      <c r="L4">
        <v>13.3</v>
      </c>
      <c r="N4" t="s">
        <v>223</v>
      </c>
      <c r="O4">
        <v>2</v>
      </c>
      <c r="P4">
        <f t="shared" si="2"/>
        <v>0.2</v>
      </c>
      <c r="Q4">
        <v>13.3</v>
      </c>
      <c r="T4" t="s">
        <v>223</v>
      </c>
      <c r="U4">
        <v>2</v>
      </c>
      <c r="V4">
        <f t="shared" si="3"/>
        <v>0.2</v>
      </c>
      <c r="W4">
        <v>13.3</v>
      </c>
      <c r="Z4" t="s">
        <v>211</v>
      </c>
      <c r="AA4">
        <v>20</v>
      </c>
      <c r="AB4">
        <f t="shared" si="0"/>
        <v>2</v>
      </c>
      <c r="AC4">
        <v>4</v>
      </c>
    </row>
    <row r="5" spans="1:29">
      <c r="A5" t="s">
        <v>211</v>
      </c>
      <c r="B5">
        <v>2</v>
      </c>
      <c r="C5">
        <v>27</v>
      </c>
      <c r="D5">
        <v>5.5</v>
      </c>
      <c r="I5" t="s">
        <v>223</v>
      </c>
      <c r="J5">
        <v>0.75</v>
      </c>
      <c r="K5">
        <f t="shared" si="1"/>
        <v>7.4999999999999997E-2</v>
      </c>
      <c r="L5">
        <v>13.4</v>
      </c>
      <c r="N5" t="s">
        <v>223</v>
      </c>
      <c r="O5">
        <v>0.75</v>
      </c>
      <c r="P5">
        <f t="shared" si="2"/>
        <v>7.4999999999999997E-2</v>
      </c>
      <c r="Q5">
        <v>13.4</v>
      </c>
      <c r="T5" t="s">
        <v>223</v>
      </c>
      <c r="U5">
        <v>0.75</v>
      </c>
      <c r="V5">
        <f t="shared" si="3"/>
        <v>7.4999999999999997E-2</v>
      </c>
      <c r="W5">
        <v>13.4</v>
      </c>
      <c r="Z5" t="s">
        <v>214</v>
      </c>
      <c r="AA5">
        <v>3</v>
      </c>
      <c r="AB5">
        <f t="shared" si="0"/>
        <v>0.3</v>
      </c>
      <c r="AC5">
        <v>19.3</v>
      </c>
    </row>
    <row r="6" spans="1:29">
      <c r="A6" t="s">
        <v>211</v>
      </c>
      <c r="B6">
        <v>0.75</v>
      </c>
      <c r="C6">
        <v>7</v>
      </c>
      <c r="D6">
        <v>2.5</v>
      </c>
      <c r="I6" t="s">
        <v>211</v>
      </c>
      <c r="J6">
        <v>20</v>
      </c>
      <c r="K6">
        <f t="shared" si="1"/>
        <v>2</v>
      </c>
      <c r="L6">
        <v>4</v>
      </c>
      <c r="N6" t="s">
        <v>211</v>
      </c>
      <c r="O6">
        <v>20</v>
      </c>
      <c r="P6">
        <f t="shared" si="2"/>
        <v>2</v>
      </c>
      <c r="Q6">
        <v>4</v>
      </c>
      <c r="T6" t="s">
        <v>211</v>
      </c>
      <c r="U6">
        <v>20</v>
      </c>
      <c r="V6">
        <f t="shared" si="3"/>
        <v>2</v>
      </c>
      <c r="W6">
        <v>4</v>
      </c>
      <c r="Z6" t="s">
        <v>214</v>
      </c>
      <c r="AA6">
        <v>0.7</v>
      </c>
      <c r="AB6">
        <f t="shared" si="0"/>
        <v>6.9999999999999993E-2</v>
      </c>
      <c r="AC6">
        <v>10.3</v>
      </c>
    </row>
    <row r="7" spans="1:29">
      <c r="A7" t="s">
        <v>211</v>
      </c>
      <c r="B7">
        <v>0.75</v>
      </c>
      <c r="C7">
        <v>17</v>
      </c>
      <c r="D7">
        <v>25</v>
      </c>
      <c r="I7" t="s">
        <v>214</v>
      </c>
      <c r="J7">
        <v>3</v>
      </c>
      <c r="K7">
        <f t="shared" si="1"/>
        <v>0.3</v>
      </c>
      <c r="L7">
        <f>(D21+D23+D25)/3</f>
        <v>19.333333333333332</v>
      </c>
      <c r="N7" t="s">
        <v>214</v>
      </c>
      <c r="O7">
        <v>3</v>
      </c>
      <c r="P7">
        <f t="shared" si="2"/>
        <v>0.3</v>
      </c>
      <c r="Q7">
        <v>19.3</v>
      </c>
      <c r="T7" t="s">
        <v>214</v>
      </c>
      <c r="U7">
        <v>3</v>
      </c>
      <c r="V7">
        <f t="shared" si="3"/>
        <v>0.3</v>
      </c>
      <c r="W7">
        <v>19.3</v>
      </c>
      <c r="Z7" t="s">
        <v>227</v>
      </c>
      <c r="AA7">
        <v>10</v>
      </c>
      <c r="AB7">
        <f>AA7/10</f>
        <v>1</v>
      </c>
      <c r="AC7">
        <v>5</v>
      </c>
    </row>
    <row r="8" spans="1:29">
      <c r="A8" t="s">
        <v>211</v>
      </c>
      <c r="B8">
        <v>0.75</v>
      </c>
      <c r="C8">
        <v>22</v>
      </c>
      <c r="D8">
        <v>10</v>
      </c>
      <c r="I8" t="s">
        <v>214</v>
      </c>
      <c r="J8">
        <v>0.7</v>
      </c>
      <c r="K8">
        <f t="shared" si="1"/>
        <v>6.9999999999999993E-2</v>
      </c>
      <c r="L8">
        <f>SUM(D22+D24+D26)/3</f>
        <v>10.299999999999999</v>
      </c>
      <c r="N8" t="s">
        <v>214</v>
      </c>
      <c r="O8">
        <v>0.7</v>
      </c>
      <c r="P8">
        <f t="shared" si="2"/>
        <v>6.9999999999999993E-2</v>
      </c>
      <c r="Q8">
        <v>10.3</v>
      </c>
      <c r="T8" t="s">
        <v>214</v>
      </c>
      <c r="U8">
        <v>0.7</v>
      </c>
      <c r="V8">
        <f t="shared" si="3"/>
        <v>6.9999999999999993E-2</v>
      </c>
      <c r="W8">
        <v>10.3</v>
      </c>
      <c r="Z8" t="s">
        <v>227</v>
      </c>
      <c r="AA8">
        <v>10</v>
      </c>
      <c r="AB8">
        <f t="shared" ref="AB8:AB24" si="4">AA8/10</f>
        <v>1</v>
      </c>
      <c r="AC8">
        <v>1</v>
      </c>
    </row>
    <row r="9" spans="1:29">
      <c r="A9" t="s">
        <v>211</v>
      </c>
      <c r="B9">
        <v>0.75</v>
      </c>
      <c r="C9">
        <v>27</v>
      </c>
      <c r="D9">
        <v>0</v>
      </c>
      <c r="I9" t="s">
        <v>224</v>
      </c>
      <c r="J9">
        <v>25</v>
      </c>
      <c r="K9">
        <f t="shared" si="1"/>
        <v>2.5</v>
      </c>
      <c r="L9">
        <v>8</v>
      </c>
      <c r="N9" t="s">
        <v>224</v>
      </c>
      <c r="O9">
        <v>25</v>
      </c>
      <c r="P9">
        <f t="shared" si="2"/>
        <v>2.5</v>
      </c>
      <c r="Q9">
        <v>8</v>
      </c>
      <c r="T9" t="s">
        <v>227</v>
      </c>
      <c r="U9">
        <v>10</v>
      </c>
      <c r="V9">
        <f>U9/10</f>
        <v>1</v>
      </c>
      <c r="W9">
        <v>5</v>
      </c>
      <c r="Z9" t="s">
        <v>227</v>
      </c>
      <c r="AA9">
        <v>10</v>
      </c>
      <c r="AB9">
        <f t="shared" si="4"/>
        <v>1</v>
      </c>
      <c r="AC9">
        <v>2</v>
      </c>
    </row>
    <row r="10" spans="1:29">
      <c r="A10" t="s">
        <v>211</v>
      </c>
      <c r="B10">
        <v>20</v>
      </c>
      <c r="C10">
        <v>14</v>
      </c>
      <c r="D10">
        <v>4</v>
      </c>
      <c r="I10" t="s">
        <v>224</v>
      </c>
      <c r="J10">
        <v>85</v>
      </c>
      <c r="K10">
        <f t="shared" si="1"/>
        <v>8.5</v>
      </c>
      <c r="L10">
        <v>0.01</v>
      </c>
      <c r="N10" t="s">
        <v>224</v>
      </c>
      <c r="O10">
        <v>85</v>
      </c>
      <c r="P10">
        <f t="shared" si="2"/>
        <v>8.5</v>
      </c>
      <c r="Q10">
        <v>0.01</v>
      </c>
      <c r="T10" t="s">
        <v>227</v>
      </c>
      <c r="U10">
        <v>10</v>
      </c>
      <c r="V10">
        <f t="shared" ref="V10:V22" si="5">U10/10</f>
        <v>1</v>
      </c>
      <c r="W10">
        <v>1</v>
      </c>
      <c r="Z10" t="s">
        <v>227</v>
      </c>
      <c r="AA10">
        <v>10</v>
      </c>
      <c r="AB10">
        <f t="shared" si="4"/>
        <v>1</v>
      </c>
      <c r="AC10">
        <v>2</v>
      </c>
    </row>
    <row r="11" spans="1:29">
      <c r="A11" t="s">
        <v>212</v>
      </c>
      <c r="B11">
        <v>2</v>
      </c>
      <c r="C11">
        <v>5</v>
      </c>
      <c r="D11">
        <v>12.6</v>
      </c>
      <c r="I11" t="s">
        <v>224</v>
      </c>
      <c r="J11">
        <v>30</v>
      </c>
      <c r="K11">
        <f t="shared" si="1"/>
        <v>3</v>
      </c>
      <c r="L11">
        <v>3</v>
      </c>
      <c r="N11" t="s">
        <v>224</v>
      </c>
      <c r="O11">
        <v>30</v>
      </c>
      <c r="P11">
        <f t="shared" si="2"/>
        <v>3</v>
      </c>
      <c r="Q11">
        <v>3</v>
      </c>
      <c r="T11" t="s">
        <v>227</v>
      </c>
      <c r="U11">
        <v>10</v>
      </c>
      <c r="V11">
        <f t="shared" si="5"/>
        <v>1</v>
      </c>
      <c r="W11">
        <v>2</v>
      </c>
      <c r="Z11" t="s">
        <v>227</v>
      </c>
      <c r="AA11">
        <v>10</v>
      </c>
      <c r="AB11">
        <f t="shared" si="4"/>
        <v>1</v>
      </c>
      <c r="AC11">
        <v>4</v>
      </c>
    </row>
    <row r="12" spans="1:29">
      <c r="A12" t="s">
        <v>212</v>
      </c>
      <c r="B12">
        <v>2</v>
      </c>
      <c r="C12">
        <v>10</v>
      </c>
      <c r="D12">
        <v>11.6</v>
      </c>
      <c r="I12" t="s">
        <v>224</v>
      </c>
      <c r="J12">
        <v>15</v>
      </c>
      <c r="K12">
        <f t="shared" si="1"/>
        <v>1.5</v>
      </c>
      <c r="L12">
        <v>10</v>
      </c>
      <c r="N12" t="s">
        <v>224</v>
      </c>
      <c r="O12">
        <v>15</v>
      </c>
      <c r="P12">
        <f t="shared" si="2"/>
        <v>1.5</v>
      </c>
      <c r="Q12">
        <v>10</v>
      </c>
      <c r="T12" t="s">
        <v>227</v>
      </c>
      <c r="U12">
        <v>10</v>
      </c>
      <c r="V12">
        <f t="shared" si="5"/>
        <v>1</v>
      </c>
      <c r="W12">
        <v>2</v>
      </c>
      <c r="Z12" t="s">
        <v>227</v>
      </c>
      <c r="AA12">
        <v>10</v>
      </c>
      <c r="AB12">
        <f t="shared" si="4"/>
        <v>1</v>
      </c>
      <c r="AC12">
        <v>2</v>
      </c>
    </row>
    <row r="13" spans="1:29">
      <c r="A13" t="s">
        <v>212</v>
      </c>
      <c r="B13">
        <v>2</v>
      </c>
      <c r="C13">
        <v>15</v>
      </c>
      <c r="D13">
        <v>13.3</v>
      </c>
      <c r="I13" t="s">
        <v>224</v>
      </c>
      <c r="J13">
        <v>10</v>
      </c>
      <c r="K13">
        <f t="shared" si="1"/>
        <v>1</v>
      </c>
      <c r="L13">
        <v>9</v>
      </c>
      <c r="N13" t="s">
        <v>224</v>
      </c>
      <c r="O13">
        <v>10</v>
      </c>
      <c r="P13">
        <f t="shared" si="2"/>
        <v>1</v>
      </c>
      <c r="Q13">
        <v>9</v>
      </c>
      <c r="T13" t="s">
        <v>227</v>
      </c>
      <c r="U13">
        <v>10</v>
      </c>
      <c r="V13">
        <f t="shared" si="5"/>
        <v>1</v>
      </c>
      <c r="W13">
        <v>4</v>
      </c>
      <c r="Z13" t="s">
        <v>227</v>
      </c>
      <c r="AA13">
        <v>10</v>
      </c>
      <c r="AB13">
        <f t="shared" si="4"/>
        <v>1</v>
      </c>
      <c r="AC13">
        <v>4</v>
      </c>
    </row>
    <row r="14" spans="1:29">
      <c r="A14" t="s">
        <v>212</v>
      </c>
      <c r="B14">
        <v>2</v>
      </c>
      <c r="C14">
        <v>20</v>
      </c>
      <c r="D14">
        <v>14.4</v>
      </c>
      <c r="I14" t="s">
        <v>225</v>
      </c>
      <c r="J14">
        <v>35</v>
      </c>
      <c r="K14">
        <f t="shared" si="1"/>
        <v>3.5</v>
      </c>
      <c r="L14">
        <v>0.01</v>
      </c>
      <c r="N14" t="s">
        <v>230</v>
      </c>
      <c r="O14">
        <v>0.5</v>
      </c>
      <c r="P14">
        <f t="shared" si="2"/>
        <v>0.05</v>
      </c>
      <c r="Q14">
        <v>90</v>
      </c>
      <c r="T14" t="s">
        <v>227</v>
      </c>
      <c r="U14">
        <v>10</v>
      </c>
      <c r="V14">
        <f t="shared" si="5"/>
        <v>1</v>
      </c>
      <c r="W14">
        <v>2</v>
      </c>
      <c r="Z14" t="s">
        <v>227</v>
      </c>
      <c r="AA14">
        <v>10</v>
      </c>
      <c r="AB14">
        <f t="shared" si="4"/>
        <v>1</v>
      </c>
      <c r="AC14">
        <v>5</v>
      </c>
    </row>
    <row r="15" spans="1:29">
      <c r="A15" t="s">
        <v>212</v>
      </c>
      <c r="B15">
        <v>2</v>
      </c>
      <c r="C15">
        <v>25</v>
      </c>
      <c r="D15">
        <v>14.6</v>
      </c>
      <c r="I15" t="s">
        <v>230</v>
      </c>
      <c r="J15">
        <v>0.5</v>
      </c>
      <c r="K15">
        <f t="shared" si="1"/>
        <v>0.05</v>
      </c>
      <c r="L15">
        <v>90</v>
      </c>
      <c r="N15" t="s">
        <v>230</v>
      </c>
      <c r="O15">
        <v>0.5</v>
      </c>
      <c r="P15">
        <f>O15/10</f>
        <v>0.05</v>
      </c>
      <c r="Q15">
        <v>60</v>
      </c>
      <c r="T15" t="s">
        <v>227</v>
      </c>
      <c r="U15">
        <v>10</v>
      </c>
      <c r="V15">
        <f t="shared" si="5"/>
        <v>1</v>
      </c>
      <c r="W15">
        <v>4</v>
      </c>
      <c r="Z15" t="s">
        <v>224</v>
      </c>
      <c r="AA15">
        <v>25</v>
      </c>
      <c r="AB15">
        <f t="shared" si="4"/>
        <v>2.5</v>
      </c>
      <c r="AC15">
        <v>8</v>
      </c>
    </row>
    <row r="16" spans="1:29">
      <c r="A16" t="s">
        <v>212</v>
      </c>
      <c r="B16">
        <v>0.75</v>
      </c>
      <c r="C16">
        <v>5</v>
      </c>
      <c r="D16">
        <v>12.9</v>
      </c>
      <c r="I16" t="s">
        <v>225</v>
      </c>
      <c r="J16">
        <v>25</v>
      </c>
      <c r="K16">
        <f t="shared" si="1"/>
        <v>2.5</v>
      </c>
      <c r="L16">
        <v>0.7</v>
      </c>
      <c r="N16" t="s">
        <v>230</v>
      </c>
      <c r="O16">
        <v>0.5</v>
      </c>
      <c r="P16">
        <f t="shared" ref="P16:P27" si="6">O16/10</f>
        <v>0.05</v>
      </c>
      <c r="Q16">
        <v>55</v>
      </c>
      <c r="T16" t="s">
        <v>227</v>
      </c>
      <c r="U16">
        <v>10</v>
      </c>
      <c r="V16">
        <f t="shared" si="5"/>
        <v>1</v>
      </c>
      <c r="W16">
        <v>5</v>
      </c>
      <c r="Z16" t="s">
        <v>224</v>
      </c>
      <c r="AA16">
        <v>85</v>
      </c>
      <c r="AB16">
        <f t="shared" si="4"/>
        <v>8.5</v>
      </c>
      <c r="AC16">
        <v>0.5</v>
      </c>
    </row>
    <row r="17" spans="1:29">
      <c r="A17" t="s">
        <v>212</v>
      </c>
      <c r="B17">
        <v>0.75</v>
      </c>
      <c r="C17">
        <v>10</v>
      </c>
      <c r="D17">
        <v>13.2</v>
      </c>
      <c r="I17" t="s">
        <v>225</v>
      </c>
      <c r="J17">
        <v>5</v>
      </c>
      <c r="K17">
        <f t="shared" si="1"/>
        <v>0.5</v>
      </c>
      <c r="L17">
        <v>2</v>
      </c>
      <c r="N17" t="s">
        <v>230</v>
      </c>
      <c r="O17">
        <v>0.5</v>
      </c>
      <c r="P17">
        <f t="shared" si="6"/>
        <v>0.05</v>
      </c>
      <c r="Q17">
        <v>40</v>
      </c>
      <c r="T17" t="s">
        <v>224</v>
      </c>
      <c r="U17">
        <v>25</v>
      </c>
      <c r="V17">
        <f t="shared" si="5"/>
        <v>2.5</v>
      </c>
      <c r="W17">
        <v>8</v>
      </c>
      <c r="Z17" t="s">
        <v>224</v>
      </c>
      <c r="AA17">
        <v>30</v>
      </c>
      <c r="AB17">
        <f t="shared" si="4"/>
        <v>3</v>
      </c>
      <c r="AC17">
        <v>3</v>
      </c>
    </row>
    <row r="18" spans="1:29">
      <c r="A18" t="s">
        <v>212</v>
      </c>
      <c r="B18">
        <v>0.75</v>
      </c>
      <c r="C18">
        <v>15</v>
      </c>
      <c r="D18">
        <v>13.4</v>
      </c>
      <c r="I18" t="s">
        <v>225</v>
      </c>
      <c r="J18">
        <v>3</v>
      </c>
      <c r="K18">
        <f t="shared" si="1"/>
        <v>0.3</v>
      </c>
      <c r="L18">
        <v>5.3</v>
      </c>
      <c r="N18" t="s">
        <v>230</v>
      </c>
      <c r="O18">
        <v>0.5</v>
      </c>
      <c r="P18">
        <f t="shared" si="6"/>
        <v>0.05</v>
      </c>
      <c r="Q18">
        <v>35</v>
      </c>
      <c r="T18" t="s">
        <v>224</v>
      </c>
      <c r="U18">
        <v>85</v>
      </c>
      <c r="V18">
        <f t="shared" si="5"/>
        <v>8.5</v>
      </c>
      <c r="W18">
        <v>0.5</v>
      </c>
      <c r="Z18" t="s">
        <v>224</v>
      </c>
      <c r="AA18">
        <v>15</v>
      </c>
      <c r="AB18">
        <f t="shared" si="4"/>
        <v>1.5</v>
      </c>
      <c r="AC18">
        <v>10</v>
      </c>
    </row>
    <row r="19" spans="1:29">
      <c r="A19" t="s">
        <v>212</v>
      </c>
      <c r="B19">
        <v>0.75</v>
      </c>
      <c r="C19">
        <v>20</v>
      </c>
      <c r="D19">
        <v>13.7</v>
      </c>
      <c r="I19" t="s">
        <v>225</v>
      </c>
      <c r="J19">
        <v>2</v>
      </c>
      <c r="K19">
        <f t="shared" si="1"/>
        <v>0.2</v>
      </c>
      <c r="L19">
        <v>7.6660000000000004</v>
      </c>
      <c r="N19" t="s">
        <v>230</v>
      </c>
      <c r="O19">
        <v>0.5</v>
      </c>
      <c r="P19">
        <f t="shared" si="6"/>
        <v>0.05</v>
      </c>
      <c r="Q19">
        <v>30</v>
      </c>
      <c r="T19" t="s">
        <v>224</v>
      </c>
      <c r="U19">
        <v>30</v>
      </c>
      <c r="V19">
        <f t="shared" si="5"/>
        <v>3</v>
      </c>
      <c r="W19">
        <v>3</v>
      </c>
      <c r="Z19" t="s">
        <v>224</v>
      </c>
      <c r="AA19">
        <v>10</v>
      </c>
      <c r="AB19">
        <f t="shared" si="4"/>
        <v>1</v>
      </c>
      <c r="AC19">
        <v>9</v>
      </c>
    </row>
    <row r="20" spans="1:29">
      <c r="A20" t="s">
        <v>212</v>
      </c>
      <c r="B20">
        <v>0.75</v>
      </c>
      <c r="C20">
        <v>25</v>
      </c>
      <c r="D20">
        <v>13.9</v>
      </c>
      <c r="I20" t="s">
        <v>228</v>
      </c>
      <c r="J20">
        <v>10</v>
      </c>
      <c r="K20">
        <f t="shared" si="1"/>
        <v>1</v>
      </c>
      <c r="L20">
        <v>3.5</v>
      </c>
      <c r="N20" t="s">
        <v>230</v>
      </c>
      <c r="O20">
        <v>0.5</v>
      </c>
      <c r="P20">
        <f t="shared" si="6"/>
        <v>0.05</v>
      </c>
      <c r="Q20">
        <v>20</v>
      </c>
      <c r="T20" t="s">
        <v>224</v>
      </c>
      <c r="U20">
        <v>15</v>
      </c>
      <c r="V20">
        <f t="shared" si="5"/>
        <v>1.5</v>
      </c>
      <c r="W20">
        <v>10</v>
      </c>
      <c r="Z20" t="s">
        <v>225</v>
      </c>
      <c r="AA20">
        <v>35</v>
      </c>
      <c r="AB20">
        <f t="shared" si="4"/>
        <v>3.5</v>
      </c>
      <c r="AC20">
        <v>0.05</v>
      </c>
    </row>
    <row r="21" spans="1:29">
      <c r="A21" t="s">
        <v>214</v>
      </c>
      <c r="B21">
        <v>3</v>
      </c>
      <c r="C21">
        <v>14</v>
      </c>
      <c r="D21">
        <v>6</v>
      </c>
      <c r="I21" t="s">
        <v>230</v>
      </c>
      <c r="J21">
        <v>0.5</v>
      </c>
      <c r="K21">
        <f>J21/10</f>
        <v>0.05</v>
      </c>
      <c r="L21">
        <v>60</v>
      </c>
      <c r="N21" t="s">
        <v>230</v>
      </c>
      <c r="O21">
        <v>0.5</v>
      </c>
      <c r="P21">
        <f t="shared" si="6"/>
        <v>0.05</v>
      </c>
      <c r="Q21">
        <v>10</v>
      </c>
      <c r="T21" t="s">
        <v>224</v>
      </c>
      <c r="U21">
        <v>10</v>
      </c>
      <c r="V21">
        <f t="shared" si="5"/>
        <v>1</v>
      </c>
      <c r="W21">
        <v>9</v>
      </c>
      <c r="Z21" t="s">
        <v>225</v>
      </c>
      <c r="AA21">
        <v>25</v>
      </c>
      <c r="AB21">
        <f t="shared" si="4"/>
        <v>2.5</v>
      </c>
      <c r="AC21">
        <v>0.7</v>
      </c>
    </row>
    <row r="22" spans="1:29">
      <c r="A22" t="s">
        <v>214</v>
      </c>
      <c r="B22">
        <v>0.75</v>
      </c>
      <c r="C22">
        <v>14</v>
      </c>
      <c r="D22">
        <v>3.9</v>
      </c>
      <c r="I22" t="s">
        <v>230</v>
      </c>
      <c r="J22">
        <v>0.5</v>
      </c>
      <c r="K22">
        <f t="shared" ref="K22:K28" si="7">J22/10</f>
        <v>0.05</v>
      </c>
      <c r="L22">
        <v>55</v>
      </c>
      <c r="N22" t="s">
        <v>230</v>
      </c>
      <c r="O22">
        <v>0.5</v>
      </c>
      <c r="P22">
        <f t="shared" si="6"/>
        <v>0.05</v>
      </c>
      <c r="Q22">
        <v>2</v>
      </c>
      <c r="T22" t="s">
        <v>230</v>
      </c>
      <c r="U22">
        <v>0.5</v>
      </c>
      <c r="V22">
        <f t="shared" si="5"/>
        <v>0.05</v>
      </c>
      <c r="W22">
        <v>90</v>
      </c>
      <c r="Z22" t="s">
        <v>225</v>
      </c>
      <c r="AA22">
        <v>5</v>
      </c>
      <c r="AB22">
        <f t="shared" si="4"/>
        <v>0.5</v>
      </c>
      <c r="AC22">
        <v>2</v>
      </c>
    </row>
    <row r="23" spans="1:29">
      <c r="A23" t="s">
        <v>214</v>
      </c>
      <c r="B23">
        <v>3</v>
      </c>
      <c r="C23">
        <v>20</v>
      </c>
      <c r="D23">
        <v>12</v>
      </c>
      <c r="I23" t="s">
        <v>230</v>
      </c>
      <c r="J23">
        <v>0.5</v>
      </c>
      <c r="K23">
        <f t="shared" si="7"/>
        <v>0.05</v>
      </c>
      <c r="L23">
        <v>40</v>
      </c>
      <c r="N23" t="s">
        <v>225</v>
      </c>
      <c r="O23">
        <v>35</v>
      </c>
      <c r="P23">
        <f t="shared" si="6"/>
        <v>3.5</v>
      </c>
      <c r="Q23">
        <v>0.01</v>
      </c>
      <c r="T23" t="s">
        <v>230</v>
      </c>
      <c r="U23">
        <v>0.5</v>
      </c>
      <c r="V23">
        <f>U23/10</f>
        <v>0.05</v>
      </c>
      <c r="W23">
        <v>60</v>
      </c>
      <c r="Z23" t="s">
        <v>225</v>
      </c>
      <c r="AA23">
        <v>3</v>
      </c>
      <c r="AB23">
        <f t="shared" si="4"/>
        <v>0.3</v>
      </c>
      <c r="AC23">
        <v>5.3</v>
      </c>
    </row>
    <row r="24" spans="1:29">
      <c r="A24" t="s">
        <v>214</v>
      </c>
      <c r="B24">
        <v>0.75</v>
      </c>
      <c r="C24">
        <v>20</v>
      </c>
      <c r="D24">
        <v>13</v>
      </c>
      <c r="I24" t="s">
        <v>230</v>
      </c>
      <c r="J24">
        <v>0.5</v>
      </c>
      <c r="K24">
        <f t="shared" si="7"/>
        <v>0.05</v>
      </c>
      <c r="L24">
        <v>35</v>
      </c>
      <c r="N24" t="s">
        <v>225</v>
      </c>
      <c r="O24">
        <v>25</v>
      </c>
      <c r="P24">
        <f t="shared" si="6"/>
        <v>2.5</v>
      </c>
      <c r="Q24">
        <v>0.7</v>
      </c>
      <c r="T24" t="s">
        <v>230</v>
      </c>
      <c r="U24">
        <v>0.5</v>
      </c>
      <c r="V24">
        <f t="shared" ref="V24:V35" si="8">U24/10</f>
        <v>0.05</v>
      </c>
      <c r="W24">
        <v>55</v>
      </c>
      <c r="Z24" t="s">
        <v>225</v>
      </c>
      <c r="AA24">
        <v>2</v>
      </c>
      <c r="AB24">
        <f t="shared" si="4"/>
        <v>0.2</v>
      </c>
      <c r="AC24">
        <v>7.6660000000000004</v>
      </c>
    </row>
    <row r="25" spans="1:29">
      <c r="A25" t="s">
        <v>214</v>
      </c>
      <c r="B25">
        <v>3</v>
      </c>
      <c r="C25">
        <v>27</v>
      </c>
      <c r="D25">
        <v>40</v>
      </c>
      <c r="I25" t="s">
        <v>230</v>
      </c>
      <c r="J25">
        <v>0.5</v>
      </c>
      <c r="K25">
        <f t="shared" si="7"/>
        <v>0.05</v>
      </c>
      <c r="L25">
        <v>30</v>
      </c>
      <c r="N25" t="s">
        <v>225</v>
      </c>
      <c r="O25">
        <v>5</v>
      </c>
      <c r="P25">
        <f t="shared" si="6"/>
        <v>0.5</v>
      </c>
      <c r="Q25">
        <v>2</v>
      </c>
      <c r="T25" t="s">
        <v>230</v>
      </c>
      <c r="U25">
        <v>0.5</v>
      </c>
      <c r="V25">
        <f t="shared" si="8"/>
        <v>0.05</v>
      </c>
      <c r="W25">
        <v>40</v>
      </c>
    </row>
    <row r="26" spans="1:29">
      <c r="A26" t="s">
        <v>214</v>
      </c>
      <c r="B26">
        <v>0.75</v>
      </c>
      <c r="C26">
        <v>27</v>
      </c>
      <c r="D26">
        <v>14</v>
      </c>
      <c r="I26" t="s">
        <v>230</v>
      </c>
      <c r="J26">
        <v>0.5</v>
      </c>
      <c r="K26">
        <f t="shared" si="7"/>
        <v>0.05</v>
      </c>
      <c r="L26">
        <v>20</v>
      </c>
      <c r="N26" t="s">
        <v>225</v>
      </c>
      <c r="O26">
        <v>3</v>
      </c>
      <c r="P26">
        <f t="shared" si="6"/>
        <v>0.3</v>
      </c>
      <c r="Q26">
        <v>5.3</v>
      </c>
      <c r="T26" t="s">
        <v>230</v>
      </c>
      <c r="U26">
        <v>0.5</v>
      </c>
      <c r="V26">
        <f t="shared" si="8"/>
        <v>0.05</v>
      </c>
      <c r="W26">
        <v>35</v>
      </c>
    </row>
    <row r="27" spans="1:29">
      <c r="A27" t="s">
        <v>218</v>
      </c>
      <c r="B27">
        <v>25</v>
      </c>
      <c r="C27" t="s">
        <v>219</v>
      </c>
      <c r="D27">
        <v>8</v>
      </c>
      <c r="I27" t="s">
        <v>230</v>
      </c>
      <c r="J27">
        <v>0.5</v>
      </c>
      <c r="K27">
        <f t="shared" si="7"/>
        <v>0.05</v>
      </c>
      <c r="L27">
        <v>10</v>
      </c>
      <c r="N27" t="s">
        <v>225</v>
      </c>
      <c r="O27">
        <v>2</v>
      </c>
      <c r="P27">
        <f t="shared" si="6"/>
        <v>0.2</v>
      </c>
      <c r="Q27">
        <v>7.6660000000000004</v>
      </c>
      <c r="T27" t="s">
        <v>230</v>
      </c>
      <c r="U27">
        <v>0.5</v>
      </c>
      <c r="V27">
        <f t="shared" si="8"/>
        <v>0.05</v>
      </c>
      <c r="W27">
        <v>30</v>
      </c>
    </row>
    <row r="28" spans="1:29">
      <c r="A28" t="s">
        <v>218</v>
      </c>
      <c r="B28">
        <v>85</v>
      </c>
      <c r="C28" t="s">
        <v>219</v>
      </c>
      <c r="D28">
        <v>0</v>
      </c>
      <c r="I28" t="s">
        <v>230</v>
      </c>
      <c r="J28">
        <v>0.5</v>
      </c>
      <c r="K28">
        <f t="shared" si="7"/>
        <v>0.05</v>
      </c>
      <c r="L28">
        <v>2</v>
      </c>
      <c r="N28" t="s">
        <v>227</v>
      </c>
      <c r="O28">
        <v>10</v>
      </c>
      <c r="P28">
        <f>O28/10</f>
        <v>1</v>
      </c>
      <c r="Q28">
        <v>5</v>
      </c>
      <c r="T28" t="s">
        <v>230</v>
      </c>
      <c r="U28">
        <v>0.5</v>
      </c>
      <c r="V28">
        <f t="shared" si="8"/>
        <v>0.05</v>
      </c>
      <c r="W28">
        <v>20</v>
      </c>
    </row>
    <row r="29" spans="1:29">
      <c r="A29" t="s">
        <v>218</v>
      </c>
      <c r="B29">
        <v>30</v>
      </c>
      <c r="C29" t="s">
        <v>219</v>
      </c>
      <c r="D29">
        <v>3</v>
      </c>
      <c r="I29" t="s">
        <v>227</v>
      </c>
      <c r="J29">
        <v>10</v>
      </c>
      <c r="K29">
        <f>J29/10</f>
        <v>1</v>
      </c>
      <c r="L29">
        <v>5</v>
      </c>
      <c r="N29" t="s">
        <v>227</v>
      </c>
      <c r="O29">
        <v>10</v>
      </c>
      <c r="P29">
        <f t="shared" ref="P29:P35" si="9">O29/10</f>
        <v>1</v>
      </c>
      <c r="Q29">
        <v>1</v>
      </c>
      <c r="T29" t="s">
        <v>230</v>
      </c>
      <c r="U29">
        <v>0.5</v>
      </c>
      <c r="V29">
        <f t="shared" si="8"/>
        <v>0.05</v>
      </c>
      <c r="W29">
        <v>10</v>
      </c>
    </row>
    <row r="30" spans="1:29">
      <c r="A30" t="s">
        <v>218</v>
      </c>
      <c r="B30">
        <v>15</v>
      </c>
      <c r="C30" t="s">
        <v>219</v>
      </c>
      <c r="D30">
        <v>10</v>
      </c>
      <c r="I30" t="s">
        <v>227</v>
      </c>
      <c r="J30">
        <v>10</v>
      </c>
      <c r="K30">
        <f t="shared" ref="K30:K36" si="10">J30/10</f>
        <v>1</v>
      </c>
      <c r="L30">
        <v>1</v>
      </c>
      <c r="N30" t="s">
        <v>227</v>
      </c>
      <c r="O30">
        <v>10</v>
      </c>
      <c r="P30">
        <f t="shared" si="9"/>
        <v>1</v>
      </c>
      <c r="Q30">
        <v>2</v>
      </c>
      <c r="T30" t="s">
        <v>230</v>
      </c>
      <c r="U30">
        <v>0.5</v>
      </c>
      <c r="V30">
        <f t="shared" si="8"/>
        <v>0.05</v>
      </c>
      <c r="W30">
        <v>2</v>
      </c>
    </row>
    <row r="31" spans="1:29">
      <c r="A31" t="s">
        <v>218</v>
      </c>
      <c r="B31">
        <v>10</v>
      </c>
      <c r="C31" t="s">
        <v>219</v>
      </c>
      <c r="D31">
        <v>9</v>
      </c>
      <c r="I31" t="s">
        <v>227</v>
      </c>
      <c r="J31">
        <v>10</v>
      </c>
      <c r="K31">
        <f t="shared" si="10"/>
        <v>1</v>
      </c>
      <c r="L31">
        <v>2</v>
      </c>
      <c r="N31" t="s">
        <v>227</v>
      </c>
      <c r="O31">
        <v>10</v>
      </c>
      <c r="P31">
        <f t="shared" si="9"/>
        <v>1</v>
      </c>
      <c r="Q31">
        <v>2</v>
      </c>
      <c r="T31" t="s">
        <v>225</v>
      </c>
      <c r="U31">
        <v>35</v>
      </c>
      <c r="V31">
        <f t="shared" si="8"/>
        <v>3.5</v>
      </c>
      <c r="W31">
        <v>0.05</v>
      </c>
    </row>
    <row r="32" spans="1:29">
      <c r="A32" t="s">
        <v>226</v>
      </c>
      <c r="B32">
        <v>5</v>
      </c>
      <c r="C32" t="s">
        <v>219</v>
      </c>
      <c r="D32">
        <v>15</v>
      </c>
      <c r="I32" t="s">
        <v>227</v>
      </c>
      <c r="J32">
        <v>10</v>
      </c>
      <c r="K32">
        <f t="shared" si="10"/>
        <v>1</v>
      </c>
      <c r="L32">
        <v>2</v>
      </c>
      <c r="N32" t="s">
        <v>227</v>
      </c>
      <c r="O32">
        <v>10</v>
      </c>
      <c r="P32">
        <f t="shared" si="9"/>
        <v>1</v>
      </c>
      <c r="Q32">
        <v>4</v>
      </c>
      <c r="T32" t="s">
        <v>225</v>
      </c>
      <c r="U32">
        <v>25</v>
      </c>
      <c r="V32">
        <f t="shared" si="8"/>
        <v>2.5</v>
      </c>
      <c r="W32">
        <v>0.7</v>
      </c>
    </row>
    <row r="33" spans="1:23">
      <c r="A33" t="s">
        <v>220</v>
      </c>
      <c r="B33">
        <v>35</v>
      </c>
      <c r="C33">
        <v>9</v>
      </c>
      <c r="D33">
        <v>0</v>
      </c>
      <c r="I33" t="s">
        <v>227</v>
      </c>
      <c r="J33">
        <v>10</v>
      </c>
      <c r="K33">
        <f t="shared" si="10"/>
        <v>1</v>
      </c>
      <c r="L33">
        <v>4</v>
      </c>
      <c r="N33" t="s">
        <v>227</v>
      </c>
      <c r="O33">
        <v>10</v>
      </c>
      <c r="P33">
        <f t="shared" si="9"/>
        <v>1</v>
      </c>
      <c r="Q33">
        <v>2</v>
      </c>
      <c r="T33" t="s">
        <v>225</v>
      </c>
      <c r="U33">
        <v>5</v>
      </c>
      <c r="V33">
        <f t="shared" si="8"/>
        <v>0.5</v>
      </c>
      <c r="W33">
        <v>2</v>
      </c>
    </row>
    <row r="34" spans="1:23">
      <c r="A34" t="s">
        <v>220</v>
      </c>
      <c r="B34">
        <v>35</v>
      </c>
      <c r="C34">
        <v>19</v>
      </c>
      <c r="D34">
        <v>0</v>
      </c>
      <c r="I34" t="s">
        <v>227</v>
      </c>
      <c r="J34">
        <v>10</v>
      </c>
      <c r="K34">
        <f t="shared" si="10"/>
        <v>1</v>
      </c>
      <c r="L34">
        <v>2</v>
      </c>
      <c r="N34" t="s">
        <v>227</v>
      </c>
      <c r="O34">
        <v>10</v>
      </c>
      <c r="P34">
        <f t="shared" si="9"/>
        <v>1</v>
      </c>
      <c r="Q34">
        <v>4</v>
      </c>
      <c r="T34" t="s">
        <v>225</v>
      </c>
      <c r="U34">
        <v>3</v>
      </c>
      <c r="V34">
        <f t="shared" si="8"/>
        <v>0.3</v>
      </c>
      <c r="W34">
        <v>5.3</v>
      </c>
    </row>
    <row r="35" spans="1:23">
      <c r="A35" t="s">
        <v>220</v>
      </c>
      <c r="B35">
        <v>35</v>
      </c>
      <c r="C35">
        <v>24</v>
      </c>
      <c r="D35">
        <v>0</v>
      </c>
      <c r="I35" t="s">
        <v>227</v>
      </c>
      <c r="J35">
        <v>10</v>
      </c>
      <c r="K35">
        <f t="shared" si="10"/>
        <v>1</v>
      </c>
      <c r="L35">
        <v>4</v>
      </c>
      <c r="N35" t="s">
        <v>227</v>
      </c>
      <c r="O35">
        <v>10</v>
      </c>
      <c r="P35">
        <f t="shared" si="9"/>
        <v>1</v>
      </c>
      <c r="Q35">
        <v>5</v>
      </c>
      <c r="T35" t="s">
        <v>225</v>
      </c>
      <c r="U35">
        <v>2</v>
      </c>
      <c r="V35">
        <f t="shared" si="8"/>
        <v>0.2</v>
      </c>
      <c r="W35">
        <v>7.6660000000000004</v>
      </c>
    </row>
    <row r="36" spans="1:23">
      <c r="A36" t="s">
        <v>220</v>
      </c>
      <c r="B36">
        <v>25</v>
      </c>
      <c r="C36">
        <v>9</v>
      </c>
      <c r="D36">
        <v>0</v>
      </c>
      <c r="I36" t="s">
        <v>227</v>
      </c>
      <c r="J36">
        <v>10</v>
      </c>
      <c r="K36">
        <f t="shared" si="10"/>
        <v>1</v>
      </c>
      <c r="L36">
        <v>5</v>
      </c>
    </row>
    <row r="37" spans="1:23">
      <c r="A37" t="s">
        <v>220</v>
      </c>
      <c r="B37">
        <v>25</v>
      </c>
      <c r="C37">
        <v>19</v>
      </c>
      <c r="D37">
        <v>1</v>
      </c>
    </row>
    <row r="38" spans="1:23">
      <c r="A38" t="s">
        <v>220</v>
      </c>
      <c r="B38">
        <v>25</v>
      </c>
      <c r="C38">
        <v>25</v>
      </c>
      <c r="D38">
        <v>1</v>
      </c>
      <c r="S38" t="s">
        <v>232</v>
      </c>
      <c r="T38" t="s">
        <v>233</v>
      </c>
    </row>
    <row r="39" spans="1:23">
      <c r="A39" t="s">
        <v>220</v>
      </c>
      <c r="B39">
        <v>5</v>
      </c>
      <c r="C39">
        <v>9</v>
      </c>
      <c r="D39">
        <v>1</v>
      </c>
      <c r="S39" t="s">
        <v>234</v>
      </c>
      <c r="T39" t="s">
        <v>235</v>
      </c>
    </row>
    <row r="40" spans="1:23">
      <c r="A40" t="s">
        <v>220</v>
      </c>
      <c r="B40">
        <v>5</v>
      </c>
      <c r="C40">
        <v>19</v>
      </c>
      <c r="D40">
        <v>2</v>
      </c>
      <c r="S40" t="s">
        <v>236</v>
      </c>
      <c r="T40" t="s">
        <v>237</v>
      </c>
    </row>
    <row r="41" spans="1:23">
      <c r="A41" t="s">
        <v>220</v>
      </c>
      <c r="B41">
        <v>5</v>
      </c>
      <c r="C41">
        <v>25</v>
      </c>
      <c r="D41">
        <v>3</v>
      </c>
    </row>
    <row r="42" spans="1:23">
      <c r="A42" t="s">
        <v>220</v>
      </c>
      <c r="B42">
        <v>3</v>
      </c>
      <c r="C42">
        <v>9</v>
      </c>
      <c r="D42">
        <v>5</v>
      </c>
    </row>
    <row r="43" spans="1:23">
      <c r="A43" t="s">
        <v>220</v>
      </c>
      <c r="B43">
        <v>3</v>
      </c>
      <c r="C43">
        <v>19</v>
      </c>
      <c r="D43">
        <v>5</v>
      </c>
      <c r="T43" t="s">
        <v>238</v>
      </c>
    </row>
    <row r="44" spans="1:23">
      <c r="A44" t="s">
        <v>220</v>
      </c>
      <c r="B44">
        <v>3</v>
      </c>
      <c r="C44">
        <v>25</v>
      </c>
      <c r="D44">
        <v>6</v>
      </c>
    </row>
    <row r="45" spans="1:23">
      <c r="A45" t="s">
        <v>220</v>
      </c>
      <c r="B45">
        <v>2</v>
      </c>
      <c r="C45">
        <v>9</v>
      </c>
      <c r="D45">
        <v>7</v>
      </c>
    </row>
    <row r="46" spans="1:23">
      <c r="A46" t="s">
        <v>220</v>
      </c>
      <c r="B46">
        <v>2</v>
      </c>
      <c r="C46">
        <v>19</v>
      </c>
      <c r="D46">
        <v>7</v>
      </c>
    </row>
    <row r="47" spans="1:23">
      <c r="A47" t="s">
        <v>220</v>
      </c>
      <c r="B47">
        <v>2</v>
      </c>
      <c r="C47">
        <v>25</v>
      </c>
      <c r="D47">
        <v>8</v>
      </c>
    </row>
    <row r="48" spans="1:23">
      <c r="A48" t="s">
        <v>227</v>
      </c>
      <c r="B48">
        <v>10</v>
      </c>
      <c r="C48" t="s">
        <v>219</v>
      </c>
      <c r="D48">
        <v>5</v>
      </c>
    </row>
    <row r="49" spans="1:4">
      <c r="A49" t="s">
        <v>227</v>
      </c>
      <c r="B49">
        <v>10</v>
      </c>
      <c r="C49" t="s">
        <v>219</v>
      </c>
      <c r="D49">
        <v>1</v>
      </c>
    </row>
    <row r="50" spans="1:4">
      <c r="A50" t="s">
        <v>227</v>
      </c>
      <c r="B50">
        <v>10</v>
      </c>
      <c r="C50" t="s">
        <v>219</v>
      </c>
      <c r="D50">
        <v>2</v>
      </c>
    </row>
    <row r="51" spans="1:4">
      <c r="A51" t="s">
        <v>227</v>
      </c>
      <c r="B51">
        <v>10</v>
      </c>
      <c r="C51" t="s">
        <v>219</v>
      </c>
      <c r="D51">
        <v>2</v>
      </c>
    </row>
    <row r="52" spans="1:4">
      <c r="A52" t="s">
        <v>227</v>
      </c>
      <c r="B52">
        <v>10</v>
      </c>
      <c r="C52" t="s">
        <v>219</v>
      </c>
      <c r="D52">
        <v>4</v>
      </c>
    </row>
    <row r="53" spans="1:4">
      <c r="A53" t="s">
        <v>227</v>
      </c>
      <c r="B53">
        <v>10</v>
      </c>
      <c r="C53" t="s">
        <v>219</v>
      </c>
      <c r="D53">
        <v>2</v>
      </c>
    </row>
    <row r="54" spans="1:4">
      <c r="A54" t="s">
        <v>227</v>
      </c>
      <c r="B54">
        <v>10</v>
      </c>
      <c r="C54" t="s">
        <v>219</v>
      </c>
      <c r="D54">
        <v>4</v>
      </c>
    </row>
    <row r="55" spans="1:4">
      <c r="A55" t="s">
        <v>227</v>
      </c>
      <c r="B55">
        <v>10</v>
      </c>
      <c r="C55" t="s">
        <v>219</v>
      </c>
      <c r="D55">
        <v>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4303D-9D63-42B7-A0E3-BFF43D649D59}">
  <dimension ref="A1:O55"/>
  <sheetViews>
    <sheetView topLeftCell="A19" workbookViewId="0">
      <selection activeCell="E31" sqref="E31"/>
    </sheetView>
  </sheetViews>
  <sheetFormatPr defaultRowHeight="14.4"/>
  <cols>
    <col min="1" max="1" width="21" customWidth="1"/>
    <col min="2" max="2" width="15.88671875" customWidth="1"/>
    <col min="3" max="3" width="16.88671875" customWidth="1"/>
    <col min="4" max="4" width="24.5546875" customWidth="1"/>
    <col min="5" max="5" width="16.6640625" customWidth="1"/>
    <col min="6" max="6" width="15.5546875" customWidth="1"/>
    <col min="7" max="7" width="17.21875" customWidth="1"/>
    <col min="8" max="8" width="17.6640625" customWidth="1"/>
    <col min="9" max="10" width="18.33203125" customWidth="1"/>
    <col min="11" max="11" width="18.6640625" customWidth="1"/>
    <col min="12" max="12" width="18.88671875" customWidth="1"/>
    <col min="13" max="14" width="19.44140625" customWidth="1"/>
    <col min="15" max="15" width="19.21875" customWidth="1"/>
  </cols>
  <sheetData>
    <row r="1" spans="1:14">
      <c r="B1" t="s">
        <v>182</v>
      </c>
      <c r="C1" t="s">
        <v>181</v>
      </c>
      <c r="D1" t="s">
        <v>183</v>
      </c>
      <c r="E1" t="s">
        <v>184</v>
      </c>
      <c r="F1" t="s">
        <v>185</v>
      </c>
      <c r="H1" t="s">
        <v>190</v>
      </c>
      <c r="I1" t="s">
        <v>191</v>
      </c>
      <c r="J1" t="s">
        <v>192</v>
      </c>
      <c r="K1" t="s">
        <v>193</v>
      </c>
      <c r="L1" t="s">
        <v>194</v>
      </c>
      <c r="M1" t="s">
        <v>203</v>
      </c>
      <c r="N1" t="s">
        <v>204</v>
      </c>
    </row>
    <row r="2" spans="1:14">
      <c r="A2" t="s">
        <v>180</v>
      </c>
      <c r="B2">
        <v>0.28999999999999998</v>
      </c>
      <c r="C2">
        <v>0.15</v>
      </c>
      <c r="D2">
        <v>0.15</v>
      </c>
      <c r="E2">
        <v>0.1</v>
      </c>
      <c r="F2">
        <v>0.1</v>
      </c>
      <c r="H2">
        <v>0.25</v>
      </c>
      <c r="I2">
        <v>0.2</v>
      </c>
      <c r="J2">
        <v>0.15</v>
      </c>
      <c r="K2">
        <v>0.15</v>
      </c>
      <c r="L2">
        <v>0.15</v>
      </c>
      <c r="M2">
        <v>0.1</v>
      </c>
      <c r="N2">
        <v>0.1</v>
      </c>
    </row>
    <row r="3" spans="1:14">
      <c r="A3" t="s">
        <v>186</v>
      </c>
      <c r="B3">
        <v>0.95</v>
      </c>
      <c r="C3">
        <v>0.95</v>
      </c>
      <c r="D3">
        <v>0.95</v>
      </c>
      <c r="E3">
        <v>0.95</v>
      </c>
      <c r="F3">
        <v>0.95</v>
      </c>
      <c r="H3">
        <v>0.95</v>
      </c>
      <c r="I3">
        <v>0.95</v>
      </c>
      <c r="J3">
        <v>0.95</v>
      </c>
      <c r="K3">
        <v>0.95</v>
      </c>
      <c r="L3">
        <v>0.95</v>
      </c>
      <c r="M3">
        <v>0.95</v>
      </c>
      <c r="N3">
        <v>0.95</v>
      </c>
    </row>
    <row r="4" spans="1:14">
      <c r="A4" t="s">
        <v>187</v>
      </c>
      <c r="B4">
        <v>0.05</v>
      </c>
      <c r="C4">
        <v>0.05</v>
      </c>
      <c r="D4">
        <v>0.05</v>
      </c>
      <c r="E4">
        <v>0.05</v>
      </c>
      <c r="F4">
        <v>0.05</v>
      </c>
      <c r="H4">
        <v>0.05</v>
      </c>
      <c r="I4">
        <v>0.05</v>
      </c>
      <c r="J4">
        <v>0.05</v>
      </c>
      <c r="K4">
        <v>0.05</v>
      </c>
      <c r="L4">
        <v>0.05</v>
      </c>
      <c r="M4">
        <v>0.05</v>
      </c>
      <c r="N4">
        <v>0.05</v>
      </c>
    </row>
    <row r="5" spans="1:14">
      <c r="A5" t="s">
        <v>188</v>
      </c>
      <c r="B5">
        <v>8</v>
      </c>
      <c r="C5">
        <v>4</v>
      </c>
      <c r="D5">
        <v>3</v>
      </c>
      <c r="E5">
        <v>3</v>
      </c>
      <c r="F5">
        <v>3</v>
      </c>
      <c r="H5">
        <v>6</v>
      </c>
      <c r="I5">
        <v>5</v>
      </c>
      <c r="J5">
        <v>4</v>
      </c>
      <c r="K5">
        <v>4</v>
      </c>
      <c r="L5">
        <v>4</v>
      </c>
      <c r="M5">
        <v>4</v>
      </c>
      <c r="N5">
        <v>4</v>
      </c>
    </row>
    <row r="6" spans="1:14">
      <c r="A6" t="s">
        <v>189</v>
      </c>
      <c r="B6">
        <v>1E-4</v>
      </c>
      <c r="C6">
        <v>1E-4</v>
      </c>
      <c r="D6">
        <v>1E-3</v>
      </c>
      <c r="E6">
        <v>1E-3</v>
      </c>
      <c r="F6">
        <v>1E-3</v>
      </c>
      <c r="H6">
        <v>1E-3</v>
      </c>
      <c r="I6">
        <v>1E-3</v>
      </c>
      <c r="J6">
        <v>1E-3</v>
      </c>
      <c r="K6">
        <v>1E-3</v>
      </c>
      <c r="L6">
        <v>1E-3</v>
      </c>
      <c r="M6">
        <v>1E-3</v>
      </c>
      <c r="N6">
        <v>1E-3</v>
      </c>
    </row>
    <row r="7" spans="1:14">
      <c r="A7" t="s">
        <v>201</v>
      </c>
      <c r="B7">
        <v>0.05</v>
      </c>
      <c r="C7">
        <v>0.05</v>
      </c>
      <c r="D7">
        <v>0.05</v>
      </c>
      <c r="E7">
        <v>0.05</v>
      </c>
      <c r="F7">
        <v>0.05</v>
      </c>
      <c r="H7">
        <v>0.05</v>
      </c>
      <c r="I7">
        <v>0.05</v>
      </c>
      <c r="J7">
        <v>0.05</v>
      </c>
      <c r="K7">
        <v>0.05</v>
      </c>
      <c r="L7">
        <v>0.05</v>
      </c>
      <c r="M7">
        <v>0.05</v>
      </c>
      <c r="N7">
        <v>0.05</v>
      </c>
    </row>
    <row r="8" spans="1:14">
      <c r="A8" t="s">
        <v>195</v>
      </c>
      <c r="B8">
        <v>12.6</v>
      </c>
      <c r="C8">
        <v>11.6</v>
      </c>
      <c r="D8">
        <v>13.3</v>
      </c>
      <c r="E8">
        <v>14.4</v>
      </c>
      <c r="F8">
        <v>14.6</v>
      </c>
      <c r="H8">
        <v>12.9</v>
      </c>
      <c r="I8">
        <v>13.2</v>
      </c>
      <c r="J8">
        <v>13.4</v>
      </c>
      <c r="K8">
        <v>13.7</v>
      </c>
      <c r="L8">
        <v>13.9</v>
      </c>
      <c r="M8">
        <v>14.7</v>
      </c>
      <c r="N8">
        <v>15.4</v>
      </c>
    </row>
    <row r="10" spans="1:14">
      <c r="B10" t="s">
        <v>198</v>
      </c>
      <c r="E10" t="s">
        <v>199</v>
      </c>
      <c r="H10" t="s">
        <v>199</v>
      </c>
    </row>
    <row r="11" spans="1:14">
      <c r="B11" t="s">
        <v>197</v>
      </c>
      <c r="C11" t="s">
        <v>196</v>
      </c>
      <c r="E11" t="s">
        <v>197</v>
      </c>
      <c r="F11" t="s">
        <v>196</v>
      </c>
      <c r="H11" t="s">
        <v>197</v>
      </c>
      <c r="I11" t="s">
        <v>196</v>
      </c>
    </row>
    <row r="12" spans="1:14">
      <c r="B12">
        <v>5</v>
      </c>
      <c r="C12">
        <v>12.6</v>
      </c>
      <c r="E12">
        <v>5</v>
      </c>
      <c r="F12">
        <v>12.9</v>
      </c>
      <c r="H12">
        <v>5</v>
      </c>
      <c r="I12">
        <v>12.9</v>
      </c>
    </row>
    <row r="13" spans="1:14">
      <c r="B13">
        <v>10</v>
      </c>
      <c r="C13">
        <v>11.6</v>
      </c>
      <c r="E13">
        <v>10</v>
      </c>
      <c r="F13">
        <v>13.2</v>
      </c>
      <c r="H13">
        <v>10</v>
      </c>
      <c r="I13">
        <v>13.2</v>
      </c>
    </row>
    <row r="14" spans="1:14">
      <c r="B14">
        <v>15</v>
      </c>
      <c r="C14">
        <v>13.3</v>
      </c>
      <c r="E14">
        <v>15</v>
      </c>
      <c r="F14">
        <v>13.4</v>
      </c>
      <c r="H14">
        <v>15</v>
      </c>
      <c r="I14">
        <v>13.4</v>
      </c>
    </row>
    <row r="15" spans="1:14">
      <c r="B15">
        <v>20</v>
      </c>
      <c r="C15">
        <v>14.4</v>
      </c>
      <c r="E15">
        <v>20</v>
      </c>
      <c r="F15">
        <v>13.7</v>
      </c>
      <c r="H15">
        <v>20</v>
      </c>
      <c r="I15">
        <v>13.7</v>
      </c>
    </row>
    <row r="16" spans="1:14">
      <c r="B16">
        <v>25</v>
      </c>
      <c r="C16">
        <v>14.6</v>
      </c>
      <c r="E16">
        <v>25</v>
      </c>
      <c r="F16">
        <v>13.9</v>
      </c>
      <c r="H16">
        <v>25</v>
      </c>
      <c r="I16">
        <v>13.9</v>
      </c>
    </row>
    <row r="17" spans="1:15">
      <c r="B17" t="s">
        <v>200</v>
      </c>
      <c r="C17">
        <f>AVERAGE(C12:C16)</f>
        <v>13.3</v>
      </c>
      <c r="E17" t="s">
        <v>200</v>
      </c>
      <c r="F17">
        <f>AVERAGE(F12:F16)</f>
        <v>13.420000000000002</v>
      </c>
      <c r="H17" t="s">
        <v>200</v>
      </c>
      <c r="I17">
        <f>AVERAGE(I12:I16)</f>
        <v>13.420000000000002</v>
      </c>
    </row>
    <row r="20" spans="1:15">
      <c r="F20" t="s">
        <v>202</v>
      </c>
    </row>
    <row r="22" spans="1:15">
      <c r="A22" t="s">
        <v>299</v>
      </c>
    </row>
    <row r="23" spans="1:15">
      <c r="B23" t="s">
        <v>182</v>
      </c>
      <c r="C23" t="s">
        <v>181</v>
      </c>
      <c r="D23" t="s">
        <v>183</v>
      </c>
      <c r="E23" t="s">
        <v>184</v>
      </c>
      <c r="F23" t="s">
        <v>185</v>
      </c>
      <c r="K23" t="s">
        <v>190</v>
      </c>
      <c r="L23" t="s">
        <v>191</v>
      </c>
      <c r="M23" t="s">
        <v>192</v>
      </c>
      <c r="N23" t="s">
        <v>193</v>
      </c>
      <c r="O23" t="s">
        <v>194</v>
      </c>
    </row>
    <row r="24" spans="1:15">
      <c r="A24" t="s">
        <v>180</v>
      </c>
      <c r="B24">
        <v>0.28999999999999998</v>
      </c>
      <c r="D24">
        <v>0.14000000000000001</v>
      </c>
      <c r="E24">
        <v>0.04</v>
      </c>
      <c r="F24">
        <v>0</v>
      </c>
      <c r="K24">
        <v>0.28000000000000003</v>
      </c>
      <c r="L24">
        <v>0.2</v>
      </c>
      <c r="M24">
        <v>0.15</v>
      </c>
      <c r="N24">
        <v>0.15</v>
      </c>
      <c r="O24">
        <v>0.15</v>
      </c>
    </row>
    <row r="25" spans="1:15">
      <c r="A25" t="s">
        <v>186</v>
      </c>
      <c r="B25">
        <v>0.95</v>
      </c>
      <c r="C25">
        <v>0.95</v>
      </c>
      <c r="D25">
        <v>0.95</v>
      </c>
      <c r="E25">
        <v>0.95</v>
      </c>
      <c r="F25">
        <v>0.95</v>
      </c>
      <c r="K25">
        <v>0.97</v>
      </c>
      <c r="L25">
        <v>0.97</v>
      </c>
      <c r="M25">
        <v>0.97</v>
      </c>
      <c r="N25">
        <v>0.97</v>
      </c>
      <c r="O25">
        <v>0.97</v>
      </c>
    </row>
    <row r="26" spans="1:15">
      <c r="A26" t="s">
        <v>187</v>
      </c>
      <c r="B26">
        <v>0.05</v>
      </c>
      <c r="C26">
        <v>0.05</v>
      </c>
      <c r="D26">
        <v>0.05</v>
      </c>
      <c r="E26">
        <v>0.05</v>
      </c>
      <c r="F26">
        <v>0.05</v>
      </c>
      <c r="K26">
        <v>0.03</v>
      </c>
      <c r="L26">
        <v>0.03</v>
      </c>
      <c r="M26">
        <v>0.03</v>
      </c>
      <c r="N26">
        <v>0.03</v>
      </c>
      <c r="O26">
        <v>0.03</v>
      </c>
    </row>
    <row r="27" spans="1:15">
      <c r="A27" t="s">
        <v>189</v>
      </c>
      <c r="B27">
        <v>1E-4</v>
      </c>
      <c r="C27">
        <v>1E-3</v>
      </c>
      <c r="D27">
        <v>0.67</v>
      </c>
      <c r="E27">
        <v>0.8</v>
      </c>
      <c r="F27">
        <v>0.8</v>
      </c>
      <c r="K27">
        <v>1E-4</v>
      </c>
      <c r="L27">
        <v>1E-3</v>
      </c>
      <c r="M27">
        <v>0.01</v>
      </c>
      <c r="N27">
        <v>0.01</v>
      </c>
      <c r="O27">
        <v>0.01</v>
      </c>
    </row>
    <row r="28" spans="1:15">
      <c r="A28" t="s">
        <v>311</v>
      </c>
      <c r="B28">
        <v>1E-4</v>
      </c>
      <c r="C28">
        <v>1E-3</v>
      </c>
      <c r="D28">
        <v>0.01</v>
      </c>
      <c r="E28">
        <v>0.01</v>
      </c>
      <c r="F28">
        <v>0.01</v>
      </c>
      <c r="K28">
        <v>1E-4</v>
      </c>
      <c r="L28">
        <v>1E-3</v>
      </c>
      <c r="M28">
        <v>1E-3</v>
      </c>
      <c r="N28">
        <v>1E-3</v>
      </c>
      <c r="O28">
        <v>1E-3</v>
      </c>
    </row>
    <row r="29" spans="1:15">
      <c r="A29" t="s">
        <v>201</v>
      </c>
      <c r="B29">
        <v>0.05</v>
      </c>
      <c r="C29">
        <v>0.05</v>
      </c>
      <c r="D29">
        <v>0.05</v>
      </c>
      <c r="E29">
        <v>0.05</v>
      </c>
      <c r="F29">
        <v>0.05</v>
      </c>
      <c r="K29">
        <v>0.05</v>
      </c>
      <c r="L29">
        <v>0.05</v>
      </c>
      <c r="M29">
        <v>0.05</v>
      </c>
      <c r="N29">
        <v>0.05</v>
      </c>
      <c r="O29">
        <v>0.05</v>
      </c>
    </row>
    <row r="30" spans="1:15">
      <c r="A30" t="s">
        <v>195</v>
      </c>
      <c r="B30">
        <v>15.5</v>
      </c>
      <c r="C30">
        <v>16.399999999999999</v>
      </c>
      <c r="D30">
        <v>17</v>
      </c>
      <c r="E30">
        <v>18.600000000000001</v>
      </c>
      <c r="F30">
        <v>19.3</v>
      </c>
      <c r="K30">
        <v>15.4</v>
      </c>
      <c r="L30">
        <v>15.8</v>
      </c>
      <c r="M30">
        <v>16.05</v>
      </c>
      <c r="N30">
        <v>16.8</v>
      </c>
      <c r="O30">
        <v>17.100000000000001</v>
      </c>
    </row>
    <row r="32" spans="1:15">
      <c r="B32" t="s">
        <v>198</v>
      </c>
      <c r="E32" t="s">
        <v>199</v>
      </c>
    </row>
    <row r="33" spans="1:6">
      <c r="B33" t="s">
        <v>197</v>
      </c>
      <c r="C33" t="s">
        <v>196</v>
      </c>
      <c r="E33" t="s">
        <v>197</v>
      </c>
      <c r="F33" t="s">
        <v>196</v>
      </c>
    </row>
    <row r="34" spans="1:6">
      <c r="B34">
        <v>5</v>
      </c>
      <c r="C34">
        <v>15.6</v>
      </c>
      <c r="E34">
        <v>5</v>
      </c>
      <c r="F34">
        <v>15.4</v>
      </c>
    </row>
    <row r="35" spans="1:6">
      <c r="B35">
        <v>10</v>
      </c>
      <c r="C35">
        <v>16.399999999999999</v>
      </c>
      <c r="E35">
        <v>10</v>
      </c>
      <c r="F35">
        <f>0.0893*E35+14.893</f>
        <v>15.786000000000001</v>
      </c>
    </row>
    <row r="36" spans="1:6">
      <c r="B36">
        <v>15</v>
      </c>
      <c r="C36">
        <v>17</v>
      </c>
      <c r="E36">
        <v>15</v>
      </c>
      <c r="F36">
        <v>16.05</v>
      </c>
    </row>
    <row r="37" spans="1:6">
      <c r="B37">
        <v>20</v>
      </c>
      <c r="C37">
        <v>18.600000000000001</v>
      </c>
      <c r="E37">
        <v>20</v>
      </c>
      <c r="F37">
        <v>16.8</v>
      </c>
    </row>
    <row r="38" spans="1:6">
      <c r="B38">
        <v>25</v>
      </c>
      <c r="C38">
        <f>0.192*B38+14.5</f>
        <v>19.3</v>
      </c>
      <c r="E38">
        <v>25</v>
      </c>
      <c r="F38">
        <f>0.0893*E38+14.893</f>
        <v>17.125500000000002</v>
      </c>
    </row>
    <row r="39" spans="1:6">
      <c r="B39" t="s">
        <v>200</v>
      </c>
      <c r="C39">
        <f>AVERAGE(C34:C37)</f>
        <v>16.899999999999999</v>
      </c>
      <c r="E39" t="s">
        <v>200</v>
      </c>
      <c r="F39">
        <f>AVERAGE(F34:F37)</f>
        <v>16.009</v>
      </c>
    </row>
    <row r="45" spans="1:6">
      <c r="A45" t="s">
        <v>300</v>
      </c>
      <c r="B45" t="s">
        <v>301</v>
      </c>
      <c r="C45" t="s">
        <v>302</v>
      </c>
      <c r="D45" s="45" t="s">
        <v>308</v>
      </c>
      <c r="E45" s="45" t="s">
        <v>309</v>
      </c>
    </row>
    <row r="46" spans="1:6">
      <c r="B46">
        <v>0</v>
      </c>
      <c r="C46" s="44" t="s">
        <v>303</v>
      </c>
      <c r="D46">
        <v>1E-3</v>
      </c>
      <c r="E46">
        <v>1E-3</v>
      </c>
    </row>
    <row r="47" spans="1:6">
      <c r="B47">
        <v>5</v>
      </c>
      <c r="C47" s="38" t="s">
        <v>304</v>
      </c>
      <c r="D47">
        <v>1E-4</v>
      </c>
      <c r="E47">
        <v>1E-4</v>
      </c>
    </row>
    <row r="48" spans="1:6">
      <c r="B48">
        <v>10</v>
      </c>
      <c r="C48" s="38" t="s">
        <v>305</v>
      </c>
      <c r="D48">
        <v>1.0000000000000001E-5</v>
      </c>
      <c r="E48">
        <v>1.0000000000000001E-5</v>
      </c>
    </row>
    <row r="49" spans="2:5">
      <c r="B49">
        <v>15</v>
      </c>
      <c r="C49" s="38" t="s">
        <v>306</v>
      </c>
      <c r="D49">
        <v>9.9999999999999995E-7</v>
      </c>
      <c r="E49">
        <v>9.9999999999999995E-7</v>
      </c>
    </row>
    <row r="50" spans="2:5">
      <c r="B50">
        <v>20</v>
      </c>
      <c r="C50" s="38" t="s">
        <v>307</v>
      </c>
      <c r="D50">
        <v>9.9999999999999995E-8</v>
      </c>
      <c r="E50">
        <v>9.9999999999999995E-8</v>
      </c>
    </row>
    <row r="51" spans="2:5">
      <c r="B51">
        <v>25</v>
      </c>
    </row>
    <row r="52" spans="2:5">
      <c r="B52">
        <v>29</v>
      </c>
    </row>
    <row r="55" spans="2:5">
      <c r="B55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0"/>
  <sheetViews>
    <sheetView workbookViewId="0">
      <selection activeCell="E52" sqref="E52"/>
    </sheetView>
  </sheetViews>
  <sheetFormatPr defaultRowHeight="14.4"/>
  <cols>
    <col min="1" max="1" width="21.5546875" customWidth="1"/>
    <col min="2" max="2" width="24.33203125" customWidth="1"/>
    <col min="4" max="4" width="14.5546875" customWidth="1"/>
    <col min="5" max="5" width="22" customWidth="1"/>
    <col min="6" max="6" width="24.109375" customWidth="1"/>
    <col min="7" max="7" width="22.6640625" style="3" customWidth="1"/>
    <col min="8" max="8" width="25" style="3" customWidth="1"/>
    <col min="12" max="12" width="10.88671875" customWidth="1"/>
  </cols>
  <sheetData>
    <row r="1" spans="1:14">
      <c r="A1" s="1" t="s">
        <v>18</v>
      </c>
      <c r="B1" s="1" t="s">
        <v>19</v>
      </c>
      <c r="C1" s="1" t="s">
        <v>0</v>
      </c>
      <c r="D1" s="1" t="s">
        <v>1</v>
      </c>
      <c r="E1" t="s">
        <v>97</v>
      </c>
      <c r="F1" t="s">
        <v>96</v>
      </c>
      <c r="G1" t="s">
        <v>95</v>
      </c>
      <c r="H1" t="s">
        <v>94</v>
      </c>
    </row>
    <row r="2" spans="1:14">
      <c r="A2" s="1" t="s">
        <v>21</v>
      </c>
      <c r="B2" s="4">
        <v>-9.5</v>
      </c>
      <c r="C2" s="1">
        <v>0</v>
      </c>
      <c r="D2" s="1">
        <v>0</v>
      </c>
      <c r="E2">
        <f t="shared" ref="E2:E3" si="0">ABS(C2*B2)</f>
        <v>0</v>
      </c>
      <c r="F2">
        <f>ABS(D2*B2)</f>
        <v>0</v>
      </c>
      <c r="G2" t="e">
        <v>#DIV/0!</v>
      </c>
      <c r="H2">
        <v>0</v>
      </c>
    </row>
    <row r="3" spans="1:14">
      <c r="A3" s="1"/>
      <c r="B3" s="4">
        <v>0</v>
      </c>
      <c r="C3" s="1">
        <v>26</v>
      </c>
      <c r="D3" s="1">
        <v>54</v>
      </c>
      <c r="E3">
        <f t="shared" si="0"/>
        <v>0</v>
      </c>
      <c r="F3">
        <f t="shared" ref="F3:F8" si="1">ABS(D3*B3)</f>
        <v>0</v>
      </c>
      <c r="G3" t="e">
        <v>#DIV/0!</v>
      </c>
      <c r="H3">
        <v>0</v>
      </c>
    </row>
    <row r="4" spans="1:14">
      <c r="A4" s="1"/>
      <c r="B4" s="1">
        <v>9.5</v>
      </c>
      <c r="C4" s="1">
        <v>14</v>
      </c>
      <c r="D4" s="1">
        <v>123</v>
      </c>
      <c r="E4">
        <f>ABS(C4*B4)</f>
        <v>133</v>
      </c>
      <c r="F4">
        <f t="shared" si="1"/>
        <v>1168.5</v>
      </c>
      <c r="G4" t="e">
        <v>#DIV/0!</v>
      </c>
      <c r="H4">
        <v>4.0494938129999998</v>
      </c>
    </row>
    <row r="5" spans="1:14">
      <c r="A5" s="1"/>
      <c r="B5" s="1">
        <v>19</v>
      </c>
      <c r="C5" s="1">
        <v>0</v>
      </c>
      <c r="D5" s="1">
        <v>5</v>
      </c>
      <c r="E5">
        <f t="shared" ref="E5:E8" si="2">ABS(C5*B5)</f>
        <v>0</v>
      </c>
      <c r="F5">
        <f t="shared" si="1"/>
        <v>95</v>
      </c>
      <c r="G5" t="e">
        <v>#DIV/0!</v>
      </c>
      <c r="H5">
        <v>80.989876269999996</v>
      </c>
    </row>
    <row r="6" spans="1:14">
      <c r="A6" s="1"/>
      <c r="B6" s="1">
        <v>28.5</v>
      </c>
      <c r="C6" s="1">
        <v>0</v>
      </c>
      <c r="D6" s="1">
        <v>0</v>
      </c>
      <c r="E6">
        <f t="shared" si="2"/>
        <v>0</v>
      </c>
      <c r="F6">
        <f t="shared" si="1"/>
        <v>0</v>
      </c>
      <c r="G6" t="e">
        <v>#DIV/0!</v>
      </c>
      <c r="H6">
        <v>11.02362205</v>
      </c>
    </row>
    <row r="7" spans="1:14">
      <c r="A7" s="1"/>
      <c r="B7" s="1">
        <v>38</v>
      </c>
      <c r="C7" s="1">
        <v>0</v>
      </c>
      <c r="D7" s="1">
        <v>0</v>
      </c>
      <c r="E7">
        <f t="shared" si="2"/>
        <v>0</v>
      </c>
      <c r="F7">
        <f t="shared" si="1"/>
        <v>0</v>
      </c>
      <c r="G7" t="e">
        <v>#DIV/0!</v>
      </c>
      <c r="H7">
        <v>3.9370078739999999</v>
      </c>
    </row>
    <row r="8" spans="1:14">
      <c r="A8" s="1"/>
      <c r="B8" s="1">
        <v>47.5</v>
      </c>
      <c r="C8" s="1">
        <v>0</v>
      </c>
      <c r="D8" s="1">
        <v>0</v>
      </c>
      <c r="E8">
        <f t="shared" si="2"/>
        <v>0</v>
      </c>
      <c r="F8">
        <f t="shared" si="1"/>
        <v>0</v>
      </c>
      <c r="G8" t="e">
        <v>#DIV/0!</v>
      </c>
      <c r="H8">
        <v>0</v>
      </c>
    </row>
    <row r="9" spans="1:14">
      <c r="A9" s="1" t="s">
        <v>22</v>
      </c>
      <c r="B9" t="s">
        <v>9</v>
      </c>
      <c r="C9">
        <v>40</v>
      </c>
      <c r="D9">
        <v>182</v>
      </c>
      <c r="G9"/>
      <c r="H9"/>
    </row>
    <row r="10" spans="1:14">
      <c r="A10" s="1"/>
      <c r="B10" t="s">
        <v>106</v>
      </c>
      <c r="C10">
        <f>SUM(E2:E8)/C9</f>
        <v>3.3250000000000002</v>
      </c>
      <c r="D10">
        <f>SUM(F2:F8)/D9</f>
        <v>6.9423076923076925</v>
      </c>
      <c r="G10"/>
      <c r="H10"/>
    </row>
    <row r="11" spans="1:14">
      <c r="A11" s="1"/>
      <c r="B11" s="34" t="s">
        <v>11</v>
      </c>
      <c r="C11" s="34">
        <v>255</v>
      </c>
      <c r="D11" s="34">
        <v>3250</v>
      </c>
      <c r="F11" s="34" t="s">
        <v>134</v>
      </c>
      <c r="G11" s="34"/>
      <c r="H11" s="34"/>
      <c r="I11" s="34"/>
    </row>
    <row r="12" spans="1:14">
      <c r="A12" s="1"/>
      <c r="B12" s="34" t="s">
        <v>12</v>
      </c>
      <c r="C12" s="34">
        <v>0</v>
      </c>
      <c r="D12" s="34">
        <v>17.78</v>
      </c>
      <c r="G12"/>
      <c r="H12"/>
    </row>
    <row r="13" spans="1:14">
      <c r="A13" s="1"/>
      <c r="B13" s="1"/>
      <c r="C13" s="1"/>
      <c r="D13" s="1"/>
      <c r="E13" s="1"/>
      <c r="F13" s="1"/>
      <c r="G13" s="2"/>
      <c r="H13" s="2"/>
    </row>
    <row r="14" spans="1:14">
      <c r="A14" s="1"/>
      <c r="B14" s="1"/>
      <c r="C14" s="1"/>
      <c r="D14" s="1"/>
      <c r="E14" s="1"/>
      <c r="F14" s="1"/>
      <c r="G14" s="2"/>
      <c r="H14" s="2"/>
    </row>
    <row r="15" spans="1:14">
      <c r="A15" s="1"/>
      <c r="B15" s="1" t="s">
        <v>19</v>
      </c>
      <c r="C15" s="1" t="s">
        <v>0</v>
      </c>
      <c r="D15" s="1" t="s">
        <v>1</v>
      </c>
      <c r="E15" t="s">
        <v>97</v>
      </c>
      <c r="F15" t="s">
        <v>96</v>
      </c>
      <c r="G15" t="s">
        <v>95</v>
      </c>
      <c r="H15" t="s">
        <v>94</v>
      </c>
    </row>
    <row r="16" spans="1:14">
      <c r="A16" s="1" t="s">
        <v>23</v>
      </c>
      <c r="B16" s="4">
        <v>-9.5</v>
      </c>
      <c r="C16" s="1">
        <v>0</v>
      </c>
      <c r="D16" s="1">
        <v>0</v>
      </c>
      <c r="E16">
        <f t="shared" ref="E16:E17" si="3">ABS(C16*B16)</f>
        <v>0</v>
      </c>
      <c r="F16">
        <f>ABS(D16*B16)</f>
        <v>0</v>
      </c>
      <c r="G16" t="e">
        <v>#DIV/0!</v>
      </c>
      <c r="H16">
        <v>0</v>
      </c>
      <c r="I16" s="2"/>
      <c r="J16" s="2"/>
      <c r="N16" t="s">
        <v>24</v>
      </c>
    </row>
    <row r="17" spans="1:14">
      <c r="A17" s="1"/>
      <c r="B17" s="4">
        <v>0</v>
      </c>
      <c r="C17" s="1">
        <v>4</v>
      </c>
      <c r="D17" s="1">
        <v>4</v>
      </c>
      <c r="E17">
        <f t="shared" si="3"/>
        <v>0</v>
      </c>
      <c r="F17">
        <f t="shared" ref="F17:F22" si="4">ABS(D17*B17)</f>
        <v>0</v>
      </c>
      <c r="G17" t="e">
        <v>#DIV/0!</v>
      </c>
      <c r="H17">
        <v>0</v>
      </c>
      <c r="I17" s="1">
        <v>1.951219512</v>
      </c>
      <c r="J17" s="1">
        <v>1.0958904110000001</v>
      </c>
      <c r="L17">
        <v>4.25</v>
      </c>
      <c r="M17" s="1">
        <v>4</v>
      </c>
      <c r="N17" s="1">
        <v>52</v>
      </c>
    </row>
    <row r="18" spans="1:14">
      <c r="A18" s="1"/>
      <c r="B18" s="1">
        <v>9.5</v>
      </c>
      <c r="C18" s="1">
        <v>9</v>
      </c>
      <c r="D18" s="1">
        <v>341</v>
      </c>
      <c r="E18">
        <f>ABS(C18*B18)</f>
        <v>85.5</v>
      </c>
      <c r="F18">
        <f t="shared" si="4"/>
        <v>3239.5</v>
      </c>
      <c r="G18" t="e">
        <v>#DIV/0!</v>
      </c>
      <c r="H18">
        <v>4.0494938129999998</v>
      </c>
      <c r="I18" s="1">
        <v>4.3902439019999999</v>
      </c>
      <c r="J18" s="1">
        <v>93.424657530000005</v>
      </c>
      <c r="L18">
        <v>13.75</v>
      </c>
      <c r="M18" s="1">
        <v>9</v>
      </c>
    </row>
    <row r="19" spans="1:14">
      <c r="A19" s="1"/>
      <c r="B19" s="1">
        <v>19</v>
      </c>
      <c r="C19" s="1">
        <v>70</v>
      </c>
      <c r="D19" s="1">
        <v>12</v>
      </c>
      <c r="E19">
        <f t="shared" ref="E19:E22" si="5">ABS(C19*B19)</f>
        <v>1330</v>
      </c>
      <c r="F19">
        <f t="shared" si="4"/>
        <v>228</v>
      </c>
      <c r="G19" t="e">
        <v>#DIV/0!</v>
      </c>
      <c r="H19">
        <v>80.989876269999996</v>
      </c>
      <c r="I19" s="1">
        <v>34.146341460000002</v>
      </c>
      <c r="J19" s="1">
        <v>3.2876712330000002</v>
      </c>
      <c r="L19">
        <v>23.25</v>
      </c>
      <c r="M19" s="1">
        <v>70</v>
      </c>
    </row>
    <row r="20" spans="1:14">
      <c r="A20" s="1"/>
      <c r="B20" s="1">
        <v>28.5</v>
      </c>
      <c r="C20" s="1">
        <v>32</v>
      </c>
      <c r="D20" s="1">
        <v>0</v>
      </c>
      <c r="E20">
        <f t="shared" si="5"/>
        <v>912</v>
      </c>
      <c r="F20">
        <f t="shared" si="4"/>
        <v>0</v>
      </c>
      <c r="G20" t="e">
        <v>#DIV/0!</v>
      </c>
      <c r="H20">
        <v>11.02362205</v>
      </c>
      <c r="I20" s="1">
        <v>15.6097561</v>
      </c>
      <c r="J20" s="1">
        <v>0</v>
      </c>
      <c r="L20">
        <v>32.75</v>
      </c>
      <c r="M20" s="1">
        <v>32</v>
      </c>
    </row>
    <row r="21" spans="1:14">
      <c r="A21" s="1"/>
      <c r="B21" s="1">
        <v>38</v>
      </c>
      <c r="C21" s="1">
        <v>8</v>
      </c>
      <c r="D21" s="1">
        <v>0</v>
      </c>
      <c r="E21">
        <f t="shared" si="5"/>
        <v>304</v>
      </c>
      <c r="F21">
        <f t="shared" si="4"/>
        <v>0</v>
      </c>
      <c r="G21" t="e">
        <v>#DIV/0!</v>
      </c>
      <c r="H21">
        <v>3.9370078739999999</v>
      </c>
      <c r="I21" s="1">
        <v>3.902439024</v>
      </c>
      <c r="J21" s="1">
        <v>0</v>
      </c>
      <c r="L21">
        <v>42.25</v>
      </c>
      <c r="M21" s="1">
        <v>8</v>
      </c>
    </row>
    <row r="22" spans="1:14">
      <c r="A22" s="1"/>
      <c r="B22" s="1">
        <v>47.5</v>
      </c>
      <c r="C22" s="1">
        <v>0</v>
      </c>
      <c r="D22" s="1">
        <v>8</v>
      </c>
      <c r="E22">
        <f t="shared" si="5"/>
        <v>0</v>
      </c>
      <c r="F22">
        <f t="shared" si="4"/>
        <v>380</v>
      </c>
      <c r="G22" t="e">
        <v>#DIV/0!</v>
      </c>
      <c r="H22">
        <v>0</v>
      </c>
      <c r="I22" s="1">
        <v>0</v>
      </c>
      <c r="J22" s="1">
        <v>2.1917808220000001</v>
      </c>
    </row>
    <row r="23" spans="1:14">
      <c r="A23" s="1"/>
      <c r="B23" t="s">
        <v>9</v>
      </c>
      <c r="C23">
        <v>40</v>
      </c>
      <c r="D23">
        <v>182</v>
      </c>
      <c r="E23" s="1"/>
      <c r="F23" s="1"/>
      <c r="G23" s="1"/>
      <c r="H23" s="1"/>
      <c r="I23" s="1">
        <v>0</v>
      </c>
      <c r="J23" s="1">
        <v>0</v>
      </c>
    </row>
    <row r="24" spans="1:14">
      <c r="A24" s="1" t="s">
        <v>25</v>
      </c>
      <c r="B24" t="s">
        <v>106</v>
      </c>
      <c r="C24">
        <f>SUM(E16:E22)/C23</f>
        <v>65.787499999999994</v>
      </c>
      <c r="D24">
        <f>SUM(F16:F22)/D23</f>
        <v>21.140109890109891</v>
      </c>
      <c r="E24" s="1"/>
      <c r="F24" s="1"/>
      <c r="G24" s="2"/>
      <c r="H24" s="2"/>
      <c r="I24" s="2">
        <f>SUM(I17:I23)</f>
        <v>59.999999998000007</v>
      </c>
      <c r="J24" s="2"/>
    </row>
    <row r="25" spans="1:14">
      <c r="A25" s="1"/>
      <c r="B25" s="34" t="s">
        <v>11</v>
      </c>
      <c r="C25" s="34">
        <v>255</v>
      </c>
      <c r="D25" s="34">
        <v>3250</v>
      </c>
      <c r="E25" s="1"/>
      <c r="F25" s="1"/>
      <c r="G25" s="2"/>
      <c r="H25" s="2"/>
    </row>
    <row r="26" spans="1:14">
      <c r="A26" s="1"/>
      <c r="B26" s="34" t="s">
        <v>12</v>
      </c>
      <c r="C26" s="34">
        <v>0</v>
      </c>
      <c r="D26" s="34">
        <v>17.78</v>
      </c>
      <c r="E26" s="1"/>
      <c r="F26" s="1"/>
      <c r="G26" s="2"/>
      <c r="H26" s="2"/>
    </row>
    <row r="27" spans="1:14">
      <c r="A27" s="1"/>
      <c r="B27" s="1"/>
      <c r="C27" s="1"/>
      <c r="D27" s="1"/>
      <c r="E27" s="1"/>
      <c r="F27" s="1"/>
      <c r="G27" s="2"/>
      <c r="H27" s="2"/>
    </row>
    <row r="28" spans="1:14">
      <c r="A28" s="1"/>
      <c r="B28" s="1"/>
      <c r="C28" s="1"/>
      <c r="D28" s="1"/>
      <c r="E28" s="1"/>
      <c r="F28" s="1"/>
      <c r="G28" s="2"/>
      <c r="H28" s="2"/>
    </row>
    <row r="29" spans="1:14">
      <c r="A29" s="1"/>
      <c r="B29" s="1"/>
      <c r="C29" s="1"/>
      <c r="D29" s="1"/>
      <c r="E29" s="1"/>
      <c r="F29" s="1"/>
      <c r="G29" s="2"/>
      <c r="H29" s="2"/>
    </row>
    <row r="30" spans="1:14">
      <c r="A30" s="1"/>
      <c r="B30" s="1" t="s">
        <v>19</v>
      </c>
      <c r="C30" s="1" t="s">
        <v>0</v>
      </c>
      <c r="D30" s="1" t="s">
        <v>1</v>
      </c>
      <c r="E30" t="s">
        <v>97</v>
      </c>
      <c r="F30" t="s">
        <v>96</v>
      </c>
      <c r="G30" t="s">
        <v>95</v>
      </c>
      <c r="H30" t="s">
        <v>94</v>
      </c>
    </row>
    <row r="31" spans="1:14">
      <c r="A31" s="1" t="s">
        <v>26</v>
      </c>
      <c r="B31" s="4">
        <v>-9.5</v>
      </c>
      <c r="C31" s="1">
        <v>14</v>
      </c>
      <c r="D31" s="1">
        <v>9</v>
      </c>
      <c r="E31">
        <f>ABS(C31*B31)</f>
        <v>133</v>
      </c>
      <c r="F31">
        <f>ABS(D31*B31)</f>
        <v>85.5</v>
      </c>
      <c r="G31" t="e">
        <v>#DIV/0!</v>
      </c>
      <c r="H31">
        <v>0</v>
      </c>
      <c r="I31" s="1">
        <v>10.37037037</v>
      </c>
      <c r="J31" s="1">
        <v>7.6271186440000003</v>
      </c>
    </row>
    <row r="32" spans="1:14">
      <c r="A32" s="1"/>
      <c r="B32" s="4">
        <v>0</v>
      </c>
      <c r="C32" s="1">
        <v>94</v>
      </c>
      <c r="D32" s="1">
        <v>98</v>
      </c>
      <c r="E32">
        <f t="shared" ref="E32" si="6">ABS(C32*B32)</f>
        <v>0</v>
      </c>
      <c r="F32">
        <f t="shared" ref="F32:F37" si="7">ABS(D32*B32)</f>
        <v>0</v>
      </c>
      <c r="G32" t="e">
        <v>#DIV/0!</v>
      </c>
      <c r="H32">
        <v>0</v>
      </c>
      <c r="I32" s="1">
        <v>69.629629629999997</v>
      </c>
      <c r="J32" s="1">
        <v>83.05084746</v>
      </c>
    </row>
    <row r="33" spans="1:10">
      <c r="A33" s="1"/>
      <c r="B33" s="1">
        <v>9.5</v>
      </c>
      <c r="C33" s="1">
        <v>22</v>
      </c>
      <c r="D33" s="1">
        <v>6</v>
      </c>
      <c r="E33">
        <f>ABS(C33*B33)</f>
        <v>209</v>
      </c>
      <c r="F33">
        <f t="shared" si="7"/>
        <v>57</v>
      </c>
      <c r="G33" t="e">
        <v>#DIV/0!</v>
      </c>
      <c r="H33">
        <v>4.0494938129999998</v>
      </c>
      <c r="I33" s="1">
        <v>16.296296300000002</v>
      </c>
      <c r="J33" s="1">
        <v>5.0847457629999999</v>
      </c>
    </row>
    <row r="34" spans="1:10">
      <c r="A34" s="1"/>
      <c r="B34" s="1">
        <v>19</v>
      </c>
      <c r="C34" s="1">
        <v>0</v>
      </c>
      <c r="D34" s="1">
        <v>0</v>
      </c>
      <c r="E34">
        <f t="shared" ref="E34:E37" si="8">ABS(C34*B34)</f>
        <v>0</v>
      </c>
      <c r="F34">
        <f t="shared" si="7"/>
        <v>0</v>
      </c>
      <c r="G34" t="e">
        <v>#DIV/0!</v>
      </c>
      <c r="H34">
        <v>80.989876269999996</v>
      </c>
      <c r="I34" s="1">
        <v>0</v>
      </c>
      <c r="J34" s="1">
        <v>0</v>
      </c>
    </row>
    <row r="35" spans="1:10">
      <c r="A35" s="1"/>
      <c r="B35" s="1">
        <v>28.5</v>
      </c>
      <c r="C35" s="1">
        <v>0</v>
      </c>
      <c r="D35" s="1">
        <v>0</v>
      </c>
      <c r="E35">
        <f t="shared" si="8"/>
        <v>0</v>
      </c>
      <c r="F35">
        <f t="shared" si="7"/>
        <v>0</v>
      </c>
      <c r="G35" t="e">
        <v>#DIV/0!</v>
      </c>
      <c r="H35">
        <v>11.02362205</v>
      </c>
      <c r="I35" s="1">
        <v>0</v>
      </c>
      <c r="J35" s="1">
        <v>0</v>
      </c>
    </row>
    <row r="36" spans="1:10">
      <c r="A36" s="1"/>
      <c r="B36" s="1">
        <v>38</v>
      </c>
      <c r="C36" s="1">
        <v>5</v>
      </c>
      <c r="D36" s="1">
        <v>5</v>
      </c>
      <c r="E36">
        <f t="shared" si="8"/>
        <v>190</v>
      </c>
      <c r="F36">
        <f t="shared" si="7"/>
        <v>190</v>
      </c>
      <c r="G36" t="e">
        <v>#DIV/0!</v>
      </c>
      <c r="H36">
        <v>3.9370078739999999</v>
      </c>
      <c r="I36" s="1">
        <v>3.703703704</v>
      </c>
      <c r="J36" s="1">
        <v>4.2372881360000001</v>
      </c>
    </row>
    <row r="37" spans="1:10">
      <c r="A37" s="1"/>
      <c r="B37" s="1">
        <v>47.5</v>
      </c>
      <c r="C37" s="1">
        <v>0</v>
      </c>
      <c r="D37" s="1">
        <v>0</v>
      </c>
      <c r="E37">
        <f t="shared" si="8"/>
        <v>0</v>
      </c>
      <c r="F37">
        <f t="shared" si="7"/>
        <v>0</v>
      </c>
      <c r="G37" t="e">
        <v>#DIV/0!</v>
      </c>
      <c r="H37">
        <v>0</v>
      </c>
      <c r="I37" s="1">
        <v>0</v>
      </c>
      <c r="J37" s="1">
        <v>0</v>
      </c>
    </row>
    <row r="38" spans="1:10">
      <c r="A38" s="1" t="s">
        <v>27</v>
      </c>
      <c r="B38" t="s">
        <v>9</v>
      </c>
      <c r="C38">
        <v>40</v>
      </c>
      <c r="D38">
        <v>182</v>
      </c>
      <c r="E38" s="1"/>
      <c r="F38" s="1"/>
      <c r="G38" s="1"/>
      <c r="H38" s="1"/>
      <c r="I38" s="1">
        <v>0</v>
      </c>
      <c r="J38" s="1">
        <v>0</v>
      </c>
    </row>
    <row r="39" spans="1:10">
      <c r="A39" s="1"/>
      <c r="B39" t="s">
        <v>106</v>
      </c>
      <c r="C39">
        <f>SUM(E31:E37)/C38</f>
        <v>13.3</v>
      </c>
      <c r="D39">
        <f>SUM(F31:F37)/D38</f>
        <v>1.8269230769230769</v>
      </c>
      <c r="E39" s="1"/>
      <c r="F39" s="1"/>
      <c r="G39" s="1"/>
      <c r="H39" s="1"/>
      <c r="I39" s="1">
        <v>0</v>
      </c>
      <c r="J39" s="1">
        <v>0</v>
      </c>
    </row>
    <row r="40" spans="1:10">
      <c r="A40" s="1"/>
      <c r="B40" s="34" t="s">
        <v>11</v>
      </c>
      <c r="C40" s="34">
        <v>255</v>
      </c>
      <c r="D40" s="34">
        <v>3250</v>
      </c>
      <c r="E40" s="1"/>
      <c r="F40" s="1"/>
      <c r="G40" s="1"/>
      <c r="H40" s="1"/>
    </row>
    <row r="41" spans="1:10">
      <c r="A41" s="1"/>
      <c r="B41" s="34" t="s">
        <v>12</v>
      </c>
      <c r="C41" s="34">
        <v>0</v>
      </c>
      <c r="D41" s="34">
        <v>17.78</v>
      </c>
      <c r="E41" s="1"/>
      <c r="F41" s="1"/>
      <c r="G41" s="1"/>
      <c r="H41" s="1"/>
    </row>
    <row r="42" spans="1:10">
      <c r="A42" s="1"/>
      <c r="B42" s="1"/>
      <c r="C42" s="1"/>
      <c r="D42" s="1"/>
      <c r="E42" s="1"/>
      <c r="F42" s="1"/>
      <c r="G42" s="2"/>
      <c r="H42" s="2"/>
    </row>
    <row r="43" spans="1:10">
      <c r="A43" s="1"/>
      <c r="B43" s="1"/>
      <c r="C43" s="1"/>
      <c r="D43" s="1"/>
      <c r="E43" s="1"/>
      <c r="F43" s="1"/>
      <c r="G43" s="2"/>
      <c r="H43" s="2"/>
    </row>
    <row r="44" spans="1:10">
      <c r="A44" s="1"/>
      <c r="B44" s="1"/>
      <c r="C44" s="1"/>
      <c r="D44" s="1"/>
      <c r="E44" s="1"/>
      <c r="F44" s="1"/>
      <c r="G44" s="2"/>
      <c r="H44" s="2"/>
    </row>
    <row r="45" spans="1:10">
      <c r="A45" s="1"/>
      <c r="B45" s="1" t="s">
        <v>19</v>
      </c>
      <c r="C45" s="1" t="s">
        <v>0</v>
      </c>
      <c r="D45" s="1" t="s">
        <v>1</v>
      </c>
      <c r="E45" t="s">
        <v>97</v>
      </c>
      <c r="F45" t="s">
        <v>96</v>
      </c>
      <c r="G45" t="s">
        <v>95</v>
      </c>
      <c r="H45" t="s">
        <v>94</v>
      </c>
    </row>
    <row r="46" spans="1:10">
      <c r="A46" s="1"/>
      <c r="B46" s="4">
        <v>-9.5</v>
      </c>
      <c r="C46" s="1">
        <v>0</v>
      </c>
      <c r="D46" s="1">
        <v>0</v>
      </c>
      <c r="E46">
        <f t="shared" ref="E46:E47" si="9">ABS(C46*B46)</f>
        <v>0</v>
      </c>
      <c r="F46">
        <f>ABS(D46*B46)</f>
        <v>0</v>
      </c>
      <c r="G46" t="e">
        <v>#DIV/0!</v>
      </c>
      <c r="H46">
        <v>0</v>
      </c>
    </row>
    <row r="47" spans="1:10">
      <c r="A47" s="1" t="s">
        <v>28</v>
      </c>
      <c r="B47" s="4">
        <v>0</v>
      </c>
      <c r="C47" s="1">
        <v>90</v>
      </c>
      <c r="D47" s="1">
        <v>238</v>
      </c>
      <c r="E47">
        <f t="shared" si="9"/>
        <v>0</v>
      </c>
      <c r="F47">
        <f t="shared" ref="F47:F52" si="10">ABS(D47*B47)</f>
        <v>0</v>
      </c>
      <c r="G47" t="e">
        <v>#DIV/0!</v>
      </c>
      <c r="H47">
        <v>0</v>
      </c>
    </row>
    <row r="48" spans="1:10">
      <c r="A48" s="1"/>
      <c r="B48" s="1">
        <v>9.5</v>
      </c>
      <c r="C48" s="1">
        <v>8</v>
      </c>
      <c r="D48" s="1">
        <v>8</v>
      </c>
      <c r="E48">
        <f>ABS(C48*B48)</f>
        <v>76</v>
      </c>
      <c r="F48">
        <f t="shared" si="10"/>
        <v>76</v>
      </c>
      <c r="G48" t="e">
        <v>#DIV/0!</v>
      </c>
      <c r="H48">
        <v>4.0494938129999998</v>
      </c>
    </row>
    <row r="49" spans="1:8">
      <c r="A49" s="1"/>
      <c r="B49" s="1">
        <v>19</v>
      </c>
      <c r="C49" s="1">
        <v>0</v>
      </c>
      <c r="D49" s="1">
        <v>5</v>
      </c>
      <c r="E49">
        <f t="shared" ref="E49:E52" si="11">ABS(C49*B49)</f>
        <v>0</v>
      </c>
      <c r="F49">
        <f t="shared" si="10"/>
        <v>95</v>
      </c>
      <c r="G49" t="e">
        <v>#DIV/0!</v>
      </c>
      <c r="H49">
        <v>80.989876269999996</v>
      </c>
    </row>
    <row r="50" spans="1:8">
      <c r="A50" s="1"/>
      <c r="B50" s="1">
        <v>28.5</v>
      </c>
      <c r="C50" s="1">
        <v>0</v>
      </c>
      <c r="D50" s="1">
        <v>4</v>
      </c>
      <c r="E50">
        <f t="shared" si="11"/>
        <v>0</v>
      </c>
      <c r="F50">
        <f t="shared" si="10"/>
        <v>114</v>
      </c>
      <c r="G50" t="e">
        <v>#DIV/0!</v>
      </c>
      <c r="H50">
        <v>11.02362205</v>
      </c>
    </row>
    <row r="51" spans="1:8">
      <c r="A51" s="1"/>
      <c r="B51" s="1">
        <v>38</v>
      </c>
      <c r="C51" s="1">
        <v>0</v>
      </c>
      <c r="D51" s="1">
        <v>4</v>
      </c>
      <c r="E51">
        <f t="shared" si="11"/>
        <v>0</v>
      </c>
      <c r="F51">
        <f t="shared" si="10"/>
        <v>152</v>
      </c>
      <c r="G51" t="e">
        <v>#DIV/0!</v>
      </c>
      <c r="H51">
        <v>3.9370078739999999</v>
      </c>
    </row>
    <row r="52" spans="1:8">
      <c r="A52" s="1"/>
      <c r="B52" s="1">
        <v>47.5</v>
      </c>
      <c r="C52" s="1">
        <v>0</v>
      </c>
      <c r="D52" s="1">
        <v>0</v>
      </c>
      <c r="E52">
        <f t="shared" si="11"/>
        <v>0</v>
      </c>
      <c r="F52">
        <f t="shared" si="10"/>
        <v>0</v>
      </c>
      <c r="G52" t="e">
        <v>#DIV/0!</v>
      </c>
      <c r="H52">
        <v>0</v>
      </c>
    </row>
    <row r="53" spans="1:8">
      <c r="A53" s="1" t="s">
        <v>27</v>
      </c>
      <c r="B53" t="s">
        <v>9</v>
      </c>
      <c r="C53">
        <v>40</v>
      </c>
      <c r="D53">
        <v>182</v>
      </c>
      <c r="E53" s="1"/>
      <c r="F53" s="1"/>
      <c r="G53" s="2"/>
      <c r="H53" s="2"/>
    </row>
    <row r="54" spans="1:8">
      <c r="A54" s="1"/>
      <c r="B54" t="s">
        <v>106</v>
      </c>
      <c r="C54">
        <f>SUM(E46:E52)/C53</f>
        <v>1.9</v>
      </c>
      <c r="D54">
        <f>SUM(F46:F52)/D53</f>
        <v>2.401098901098901</v>
      </c>
      <c r="E54" s="1"/>
      <c r="F54" s="1"/>
      <c r="G54" s="2"/>
      <c r="H54" s="2"/>
    </row>
    <row r="55" spans="1:8">
      <c r="A55" s="1"/>
      <c r="B55" s="36" t="s">
        <v>11</v>
      </c>
      <c r="C55" s="36">
        <v>255</v>
      </c>
      <c r="D55" s="36">
        <v>3250</v>
      </c>
      <c r="E55" s="1"/>
      <c r="F55" s="1"/>
      <c r="G55" s="2"/>
      <c r="H55" s="2"/>
    </row>
    <row r="56" spans="1:8">
      <c r="A56" s="1"/>
      <c r="B56" s="36" t="s">
        <v>12</v>
      </c>
      <c r="C56" s="36">
        <v>0</v>
      </c>
      <c r="D56" s="36">
        <v>17.78</v>
      </c>
      <c r="E56" s="1"/>
      <c r="F56" s="1"/>
      <c r="G56" s="2"/>
      <c r="H56" s="2"/>
    </row>
    <row r="57" spans="1:8">
      <c r="A57" s="1"/>
      <c r="B57" s="1"/>
      <c r="C57" s="1"/>
      <c r="D57" s="1"/>
      <c r="E57" s="1"/>
      <c r="F57" s="1"/>
      <c r="G57" s="2"/>
      <c r="H57" s="2"/>
    </row>
    <row r="58" spans="1:8">
      <c r="A58" s="1"/>
      <c r="B58" s="1"/>
      <c r="C58" s="1"/>
      <c r="D58" s="1"/>
      <c r="E58" s="1"/>
      <c r="F58" s="1"/>
      <c r="G58" s="2"/>
      <c r="H58" s="2"/>
    </row>
    <row r="59" spans="1:8">
      <c r="A59" s="1"/>
      <c r="B59" s="1" t="s">
        <v>19</v>
      </c>
      <c r="C59" s="1"/>
      <c r="D59" s="1"/>
      <c r="E59" t="s">
        <v>97</v>
      </c>
      <c r="F59" t="s">
        <v>96</v>
      </c>
      <c r="G59" t="s">
        <v>95</v>
      </c>
      <c r="H59" t="s">
        <v>94</v>
      </c>
    </row>
    <row r="60" spans="1:8">
      <c r="A60" s="1"/>
      <c r="B60" s="4">
        <v>-9.5</v>
      </c>
      <c r="C60" s="1">
        <v>0</v>
      </c>
      <c r="D60" s="1">
        <v>0</v>
      </c>
      <c r="E60">
        <f t="shared" ref="E60:E61" si="12">ABS(C60*B60)</f>
        <v>0</v>
      </c>
      <c r="F60">
        <f>ABS(D60*B60)</f>
        <v>0</v>
      </c>
      <c r="G60" t="e">
        <v>#DIV/0!</v>
      </c>
      <c r="H60">
        <v>0</v>
      </c>
    </row>
    <row r="61" spans="1:8">
      <c r="A61" s="1"/>
      <c r="B61" s="4">
        <v>0</v>
      </c>
      <c r="C61" s="1">
        <v>140</v>
      </c>
      <c r="D61" s="1">
        <v>498</v>
      </c>
      <c r="E61">
        <f t="shared" si="12"/>
        <v>0</v>
      </c>
      <c r="F61">
        <f t="shared" ref="F61:F66" si="13">ABS(D61*B61)</f>
        <v>0</v>
      </c>
      <c r="G61" t="e">
        <v>#DIV/0!</v>
      </c>
      <c r="H61">
        <v>0</v>
      </c>
    </row>
    <row r="62" spans="1:8">
      <c r="A62" s="1" t="s">
        <v>29</v>
      </c>
      <c r="B62" s="1">
        <v>9.5</v>
      </c>
      <c r="C62" s="1">
        <v>80</v>
      </c>
      <c r="D62" s="1">
        <v>25</v>
      </c>
      <c r="E62">
        <f>ABS(C62*B62)</f>
        <v>760</v>
      </c>
      <c r="F62">
        <f t="shared" si="13"/>
        <v>237.5</v>
      </c>
      <c r="G62" t="e">
        <v>#DIV/0!</v>
      </c>
      <c r="H62">
        <v>4.0494938129999998</v>
      </c>
    </row>
    <row r="63" spans="1:8">
      <c r="A63" s="1"/>
      <c r="B63" s="1">
        <v>19</v>
      </c>
      <c r="C63" s="1">
        <v>20</v>
      </c>
      <c r="D63" s="1">
        <v>7</v>
      </c>
      <c r="E63">
        <f t="shared" ref="E63:E66" si="14">ABS(C63*B63)</f>
        <v>380</v>
      </c>
      <c r="F63">
        <f t="shared" si="13"/>
        <v>133</v>
      </c>
      <c r="G63" t="e">
        <v>#DIV/0!</v>
      </c>
      <c r="H63">
        <v>80.989876269999996</v>
      </c>
    </row>
    <row r="64" spans="1:8">
      <c r="A64" s="1"/>
      <c r="B64" s="1">
        <v>28.5</v>
      </c>
      <c r="C64" s="1">
        <v>8</v>
      </c>
      <c r="D64" s="1">
        <v>0</v>
      </c>
      <c r="E64">
        <f t="shared" si="14"/>
        <v>228</v>
      </c>
      <c r="F64">
        <f t="shared" si="13"/>
        <v>0</v>
      </c>
      <c r="G64" t="e">
        <v>#DIV/0!</v>
      </c>
      <c r="H64">
        <v>11.02362205</v>
      </c>
    </row>
    <row r="65" spans="1:8">
      <c r="A65" s="1"/>
      <c r="B65" s="1">
        <v>38</v>
      </c>
      <c r="C65" s="1">
        <v>0</v>
      </c>
      <c r="D65" s="1">
        <v>0</v>
      </c>
      <c r="E65">
        <f t="shared" si="14"/>
        <v>0</v>
      </c>
      <c r="F65">
        <f t="shared" si="13"/>
        <v>0</v>
      </c>
      <c r="G65" t="e">
        <v>#DIV/0!</v>
      </c>
      <c r="H65">
        <v>3.9370078739999999</v>
      </c>
    </row>
    <row r="66" spans="1:8">
      <c r="A66" s="1" t="s">
        <v>30</v>
      </c>
      <c r="B66" s="1">
        <v>47.5</v>
      </c>
      <c r="C66" s="1">
        <v>0</v>
      </c>
      <c r="D66" s="1">
        <v>0</v>
      </c>
      <c r="E66">
        <f t="shared" si="14"/>
        <v>0</v>
      </c>
      <c r="F66">
        <f t="shared" si="13"/>
        <v>0</v>
      </c>
      <c r="G66" t="e">
        <v>#DIV/0!</v>
      </c>
      <c r="H66">
        <v>0</v>
      </c>
    </row>
    <row r="67" spans="1:8">
      <c r="A67" s="1"/>
      <c r="B67" t="s">
        <v>9</v>
      </c>
      <c r="C67">
        <v>40</v>
      </c>
      <c r="D67">
        <v>182</v>
      </c>
      <c r="E67" s="1"/>
      <c r="F67" s="1"/>
      <c r="G67" s="2"/>
      <c r="H67" s="2"/>
    </row>
    <row r="68" spans="1:8">
      <c r="A68" s="1"/>
      <c r="B68" t="s">
        <v>106</v>
      </c>
      <c r="C68">
        <f>SUM(E60:E66)/C67</f>
        <v>34.200000000000003</v>
      </c>
      <c r="D68">
        <f>SUM(F60:F66)/D67</f>
        <v>2.0357142857142856</v>
      </c>
      <c r="E68" s="1"/>
      <c r="F68" s="1"/>
      <c r="G68" s="2"/>
      <c r="H68" s="2"/>
    </row>
    <row r="69" spans="1:8">
      <c r="A69" s="1"/>
      <c r="B69" s="34" t="s">
        <v>11</v>
      </c>
      <c r="C69" s="34">
        <v>255</v>
      </c>
      <c r="D69" s="34">
        <v>3250</v>
      </c>
      <c r="E69" s="1"/>
      <c r="F69" s="1"/>
      <c r="G69" s="2"/>
      <c r="H69" s="2"/>
    </row>
    <row r="70" spans="1:8">
      <c r="A70" s="1"/>
      <c r="B70" s="34" t="s">
        <v>12</v>
      </c>
      <c r="C70" s="34">
        <v>0</v>
      </c>
      <c r="D70" s="34">
        <v>17.78</v>
      </c>
      <c r="E70" s="1"/>
      <c r="F70" s="1"/>
      <c r="G70" s="2"/>
      <c r="H70" s="2"/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6662F-0BE2-4A36-A3B4-A4A6FBCC985A}">
  <dimension ref="A1:AS46"/>
  <sheetViews>
    <sheetView topLeftCell="A19" workbookViewId="0">
      <selection activeCell="I41" sqref="I41"/>
    </sheetView>
  </sheetViews>
  <sheetFormatPr defaultRowHeight="14.4"/>
  <cols>
    <col min="1" max="1" width="13" customWidth="1"/>
    <col min="2" max="2" width="7.5546875" customWidth="1"/>
    <col min="4" max="4" width="6.6640625" customWidth="1"/>
    <col min="5" max="5" width="5.33203125" customWidth="1"/>
    <col min="6" max="6" width="4.88671875" customWidth="1"/>
    <col min="7" max="7" width="7" customWidth="1"/>
    <col min="8" max="8" width="5" customWidth="1"/>
    <col min="9" max="9" width="7.33203125" customWidth="1"/>
    <col min="10" max="10" width="10.5546875" customWidth="1"/>
    <col min="11" max="11" width="8.109375" customWidth="1"/>
    <col min="12" max="12" width="10.5546875" customWidth="1"/>
    <col min="13" max="13" width="10" customWidth="1"/>
    <col min="17" max="17" width="12.109375" customWidth="1"/>
    <col min="18" max="18" width="7.33203125" customWidth="1"/>
    <col min="20" max="20" width="6.44140625" customWidth="1"/>
    <col min="21" max="21" width="5.6640625" customWidth="1"/>
    <col min="22" max="22" width="4.6640625" customWidth="1"/>
    <col min="23" max="23" width="5.88671875" customWidth="1"/>
    <col min="24" max="24" width="5.109375" customWidth="1"/>
    <col min="25" max="25" width="7" customWidth="1"/>
    <col min="26" max="26" width="11.109375" customWidth="1"/>
    <col min="27" max="27" width="8.109375" customWidth="1"/>
    <col min="28" max="28" width="11.109375" customWidth="1"/>
    <col min="29" max="29" width="10.5546875" customWidth="1"/>
    <col min="30" max="30" width="7.109375" customWidth="1"/>
    <col min="32" max="32" width="12.33203125" customWidth="1"/>
    <col min="33" max="33" width="4.5546875" customWidth="1"/>
    <col min="34" max="34" width="6.6640625" customWidth="1"/>
    <col min="35" max="35" width="10.44140625" customWidth="1"/>
    <col min="36" max="36" width="8" customWidth="1"/>
    <col min="37" max="38" width="10" customWidth="1"/>
    <col min="39" max="39" width="8.33203125" customWidth="1"/>
    <col min="40" max="40" width="9" customWidth="1"/>
    <col min="41" max="41" width="6.5546875" customWidth="1"/>
    <col min="42" max="42" width="4.88671875" customWidth="1"/>
    <col min="43" max="43" width="5" customWidth="1"/>
    <col min="44" max="44" width="5.88671875" customWidth="1"/>
  </cols>
  <sheetData>
    <row r="1" spans="1:45">
      <c r="G1" t="s">
        <v>258</v>
      </c>
      <c r="H1" t="s">
        <v>260</v>
      </c>
      <c r="W1" t="s">
        <v>259</v>
      </c>
      <c r="X1" t="s">
        <v>261</v>
      </c>
      <c r="AL1" t="s">
        <v>262</v>
      </c>
      <c r="AM1" t="s">
        <v>263</v>
      </c>
    </row>
    <row r="2" spans="1:45" ht="15" thickBot="1">
      <c r="A2" t="s">
        <v>241</v>
      </c>
      <c r="B2" t="s">
        <v>242</v>
      </c>
      <c r="C2" t="s">
        <v>243</v>
      </c>
      <c r="D2" t="s">
        <v>244</v>
      </c>
      <c r="E2" t="s">
        <v>245</v>
      </c>
      <c r="F2" t="s">
        <v>246</v>
      </c>
      <c r="G2" t="s">
        <v>247</v>
      </c>
      <c r="H2" t="s">
        <v>248</v>
      </c>
      <c r="I2" t="s">
        <v>249</v>
      </c>
      <c r="J2" t="s">
        <v>250</v>
      </c>
      <c r="K2" t="s">
        <v>251</v>
      </c>
      <c r="L2" t="s">
        <v>252</v>
      </c>
      <c r="M2" t="s">
        <v>256</v>
      </c>
      <c r="N2" t="s">
        <v>257</v>
      </c>
      <c r="Q2" t="s">
        <v>241</v>
      </c>
      <c r="R2" t="s">
        <v>242</v>
      </c>
      <c r="S2" t="s">
        <v>243</v>
      </c>
      <c r="T2" t="s">
        <v>244</v>
      </c>
      <c r="U2" t="s">
        <v>245</v>
      </c>
      <c r="V2" t="s">
        <v>246</v>
      </c>
      <c r="W2" t="s">
        <v>247</v>
      </c>
      <c r="X2" t="s">
        <v>248</v>
      </c>
      <c r="Y2" t="s">
        <v>249</v>
      </c>
      <c r="Z2" t="s">
        <v>250</v>
      </c>
      <c r="AA2" t="s">
        <v>251</v>
      </c>
      <c r="AB2" t="s">
        <v>252</v>
      </c>
      <c r="AC2" t="s">
        <v>256</v>
      </c>
      <c r="AD2" t="s">
        <v>257</v>
      </c>
      <c r="AF2" t="s">
        <v>241</v>
      </c>
      <c r="AG2" t="s">
        <v>248</v>
      </c>
      <c r="AH2" t="s">
        <v>249</v>
      </c>
      <c r="AI2" t="s">
        <v>250</v>
      </c>
      <c r="AJ2" t="s">
        <v>251</v>
      </c>
      <c r="AK2" t="s">
        <v>252</v>
      </c>
      <c r="AL2" t="s">
        <v>256</v>
      </c>
      <c r="AM2" t="s">
        <v>242</v>
      </c>
      <c r="AN2" t="s">
        <v>243</v>
      </c>
      <c r="AO2" t="s">
        <v>244</v>
      </c>
      <c r="AP2" t="s">
        <v>245</v>
      </c>
      <c r="AQ2" t="s">
        <v>246</v>
      </c>
      <c r="AR2" t="s">
        <v>247</v>
      </c>
      <c r="AS2" t="s">
        <v>257</v>
      </c>
    </row>
    <row r="3" spans="1:45" ht="15" thickBot="1">
      <c r="A3" s="39">
        <v>1994</v>
      </c>
      <c r="B3" s="39">
        <v>0.01</v>
      </c>
      <c r="C3" s="39">
        <v>0.27</v>
      </c>
      <c r="D3" s="39">
        <v>0.03</v>
      </c>
      <c r="E3" s="39">
        <v>0.01</v>
      </c>
      <c r="F3" s="39">
        <v>0.09</v>
      </c>
      <c r="G3" s="39">
        <v>0</v>
      </c>
      <c r="H3" s="39">
        <v>0</v>
      </c>
      <c r="I3" s="39">
        <v>0</v>
      </c>
      <c r="J3" s="39">
        <v>0.02</v>
      </c>
      <c r="K3" s="39">
        <v>0.06</v>
      </c>
      <c r="L3" s="39">
        <v>0.1</v>
      </c>
      <c r="M3" s="39">
        <v>0.01</v>
      </c>
      <c r="N3" s="39">
        <v>0.05</v>
      </c>
      <c r="Q3" s="39">
        <v>1994</v>
      </c>
      <c r="R3" s="39">
        <v>33.1</v>
      </c>
      <c r="S3" s="39">
        <v>30.7</v>
      </c>
      <c r="T3" s="39">
        <v>42.8</v>
      </c>
      <c r="U3" s="39">
        <v>46.8</v>
      </c>
      <c r="V3" s="39">
        <v>53.3</v>
      </c>
      <c r="W3" s="39">
        <v>64.8</v>
      </c>
      <c r="X3" s="39">
        <v>71.099999999999994</v>
      </c>
      <c r="Y3" s="39">
        <v>69.900000000000006</v>
      </c>
      <c r="Z3" s="39">
        <v>60.3</v>
      </c>
      <c r="AA3" s="39">
        <v>47.6</v>
      </c>
      <c r="AB3" s="39">
        <v>31.3</v>
      </c>
      <c r="AC3" s="39">
        <v>30.3</v>
      </c>
      <c r="AD3" s="39">
        <v>48.5</v>
      </c>
      <c r="AF3" s="39" t="s">
        <v>264</v>
      </c>
      <c r="AG3" s="39">
        <v>0</v>
      </c>
      <c r="AH3" s="39">
        <v>0</v>
      </c>
      <c r="AI3" s="39" t="s">
        <v>240</v>
      </c>
      <c r="AJ3" s="39">
        <v>0</v>
      </c>
      <c r="AK3" s="39" t="s">
        <v>240</v>
      </c>
      <c r="AL3" s="39" t="s">
        <v>240</v>
      </c>
      <c r="AM3" s="39">
        <v>0.3</v>
      </c>
      <c r="AN3" s="39" t="s">
        <v>240</v>
      </c>
      <c r="AO3" s="39" t="s">
        <v>240</v>
      </c>
      <c r="AP3" s="39">
        <v>0</v>
      </c>
      <c r="AQ3" s="39" t="s">
        <v>240</v>
      </c>
      <c r="AR3" s="39">
        <v>0</v>
      </c>
      <c r="AS3" s="39">
        <v>0</v>
      </c>
    </row>
    <row r="4" spans="1:45" ht="15" thickBot="1">
      <c r="A4" s="39">
        <v>1995</v>
      </c>
      <c r="B4" s="39">
        <v>0.26</v>
      </c>
      <c r="C4" s="39">
        <v>0.02</v>
      </c>
      <c r="D4" s="39">
        <v>0.32</v>
      </c>
      <c r="E4" s="39">
        <v>0.01</v>
      </c>
      <c r="F4" s="39">
        <v>0.03</v>
      </c>
      <c r="G4" s="39">
        <v>0.03</v>
      </c>
      <c r="H4" s="39">
        <v>0</v>
      </c>
      <c r="I4" s="39">
        <v>0</v>
      </c>
      <c r="J4" s="39" t="s">
        <v>239</v>
      </c>
      <c r="K4" s="39">
        <v>0</v>
      </c>
      <c r="L4" s="39">
        <v>0</v>
      </c>
      <c r="M4" s="39">
        <v>0.11</v>
      </c>
      <c r="N4" s="39">
        <v>7.0000000000000007E-2</v>
      </c>
      <c r="Q4" s="39">
        <v>1995</v>
      </c>
      <c r="R4" s="39">
        <v>29.6</v>
      </c>
      <c r="S4" s="39">
        <v>36.799999999999997</v>
      </c>
      <c r="T4" s="39">
        <v>35.6</v>
      </c>
      <c r="U4" s="39">
        <v>43.3</v>
      </c>
      <c r="V4" s="39">
        <v>48.4</v>
      </c>
      <c r="W4" s="39">
        <v>56.5</v>
      </c>
      <c r="X4" s="39">
        <v>66</v>
      </c>
      <c r="Y4" s="39">
        <v>67.400000000000006</v>
      </c>
      <c r="Z4" s="39">
        <v>62.3</v>
      </c>
      <c r="AA4" s="39">
        <v>52.7</v>
      </c>
      <c r="AB4" s="39">
        <v>47</v>
      </c>
      <c r="AC4" s="39">
        <v>34.700000000000003</v>
      </c>
      <c r="AD4" s="39">
        <v>48.4</v>
      </c>
      <c r="AF4" s="39" t="s">
        <v>265</v>
      </c>
      <c r="AG4" s="39">
        <v>0</v>
      </c>
      <c r="AH4" s="39">
        <v>0</v>
      </c>
      <c r="AI4" s="39">
        <v>0</v>
      </c>
      <c r="AJ4" s="39">
        <v>0</v>
      </c>
      <c r="AK4" s="39" t="s">
        <v>240</v>
      </c>
      <c r="AL4" s="39" t="s">
        <v>240</v>
      </c>
      <c r="AM4" s="39" t="s">
        <v>240</v>
      </c>
      <c r="AN4" s="39" t="s">
        <v>240</v>
      </c>
      <c r="AO4" s="39" t="s">
        <v>240</v>
      </c>
      <c r="AP4" s="39">
        <v>0</v>
      </c>
      <c r="AQ4" s="39">
        <v>0</v>
      </c>
      <c r="AR4" s="39" t="s">
        <v>240</v>
      </c>
      <c r="AS4" s="39">
        <v>0</v>
      </c>
    </row>
    <row r="5" spans="1:45" ht="15" thickBot="1">
      <c r="A5" s="39">
        <v>1996</v>
      </c>
      <c r="B5" s="39">
        <v>0.14000000000000001</v>
      </c>
      <c r="C5" s="39">
        <v>0.19</v>
      </c>
      <c r="D5" s="39">
        <v>0.02</v>
      </c>
      <c r="E5" s="39">
        <v>0.04</v>
      </c>
      <c r="F5" s="39">
        <v>0.02</v>
      </c>
      <c r="G5" s="39" t="s">
        <v>239</v>
      </c>
      <c r="H5" s="39">
        <v>0.04</v>
      </c>
      <c r="I5" s="39">
        <v>0.02</v>
      </c>
      <c r="J5" s="39">
        <v>0</v>
      </c>
      <c r="K5" s="39">
        <v>7.0000000000000007E-2</v>
      </c>
      <c r="L5" s="39">
        <v>0.2</v>
      </c>
      <c r="M5" s="39">
        <v>0.2</v>
      </c>
      <c r="N5" s="39">
        <v>0.08</v>
      </c>
      <c r="Q5" s="39">
        <v>1996</v>
      </c>
      <c r="R5" s="39">
        <v>36.1</v>
      </c>
      <c r="S5" s="39">
        <v>34.9</v>
      </c>
      <c r="T5" s="39">
        <v>38.5</v>
      </c>
      <c r="U5" s="39">
        <v>46.2</v>
      </c>
      <c r="V5" s="39">
        <v>53.6</v>
      </c>
      <c r="W5" s="39">
        <v>61.7</v>
      </c>
      <c r="X5" s="39">
        <v>70</v>
      </c>
      <c r="Y5" s="39">
        <v>67.400000000000006</v>
      </c>
      <c r="Z5" s="39">
        <v>59.6</v>
      </c>
      <c r="AA5" s="39">
        <v>50</v>
      </c>
      <c r="AB5" s="39">
        <v>39</v>
      </c>
      <c r="AC5" s="39">
        <v>35.9</v>
      </c>
      <c r="AD5" s="39">
        <v>49.4</v>
      </c>
      <c r="AF5" s="39" t="s">
        <v>266</v>
      </c>
      <c r="AG5" s="39">
        <v>0</v>
      </c>
      <c r="AH5" s="39">
        <v>0</v>
      </c>
      <c r="AI5" s="39">
        <v>0</v>
      </c>
      <c r="AJ5" s="39">
        <v>0</v>
      </c>
      <c r="AK5" s="39">
        <v>0</v>
      </c>
      <c r="AL5" s="39" t="s">
        <v>240</v>
      </c>
      <c r="AM5" s="39" t="s">
        <v>240</v>
      </c>
      <c r="AN5" s="39" t="s">
        <v>240</v>
      </c>
      <c r="AO5" s="39" t="s">
        <v>240</v>
      </c>
      <c r="AP5" s="39" t="s">
        <v>240</v>
      </c>
      <c r="AQ5" s="39">
        <v>0</v>
      </c>
      <c r="AR5" s="39">
        <v>0</v>
      </c>
      <c r="AS5" s="39">
        <v>0</v>
      </c>
    </row>
    <row r="6" spans="1:45" ht="15" thickBot="1">
      <c r="A6" s="39">
        <v>1997</v>
      </c>
      <c r="B6" s="39">
        <v>0.24</v>
      </c>
      <c r="C6" s="39">
        <v>0.01</v>
      </c>
      <c r="D6" s="39" t="s">
        <v>239</v>
      </c>
      <c r="E6" s="39" t="s">
        <v>239</v>
      </c>
      <c r="F6" s="39" t="s">
        <v>239</v>
      </c>
      <c r="G6" s="39">
        <v>0.03</v>
      </c>
      <c r="H6" s="39">
        <v>0.05</v>
      </c>
      <c r="I6" s="39">
        <v>0.02</v>
      </c>
      <c r="J6" s="39">
        <v>0.01</v>
      </c>
      <c r="K6" s="39">
        <v>0</v>
      </c>
      <c r="L6" s="39" t="s">
        <v>240</v>
      </c>
      <c r="M6" s="39">
        <v>0.03</v>
      </c>
      <c r="N6" s="39">
        <v>0.04</v>
      </c>
      <c r="Q6" s="39">
        <v>1997</v>
      </c>
      <c r="R6" s="39">
        <v>29.4</v>
      </c>
      <c r="S6" s="39">
        <v>33.6</v>
      </c>
      <c r="T6" s="39">
        <v>45</v>
      </c>
      <c r="U6" s="39" t="s">
        <v>240</v>
      </c>
      <c r="V6" s="39">
        <v>56.9</v>
      </c>
      <c r="W6" s="39">
        <v>60.3</v>
      </c>
      <c r="X6" s="39">
        <v>64.7</v>
      </c>
      <c r="Y6" s="39">
        <v>66.900000000000006</v>
      </c>
      <c r="Z6" s="39" t="s">
        <v>240</v>
      </c>
      <c r="AA6" s="39">
        <v>49.6</v>
      </c>
      <c r="AB6" s="39" t="s">
        <v>240</v>
      </c>
      <c r="AC6" s="39">
        <v>27.7</v>
      </c>
      <c r="AD6" s="39">
        <v>48.2</v>
      </c>
      <c r="AF6" s="39" t="s">
        <v>267</v>
      </c>
      <c r="AG6" s="39">
        <v>0</v>
      </c>
      <c r="AH6" s="39">
        <v>0</v>
      </c>
      <c r="AI6" s="39">
        <v>0</v>
      </c>
      <c r="AJ6" s="39">
        <v>0.9</v>
      </c>
      <c r="AK6" s="39" t="s">
        <v>240</v>
      </c>
      <c r="AL6" s="39" t="s">
        <v>240</v>
      </c>
      <c r="AM6" s="39" t="s">
        <v>240</v>
      </c>
      <c r="AN6" s="39" t="s">
        <v>240</v>
      </c>
      <c r="AO6" s="39">
        <v>0</v>
      </c>
      <c r="AP6" s="39">
        <v>0</v>
      </c>
      <c r="AQ6" s="39">
        <v>0</v>
      </c>
      <c r="AR6" s="39">
        <v>0</v>
      </c>
      <c r="AS6" s="39">
        <v>0.1</v>
      </c>
    </row>
    <row r="7" spans="1:45" ht="15" thickBot="1">
      <c r="A7" s="39">
        <v>1998</v>
      </c>
      <c r="B7" s="39">
        <v>0.05</v>
      </c>
      <c r="C7" s="39">
        <v>0.3</v>
      </c>
      <c r="D7" s="39">
        <v>7.0000000000000007E-2</v>
      </c>
      <c r="E7" s="39" t="s">
        <v>240</v>
      </c>
      <c r="F7" s="39" t="s">
        <v>239</v>
      </c>
      <c r="G7" s="39" t="s">
        <v>240</v>
      </c>
      <c r="H7" s="39">
        <v>0</v>
      </c>
      <c r="I7" s="39" t="s">
        <v>239</v>
      </c>
      <c r="J7" s="39">
        <v>0.04</v>
      </c>
      <c r="K7" s="39">
        <v>0.01</v>
      </c>
      <c r="L7" s="39" t="s">
        <v>240</v>
      </c>
      <c r="M7" s="39">
        <v>0.01</v>
      </c>
      <c r="N7" s="39">
        <v>0.05</v>
      </c>
      <c r="Q7" s="39">
        <v>1998</v>
      </c>
      <c r="R7" s="39">
        <v>31.9</v>
      </c>
      <c r="S7" s="39" t="s">
        <v>240</v>
      </c>
      <c r="T7" s="39">
        <v>35.700000000000003</v>
      </c>
      <c r="U7" s="39">
        <v>40.799999999999997</v>
      </c>
      <c r="V7" s="39">
        <v>46.4</v>
      </c>
      <c r="W7" s="39" t="s">
        <v>240</v>
      </c>
      <c r="X7" s="39">
        <v>68.099999999999994</v>
      </c>
      <c r="Y7" s="39">
        <v>69.2</v>
      </c>
      <c r="Z7" s="39">
        <v>58.1</v>
      </c>
      <c r="AA7" s="39">
        <v>46.7</v>
      </c>
      <c r="AB7" s="39" t="s">
        <v>240</v>
      </c>
      <c r="AC7" s="39" t="s">
        <v>240</v>
      </c>
      <c r="AD7" s="39">
        <v>49.6</v>
      </c>
      <c r="AF7" s="39" t="s">
        <v>268</v>
      </c>
      <c r="AG7" s="39">
        <v>0</v>
      </c>
      <c r="AH7" s="39">
        <v>0</v>
      </c>
      <c r="AI7" s="39">
        <v>0</v>
      </c>
      <c r="AJ7" s="39">
        <v>0</v>
      </c>
      <c r="AK7" s="39" t="s">
        <v>240</v>
      </c>
      <c r="AL7" s="39" t="s">
        <v>240</v>
      </c>
      <c r="AM7" s="39" t="s">
        <v>240</v>
      </c>
      <c r="AN7" s="39" t="s">
        <v>240</v>
      </c>
      <c r="AO7" s="39" t="s">
        <v>240</v>
      </c>
      <c r="AP7" s="39" t="s">
        <v>240</v>
      </c>
      <c r="AQ7" s="39">
        <v>0</v>
      </c>
      <c r="AR7" s="39" t="s">
        <v>240</v>
      </c>
      <c r="AS7" s="39">
        <v>0</v>
      </c>
    </row>
    <row r="8" spans="1:45" ht="15" thickBot="1">
      <c r="A8" s="39">
        <v>1999</v>
      </c>
      <c r="B8" s="39">
        <v>0.09</v>
      </c>
      <c r="C8" s="39">
        <v>0.11</v>
      </c>
      <c r="D8" s="39" t="s">
        <v>240</v>
      </c>
      <c r="E8" s="39">
        <v>0.04</v>
      </c>
      <c r="F8" s="39" t="s">
        <v>239</v>
      </c>
      <c r="G8" s="39">
        <v>0</v>
      </c>
      <c r="H8" s="39">
        <v>0</v>
      </c>
      <c r="I8" s="39">
        <v>0.01</v>
      </c>
      <c r="J8" s="39">
        <v>0.01</v>
      </c>
      <c r="K8" s="39">
        <v>0.01</v>
      </c>
      <c r="L8" s="39">
        <v>0.02</v>
      </c>
      <c r="M8" s="39">
        <v>0</v>
      </c>
      <c r="N8" s="39">
        <v>0.03</v>
      </c>
      <c r="Q8" s="39">
        <v>1999</v>
      </c>
      <c r="R8" s="39">
        <v>33.4</v>
      </c>
      <c r="S8" s="39">
        <v>33.1</v>
      </c>
      <c r="T8" s="39" t="s">
        <v>240</v>
      </c>
      <c r="U8" s="39" t="s">
        <v>240</v>
      </c>
      <c r="V8" s="39">
        <v>52.8</v>
      </c>
      <c r="W8" s="39">
        <v>61.9</v>
      </c>
      <c r="X8" s="39">
        <v>67.8</v>
      </c>
      <c r="Y8" s="39">
        <v>64.599999999999994</v>
      </c>
      <c r="Z8" s="39">
        <v>60.5</v>
      </c>
      <c r="AA8" s="39">
        <v>54.2</v>
      </c>
      <c r="AB8" s="39">
        <v>45.2</v>
      </c>
      <c r="AC8" s="39">
        <v>34.799999999999997</v>
      </c>
      <c r="AD8" s="39">
        <v>50.8</v>
      </c>
      <c r="AF8" s="39" t="s">
        <v>269</v>
      </c>
      <c r="AG8" s="39">
        <v>0</v>
      </c>
      <c r="AH8" s="39">
        <v>0</v>
      </c>
      <c r="AI8" s="39">
        <v>0</v>
      </c>
      <c r="AJ8" s="39" t="s">
        <v>240</v>
      </c>
      <c r="AK8" s="39">
        <v>0</v>
      </c>
      <c r="AL8" s="39">
        <v>0</v>
      </c>
      <c r="AM8" s="39" t="s">
        <v>240</v>
      </c>
      <c r="AN8" s="39" t="s">
        <v>240</v>
      </c>
      <c r="AO8" s="39" t="s">
        <v>240</v>
      </c>
      <c r="AP8" s="39" t="s">
        <v>240</v>
      </c>
      <c r="AQ8" s="39">
        <v>0</v>
      </c>
      <c r="AR8" s="39">
        <v>0</v>
      </c>
      <c r="AS8" s="39">
        <v>0</v>
      </c>
    </row>
    <row r="9" spans="1:45" ht="15" thickBot="1">
      <c r="A9" s="39">
        <v>2000</v>
      </c>
      <c r="B9" s="39">
        <v>0.09</v>
      </c>
      <c r="C9" s="39">
        <v>0.11</v>
      </c>
      <c r="D9" s="39">
        <v>0.03</v>
      </c>
      <c r="E9" s="39">
        <v>0.01</v>
      </c>
      <c r="F9" s="39">
        <v>0.01</v>
      </c>
      <c r="G9" s="39">
        <v>0</v>
      </c>
      <c r="H9" s="39">
        <v>0</v>
      </c>
      <c r="I9" s="39">
        <v>0.03</v>
      </c>
      <c r="J9" s="39">
        <v>0</v>
      </c>
      <c r="K9" s="39">
        <v>0.02</v>
      </c>
      <c r="L9" s="39">
        <v>0.01</v>
      </c>
      <c r="M9" s="39">
        <v>0.02</v>
      </c>
      <c r="N9" s="39">
        <v>0.03</v>
      </c>
      <c r="Q9" s="39">
        <v>2000</v>
      </c>
      <c r="R9" s="39">
        <v>35.9</v>
      </c>
      <c r="S9" s="39">
        <v>35.5</v>
      </c>
      <c r="T9" s="39">
        <v>40.1</v>
      </c>
      <c r="U9" s="39">
        <v>48</v>
      </c>
      <c r="V9" s="39">
        <v>57.1</v>
      </c>
      <c r="W9" s="39">
        <v>64.3</v>
      </c>
      <c r="X9" s="39">
        <v>67.400000000000006</v>
      </c>
      <c r="Y9" s="39">
        <v>67.5</v>
      </c>
      <c r="Z9" s="39">
        <v>60</v>
      </c>
      <c r="AA9" s="39">
        <v>49.3</v>
      </c>
      <c r="AB9" s="39">
        <v>36.4</v>
      </c>
      <c r="AC9" s="39">
        <v>36.1</v>
      </c>
      <c r="AD9" s="39">
        <v>49.8</v>
      </c>
      <c r="AF9" s="39" t="s">
        <v>270</v>
      </c>
      <c r="AG9" s="39">
        <v>0</v>
      </c>
      <c r="AH9" s="39">
        <v>0</v>
      </c>
      <c r="AI9" s="39">
        <v>0</v>
      </c>
      <c r="AJ9" s="39">
        <v>0</v>
      </c>
      <c r="AK9" s="39">
        <v>0</v>
      </c>
      <c r="AL9" s="39">
        <v>0</v>
      </c>
      <c r="AM9" s="39" t="s">
        <v>240</v>
      </c>
      <c r="AN9" s="39">
        <v>0.1</v>
      </c>
      <c r="AO9" s="39" t="s">
        <v>240</v>
      </c>
      <c r="AP9" s="39">
        <v>0</v>
      </c>
      <c r="AQ9" s="39">
        <v>0</v>
      </c>
      <c r="AR9" s="39">
        <v>0</v>
      </c>
      <c r="AS9" s="39">
        <v>0</v>
      </c>
    </row>
    <row r="10" spans="1:45" ht="15" thickBot="1">
      <c r="A10" s="39">
        <v>2001</v>
      </c>
      <c r="B10" s="39">
        <v>0.05</v>
      </c>
      <c r="C10" s="39">
        <v>0.08</v>
      </c>
      <c r="D10" s="39" t="s">
        <v>240</v>
      </c>
      <c r="E10" s="39">
        <v>0.05</v>
      </c>
      <c r="F10" s="39">
        <v>0</v>
      </c>
      <c r="G10" s="39">
        <v>0</v>
      </c>
      <c r="H10" s="39">
        <v>0.03</v>
      </c>
      <c r="I10" s="39">
        <v>0.02</v>
      </c>
      <c r="J10" s="39" t="s">
        <v>240</v>
      </c>
      <c r="K10" s="39">
        <v>0.01</v>
      </c>
      <c r="L10" s="39">
        <v>0.06</v>
      </c>
      <c r="M10" s="39" t="s">
        <v>240</v>
      </c>
      <c r="N10" s="39">
        <v>0.03</v>
      </c>
      <c r="Q10" s="39">
        <v>2001</v>
      </c>
      <c r="R10" s="39">
        <v>27.4</v>
      </c>
      <c r="S10" s="39">
        <v>28</v>
      </c>
      <c r="T10" s="39">
        <v>41.3</v>
      </c>
      <c r="U10" s="39">
        <v>43.2</v>
      </c>
      <c r="V10" s="39">
        <v>59.2</v>
      </c>
      <c r="W10" s="39">
        <v>64.7</v>
      </c>
      <c r="X10" s="39">
        <v>67.099999999999994</v>
      </c>
      <c r="Y10" s="39">
        <v>69.8</v>
      </c>
      <c r="Z10" s="39">
        <v>63.3</v>
      </c>
      <c r="AA10" s="39">
        <v>55.1</v>
      </c>
      <c r="AB10" s="39">
        <v>41.9</v>
      </c>
      <c r="AC10" s="39">
        <v>30.9</v>
      </c>
      <c r="AD10" s="39">
        <v>49.3</v>
      </c>
      <c r="AF10" s="39" t="s">
        <v>271</v>
      </c>
      <c r="AG10" s="39">
        <v>0</v>
      </c>
      <c r="AH10" s="39">
        <v>0</v>
      </c>
      <c r="AI10" s="39">
        <v>0</v>
      </c>
      <c r="AJ10" s="39">
        <v>0</v>
      </c>
      <c r="AK10" s="39" t="s">
        <v>240</v>
      </c>
      <c r="AL10" s="39">
        <v>0</v>
      </c>
      <c r="AM10" s="39" t="s">
        <v>240</v>
      </c>
      <c r="AN10" s="39">
        <v>10.199999999999999</v>
      </c>
      <c r="AO10" s="39" t="s">
        <v>240</v>
      </c>
      <c r="AP10" s="39" t="s">
        <v>240</v>
      </c>
      <c r="AQ10" s="39">
        <v>0</v>
      </c>
      <c r="AR10" s="39">
        <v>0</v>
      </c>
      <c r="AS10" s="39">
        <v>1.3</v>
      </c>
    </row>
    <row r="11" spans="1:45" ht="15" thickBot="1">
      <c r="A11" s="39">
        <v>2002</v>
      </c>
      <c r="B11" s="39">
        <v>0.01</v>
      </c>
      <c r="C11" s="39" t="s">
        <v>240</v>
      </c>
      <c r="D11" s="39">
        <v>0.04</v>
      </c>
      <c r="E11" s="39">
        <v>0.01</v>
      </c>
      <c r="F11" s="39">
        <v>0</v>
      </c>
      <c r="G11" s="39">
        <v>0</v>
      </c>
      <c r="H11" s="39">
        <v>0.03</v>
      </c>
      <c r="I11" s="39" t="s">
        <v>239</v>
      </c>
      <c r="J11" s="39">
        <v>0.02</v>
      </c>
      <c r="K11" s="39">
        <v>0</v>
      </c>
      <c r="L11" s="39">
        <v>0.13</v>
      </c>
      <c r="M11" s="39">
        <v>0.16</v>
      </c>
      <c r="N11" s="39">
        <v>0.04</v>
      </c>
      <c r="Q11" s="39">
        <v>2002</v>
      </c>
      <c r="R11" s="39">
        <v>31</v>
      </c>
      <c r="S11" s="39">
        <v>37.299999999999997</v>
      </c>
      <c r="T11" s="39">
        <v>37.5</v>
      </c>
      <c r="U11" s="39">
        <v>47</v>
      </c>
      <c r="V11" s="39">
        <v>51.9</v>
      </c>
      <c r="W11" s="39">
        <v>64.8</v>
      </c>
      <c r="X11" s="39">
        <v>71.400000000000006</v>
      </c>
      <c r="Y11" s="39">
        <v>66.7</v>
      </c>
      <c r="Z11" s="39">
        <v>61.3</v>
      </c>
      <c r="AA11" s="39">
        <v>49.2</v>
      </c>
      <c r="AB11" s="39">
        <v>40.4</v>
      </c>
      <c r="AC11" s="39">
        <v>31.5</v>
      </c>
      <c r="AD11" s="39">
        <v>49.2</v>
      </c>
      <c r="AF11" s="39" t="s">
        <v>272</v>
      </c>
      <c r="AG11" s="39">
        <v>0</v>
      </c>
      <c r="AH11" s="39">
        <v>0</v>
      </c>
      <c r="AI11" s="39">
        <v>0</v>
      </c>
      <c r="AJ11" s="39">
        <v>0</v>
      </c>
      <c r="AK11" s="39">
        <v>0.8</v>
      </c>
      <c r="AL11" s="39" t="s">
        <v>240</v>
      </c>
      <c r="AM11" s="39" t="s">
        <v>240</v>
      </c>
      <c r="AN11" s="39" t="s">
        <v>240</v>
      </c>
      <c r="AO11" s="39">
        <v>0.5</v>
      </c>
      <c r="AP11" s="39" t="s">
        <v>240</v>
      </c>
      <c r="AQ11" s="39">
        <v>0</v>
      </c>
      <c r="AR11" s="39">
        <v>0</v>
      </c>
      <c r="AS11" s="39">
        <v>0.2</v>
      </c>
    </row>
    <row r="12" spans="1:45" ht="15" thickBot="1">
      <c r="A12" s="39">
        <v>2003</v>
      </c>
      <c r="B12" s="39">
        <v>0</v>
      </c>
      <c r="C12" s="39">
        <v>0.06</v>
      </c>
      <c r="D12" s="39">
        <v>0.03</v>
      </c>
      <c r="E12" s="39">
        <v>0.04</v>
      </c>
      <c r="F12" s="39">
        <v>0.02</v>
      </c>
      <c r="G12" s="39">
        <v>0.01</v>
      </c>
      <c r="H12" s="39">
        <v>0.01</v>
      </c>
      <c r="I12" s="39">
        <v>0.03</v>
      </c>
      <c r="J12" s="39">
        <v>0.02</v>
      </c>
      <c r="K12" s="39">
        <v>0</v>
      </c>
      <c r="L12" s="39">
        <v>0.03</v>
      </c>
      <c r="M12" s="39">
        <v>0.08</v>
      </c>
      <c r="N12" s="39">
        <v>0.03</v>
      </c>
      <c r="Q12" s="39">
        <v>2003</v>
      </c>
      <c r="R12" s="39">
        <v>30.1</v>
      </c>
      <c r="S12" s="39">
        <v>31.8</v>
      </c>
      <c r="T12" s="39">
        <v>41</v>
      </c>
      <c r="U12" s="39">
        <v>41.6</v>
      </c>
      <c r="V12" s="39">
        <v>53.5</v>
      </c>
      <c r="W12" s="39">
        <v>64.599999999999994</v>
      </c>
      <c r="X12" s="39">
        <v>70.900000000000006</v>
      </c>
      <c r="Y12" s="39">
        <v>67.400000000000006</v>
      </c>
      <c r="Z12" s="39">
        <v>62.4</v>
      </c>
      <c r="AA12" s="39">
        <v>56.1</v>
      </c>
      <c r="AB12" s="39">
        <v>37</v>
      </c>
      <c r="AC12" s="39">
        <v>32.799999999999997</v>
      </c>
      <c r="AD12" s="39">
        <v>49.1</v>
      </c>
      <c r="AF12" s="39" t="s">
        <v>273</v>
      </c>
      <c r="AG12" s="39">
        <v>0</v>
      </c>
      <c r="AH12" s="39">
        <v>0</v>
      </c>
      <c r="AI12" s="39">
        <v>0</v>
      </c>
      <c r="AJ12" s="39">
        <v>0</v>
      </c>
      <c r="AK12" s="39">
        <v>0</v>
      </c>
      <c r="AL12" s="39" t="s">
        <v>240</v>
      </c>
      <c r="AM12" s="39">
        <v>15</v>
      </c>
      <c r="AN12" s="39">
        <v>3.3</v>
      </c>
      <c r="AO12" s="39">
        <v>0.6</v>
      </c>
      <c r="AP12" s="39" t="s">
        <v>240</v>
      </c>
      <c r="AQ12" s="39">
        <v>0</v>
      </c>
      <c r="AR12" s="39">
        <v>0</v>
      </c>
      <c r="AS12" s="39">
        <v>1.9</v>
      </c>
    </row>
    <row r="13" spans="1:45" ht="15" thickBot="1">
      <c r="A13" s="39">
        <v>2004</v>
      </c>
      <c r="B13" s="39">
        <v>7.0000000000000007E-2</v>
      </c>
      <c r="C13" s="39">
        <v>0.12</v>
      </c>
      <c r="D13" s="39">
        <v>0.01</v>
      </c>
      <c r="E13" s="39" t="s">
        <v>239</v>
      </c>
      <c r="F13" s="39">
        <v>0.02</v>
      </c>
      <c r="G13" s="39">
        <v>0.01</v>
      </c>
      <c r="H13" s="39">
        <v>0.02</v>
      </c>
      <c r="I13" s="39">
        <v>0.03</v>
      </c>
      <c r="J13" s="39">
        <v>0</v>
      </c>
      <c r="K13" s="39">
        <v>7.0000000000000007E-2</v>
      </c>
      <c r="L13" s="39">
        <v>0.08</v>
      </c>
      <c r="M13" s="39">
        <v>0.11</v>
      </c>
      <c r="N13" s="39">
        <v>0.05</v>
      </c>
      <c r="Q13" s="39">
        <v>2004</v>
      </c>
      <c r="R13" s="39">
        <v>32.1</v>
      </c>
      <c r="S13" s="39">
        <v>29.8</v>
      </c>
      <c r="T13" s="39">
        <v>44.7</v>
      </c>
      <c r="U13" s="39" t="s">
        <v>240</v>
      </c>
      <c r="V13" s="39" t="s">
        <v>240</v>
      </c>
      <c r="W13" s="39">
        <v>63</v>
      </c>
      <c r="X13" s="39">
        <v>68.599999999999994</v>
      </c>
      <c r="Y13" s="39">
        <v>65.400000000000006</v>
      </c>
      <c r="Z13" s="39">
        <v>59.8</v>
      </c>
      <c r="AA13" s="39">
        <v>47</v>
      </c>
      <c r="AB13" s="39">
        <v>36.299999999999997</v>
      </c>
      <c r="AC13" s="39">
        <v>32.1</v>
      </c>
      <c r="AD13" s="39">
        <v>47.9</v>
      </c>
      <c r="AF13" s="39" t="s">
        <v>274</v>
      </c>
      <c r="AG13" s="39">
        <v>0</v>
      </c>
      <c r="AH13" s="39">
        <v>0</v>
      </c>
      <c r="AI13" s="39">
        <v>0</v>
      </c>
      <c r="AJ13" s="39">
        <v>0</v>
      </c>
      <c r="AK13" s="39" t="s">
        <v>240</v>
      </c>
      <c r="AL13" s="39" t="s">
        <v>240</v>
      </c>
      <c r="AM13" s="39" t="s">
        <v>240</v>
      </c>
      <c r="AN13" s="39">
        <v>5.6</v>
      </c>
      <c r="AO13" s="39" t="s">
        <v>240</v>
      </c>
      <c r="AP13" s="39">
        <v>0</v>
      </c>
      <c r="AQ13" s="39">
        <v>0</v>
      </c>
      <c r="AR13" s="39">
        <v>0</v>
      </c>
      <c r="AS13" s="39">
        <v>0.7</v>
      </c>
    </row>
    <row r="14" spans="1:45" ht="15" thickBot="1">
      <c r="A14" s="39">
        <v>2005</v>
      </c>
      <c r="B14" s="39">
        <v>0.18</v>
      </c>
      <c r="C14" s="39">
        <v>0.09</v>
      </c>
      <c r="D14" s="39">
        <v>0.08</v>
      </c>
      <c r="E14" s="39" t="s">
        <v>240</v>
      </c>
      <c r="F14" s="39">
        <v>0.03</v>
      </c>
      <c r="G14" s="39">
        <v>0</v>
      </c>
      <c r="H14" s="39">
        <v>0</v>
      </c>
      <c r="I14" s="39">
        <v>0.03</v>
      </c>
      <c r="J14" s="39">
        <v>0.02</v>
      </c>
      <c r="K14" s="39">
        <v>0.01</v>
      </c>
      <c r="L14" s="39">
        <v>0.02</v>
      </c>
      <c r="M14" s="39" t="s">
        <v>240</v>
      </c>
      <c r="N14" s="39">
        <v>0.05</v>
      </c>
      <c r="Q14" s="39">
        <v>2005</v>
      </c>
      <c r="R14" s="39">
        <v>23.6</v>
      </c>
      <c r="S14" s="39">
        <v>30.2</v>
      </c>
      <c r="T14" s="39">
        <v>36.6</v>
      </c>
      <c r="U14" s="39">
        <v>42.5</v>
      </c>
      <c r="V14" s="39">
        <v>53.5</v>
      </c>
      <c r="W14" s="39">
        <v>58</v>
      </c>
      <c r="X14" s="39">
        <v>71.400000000000006</v>
      </c>
      <c r="Y14" s="39">
        <v>67</v>
      </c>
      <c r="Z14" s="39">
        <v>56.6</v>
      </c>
      <c r="AA14" s="39">
        <v>50.4</v>
      </c>
      <c r="AB14" s="39">
        <v>42.6</v>
      </c>
      <c r="AC14" s="39">
        <v>34.299999999999997</v>
      </c>
      <c r="AD14" s="39">
        <v>47.2</v>
      </c>
      <c r="AF14" s="39" t="s">
        <v>275</v>
      </c>
      <c r="AG14" s="39">
        <v>0</v>
      </c>
      <c r="AH14" s="39">
        <v>0</v>
      </c>
      <c r="AI14" s="39">
        <v>0</v>
      </c>
      <c r="AJ14" s="39">
        <v>0.8</v>
      </c>
      <c r="AK14" s="39">
        <v>0.7</v>
      </c>
      <c r="AL14" s="39" t="s">
        <v>240</v>
      </c>
      <c r="AM14" s="39" t="s">
        <v>240</v>
      </c>
      <c r="AN14" s="39">
        <v>19.7</v>
      </c>
      <c r="AO14" s="39">
        <v>5</v>
      </c>
      <c r="AP14" s="39" t="s">
        <v>240</v>
      </c>
      <c r="AQ14" s="39">
        <v>0</v>
      </c>
      <c r="AR14" s="39">
        <v>0</v>
      </c>
      <c r="AS14" s="39">
        <v>2.9</v>
      </c>
    </row>
    <row r="15" spans="1:45" ht="15" thickBot="1">
      <c r="A15" s="39">
        <v>2006</v>
      </c>
      <c r="B15" s="39">
        <v>0.18</v>
      </c>
      <c r="C15" s="39">
        <v>0.08</v>
      </c>
      <c r="D15" s="39">
        <v>0.06</v>
      </c>
      <c r="E15" s="39">
        <v>0.08</v>
      </c>
      <c r="F15" s="39">
        <v>0.03</v>
      </c>
      <c r="G15" s="39">
        <v>0.01</v>
      </c>
      <c r="H15" s="39">
        <v>0.01</v>
      </c>
      <c r="I15" s="39">
        <v>0</v>
      </c>
      <c r="J15" s="39" t="s">
        <v>239</v>
      </c>
      <c r="K15" s="39">
        <v>0.03</v>
      </c>
      <c r="L15" s="39">
        <v>0.01</v>
      </c>
      <c r="M15" s="39">
        <v>0.04</v>
      </c>
      <c r="N15" s="39">
        <v>0.04</v>
      </c>
      <c r="Q15" s="39">
        <v>2006</v>
      </c>
      <c r="R15" s="39">
        <v>27</v>
      </c>
      <c r="S15" s="39" t="s">
        <v>240</v>
      </c>
      <c r="T15" s="39" t="s">
        <v>240</v>
      </c>
      <c r="U15" s="39">
        <v>43.2</v>
      </c>
      <c r="V15" s="39">
        <v>55.2</v>
      </c>
      <c r="W15" s="39">
        <v>64.599999999999994</v>
      </c>
      <c r="X15" s="39">
        <v>71.099999999999994</v>
      </c>
      <c r="Y15" s="39">
        <v>65.5</v>
      </c>
      <c r="Z15" s="39">
        <v>59.3</v>
      </c>
      <c r="AA15" s="39">
        <v>47.6</v>
      </c>
      <c r="AB15" s="39">
        <v>41.9</v>
      </c>
      <c r="AC15" s="39">
        <v>31.2</v>
      </c>
      <c r="AD15" s="39">
        <v>50.7</v>
      </c>
      <c r="AF15" s="39" t="s">
        <v>276</v>
      </c>
      <c r="AG15" s="39">
        <v>0</v>
      </c>
      <c r="AH15" s="39">
        <v>0</v>
      </c>
      <c r="AI15" s="39">
        <v>0</v>
      </c>
      <c r="AJ15" s="39">
        <v>0</v>
      </c>
      <c r="AK15" s="39">
        <v>0</v>
      </c>
      <c r="AL15" s="39" t="s">
        <v>240</v>
      </c>
      <c r="AM15" s="39">
        <v>20.5</v>
      </c>
      <c r="AN15" s="39">
        <v>1.5</v>
      </c>
      <c r="AO15" s="39">
        <v>0.7</v>
      </c>
      <c r="AP15" s="39">
        <v>0.1</v>
      </c>
      <c r="AQ15" s="39">
        <v>0</v>
      </c>
      <c r="AR15" s="39">
        <v>0</v>
      </c>
      <c r="AS15" s="39">
        <v>2.1</v>
      </c>
    </row>
    <row r="16" spans="1:45" ht="15" thickBot="1">
      <c r="A16" s="39">
        <v>2007</v>
      </c>
      <c r="B16" s="39">
        <v>0.02</v>
      </c>
      <c r="C16" s="39">
        <v>7.0000000000000007E-2</v>
      </c>
      <c r="D16" s="39">
        <v>0.01</v>
      </c>
      <c r="E16" s="39">
        <v>0.01</v>
      </c>
      <c r="F16" s="39">
        <v>0</v>
      </c>
      <c r="G16" s="39">
        <v>0</v>
      </c>
      <c r="H16" s="39">
        <v>0.01</v>
      </c>
      <c r="I16" s="39">
        <v>0.04</v>
      </c>
      <c r="J16" s="39">
        <v>0.01</v>
      </c>
      <c r="K16" s="39">
        <v>0</v>
      </c>
      <c r="L16" s="39">
        <v>0.01</v>
      </c>
      <c r="M16" s="39" t="s">
        <v>240</v>
      </c>
      <c r="N16" s="39">
        <v>0.02</v>
      </c>
      <c r="Q16" s="39">
        <v>2007</v>
      </c>
      <c r="R16" s="39">
        <v>28</v>
      </c>
      <c r="S16" s="39">
        <v>35.299999999999997</v>
      </c>
      <c r="T16" s="39">
        <v>45.6</v>
      </c>
      <c r="U16" s="39">
        <v>47.1</v>
      </c>
      <c r="V16" s="39">
        <v>55.9</v>
      </c>
      <c r="W16" s="39">
        <v>64.400000000000006</v>
      </c>
      <c r="X16" s="39">
        <v>72.3</v>
      </c>
      <c r="Y16" s="39">
        <v>69.099999999999994</v>
      </c>
      <c r="Z16" s="39">
        <v>58.9</v>
      </c>
      <c r="AA16" s="39">
        <v>49</v>
      </c>
      <c r="AB16" s="39" t="s">
        <v>240</v>
      </c>
      <c r="AC16" s="39" t="s">
        <v>240</v>
      </c>
      <c r="AD16" s="39">
        <v>52.6</v>
      </c>
      <c r="AF16" s="39" t="s">
        <v>277</v>
      </c>
      <c r="AG16" s="39">
        <v>0</v>
      </c>
      <c r="AH16" s="39">
        <v>0</v>
      </c>
      <c r="AI16" s="39">
        <v>0</v>
      </c>
      <c r="AJ16" s="39">
        <v>0</v>
      </c>
      <c r="AK16" s="39">
        <v>0</v>
      </c>
      <c r="AL16" s="39" t="s">
        <v>240</v>
      </c>
      <c r="AM16" s="39">
        <v>0.5</v>
      </c>
      <c r="AN16" s="39">
        <v>0.8</v>
      </c>
      <c r="AO16" s="39">
        <v>0.3</v>
      </c>
      <c r="AP16" s="39" t="s">
        <v>240</v>
      </c>
      <c r="AQ16" s="39">
        <v>0</v>
      </c>
      <c r="AR16" s="39">
        <v>0</v>
      </c>
      <c r="AS16" s="39">
        <v>0.2</v>
      </c>
    </row>
    <row r="17" spans="1:45" ht="15" thickBot="1">
      <c r="A17" s="39">
        <v>2008</v>
      </c>
      <c r="B17" s="39" t="s">
        <v>240</v>
      </c>
      <c r="C17" s="39">
        <v>0.08</v>
      </c>
      <c r="D17" s="39">
        <v>0.01</v>
      </c>
      <c r="E17" s="39">
        <v>0</v>
      </c>
      <c r="F17" s="39">
        <v>0.04</v>
      </c>
      <c r="G17" s="39">
        <v>0</v>
      </c>
      <c r="H17" s="39">
        <v>0</v>
      </c>
      <c r="I17" s="39">
        <v>0</v>
      </c>
      <c r="J17" s="39" t="s">
        <v>239</v>
      </c>
      <c r="K17" s="39">
        <v>0.01</v>
      </c>
      <c r="L17" s="39">
        <v>0.05</v>
      </c>
      <c r="M17" s="39">
        <v>0.05</v>
      </c>
      <c r="N17" s="39">
        <v>0.02</v>
      </c>
      <c r="Q17" s="39">
        <v>2008</v>
      </c>
      <c r="R17" s="39">
        <v>26.5</v>
      </c>
      <c r="S17" s="39">
        <v>27.7</v>
      </c>
      <c r="T17" s="39">
        <v>37.5</v>
      </c>
      <c r="U17" s="39">
        <v>46.5</v>
      </c>
      <c r="V17" s="39">
        <v>51.4</v>
      </c>
      <c r="W17" s="39">
        <v>62.5</v>
      </c>
      <c r="X17" s="39">
        <v>70.8</v>
      </c>
      <c r="Y17" s="39">
        <v>70.099999999999994</v>
      </c>
      <c r="Z17" s="39">
        <v>61.1</v>
      </c>
      <c r="AA17" s="39">
        <v>49.4</v>
      </c>
      <c r="AB17" s="39">
        <v>42.2</v>
      </c>
      <c r="AC17" s="39">
        <v>30.4</v>
      </c>
      <c r="AD17" s="39">
        <v>48</v>
      </c>
      <c r="AF17" s="39" t="s">
        <v>278</v>
      </c>
      <c r="AG17" s="39">
        <v>0</v>
      </c>
      <c r="AH17" s="39">
        <v>0</v>
      </c>
      <c r="AI17" s="39">
        <v>0</v>
      </c>
      <c r="AJ17" s="39" t="s">
        <v>240</v>
      </c>
      <c r="AK17" s="39">
        <v>0</v>
      </c>
      <c r="AL17" s="39" t="s">
        <v>240</v>
      </c>
      <c r="AM17" s="39">
        <v>13.6</v>
      </c>
      <c r="AN17" s="39" t="s">
        <v>240</v>
      </c>
      <c r="AO17" s="39">
        <v>2</v>
      </c>
      <c r="AP17" s="39">
        <v>0</v>
      </c>
      <c r="AQ17" s="39">
        <v>0</v>
      </c>
      <c r="AR17" s="39">
        <v>0</v>
      </c>
      <c r="AS17" s="39">
        <v>1.7</v>
      </c>
    </row>
    <row r="18" spans="1:45" ht="15" thickBot="1">
      <c r="A18" s="39">
        <v>2009</v>
      </c>
      <c r="B18" s="39">
        <v>0.03</v>
      </c>
      <c r="C18" s="39" t="s">
        <v>240</v>
      </c>
      <c r="D18" s="39">
        <v>7.0000000000000007E-2</v>
      </c>
      <c r="E18" s="39">
        <v>0.01</v>
      </c>
      <c r="F18" s="39">
        <v>0.03</v>
      </c>
      <c r="G18" s="39">
        <v>0.03</v>
      </c>
      <c r="H18" s="39">
        <v>0</v>
      </c>
      <c r="I18" s="39">
        <v>0.01</v>
      </c>
      <c r="J18" s="39" t="s">
        <v>239</v>
      </c>
      <c r="K18" s="39">
        <v>0.08</v>
      </c>
      <c r="L18" s="39">
        <v>0.02</v>
      </c>
      <c r="M18" s="39">
        <v>0.06</v>
      </c>
      <c r="N18" s="39">
        <v>0.03</v>
      </c>
      <c r="Q18" s="39">
        <v>2009</v>
      </c>
      <c r="R18" s="39">
        <v>33.4</v>
      </c>
      <c r="S18" s="39">
        <v>32.4</v>
      </c>
      <c r="T18" s="39">
        <v>38.1</v>
      </c>
      <c r="U18" s="39">
        <v>44</v>
      </c>
      <c r="V18" s="39">
        <v>57.8</v>
      </c>
      <c r="W18" s="39">
        <v>58.1</v>
      </c>
      <c r="X18" s="39">
        <v>69.7</v>
      </c>
      <c r="Y18" s="39">
        <v>65.8</v>
      </c>
      <c r="Z18" s="39">
        <v>63.4</v>
      </c>
      <c r="AA18" s="39">
        <v>47.1</v>
      </c>
      <c r="AB18" s="39">
        <v>40.9</v>
      </c>
      <c r="AC18" s="39">
        <v>26</v>
      </c>
      <c r="AD18" s="39">
        <v>48.1</v>
      </c>
      <c r="AF18" s="39" t="s">
        <v>279</v>
      </c>
      <c r="AG18" s="39">
        <v>0</v>
      </c>
      <c r="AH18" s="39">
        <v>0</v>
      </c>
      <c r="AI18" s="39">
        <v>0</v>
      </c>
      <c r="AJ18" s="39">
        <v>0.1</v>
      </c>
      <c r="AK18" s="39" t="s">
        <v>240</v>
      </c>
      <c r="AL18" s="39">
        <v>2.2000000000000002</v>
      </c>
      <c r="AM18" s="39">
        <v>0.8</v>
      </c>
      <c r="AN18" s="39">
        <v>5</v>
      </c>
      <c r="AO18" s="39">
        <v>1.2</v>
      </c>
      <c r="AP18" s="39">
        <v>0</v>
      </c>
      <c r="AQ18" s="39">
        <v>0</v>
      </c>
      <c r="AR18" s="39">
        <v>0</v>
      </c>
      <c r="AS18" s="39">
        <v>0.8</v>
      </c>
    </row>
    <row r="19" spans="1:45" ht="15" thickBot="1">
      <c r="A19" s="39">
        <v>2010</v>
      </c>
      <c r="B19" s="39">
        <v>0.12</v>
      </c>
      <c r="C19" s="39">
        <v>0.12</v>
      </c>
      <c r="D19" s="39">
        <v>0.02</v>
      </c>
      <c r="E19" s="39">
        <v>0.06</v>
      </c>
      <c r="F19" s="39">
        <v>0.01</v>
      </c>
      <c r="G19" s="39" t="s">
        <v>239</v>
      </c>
      <c r="H19" s="39">
        <v>0.01</v>
      </c>
      <c r="I19" s="39" t="s">
        <v>239</v>
      </c>
      <c r="J19" s="39">
        <v>0</v>
      </c>
      <c r="K19" s="39">
        <v>0.12</v>
      </c>
      <c r="L19" s="39">
        <v>7.0000000000000007E-2</v>
      </c>
      <c r="M19" s="39">
        <v>0.26</v>
      </c>
      <c r="N19" s="39">
        <v>7.0000000000000007E-2</v>
      </c>
      <c r="Q19" s="39">
        <v>2010</v>
      </c>
      <c r="R19" s="39">
        <v>28.8</v>
      </c>
      <c r="S19" s="39">
        <v>31.6</v>
      </c>
      <c r="T19" s="39">
        <v>36.9</v>
      </c>
      <c r="U19" s="39">
        <v>40.5</v>
      </c>
      <c r="V19" s="39">
        <v>46.6</v>
      </c>
      <c r="W19" s="39">
        <v>61.8</v>
      </c>
      <c r="X19" s="39">
        <v>69.5</v>
      </c>
      <c r="Y19" s="39">
        <v>66.7</v>
      </c>
      <c r="Z19" s="39">
        <v>61.5</v>
      </c>
      <c r="AA19" s="39">
        <v>50.1</v>
      </c>
      <c r="AB19" s="39">
        <v>38.299999999999997</v>
      </c>
      <c r="AC19" s="39" t="s">
        <v>240</v>
      </c>
      <c r="AD19" s="39">
        <v>48.4</v>
      </c>
      <c r="AF19" s="39" t="s">
        <v>280</v>
      </c>
      <c r="AG19" s="39">
        <v>0</v>
      </c>
      <c r="AH19" s="39">
        <v>0</v>
      </c>
      <c r="AI19" s="39">
        <v>0</v>
      </c>
      <c r="AJ19" s="39">
        <v>0.1</v>
      </c>
      <c r="AK19" s="39">
        <v>0.2</v>
      </c>
      <c r="AL19" s="39" t="s">
        <v>240</v>
      </c>
      <c r="AM19" s="39" t="s">
        <v>240</v>
      </c>
      <c r="AN19" s="39">
        <v>9.6</v>
      </c>
      <c r="AO19" s="39">
        <v>2.4</v>
      </c>
      <c r="AP19" s="39">
        <v>0.7</v>
      </c>
      <c r="AQ19" s="39">
        <v>0.1</v>
      </c>
      <c r="AR19" s="39">
        <v>0</v>
      </c>
      <c r="AS19" s="39">
        <v>1.3</v>
      </c>
    </row>
    <row r="20" spans="1:45" ht="15" thickBot="1">
      <c r="A20" s="39">
        <v>2011</v>
      </c>
      <c r="B20" s="39">
        <v>0.02</v>
      </c>
      <c r="C20" s="39">
        <v>0.09</v>
      </c>
      <c r="D20" s="39">
        <v>0.13</v>
      </c>
      <c r="E20" s="39">
        <v>0.02</v>
      </c>
      <c r="F20" s="39">
        <v>0.01</v>
      </c>
      <c r="G20" s="39">
        <v>0.03</v>
      </c>
      <c r="H20" s="39">
        <v>0.01</v>
      </c>
      <c r="I20" s="39">
        <v>0</v>
      </c>
      <c r="J20" s="39">
        <v>0.01</v>
      </c>
      <c r="K20" s="39">
        <v>0.04</v>
      </c>
      <c r="L20" s="39">
        <v>0.01</v>
      </c>
      <c r="M20" s="39" t="s">
        <v>239</v>
      </c>
      <c r="N20" s="39">
        <v>0.03</v>
      </c>
      <c r="Q20" s="39">
        <v>2011</v>
      </c>
      <c r="R20" s="39">
        <v>27.8</v>
      </c>
      <c r="S20" s="39">
        <v>29.7</v>
      </c>
      <c r="T20" s="39">
        <v>36.799999999999997</v>
      </c>
      <c r="U20" s="39">
        <v>43.7</v>
      </c>
      <c r="V20" s="39">
        <v>47.6</v>
      </c>
      <c r="W20" s="39">
        <v>58.8</v>
      </c>
      <c r="X20" s="39">
        <v>67.7</v>
      </c>
      <c r="Y20" s="39">
        <v>69</v>
      </c>
      <c r="Z20" s="39">
        <v>63.5</v>
      </c>
      <c r="AA20" s="39">
        <v>51.8</v>
      </c>
      <c r="AB20" s="39">
        <v>38.200000000000003</v>
      </c>
      <c r="AC20" s="39">
        <v>30.2</v>
      </c>
      <c r="AD20" s="39">
        <v>47.1</v>
      </c>
      <c r="AF20" s="39" t="s">
        <v>281</v>
      </c>
      <c r="AG20" s="39">
        <v>0</v>
      </c>
      <c r="AH20" s="39">
        <v>0</v>
      </c>
      <c r="AI20" s="39">
        <v>0</v>
      </c>
      <c r="AJ20" s="39">
        <v>0</v>
      </c>
      <c r="AK20" s="39">
        <v>1.6</v>
      </c>
      <c r="AL20" s="39" t="s">
        <v>240</v>
      </c>
      <c r="AM20" s="39" t="s">
        <v>240</v>
      </c>
      <c r="AN20" s="39">
        <v>4.5999999999999996</v>
      </c>
      <c r="AO20" s="39">
        <v>5.2</v>
      </c>
      <c r="AP20" s="39">
        <v>0.1</v>
      </c>
      <c r="AQ20" s="39">
        <v>0.1</v>
      </c>
      <c r="AR20" s="39">
        <v>0</v>
      </c>
      <c r="AS20" s="39">
        <v>1.2</v>
      </c>
    </row>
    <row r="21" spans="1:45" ht="15" thickBot="1">
      <c r="A21" s="39">
        <v>2012</v>
      </c>
      <c r="B21" s="39">
        <v>0.08</v>
      </c>
      <c r="C21" s="39">
        <v>0.01</v>
      </c>
      <c r="D21" s="39">
        <v>0.04</v>
      </c>
      <c r="E21" s="39">
        <v>0.01</v>
      </c>
      <c r="F21" s="39" t="s">
        <v>239</v>
      </c>
      <c r="G21" s="39">
        <v>0</v>
      </c>
      <c r="H21" s="39">
        <v>0</v>
      </c>
      <c r="I21" s="39">
        <v>0.02</v>
      </c>
      <c r="J21" s="39">
        <v>0</v>
      </c>
      <c r="K21" s="39">
        <v>0.03</v>
      </c>
      <c r="L21" s="39">
        <v>0.03</v>
      </c>
      <c r="M21" s="39">
        <v>0.16</v>
      </c>
      <c r="N21" s="39">
        <v>0.03</v>
      </c>
      <c r="Q21" s="39">
        <v>2012</v>
      </c>
      <c r="R21" s="39">
        <v>35.700000000000003</v>
      </c>
      <c r="S21" s="39">
        <v>34</v>
      </c>
      <c r="T21" s="39">
        <v>39.700000000000003</v>
      </c>
      <c r="U21" s="39">
        <v>49.6</v>
      </c>
      <c r="V21" s="39">
        <v>55.5</v>
      </c>
      <c r="W21" s="39">
        <v>63.7</v>
      </c>
      <c r="X21" s="39">
        <v>70.3</v>
      </c>
      <c r="Y21" s="39">
        <v>70.7</v>
      </c>
      <c r="Z21" s="39">
        <v>64.400000000000006</v>
      </c>
      <c r="AA21" s="39">
        <v>53</v>
      </c>
      <c r="AB21" s="39">
        <v>43.1</v>
      </c>
      <c r="AC21" s="39">
        <v>33.200000000000003</v>
      </c>
      <c r="AD21" s="39">
        <v>51.1</v>
      </c>
      <c r="AF21" s="39" t="s">
        <v>282</v>
      </c>
      <c r="AG21" s="39">
        <v>0</v>
      </c>
      <c r="AH21" s="39">
        <v>0</v>
      </c>
      <c r="AI21" s="39">
        <v>0</v>
      </c>
      <c r="AJ21" s="39">
        <v>0</v>
      </c>
      <c r="AK21" s="39">
        <v>0</v>
      </c>
      <c r="AL21" s="39">
        <v>0</v>
      </c>
      <c r="AM21" s="39">
        <v>1</v>
      </c>
      <c r="AN21" s="39">
        <v>0.2</v>
      </c>
      <c r="AO21" s="39">
        <v>1.1000000000000001</v>
      </c>
      <c r="AP21" s="39">
        <v>0.1</v>
      </c>
      <c r="AQ21" s="39">
        <v>0</v>
      </c>
      <c r="AR21" s="39">
        <v>0</v>
      </c>
      <c r="AS21" s="39">
        <v>0.2</v>
      </c>
    </row>
    <row r="22" spans="1:45" ht="15" thickBot="1">
      <c r="A22" s="39">
        <v>2013</v>
      </c>
      <c r="B22" s="39">
        <v>0.01</v>
      </c>
      <c r="C22" s="39" t="s">
        <v>239</v>
      </c>
      <c r="D22" s="39">
        <v>0</v>
      </c>
      <c r="E22" s="39">
        <v>0.01</v>
      </c>
      <c r="F22" s="39">
        <v>0.03</v>
      </c>
      <c r="G22" s="39">
        <v>0</v>
      </c>
      <c r="H22" s="39">
        <v>0.03</v>
      </c>
      <c r="I22" s="39">
        <v>0.02</v>
      </c>
      <c r="J22" s="39">
        <v>0.02</v>
      </c>
      <c r="K22" s="39">
        <v>0.02</v>
      </c>
      <c r="L22" s="39">
        <v>0.01</v>
      </c>
      <c r="M22" s="39">
        <v>0.02</v>
      </c>
      <c r="N22" s="39">
        <v>0.01</v>
      </c>
      <c r="Q22" s="39">
        <v>2013</v>
      </c>
      <c r="R22" s="39">
        <v>21.7</v>
      </c>
      <c r="S22" s="39">
        <v>32.9</v>
      </c>
      <c r="T22" s="39">
        <v>43.8</v>
      </c>
      <c r="U22" s="39">
        <v>47.4</v>
      </c>
      <c r="V22" s="39">
        <v>54.2</v>
      </c>
      <c r="W22" s="39">
        <v>65.2</v>
      </c>
      <c r="X22" s="39">
        <v>70.7</v>
      </c>
      <c r="Y22" s="39">
        <v>67</v>
      </c>
      <c r="Z22" s="39">
        <v>59.7</v>
      </c>
      <c r="AA22" s="39">
        <v>46.6</v>
      </c>
      <c r="AB22" s="39">
        <v>41</v>
      </c>
      <c r="AC22" s="39">
        <v>30.7</v>
      </c>
      <c r="AD22" s="39">
        <v>48.4</v>
      </c>
      <c r="AF22" s="39" t="s">
        <v>283</v>
      </c>
      <c r="AG22" s="39">
        <v>0</v>
      </c>
      <c r="AH22" s="39">
        <v>0</v>
      </c>
      <c r="AI22" s="39">
        <v>0</v>
      </c>
      <c r="AJ22" s="39">
        <v>0</v>
      </c>
      <c r="AK22" s="39">
        <v>0</v>
      </c>
      <c r="AL22" s="39">
        <v>6.5</v>
      </c>
      <c r="AM22" s="39">
        <v>11.8</v>
      </c>
      <c r="AN22" s="39">
        <v>0.7</v>
      </c>
      <c r="AO22" s="39">
        <v>0.1</v>
      </c>
      <c r="AP22" s="39" t="s">
        <v>240</v>
      </c>
      <c r="AQ22" s="39">
        <v>0</v>
      </c>
      <c r="AR22" s="39">
        <v>0</v>
      </c>
      <c r="AS22" s="39">
        <v>1.7</v>
      </c>
    </row>
    <row r="23" spans="1:45" ht="15" thickBot="1">
      <c r="A23" s="39">
        <v>2014</v>
      </c>
      <c r="B23" s="39">
        <v>0.04</v>
      </c>
      <c r="C23" s="39">
        <v>7.0000000000000007E-2</v>
      </c>
      <c r="D23" s="39">
        <v>0.04</v>
      </c>
      <c r="E23" s="39">
        <v>0.02</v>
      </c>
      <c r="F23" s="39">
        <v>0.01</v>
      </c>
      <c r="G23" s="39">
        <v>0.02</v>
      </c>
      <c r="H23" s="39">
        <v>0.03</v>
      </c>
      <c r="I23" s="39">
        <v>0.03</v>
      </c>
      <c r="J23" s="39">
        <v>0.03</v>
      </c>
      <c r="K23" s="39">
        <v>0</v>
      </c>
      <c r="L23" s="39">
        <v>0.02</v>
      </c>
      <c r="M23" s="39">
        <v>0.03</v>
      </c>
      <c r="N23" s="39">
        <v>0.03</v>
      </c>
      <c r="Q23" s="39">
        <v>2014</v>
      </c>
      <c r="R23" s="39">
        <v>36.799999999999997</v>
      </c>
      <c r="S23" s="39">
        <v>38.5</v>
      </c>
      <c r="T23" s="39">
        <v>40.799999999999997</v>
      </c>
      <c r="U23" s="39">
        <v>47</v>
      </c>
      <c r="V23" s="39">
        <v>54.6</v>
      </c>
      <c r="W23" s="39">
        <v>63.9</v>
      </c>
      <c r="X23" s="39">
        <v>70.400000000000006</v>
      </c>
      <c r="Y23" s="39">
        <v>65.900000000000006</v>
      </c>
      <c r="Z23" s="39">
        <v>62.7</v>
      </c>
      <c r="AA23" s="39">
        <v>55</v>
      </c>
      <c r="AB23" s="39">
        <v>43.9</v>
      </c>
      <c r="AC23" s="39">
        <v>35.5</v>
      </c>
      <c r="AD23" s="39">
        <v>51.2</v>
      </c>
      <c r="AF23" s="39" t="s">
        <v>284</v>
      </c>
      <c r="AG23" s="39">
        <v>0</v>
      </c>
      <c r="AH23" s="39">
        <v>0</v>
      </c>
      <c r="AI23" s="39">
        <v>0</v>
      </c>
      <c r="AJ23" s="39">
        <v>0.2</v>
      </c>
      <c r="AK23" s="39">
        <v>0</v>
      </c>
      <c r="AL23" s="39">
        <v>2.6</v>
      </c>
      <c r="AM23" s="39">
        <v>0.5</v>
      </c>
      <c r="AN23" s="39">
        <v>1.2</v>
      </c>
      <c r="AO23" s="39" t="s">
        <v>240</v>
      </c>
      <c r="AP23" s="39">
        <v>0.2</v>
      </c>
      <c r="AQ23" s="39">
        <v>0</v>
      </c>
      <c r="AR23" s="39">
        <v>0</v>
      </c>
      <c r="AS23" s="39">
        <v>0.4</v>
      </c>
    </row>
    <row r="24" spans="1:45" ht="15" thickBot="1">
      <c r="A24" s="39">
        <v>2015</v>
      </c>
      <c r="B24" s="39">
        <v>0.01</v>
      </c>
      <c r="C24" s="39">
        <v>0.04</v>
      </c>
      <c r="D24" s="39">
        <v>0.02</v>
      </c>
      <c r="E24" s="39">
        <v>0.02</v>
      </c>
      <c r="F24" s="39">
        <v>0.13</v>
      </c>
      <c r="G24" s="39">
        <v>0.02</v>
      </c>
      <c r="H24" s="39">
        <v>7.0000000000000007E-2</v>
      </c>
      <c r="I24" s="39">
        <v>0</v>
      </c>
      <c r="J24" s="39">
        <v>0.01</v>
      </c>
      <c r="K24" s="39">
        <v>0.04</v>
      </c>
      <c r="L24" s="39">
        <v>0.04</v>
      </c>
      <c r="M24" s="39">
        <v>0.05</v>
      </c>
      <c r="N24" s="39">
        <v>0.04</v>
      </c>
      <c r="Q24" s="39">
        <v>2015</v>
      </c>
      <c r="R24" s="39">
        <v>37.6</v>
      </c>
      <c r="S24" s="39">
        <v>42.8</v>
      </c>
      <c r="T24" s="39">
        <v>46</v>
      </c>
      <c r="U24" s="39">
        <v>46.3</v>
      </c>
      <c r="V24" s="39">
        <v>50.1</v>
      </c>
      <c r="W24" s="39">
        <v>65.400000000000006</v>
      </c>
      <c r="X24" s="39">
        <v>65.400000000000006</v>
      </c>
      <c r="Y24" s="39">
        <v>68.599999999999994</v>
      </c>
      <c r="Z24" s="39">
        <v>63.6</v>
      </c>
      <c r="AA24" s="39">
        <v>53.3</v>
      </c>
      <c r="AB24" s="39">
        <v>36.299999999999997</v>
      </c>
      <c r="AC24" s="39">
        <v>31.5</v>
      </c>
      <c r="AD24" s="39">
        <v>50.6</v>
      </c>
      <c r="AF24" s="39" t="s">
        <v>285</v>
      </c>
      <c r="AG24" s="39" t="s">
        <v>240</v>
      </c>
      <c r="AH24" s="39">
        <v>0</v>
      </c>
      <c r="AI24" s="39" t="s">
        <v>240</v>
      </c>
      <c r="AJ24" s="39">
        <v>0</v>
      </c>
      <c r="AK24" s="39">
        <v>0</v>
      </c>
      <c r="AL24" s="39" t="s">
        <v>240</v>
      </c>
      <c r="AM24" s="39">
        <v>0.1</v>
      </c>
      <c r="AN24" s="39">
        <v>0.1</v>
      </c>
      <c r="AO24" s="39">
        <v>0.1</v>
      </c>
      <c r="AP24" s="39">
        <v>0.3</v>
      </c>
      <c r="AQ24" s="39">
        <v>0.8</v>
      </c>
      <c r="AR24" s="39">
        <v>0</v>
      </c>
      <c r="AS24" s="39">
        <v>0.2</v>
      </c>
    </row>
    <row r="25" spans="1:45" ht="15" thickBot="1">
      <c r="A25" s="39">
        <v>2016</v>
      </c>
      <c r="B25" s="39">
        <v>0.08</v>
      </c>
      <c r="C25" s="39">
        <v>0.04</v>
      </c>
      <c r="D25" s="39">
        <v>0.04</v>
      </c>
      <c r="E25" s="39">
        <v>0.04</v>
      </c>
      <c r="F25" s="39">
        <v>0.03</v>
      </c>
      <c r="G25" s="39">
        <v>0.04</v>
      </c>
      <c r="H25" s="39">
        <v>0.02</v>
      </c>
      <c r="I25" s="39">
        <v>0</v>
      </c>
      <c r="J25" s="39">
        <v>0.03</v>
      </c>
      <c r="K25" s="39">
        <v>7.0000000000000007E-2</v>
      </c>
      <c r="L25" s="39">
        <v>0.02</v>
      </c>
      <c r="M25" s="39">
        <v>7.0000000000000007E-2</v>
      </c>
      <c r="N25" s="39">
        <v>0.04</v>
      </c>
      <c r="Q25" s="39">
        <v>2016</v>
      </c>
      <c r="R25" s="39">
        <v>32.799999999999997</v>
      </c>
      <c r="S25" s="39">
        <v>39.5</v>
      </c>
      <c r="T25" s="39">
        <v>43.5</v>
      </c>
      <c r="U25" s="39">
        <v>48.1</v>
      </c>
      <c r="V25" s="39">
        <v>51</v>
      </c>
      <c r="W25" s="39">
        <v>64.900000000000006</v>
      </c>
      <c r="X25" s="39">
        <v>69.5</v>
      </c>
      <c r="Y25" s="39">
        <v>68.900000000000006</v>
      </c>
      <c r="Z25" s="39">
        <v>60</v>
      </c>
      <c r="AA25" s="39">
        <v>51.4</v>
      </c>
      <c r="AB25" s="39">
        <v>42.5</v>
      </c>
      <c r="AC25" s="39">
        <v>34.5</v>
      </c>
      <c r="AD25" s="39">
        <v>50.6</v>
      </c>
      <c r="AF25" s="39" t="s">
        <v>286</v>
      </c>
      <c r="AG25" s="39">
        <v>0</v>
      </c>
      <c r="AH25" s="39">
        <v>0</v>
      </c>
      <c r="AI25" s="39">
        <v>0</v>
      </c>
      <c r="AJ25" s="39">
        <v>0</v>
      </c>
      <c r="AK25" s="39">
        <v>0.5</v>
      </c>
      <c r="AL25" s="39">
        <v>1.5</v>
      </c>
      <c r="AM25" s="39">
        <v>4</v>
      </c>
      <c r="AN25" s="39">
        <v>1.4</v>
      </c>
      <c r="AO25" s="39">
        <v>0.5</v>
      </c>
      <c r="AP25" s="39">
        <v>0</v>
      </c>
      <c r="AQ25" s="39">
        <v>0</v>
      </c>
      <c r="AR25" s="39">
        <v>0</v>
      </c>
      <c r="AS25" s="39">
        <v>0.7</v>
      </c>
    </row>
    <row r="26" spans="1:45" ht="15" thickBot="1">
      <c r="A26" s="39">
        <v>2017</v>
      </c>
      <c r="B26" s="39">
        <v>0.36</v>
      </c>
      <c r="C26" s="39">
        <v>0.23</v>
      </c>
      <c r="D26" s="39">
        <v>0.04</v>
      </c>
      <c r="E26" s="39">
        <v>0.06</v>
      </c>
      <c r="F26" s="39">
        <v>0.03</v>
      </c>
      <c r="G26" s="39">
        <v>0</v>
      </c>
      <c r="H26" s="39">
        <v>0</v>
      </c>
      <c r="I26" s="39">
        <v>0.02</v>
      </c>
      <c r="J26" s="39">
        <v>0.02</v>
      </c>
      <c r="K26" s="39">
        <v>0</v>
      </c>
      <c r="L26" s="39">
        <v>0.09</v>
      </c>
      <c r="M26" s="39" t="s">
        <v>239</v>
      </c>
      <c r="N26" s="39">
        <v>7.0000000000000007E-2</v>
      </c>
      <c r="Q26" s="39">
        <v>2017</v>
      </c>
      <c r="R26" s="39">
        <v>25.9</v>
      </c>
      <c r="S26" s="39">
        <v>34.5</v>
      </c>
      <c r="T26" s="39">
        <v>42.9</v>
      </c>
      <c r="U26" s="39">
        <v>45.8</v>
      </c>
      <c r="V26" s="39">
        <v>54.8</v>
      </c>
      <c r="W26" s="39">
        <v>64.5</v>
      </c>
      <c r="X26" s="39">
        <v>71.3</v>
      </c>
      <c r="Y26" s="39">
        <v>69.099999999999994</v>
      </c>
      <c r="Z26" s="39">
        <v>58.4</v>
      </c>
      <c r="AA26" s="39">
        <v>49.4</v>
      </c>
      <c r="AB26" s="39">
        <v>46.1</v>
      </c>
      <c r="AC26" s="39">
        <v>35</v>
      </c>
      <c r="AD26" s="39">
        <v>49.8</v>
      </c>
      <c r="AF26" s="39" t="s">
        <v>287</v>
      </c>
      <c r="AG26" s="39">
        <v>0</v>
      </c>
      <c r="AH26" s="39">
        <v>0</v>
      </c>
      <c r="AI26" s="39">
        <v>0</v>
      </c>
      <c r="AJ26" s="39">
        <v>0</v>
      </c>
      <c r="AK26" s="39">
        <v>0.7</v>
      </c>
      <c r="AL26" s="39">
        <v>1.4</v>
      </c>
      <c r="AM26" s="39" t="s">
        <v>240</v>
      </c>
      <c r="AN26" s="39">
        <v>12.1</v>
      </c>
      <c r="AO26" s="39">
        <v>0.5</v>
      </c>
      <c r="AP26" s="39">
        <v>0.1</v>
      </c>
      <c r="AQ26" s="39">
        <v>0</v>
      </c>
      <c r="AR26" s="39">
        <v>0</v>
      </c>
      <c r="AS26" s="39">
        <v>1.3</v>
      </c>
    </row>
    <row r="27" spans="1:45" ht="15" thickBot="1">
      <c r="A27" s="39">
        <v>2018</v>
      </c>
      <c r="B27" s="39">
        <v>0.02</v>
      </c>
      <c r="C27" s="39">
        <v>0.01</v>
      </c>
      <c r="D27" s="39">
        <v>0.12</v>
      </c>
      <c r="E27" s="39">
        <v>0.04</v>
      </c>
      <c r="F27" s="39">
        <v>0.08</v>
      </c>
      <c r="G27" s="39">
        <v>0</v>
      </c>
      <c r="H27" s="39">
        <v>0.06</v>
      </c>
      <c r="I27" s="39">
        <v>0</v>
      </c>
      <c r="J27" s="39" t="s">
        <v>239</v>
      </c>
      <c r="K27" s="39">
        <v>0.01</v>
      </c>
      <c r="L27" s="39">
        <v>7.0000000000000007E-2</v>
      </c>
      <c r="M27" s="39">
        <v>0.02</v>
      </c>
      <c r="N27" s="39">
        <v>0.04</v>
      </c>
      <c r="Q27" s="39">
        <v>2018</v>
      </c>
      <c r="R27" s="39">
        <v>38.299999999999997</v>
      </c>
      <c r="S27" s="39">
        <v>34.1</v>
      </c>
      <c r="T27" s="39">
        <v>36.200000000000003</v>
      </c>
      <c r="U27" s="39">
        <v>48.1</v>
      </c>
      <c r="V27" s="39">
        <v>53.5</v>
      </c>
      <c r="W27" s="39">
        <v>65.2</v>
      </c>
      <c r="X27" s="39">
        <v>71.8</v>
      </c>
      <c r="Y27" s="39">
        <v>68.7</v>
      </c>
      <c r="Z27" s="39">
        <v>62.5</v>
      </c>
      <c r="AA27" s="39">
        <v>48.5</v>
      </c>
      <c r="AB27" s="39">
        <v>41.4</v>
      </c>
      <c r="AC27" s="39">
        <v>32</v>
      </c>
      <c r="AD27" s="39">
        <v>50</v>
      </c>
      <c r="AF27" s="39" t="s">
        <v>288</v>
      </c>
      <c r="AG27" s="39">
        <v>0</v>
      </c>
      <c r="AH27" s="39">
        <v>0</v>
      </c>
      <c r="AI27" s="39">
        <v>0</v>
      </c>
      <c r="AJ27" s="39">
        <v>0</v>
      </c>
      <c r="AK27" s="39">
        <v>0</v>
      </c>
      <c r="AL27" s="39">
        <v>0</v>
      </c>
      <c r="AM27" s="39">
        <v>0.3</v>
      </c>
      <c r="AN27" s="39">
        <v>0.3</v>
      </c>
      <c r="AO27" s="39">
        <v>1.6</v>
      </c>
      <c r="AP27" s="39">
        <v>0</v>
      </c>
      <c r="AQ27" s="39">
        <v>0.1</v>
      </c>
      <c r="AR27" s="39">
        <v>0</v>
      </c>
      <c r="AS27" s="39">
        <v>0.2</v>
      </c>
    </row>
    <row r="28" spans="1:45" ht="15" thickBot="1">
      <c r="A28" s="39">
        <v>2019</v>
      </c>
      <c r="B28" s="39">
        <v>0.09</v>
      </c>
      <c r="C28" s="39">
        <v>0.21</v>
      </c>
      <c r="D28" s="39">
        <v>0.08</v>
      </c>
      <c r="E28" s="39">
        <v>0</v>
      </c>
      <c r="F28" s="39">
        <v>0.03</v>
      </c>
      <c r="G28" s="39">
        <v>0.01</v>
      </c>
      <c r="H28" s="39">
        <v>0.02</v>
      </c>
      <c r="I28" s="39">
        <v>0</v>
      </c>
      <c r="J28" s="39">
        <v>0</v>
      </c>
      <c r="K28" s="39">
        <v>0</v>
      </c>
      <c r="L28" s="39">
        <v>0.03</v>
      </c>
      <c r="M28" s="39">
        <v>0.06</v>
      </c>
      <c r="N28" s="39">
        <v>0.04</v>
      </c>
      <c r="Q28" s="39">
        <v>2019</v>
      </c>
      <c r="R28" s="39">
        <v>32.799999999999997</v>
      </c>
      <c r="S28" s="39">
        <v>27.1</v>
      </c>
      <c r="T28" s="39">
        <v>36</v>
      </c>
      <c r="U28" s="39">
        <v>48.7</v>
      </c>
      <c r="V28" s="39">
        <v>49.1</v>
      </c>
      <c r="W28" s="39">
        <v>61.4</v>
      </c>
      <c r="X28" s="39">
        <v>68.2</v>
      </c>
      <c r="Y28" s="39">
        <v>69.400000000000006</v>
      </c>
      <c r="Z28" s="39">
        <v>59.7</v>
      </c>
      <c r="AA28" s="39">
        <v>46.9</v>
      </c>
      <c r="AB28" s="39">
        <v>40.799999999999997</v>
      </c>
      <c r="AC28" s="39">
        <v>32.299999999999997</v>
      </c>
      <c r="AD28" s="39">
        <v>47.7</v>
      </c>
      <c r="AF28" s="39" t="s">
        <v>289</v>
      </c>
      <c r="AG28" s="39">
        <v>0</v>
      </c>
      <c r="AH28" s="39">
        <v>0</v>
      </c>
      <c r="AI28" s="39">
        <v>0</v>
      </c>
      <c r="AJ28" s="39">
        <v>0</v>
      </c>
      <c r="AK28" s="39">
        <v>0.3</v>
      </c>
      <c r="AL28" s="39">
        <v>3</v>
      </c>
      <c r="AM28" s="39">
        <v>4.8</v>
      </c>
      <c r="AN28" s="39">
        <v>19.2</v>
      </c>
      <c r="AO28" s="39">
        <v>2.4</v>
      </c>
      <c r="AP28" s="39">
        <v>0</v>
      </c>
      <c r="AQ28" s="39">
        <v>0</v>
      </c>
      <c r="AR28" s="39">
        <v>0</v>
      </c>
      <c r="AS28" s="39">
        <v>2.5</v>
      </c>
    </row>
    <row r="29" spans="1:45" ht="15" thickBot="1">
      <c r="A29" s="39">
        <v>2020</v>
      </c>
      <c r="B29" s="39">
        <v>0.02</v>
      </c>
      <c r="C29" s="39" t="s">
        <v>239</v>
      </c>
      <c r="D29" s="39">
        <v>0.05</v>
      </c>
      <c r="E29" s="39">
        <v>7.0000000000000007E-2</v>
      </c>
      <c r="F29" s="39">
        <v>0.01</v>
      </c>
      <c r="G29" s="39">
        <v>0.01</v>
      </c>
      <c r="H29" s="39">
        <v>0.01</v>
      </c>
      <c r="I29" s="39">
        <v>0.02</v>
      </c>
      <c r="J29" s="39">
        <v>0</v>
      </c>
      <c r="K29" s="39">
        <v>0</v>
      </c>
      <c r="L29" s="39">
        <v>0.04</v>
      </c>
      <c r="M29" s="39">
        <v>0.04</v>
      </c>
      <c r="N29" s="39">
        <v>0.02</v>
      </c>
      <c r="Q29" s="39">
        <v>2020</v>
      </c>
      <c r="R29" s="39">
        <v>35.5</v>
      </c>
      <c r="S29" s="39">
        <v>37.200000000000003</v>
      </c>
      <c r="T29" s="39">
        <v>36.6</v>
      </c>
      <c r="U29" s="39">
        <v>46.3</v>
      </c>
      <c r="V29" s="39">
        <v>55.5</v>
      </c>
      <c r="W29" s="39">
        <v>61.1</v>
      </c>
      <c r="X29" s="39">
        <v>69.7</v>
      </c>
      <c r="Y29" s="39">
        <v>68.599999999999994</v>
      </c>
      <c r="Z29" s="39">
        <v>63.1</v>
      </c>
      <c r="AA29" s="39">
        <v>53.5</v>
      </c>
      <c r="AB29" s="39">
        <v>39.6</v>
      </c>
      <c r="AC29" s="39">
        <v>32.9</v>
      </c>
      <c r="AD29" s="39">
        <v>50</v>
      </c>
      <c r="AF29" s="39" t="s">
        <v>290</v>
      </c>
      <c r="AG29" s="39">
        <v>0</v>
      </c>
      <c r="AH29" s="39">
        <v>0</v>
      </c>
      <c r="AI29" s="39">
        <v>0</v>
      </c>
      <c r="AJ29" s="39">
        <v>0</v>
      </c>
      <c r="AK29" s="39">
        <v>0.9</v>
      </c>
      <c r="AL29" s="39">
        <v>5.4</v>
      </c>
      <c r="AM29" s="39">
        <v>2.7</v>
      </c>
      <c r="AN29" s="39">
        <v>0</v>
      </c>
      <c r="AO29" s="39">
        <v>1.1000000000000001</v>
      </c>
      <c r="AP29" s="39">
        <v>0.5</v>
      </c>
      <c r="AQ29" s="39">
        <v>0</v>
      </c>
      <c r="AR29" s="39">
        <v>0</v>
      </c>
      <c r="AS29" s="39">
        <v>0.9</v>
      </c>
    </row>
    <row r="30" spans="1:45" ht="15" thickBot="1">
      <c r="A30" s="39">
        <v>2021</v>
      </c>
      <c r="B30" s="39">
        <v>0.13</v>
      </c>
      <c r="C30" s="39">
        <v>0.02</v>
      </c>
      <c r="D30" s="39">
        <v>0.01</v>
      </c>
      <c r="E30" s="39">
        <v>0</v>
      </c>
      <c r="F30" s="39">
        <v>0.01</v>
      </c>
      <c r="G30" s="39">
        <v>0.02</v>
      </c>
      <c r="H30" s="39">
        <v>0.06</v>
      </c>
      <c r="I30" s="39" t="s">
        <v>239</v>
      </c>
      <c r="J30" s="39">
        <v>0</v>
      </c>
      <c r="K30" s="39">
        <v>0.08</v>
      </c>
      <c r="L30" s="39">
        <v>0</v>
      </c>
      <c r="M30" s="39">
        <v>0.2</v>
      </c>
      <c r="N30" s="39">
        <v>0.04</v>
      </c>
      <c r="Q30" s="39">
        <v>2021</v>
      </c>
      <c r="R30" s="39">
        <v>32</v>
      </c>
      <c r="S30" s="39">
        <v>31.9</v>
      </c>
      <c r="T30" s="39">
        <v>37.1</v>
      </c>
      <c r="U30" s="39">
        <v>47.4</v>
      </c>
      <c r="V30" s="39">
        <v>54.5</v>
      </c>
      <c r="W30" s="39">
        <v>67.5</v>
      </c>
      <c r="X30" s="39">
        <v>72.3</v>
      </c>
      <c r="Y30" s="39">
        <v>69.3</v>
      </c>
      <c r="Z30" s="39">
        <v>63.3</v>
      </c>
      <c r="AA30" s="39">
        <v>46.5</v>
      </c>
      <c r="AB30" s="39">
        <v>44.6</v>
      </c>
      <c r="AC30" s="39">
        <v>31.7</v>
      </c>
      <c r="AD30" s="39">
        <v>49.8</v>
      </c>
      <c r="AF30" s="39" t="s">
        <v>291</v>
      </c>
      <c r="AG30" s="39">
        <v>0</v>
      </c>
      <c r="AH30" s="39">
        <v>0</v>
      </c>
      <c r="AI30" s="39">
        <v>0</v>
      </c>
      <c r="AJ30" s="39">
        <v>0</v>
      </c>
      <c r="AK30" s="39">
        <v>0.9</v>
      </c>
      <c r="AL30" s="39">
        <v>2.1</v>
      </c>
      <c r="AM30" s="39">
        <v>6.6</v>
      </c>
      <c r="AN30" s="39">
        <v>24</v>
      </c>
      <c r="AO30" s="39">
        <v>4.3</v>
      </c>
      <c r="AP30" s="39">
        <v>0</v>
      </c>
      <c r="AQ30" s="39">
        <v>0</v>
      </c>
      <c r="AR30" s="39">
        <v>0</v>
      </c>
      <c r="AS30" s="39">
        <v>3.2</v>
      </c>
    </row>
    <row r="31" spans="1:45" ht="15" thickBot="1">
      <c r="A31" s="39">
        <v>2022</v>
      </c>
      <c r="B31" s="39">
        <v>0</v>
      </c>
      <c r="C31" s="39">
        <v>0</v>
      </c>
      <c r="D31" s="39" t="s">
        <v>240</v>
      </c>
      <c r="E31" s="39">
        <v>0</v>
      </c>
      <c r="F31" s="39" t="s">
        <v>240</v>
      </c>
      <c r="G31" s="39" t="s">
        <v>239</v>
      </c>
      <c r="H31" s="39">
        <v>0</v>
      </c>
      <c r="I31" s="39">
        <v>0.05</v>
      </c>
      <c r="J31" s="39">
        <v>0.02</v>
      </c>
      <c r="K31" s="39">
        <v>0</v>
      </c>
      <c r="L31" s="39">
        <v>0.06</v>
      </c>
      <c r="M31" s="39">
        <v>0.18</v>
      </c>
      <c r="N31" s="39">
        <v>0.03</v>
      </c>
      <c r="Q31" s="39">
        <v>2022</v>
      </c>
      <c r="R31" s="39">
        <v>31</v>
      </c>
      <c r="S31" s="39">
        <v>33.299999999999997</v>
      </c>
      <c r="T31" s="39">
        <v>41.6</v>
      </c>
      <c r="U31" s="39">
        <v>45.9</v>
      </c>
      <c r="V31" s="39">
        <v>51.3</v>
      </c>
      <c r="W31" s="39">
        <v>62.2</v>
      </c>
      <c r="X31" s="39">
        <v>71.8</v>
      </c>
      <c r="Y31" s="39">
        <v>69.599999999999994</v>
      </c>
      <c r="Z31" s="39">
        <v>63.7</v>
      </c>
      <c r="AA31" s="39">
        <v>52</v>
      </c>
      <c r="AB31" s="39">
        <v>30.9</v>
      </c>
      <c r="AC31" s="39">
        <v>29.2</v>
      </c>
      <c r="AD31" s="39">
        <v>48.5</v>
      </c>
      <c r="AF31" s="39" t="s">
        <v>292</v>
      </c>
      <c r="AG31" s="39">
        <v>0</v>
      </c>
      <c r="AH31" s="39">
        <v>0</v>
      </c>
      <c r="AI31" s="39">
        <v>0</v>
      </c>
      <c r="AJ31" s="39">
        <v>0.1</v>
      </c>
      <c r="AK31" s="39">
        <v>0</v>
      </c>
      <c r="AL31" s="39" t="s">
        <v>240</v>
      </c>
      <c r="AM31" s="39" t="s">
        <v>240</v>
      </c>
      <c r="AN31" s="39">
        <v>2.2999999999999998</v>
      </c>
      <c r="AO31" s="39" t="s">
        <v>240</v>
      </c>
      <c r="AP31" s="39">
        <v>0</v>
      </c>
      <c r="AQ31" s="39" t="s">
        <v>240</v>
      </c>
      <c r="AR31" s="39">
        <v>0</v>
      </c>
      <c r="AS31" s="39">
        <v>0.3</v>
      </c>
    </row>
    <row r="32" spans="1:45" ht="15" thickBot="1">
      <c r="A32" s="39">
        <v>2023</v>
      </c>
      <c r="B32" s="39">
        <v>0.33</v>
      </c>
      <c r="C32" s="39">
        <v>0.16</v>
      </c>
      <c r="D32" s="39">
        <v>0.21</v>
      </c>
      <c r="E32" s="39" t="s">
        <v>239</v>
      </c>
      <c r="F32" s="39">
        <v>0</v>
      </c>
      <c r="G32" s="39">
        <v>0.02</v>
      </c>
      <c r="H32" s="39">
        <v>0</v>
      </c>
      <c r="I32" s="39">
        <v>0.03</v>
      </c>
      <c r="J32" s="39">
        <v>0.01</v>
      </c>
      <c r="K32" s="39">
        <v>0.02</v>
      </c>
      <c r="L32" s="39">
        <v>0.02</v>
      </c>
      <c r="M32" s="39">
        <v>0.01</v>
      </c>
      <c r="N32" s="39">
        <v>7.0000000000000007E-2</v>
      </c>
      <c r="Q32" s="39">
        <v>2023</v>
      </c>
      <c r="R32" s="39">
        <v>22.7</v>
      </c>
      <c r="S32" s="39">
        <v>21.6</v>
      </c>
      <c r="T32" s="39">
        <v>28.1</v>
      </c>
      <c r="U32" s="39">
        <v>41.5</v>
      </c>
      <c r="V32" s="39">
        <v>53.4</v>
      </c>
      <c r="W32" s="39">
        <v>57.8</v>
      </c>
      <c r="X32" s="39">
        <v>71.900000000000006</v>
      </c>
      <c r="Y32" s="39">
        <v>67.099999999999994</v>
      </c>
      <c r="Z32" s="39">
        <v>60.1</v>
      </c>
      <c r="AA32" s="39">
        <v>50.4</v>
      </c>
      <c r="AB32" s="39">
        <v>39.6</v>
      </c>
      <c r="AC32" s="39">
        <v>36.299999999999997</v>
      </c>
      <c r="AD32" s="39">
        <v>45.9</v>
      </c>
      <c r="AF32" s="39" t="s">
        <v>293</v>
      </c>
      <c r="AG32" s="39">
        <v>0</v>
      </c>
      <c r="AH32" s="39">
        <v>0</v>
      </c>
      <c r="AI32" s="39">
        <v>0</v>
      </c>
      <c r="AJ32" s="39">
        <v>0</v>
      </c>
      <c r="AK32" s="39">
        <v>4.9000000000000004</v>
      </c>
      <c r="AL32" s="39">
        <v>4.4000000000000004</v>
      </c>
      <c r="AM32" s="39">
        <v>33.799999999999997</v>
      </c>
      <c r="AN32" s="39" t="s">
        <v>240</v>
      </c>
      <c r="AO32" s="39">
        <v>52.6</v>
      </c>
      <c r="AP32" s="39">
        <v>22.5</v>
      </c>
      <c r="AQ32" s="39">
        <v>0</v>
      </c>
      <c r="AR32" s="39">
        <v>0</v>
      </c>
      <c r="AS32" s="39">
        <v>10.7</v>
      </c>
    </row>
    <row r="33" spans="1:45" ht="15" thickBot="1">
      <c r="A33" s="39">
        <v>2024</v>
      </c>
      <c r="B33" s="39">
        <v>0.04</v>
      </c>
      <c r="C33" s="39">
        <v>0.2</v>
      </c>
      <c r="D33" s="39">
        <v>0.08</v>
      </c>
      <c r="E33" s="39">
        <v>0.01</v>
      </c>
      <c r="F33" s="39">
        <v>0.01</v>
      </c>
      <c r="G33" s="39">
        <v>0</v>
      </c>
      <c r="H33" s="39">
        <v>0.02</v>
      </c>
      <c r="I33" s="39" t="s">
        <v>239</v>
      </c>
      <c r="J33" s="39">
        <v>0.01</v>
      </c>
      <c r="K33" s="39">
        <v>0.01</v>
      </c>
      <c r="L33" s="39">
        <v>0.03</v>
      </c>
      <c r="M33" s="39">
        <v>0.05</v>
      </c>
      <c r="N33" s="39">
        <v>0.04</v>
      </c>
      <c r="Q33" s="39">
        <v>2024</v>
      </c>
      <c r="R33" s="39">
        <v>33.799999999999997</v>
      </c>
      <c r="S33" s="39">
        <v>31.2</v>
      </c>
      <c r="T33" s="39">
        <v>37.6</v>
      </c>
      <c r="U33" s="39">
        <v>46.6</v>
      </c>
      <c r="V33" s="39">
        <v>53.9</v>
      </c>
      <c r="W33" s="39">
        <v>67.400000000000006</v>
      </c>
      <c r="X33" s="39">
        <v>72.5</v>
      </c>
      <c r="Y33" s="39">
        <v>68.900000000000006</v>
      </c>
      <c r="Z33" s="39">
        <v>62.2</v>
      </c>
      <c r="AA33" s="39">
        <v>54.3</v>
      </c>
      <c r="AB33" s="39">
        <v>36.799999999999997</v>
      </c>
      <c r="AC33" s="39">
        <v>35.9</v>
      </c>
      <c r="AD33" s="39">
        <v>50.1</v>
      </c>
      <c r="AF33" s="39" t="s">
        <v>294</v>
      </c>
      <c r="AG33" s="39">
        <v>0</v>
      </c>
      <c r="AH33" s="39">
        <v>0</v>
      </c>
      <c r="AI33" s="39">
        <v>0</v>
      </c>
      <c r="AJ33" s="39">
        <v>0</v>
      </c>
      <c r="AK33" s="39">
        <v>0</v>
      </c>
      <c r="AL33" s="39">
        <v>0</v>
      </c>
      <c r="AM33" s="39">
        <v>1</v>
      </c>
      <c r="AN33" s="39">
        <v>14.4</v>
      </c>
      <c r="AO33" s="39">
        <v>3.8</v>
      </c>
      <c r="AP33" s="39">
        <v>0</v>
      </c>
      <c r="AQ33" s="39">
        <v>0</v>
      </c>
      <c r="AR33" s="39">
        <v>0</v>
      </c>
      <c r="AS33" s="39">
        <v>1.6</v>
      </c>
    </row>
    <row r="34" spans="1:45" ht="15.75" customHeight="1" thickBot="1">
      <c r="A34" s="40" t="s">
        <v>253</v>
      </c>
      <c r="B34" s="41">
        <v>0.09</v>
      </c>
      <c r="C34" s="41">
        <v>0.1</v>
      </c>
      <c r="D34" s="41">
        <v>0.06</v>
      </c>
      <c r="E34" s="41">
        <v>0.02</v>
      </c>
      <c r="F34" s="41">
        <v>0.02</v>
      </c>
      <c r="G34" s="41">
        <v>0.01</v>
      </c>
      <c r="H34" s="41">
        <v>0.02</v>
      </c>
      <c r="I34" s="41">
        <v>0.01</v>
      </c>
      <c r="J34" s="41">
        <v>0.01</v>
      </c>
      <c r="K34" s="41">
        <v>0.03</v>
      </c>
      <c r="L34" s="41">
        <v>0.04</v>
      </c>
      <c r="M34" s="41">
        <v>7.0000000000000007E-2</v>
      </c>
      <c r="N34" s="39">
        <f>SUM(B34:M34)</f>
        <v>0.48000000000000009</v>
      </c>
      <c r="Q34" s="40" t="s">
        <v>253</v>
      </c>
      <c r="R34" s="41">
        <v>31</v>
      </c>
      <c r="S34" s="41">
        <v>33</v>
      </c>
      <c r="T34" s="41">
        <v>39.4</v>
      </c>
      <c r="U34" s="41">
        <v>45.5</v>
      </c>
      <c r="V34" s="41">
        <v>53.1</v>
      </c>
      <c r="W34" s="41">
        <v>62.8</v>
      </c>
      <c r="X34" s="41">
        <v>69.7</v>
      </c>
      <c r="Y34" s="41">
        <v>68</v>
      </c>
      <c r="Z34" s="41">
        <v>61.2</v>
      </c>
      <c r="AA34" s="41">
        <v>50.4</v>
      </c>
      <c r="AB34" s="41">
        <v>40.200000000000003</v>
      </c>
      <c r="AC34" s="41">
        <v>32.5</v>
      </c>
      <c r="AD34" s="39">
        <v>49.2</v>
      </c>
      <c r="AF34" s="40" t="s">
        <v>253</v>
      </c>
      <c r="AG34" s="41">
        <v>0</v>
      </c>
      <c r="AH34" s="41">
        <v>0</v>
      </c>
      <c r="AI34" s="41">
        <v>0</v>
      </c>
      <c r="AJ34" s="41">
        <v>0.1</v>
      </c>
      <c r="AK34" s="41">
        <v>0.5</v>
      </c>
      <c r="AL34" s="41">
        <v>1.9</v>
      </c>
      <c r="AM34" s="41">
        <v>6.9</v>
      </c>
      <c r="AN34" s="41">
        <v>6.2</v>
      </c>
      <c r="AO34" s="41">
        <v>4.0999999999999996</v>
      </c>
      <c r="AP34" s="41">
        <v>1.1000000000000001</v>
      </c>
      <c r="AQ34" s="41">
        <v>0</v>
      </c>
      <c r="AR34" s="41">
        <v>0</v>
      </c>
      <c r="AS34" s="39">
        <f>SUM(AJ34:AP34)</f>
        <v>20.800000000000004</v>
      </c>
    </row>
    <row r="35" spans="1:45">
      <c r="A35" s="46" t="s">
        <v>254</v>
      </c>
      <c r="B35" s="42">
        <v>0.36</v>
      </c>
      <c r="C35" s="42">
        <v>0.3</v>
      </c>
      <c r="D35" s="42">
        <v>0.32</v>
      </c>
      <c r="E35" s="42">
        <v>0.08</v>
      </c>
      <c r="F35" s="42">
        <v>0.13</v>
      </c>
      <c r="G35" s="42">
        <v>0.04</v>
      </c>
      <c r="H35" s="42">
        <v>7.0000000000000007E-2</v>
      </c>
      <c r="I35" s="42">
        <v>0.05</v>
      </c>
      <c r="J35" s="42">
        <v>0.04</v>
      </c>
      <c r="K35" s="42">
        <v>0.12</v>
      </c>
      <c r="L35" s="42">
        <v>0.2</v>
      </c>
      <c r="M35" s="42">
        <v>0.26</v>
      </c>
      <c r="N35" s="48">
        <v>0.08</v>
      </c>
      <c r="Q35" s="46" t="s">
        <v>254</v>
      </c>
      <c r="R35" s="42">
        <v>38.299999999999997</v>
      </c>
      <c r="S35" s="42">
        <v>42.8</v>
      </c>
      <c r="T35" s="42">
        <v>46</v>
      </c>
      <c r="U35" s="42">
        <v>49.6</v>
      </c>
      <c r="V35" s="42">
        <v>59.2</v>
      </c>
      <c r="W35" s="42">
        <v>67.5</v>
      </c>
      <c r="X35" s="42">
        <v>72.5</v>
      </c>
      <c r="Y35" s="42">
        <v>70.7</v>
      </c>
      <c r="Z35" s="42">
        <v>64.400000000000006</v>
      </c>
      <c r="AA35" s="42">
        <v>56.1</v>
      </c>
      <c r="AB35" s="42">
        <v>47</v>
      </c>
      <c r="AC35" s="42">
        <v>36.299999999999997</v>
      </c>
      <c r="AD35" s="48">
        <v>52.6</v>
      </c>
      <c r="AF35" s="46" t="s">
        <v>254</v>
      </c>
      <c r="AG35" s="42">
        <v>0</v>
      </c>
      <c r="AH35" s="42">
        <v>0</v>
      </c>
      <c r="AI35" s="42">
        <v>0</v>
      </c>
      <c r="AJ35" s="42">
        <v>0.9</v>
      </c>
      <c r="AK35" s="42">
        <v>4.9000000000000004</v>
      </c>
      <c r="AL35" s="42">
        <v>6.5</v>
      </c>
      <c r="AM35" s="42">
        <v>33.799999999999997</v>
      </c>
      <c r="AN35" s="42">
        <v>24</v>
      </c>
      <c r="AO35" s="42">
        <v>52.6</v>
      </c>
      <c r="AP35" s="42">
        <v>22.5</v>
      </c>
      <c r="AQ35" s="42">
        <v>0.8</v>
      </c>
      <c r="AR35" s="42">
        <v>0</v>
      </c>
      <c r="AS35" s="48">
        <v>10.7</v>
      </c>
    </row>
    <row r="36" spans="1:45" ht="15" thickBot="1">
      <c r="A36" s="47"/>
      <c r="B36" s="43">
        <v>2017</v>
      </c>
      <c r="C36" s="43">
        <v>1998</v>
      </c>
      <c r="D36" s="43">
        <v>1995</v>
      </c>
      <c r="E36" s="43">
        <v>2006</v>
      </c>
      <c r="F36" s="43">
        <v>2015</v>
      </c>
      <c r="G36" s="43">
        <v>2016</v>
      </c>
      <c r="H36" s="43">
        <v>2015</v>
      </c>
      <c r="I36" s="43">
        <v>2022</v>
      </c>
      <c r="J36" s="43">
        <v>1998</v>
      </c>
      <c r="K36" s="43">
        <v>2010</v>
      </c>
      <c r="L36" s="43">
        <v>1996</v>
      </c>
      <c r="M36" s="43">
        <v>2010</v>
      </c>
      <c r="N36" s="49"/>
      <c r="Q36" s="47"/>
      <c r="R36" s="43">
        <v>2018</v>
      </c>
      <c r="S36" s="43">
        <v>2015</v>
      </c>
      <c r="T36" s="43">
        <v>2015</v>
      </c>
      <c r="U36" s="43">
        <v>2012</v>
      </c>
      <c r="V36" s="43">
        <v>2001</v>
      </c>
      <c r="W36" s="43">
        <v>2021</v>
      </c>
      <c r="X36" s="43">
        <v>2024</v>
      </c>
      <c r="Y36" s="43">
        <v>2012</v>
      </c>
      <c r="Z36" s="43">
        <v>2012</v>
      </c>
      <c r="AA36" s="43">
        <v>2003</v>
      </c>
      <c r="AB36" s="43">
        <v>1995</v>
      </c>
      <c r="AC36" s="43">
        <v>2023</v>
      </c>
      <c r="AD36" s="49"/>
      <c r="AF36" s="47"/>
      <c r="AG36" s="43">
        <v>2023</v>
      </c>
      <c r="AH36" s="43">
        <v>2023</v>
      </c>
      <c r="AI36" s="43">
        <v>2023</v>
      </c>
      <c r="AJ36" s="43">
        <v>1996</v>
      </c>
      <c r="AK36" s="43">
        <v>2022</v>
      </c>
      <c r="AL36" s="43">
        <v>2012</v>
      </c>
      <c r="AM36" s="43">
        <v>2023</v>
      </c>
      <c r="AN36" s="43">
        <v>2021</v>
      </c>
      <c r="AO36" s="43">
        <v>2023</v>
      </c>
      <c r="AP36" s="43">
        <v>2023</v>
      </c>
      <c r="AQ36" s="43">
        <v>2015</v>
      </c>
      <c r="AR36" s="43">
        <v>2024</v>
      </c>
      <c r="AS36" s="49"/>
    </row>
    <row r="37" spans="1:45">
      <c r="A37" s="46" t="s">
        <v>255</v>
      </c>
      <c r="B37" s="42">
        <v>0</v>
      </c>
      <c r="C37" s="42" t="s">
        <v>239</v>
      </c>
      <c r="D37" s="42" t="s">
        <v>239</v>
      </c>
      <c r="E37" s="42">
        <v>0</v>
      </c>
      <c r="F37" s="42">
        <v>0</v>
      </c>
      <c r="G37" s="42">
        <v>0</v>
      </c>
      <c r="H37" s="42">
        <v>0</v>
      </c>
      <c r="I37" s="42">
        <v>0</v>
      </c>
      <c r="J37" s="42">
        <v>0</v>
      </c>
      <c r="K37" s="42">
        <v>0</v>
      </c>
      <c r="L37" s="42">
        <v>0</v>
      </c>
      <c r="M37" s="42">
        <v>0</v>
      </c>
      <c r="N37" s="48">
        <v>0.01</v>
      </c>
      <c r="Q37" s="46" t="s">
        <v>255</v>
      </c>
      <c r="R37" s="42">
        <v>21.7</v>
      </c>
      <c r="S37" s="42">
        <v>21.6</v>
      </c>
      <c r="T37" s="42">
        <v>28.1</v>
      </c>
      <c r="U37" s="42">
        <v>40.5</v>
      </c>
      <c r="V37" s="42">
        <v>46.4</v>
      </c>
      <c r="W37" s="42">
        <v>56.5</v>
      </c>
      <c r="X37" s="42">
        <v>64.7</v>
      </c>
      <c r="Y37" s="42">
        <v>64.599999999999994</v>
      </c>
      <c r="Z37" s="42">
        <v>56.6</v>
      </c>
      <c r="AA37" s="42">
        <v>46.5</v>
      </c>
      <c r="AB37" s="42">
        <v>30.9</v>
      </c>
      <c r="AC37" s="42">
        <v>26</v>
      </c>
      <c r="AD37" s="48">
        <v>45.9</v>
      </c>
      <c r="AF37" s="46" t="s">
        <v>255</v>
      </c>
      <c r="AG37" s="42">
        <v>0</v>
      </c>
      <c r="AH37" s="42">
        <v>0</v>
      </c>
      <c r="AI37" s="42">
        <v>0</v>
      </c>
      <c r="AJ37" s="42">
        <v>0</v>
      </c>
      <c r="AK37" s="42">
        <v>0</v>
      </c>
      <c r="AL37" s="42">
        <v>0</v>
      </c>
      <c r="AM37" s="42">
        <v>0.1</v>
      </c>
      <c r="AN37" s="42">
        <v>0</v>
      </c>
      <c r="AO37" s="42">
        <v>0</v>
      </c>
      <c r="AP37" s="42">
        <v>0</v>
      </c>
      <c r="AQ37" s="42">
        <v>0</v>
      </c>
      <c r="AR37" s="42">
        <v>0</v>
      </c>
      <c r="AS37" s="48">
        <v>0</v>
      </c>
    </row>
    <row r="38" spans="1:45" ht="15" thickBot="1">
      <c r="A38" s="47"/>
      <c r="B38" s="43">
        <v>2022</v>
      </c>
      <c r="C38" s="43">
        <v>2020</v>
      </c>
      <c r="D38" s="43">
        <v>1997</v>
      </c>
      <c r="E38" s="43">
        <v>2008</v>
      </c>
      <c r="F38" s="43">
        <v>2001</v>
      </c>
      <c r="G38" s="43">
        <v>2018</v>
      </c>
      <c r="H38" s="43">
        <v>2022</v>
      </c>
      <c r="I38" s="43">
        <v>2019</v>
      </c>
      <c r="J38" s="43">
        <v>2010</v>
      </c>
      <c r="K38" s="43">
        <v>2020</v>
      </c>
      <c r="L38" s="43">
        <v>2021</v>
      </c>
      <c r="M38" s="43">
        <v>1999</v>
      </c>
      <c r="N38" s="49"/>
      <c r="Q38" s="47"/>
      <c r="R38" s="43">
        <v>2013</v>
      </c>
      <c r="S38" s="43">
        <v>2023</v>
      </c>
      <c r="T38" s="43">
        <v>2023</v>
      </c>
      <c r="U38" s="43">
        <v>2010</v>
      </c>
      <c r="V38" s="43">
        <v>1998</v>
      </c>
      <c r="W38" s="43">
        <v>1995</v>
      </c>
      <c r="X38" s="43">
        <v>1997</v>
      </c>
      <c r="Y38" s="43">
        <v>1999</v>
      </c>
      <c r="Z38" s="43">
        <v>2005</v>
      </c>
      <c r="AA38" s="43">
        <v>2021</v>
      </c>
      <c r="AB38" s="43">
        <v>2022</v>
      </c>
      <c r="AC38" s="43">
        <v>2009</v>
      </c>
      <c r="AD38" s="49"/>
      <c r="AF38" s="47"/>
      <c r="AG38" s="43">
        <v>2023</v>
      </c>
      <c r="AH38" s="43">
        <v>2023</v>
      </c>
      <c r="AI38" s="43">
        <v>2023</v>
      </c>
      <c r="AJ38" s="43">
        <v>2023</v>
      </c>
      <c r="AK38" s="43">
        <v>2023</v>
      </c>
      <c r="AL38" s="43">
        <v>2023</v>
      </c>
      <c r="AM38" s="43">
        <v>2015</v>
      </c>
      <c r="AN38" s="43">
        <v>2020</v>
      </c>
      <c r="AO38" s="43">
        <v>1997</v>
      </c>
      <c r="AP38" s="43">
        <v>2022</v>
      </c>
      <c r="AQ38" s="43">
        <v>2024</v>
      </c>
      <c r="AR38" s="43">
        <v>2024</v>
      </c>
      <c r="AS38" s="49"/>
    </row>
    <row r="39" spans="1:45">
      <c r="D39" t="s">
        <v>295</v>
      </c>
      <c r="F39" t="s">
        <v>296</v>
      </c>
    </row>
    <row r="40" spans="1:45" ht="15" thickBot="1">
      <c r="A40" t="s">
        <v>297</v>
      </c>
      <c r="B40" t="s">
        <v>298</v>
      </c>
      <c r="I40">
        <f>SUM(F34:K34)</f>
        <v>0.1</v>
      </c>
      <c r="Q40" t="s">
        <v>297</v>
      </c>
      <c r="R40" t="s">
        <v>298</v>
      </c>
      <c r="AF40" t="s">
        <v>297</v>
      </c>
      <c r="AG40" t="s">
        <v>298</v>
      </c>
    </row>
    <row r="41" spans="1:45" ht="15" thickBot="1">
      <c r="A41">
        <v>2021</v>
      </c>
      <c r="B41">
        <f>B30-B$34</f>
        <v>4.0000000000000008E-2</v>
      </c>
      <c r="C41">
        <f t="shared" ref="C41:N41" si="0">C30-C$34</f>
        <v>-0.08</v>
      </c>
      <c r="D41">
        <f t="shared" si="0"/>
        <v>-4.9999999999999996E-2</v>
      </c>
      <c r="E41">
        <f t="shared" si="0"/>
        <v>-0.02</v>
      </c>
      <c r="F41">
        <f t="shared" si="0"/>
        <v>-0.01</v>
      </c>
      <c r="G41">
        <f t="shared" si="0"/>
        <v>0.01</v>
      </c>
      <c r="H41">
        <f t="shared" si="0"/>
        <v>3.9999999999999994E-2</v>
      </c>
      <c r="I41" t="s">
        <v>239</v>
      </c>
      <c r="J41">
        <f t="shared" si="0"/>
        <v>-0.01</v>
      </c>
      <c r="K41">
        <f t="shared" si="0"/>
        <v>0.05</v>
      </c>
      <c r="L41">
        <f t="shared" si="0"/>
        <v>-0.04</v>
      </c>
      <c r="M41">
        <f t="shared" si="0"/>
        <v>0.13</v>
      </c>
      <c r="N41">
        <f t="shared" si="0"/>
        <v>-0.44000000000000011</v>
      </c>
      <c r="Q41" s="39">
        <v>2021</v>
      </c>
      <c r="R41">
        <f>R30-R$34</f>
        <v>1</v>
      </c>
      <c r="S41">
        <f t="shared" ref="S41:AD41" si="1">S30-S$34</f>
        <v>-1.1000000000000014</v>
      </c>
      <c r="T41">
        <f t="shared" si="1"/>
        <v>-2.2999999999999972</v>
      </c>
      <c r="U41">
        <f t="shared" si="1"/>
        <v>1.8999999999999986</v>
      </c>
      <c r="V41">
        <f t="shared" si="1"/>
        <v>1.3999999999999986</v>
      </c>
      <c r="W41">
        <f t="shared" si="1"/>
        <v>4.7000000000000028</v>
      </c>
      <c r="X41">
        <f t="shared" si="1"/>
        <v>2.5999999999999943</v>
      </c>
      <c r="Y41">
        <f t="shared" si="1"/>
        <v>1.2999999999999972</v>
      </c>
      <c r="Z41">
        <f t="shared" si="1"/>
        <v>2.0999999999999943</v>
      </c>
      <c r="AA41">
        <f t="shared" si="1"/>
        <v>-3.8999999999999986</v>
      </c>
      <c r="AB41">
        <f t="shared" si="1"/>
        <v>4.3999999999999986</v>
      </c>
      <c r="AC41">
        <f t="shared" si="1"/>
        <v>-0.80000000000000071</v>
      </c>
      <c r="AD41">
        <f t="shared" si="1"/>
        <v>0.59999999999999432</v>
      </c>
      <c r="AF41" s="39" t="s">
        <v>292</v>
      </c>
      <c r="AG41">
        <f>AG31-AG$34</f>
        <v>0</v>
      </c>
      <c r="AH41">
        <f t="shared" ref="AH41:AS41" si="2">AH31-AH$34</f>
        <v>0</v>
      </c>
      <c r="AI41">
        <f t="shared" si="2"/>
        <v>0</v>
      </c>
      <c r="AJ41">
        <f t="shared" si="2"/>
        <v>0</v>
      </c>
      <c r="AK41">
        <f t="shared" si="2"/>
        <v>-0.5</v>
      </c>
      <c r="AL41" t="s">
        <v>240</v>
      </c>
      <c r="AM41" t="s">
        <v>240</v>
      </c>
      <c r="AN41">
        <f t="shared" si="2"/>
        <v>-3.9000000000000004</v>
      </c>
      <c r="AO41" t="s">
        <v>240</v>
      </c>
      <c r="AP41">
        <f t="shared" si="2"/>
        <v>-1.1000000000000001</v>
      </c>
      <c r="AQ41" t="s">
        <v>240</v>
      </c>
      <c r="AR41">
        <f t="shared" si="2"/>
        <v>0</v>
      </c>
      <c r="AS41">
        <f t="shared" si="2"/>
        <v>-20.500000000000004</v>
      </c>
    </row>
    <row r="42" spans="1:45" ht="15" thickBot="1">
      <c r="A42">
        <v>2022</v>
      </c>
      <c r="B42">
        <f t="shared" ref="B42:N44" si="3">B31-B$34</f>
        <v>-0.09</v>
      </c>
      <c r="C42">
        <f t="shared" si="3"/>
        <v>-0.1</v>
      </c>
      <c r="D42" t="s">
        <v>240</v>
      </c>
      <c r="E42">
        <f t="shared" si="3"/>
        <v>-0.02</v>
      </c>
      <c r="F42" t="s">
        <v>240</v>
      </c>
      <c r="G42" t="s">
        <v>239</v>
      </c>
      <c r="H42">
        <f t="shared" si="3"/>
        <v>-0.02</v>
      </c>
      <c r="I42">
        <f t="shared" si="3"/>
        <v>0.04</v>
      </c>
      <c r="J42">
        <f t="shared" si="3"/>
        <v>0.01</v>
      </c>
      <c r="K42">
        <f t="shared" si="3"/>
        <v>-0.03</v>
      </c>
      <c r="L42">
        <f t="shared" si="3"/>
        <v>1.9999999999999997E-2</v>
      </c>
      <c r="M42">
        <f t="shared" si="3"/>
        <v>0.10999999999999999</v>
      </c>
      <c r="N42">
        <f t="shared" si="3"/>
        <v>-0.45000000000000007</v>
      </c>
      <c r="Q42" s="39">
        <v>2022</v>
      </c>
      <c r="R42">
        <f t="shared" ref="R42:AD44" si="4">R31-R$34</f>
        <v>0</v>
      </c>
      <c r="S42">
        <f t="shared" si="4"/>
        <v>0.29999999999999716</v>
      </c>
      <c r="T42">
        <f t="shared" si="4"/>
        <v>2.2000000000000028</v>
      </c>
      <c r="U42">
        <f t="shared" si="4"/>
        <v>0.39999999999999858</v>
      </c>
      <c r="V42">
        <f t="shared" si="4"/>
        <v>-1.8000000000000043</v>
      </c>
      <c r="W42">
        <f t="shared" si="4"/>
        <v>-0.59999999999999432</v>
      </c>
      <c r="X42">
        <f t="shared" si="4"/>
        <v>2.0999999999999943</v>
      </c>
      <c r="Y42">
        <f t="shared" si="4"/>
        <v>1.5999999999999943</v>
      </c>
      <c r="Z42">
        <f t="shared" si="4"/>
        <v>2.5</v>
      </c>
      <c r="AA42">
        <f t="shared" si="4"/>
        <v>1.6000000000000014</v>
      </c>
      <c r="AB42">
        <f t="shared" si="4"/>
        <v>-9.3000000000000043</v>
      </c>
      <c r="AC42">
        <f t="shared" si="4"/>
        <v>-3.3000000000000007</v>
      </c>
      <c r="AD42">
        <f t="shared" si="4"/>
        <v>-0.70000000000000284</v>
      </c>
      <c r="AF42" s="39" t="s">
        <v>293</v>
      </c>
      <c r="AG42">
        <f t="shared" ref="AG42:AS43" si="5">AG32-AG$34</f>
        <v>0</v>
      </c>
      <c r="AH42">
        <f t="shared" si="5"/>
        <v>0</v>
      </c>
      <c r="AI42">
        <f t="shared" si="5"/>
        <v>0</v>
      </c>
      <c r="AJ42">
        <f t="shared" si="5"/>
        <v>-0.1</v>
      </c>
      <c r="AK42">
        <f t="shared" si="5"/>
        <v>4.4000000000000004</v>
      </c>
      <c r="AL42">
        <f t="shared" si="5"/>
        <v>2.5000000000000004</v>
      </c>
      <c r="AM42">
        <f t="shared" si="5"/>
        <v>26.9</v>
      </c>
      <c r="AN42" t="s">
        <v>240</v>
      </c>
      <c r="AO42">
        <f t="shared" si="5"/>
        <v>48.5</v>
      </c>
      <c r="AP42">
        <f t="shared" si="5"/>
        <v>21.4</v>
      </c>
      <c r="AQ42">
        <f t="shared" si="5"/>
        <v>0</v>
      </c>
      <c r="AR42">
        <f t="shared" si="5"/>
        <v>0</v>
      </c>
      <c r="AS42">
        <f t="shared" si="5"/>
        <v>-10.100000000000005</v>
      </c>
    </row>
    <row r="43" spans="1:45" ht="15" thickBot="1">
      <c r="A43">
        <v>2023</v>
      </c>
      <c r="B43">
        <f t="shared" si="3"/>
        <v>0.24000000000000002</v>
      </c>
      <c r="C43">
        <f t="shared" si="3"/>
        <v>0.06</v>
      </c>
      <c r="D43">
        <f t="shared" si="3"/>
        <v>0.15</v>
      </c>
      <c r="E43" t="s">
        <v>239</v>
      </c>
      <c r="F43">
        <f t="shared" si="3"/>
        <v>-0.02</v>
      </c>
      <c r="G43">
        <f t="shared" si="3"/>
        <v>0.01</v>
      </c>
      <c r="H43">
        <f t="shared" si="3"/>
        <v>-0.02</v>
      </c>
      <c r="I43">
        <f t="shared" si="3"/>
        <v>1.9999999999999997E-2</v>
      </c>
      <c r="J43">
        <f t="shared" si="3"/>
        <v>0</v>
      </c>
      <c r="K43">
        <f t="shared" si="3"/>
        <v>-9.9999999999999985E-3</v>
      </c>
      <c r="L43">
        <f t="shared" si="3"/>
        <v>-0.02</v>
      </c>
      <c r="M43">
        <f t="shared" si="3"/>
        <v>-6.0000000000000005E-2</v>
      </c>
      <c r="N43">
        <f t="shared" si="3"/>
        <v>-0.41000000000000009</v>
      </c>
      <c r="Q43" s="39">
        <v>2023</v>
      </c>
      <c r="R43">
        <f t="shared" si="4"/>
        <v>-8.3000000000000007</v>
      </c>
      <c r="S43">
        <f t="shared" si="4"/>
        <v>-11.399999999999999</v>
      </c>
      <c r="T43">
        <f t="shared" si="4"/>
        <v>-11.299999999999997</v>
      </c>
      <c r="U43">
        <f t="shared" si="4"/>
        <v>-4</v>
      </c>
      <c r="V43">
        <f t="shared" si="4"/>
        <v>0.29999999999999716</v>
      </c>
      <c r="W43">
        <f t="shared" si="4"/>
        <v>-5</v>
      </c>
      <c r="X43">
        <f t="shared" si="4"/>
        <v>2.2000000000000028</v>
      </c>
      <c r="Y43">
        <f t="shared" si="4"/>
        <v>-0.90000000000000568</v>
      </c>
      <c r="Z43">
        <f t="shared" si="4"/>
        <v>-1.1000000000000014</v>
      </c>
      <c r="AA43">
        <f t="shared" si="4"/>
        <v>0</v>
      </c>
      <c r="AB43">
        <f t="shared" si="4"/>
        <v>-0.60000000000000142</v>
      </c>
      <c r="AC43">
        <f t="shared" si="4"/>
        <v>3.7999999999999972</v>
      </c>
      <c r="AD43">
        <f t="shared" si="4"/>
        <v>-3.3000000000000043</v>
      </c>
      <c r="AF43" s="39" t="s">
        <v>294</v>
      </c>
      <c r="AG43">
        <f t="shared" si="5"/>
        <v>0</v>
      </c>
      <c r="AH43">
        <f t="shared" si="5"/>
        <v>0</v>
      </c>
      <c r="AI43">
        <f t="shared" si="5"/>
        <v>0</v>
      </c>
      <c r="AJ43">
        <f t="shared" si="5"/>
        <v>-0.1</v>
      </c>
      <c r="AK43">
        <f t="shared" si="5"/>
        <v>-0.5</v>
      </c>
      <c r="AL43">
        <f t="shared" si="5"/>
        <v>-1.9</v>
      </c>
      <c r="AM43">
        <f t="shared" si="5"/>
        <v>-5.9</v>
      </c>
      <c r="AN43">
        <f t="shared" si="5"/>
        <v>8.1999999999999993</v>
      </c>
      <c r="AO43">
        <f t="shared" si="5"/>
        <v>-0.29999999999999982</v>
      </c>
      <c r="AP43">
        <f t="shared" si="5"/>
        <v>-1.1000000000000001</v>
      </c>
      <c r="AQ43">
        <f t="shared" si="5"/>
        <v>0</v>
      </c>
      <c r="AR43">
        <f t="shared" si="5"/>
        <v>0</v>
      </c>
      <c r="AS43">
        <f t="shared" si="5"/>
        <v>-19.200000000000003</v>
      </c>
    </row>
    <row r="44" spans="1:45" ht="15" thickBot="1">
      <c r="A44">
        <v>2024</v>
      </c>
      <c r="B44">
        <f t="shared" si="3"/>
        <v>-4.9999999999999996E-2</v>
      </c>
      <c r="C44">
        <f t="shared" si="3"/>
        <v>0.1</v>
      </c>
      <c r="D44">
        <f t="shared" si="3"/>
        <v>2.0000000000000004E-2</v>
      </c>
      <c r="E44">
        <f t="shared" si="3"/>
        <v>-0.01</v>
      </c>
      <c r="F44">
        <f t="shared" si="3"/>
        <v>-0.01</v>
      </c>
      <c r="G44">
        <f t="shared" si="3"/>
        <v>-0.01</v>
      </c>
      <c r="H44">
        <f t="shared" si="3"/>
        <v>0</v>
      </c>
      <c r="I44" t="s">
        <v>239</v>
      </c>
      <c r="J44">
        <f t="shared" si="3"/>
        <v>0</v>
      </c>
      <c r="K44">
        <f t="shared" si="3"/>
        <v>-1.9999999999999997E-2</v>
      </c>
      <c r="L44">
        <f t="shared" si="3"/>
        <v>-1.0000000000000002E-2</v>
      </c>
      <c r="M44">
        <f t="shared" si="3"/>
        <v>-2.0000000000000004E-2</v>
      </c>
      <c r="N44">
        <f t="shared" si="3"/>
        <v>-0.44000000000000011</v>
      </c>
      <c r="Q44" s="39">
        <v>2024</v>
      </c>
      <c r="R44">
        <f t="shared" si="4"/>
        <v>2.7999999999999972</v>
      </c>
      <c r="S44">
        <f t="shared" si="4"/>
        <v>-1.8000000000000007</v>
      </c>
      <c r="T44">
        <f t="shared" si="4"/>
        <v>-1.7999999999999972</v>
      </c>
      <c r="U44">
        <f t="shared" si="4"/>
        <v>1.1000000000000014</v>
      </c>
      <c r="V44">
        <f t="shared" si="4"/>
        <v>0.79999999999999716</v>
      </c>
      <c r="W44">
        <f t="shared" si="4"/>
        <v>4.6000000000000085</v>
      </c>
      <c r="X44">
        <f t="shared" si="4"/>
        <v>2.7999999999999972</v>
      </c>
      <c r="Y44">
        <f t="shared" si="4"/>
        <v>0.90000000000000568</v>
      </c>
      <c r="Z44">
        <f t="shared" si="4"/>
        <v>1</v>
      </c>
      <c r="AA44">
        <f t="shared" si="4"/>
        <v>3.8999999999999986</v>
      </c>
      <c r="AB44">
        <f t="shared" si="4"/>
        <v>-3.4000000000000057</v>
      </c>
      <c r="AC44">
        <f t="shared" si="4"/>
        <v>3.3999999999999986</v>
      </c>
      <c r="AD44">
        <f t="shared" si="4"/>
        <v>0.89999999999999858</v>
      </c>
    </row>
    <row r="46" spans="1:45">
      <c r="AN46">
        <f>20.8*2.54</f>
        <v>52.832000000000001</v>
      </c>
    </row>
  </sheetData>
  <mergeCells count="12">
    <mergeCell ref="AF35:AF36"/>
    <mergeCell ref="AS35:AS36"/>
    <mergeCell ref="AF37:AF38"/>
    <mergeCell ref="AS37:AS38"/>
    <mergeCell ref="A35:A36"/>
    <mergeCell ref="N35:N36"/>
    <mergeCell ref="A37:A38"/>
    <mergeCell ref="N37:N38"/>
    <mergeCell ref="Q35:Q36"/>
    <mergeCell ref="AD35:AD36"/>
    <mergeCell ref="Q37:Q38"/>
    <mergeCell ref="AD37:AD38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79"/>
  <sheetViews>
    <sheetView topLeftCell="A11" workbookViewId="0">
      <selection activeCell="C11" sqref="C11"/>
    </sheetView>
  </sheetViews>
  <sheetFormatPr defaultRowHeight="14.4"/>
  <cols>
    <col min="1" max="1" width="17.6640625" customWidth="1"/>
    <col min="2" max="2" width="23.88671875" customWidth="1"/>
    <col min="3" max="3" width="13.5546875" customWidth="1"/>
    <col min="4" max="4" width="17" customWidth="1"/>
    <col min="7" max="7" width="23" customWidth="1"/>
    <col min="8" max="8" width="23.109375" customWidth="1"/>
    <col min="9" max="9" width="23.6640625" customWidth="1"/>
    <col min="10" max="11" width="10.5546875" customWidth="1"/>
  </cols>
  <sheetData>
    <row r="1" spans="1:13">
      <c r="A1" s="1" t="s">
        <v>18</v>
      </c>
      <c r="B1" s="1" t="s">
        <v>19</v>
      </c>
      <c r="C1" s="1" t="s">
        <v>0</v>
      </c>
      <c r="D1" s="1" t="s">
        <v>1</v>
      </c>
      <c r="G1" s="1" t="s">
        <v>20</v>
      </c>
      <c r="H1" s="1" t="s">
        <v>19</v>
      </c>
      <c r="I1" s="1" t="s">
        <v>13</v>
      </c>
      <c r="J1" s="1" t="s">
        <v>14</v>
      </c>
      <c r="M1" s="1" t="s">
        <v>19</v>
      </c>
    </row>
    <row r="2" spans="1:13">
      <c r="A2" s="1"/>
      <c r="B2" s="4" t="s">
        <v>2</v>
      </c>
      <c r="C2" s="1">
        <v>0</v>
      </c>
      <c r="D2" s="1">
        <v>225</v>
      </c>
      <c r="G2" s="4"/>
      <c r="H2" s="4">
        <v>-9.5</v>
      </c>
      <c r="I2" s="1">
        <f>C2/C9*100</f>
        <v>0</v>
      </c>
      <c r="J2" s="1">
        <f>D2/D9*100</f>
        <v>30.612244897959183</v>
      </c>
      <c r="M2" s="4">
        <v>-9.5</v>
      </c>
    </row>
    <row r="3" spans="1:13">
      <c r="A3" s="1" t="s">
        <v>31</v>
      </c>
      <c r="B3" s="4" t="s">
        <v>3</v>
      </c>
      <c r="C3" s="1">
        <v>4</v>
      </c>
      <c r="D3" s="1">
        <v>240</v>
      </c>
      <c r="G3" s="4"/>
      <c r="H3" s="4">
        <v>0</v>
      </c>
      <c r="I3" s="1">
        <f>C3/C9*100</f>
        <v>28.571428571428569</v>
      </c>
      <c r="J3" s="1">
        <f>D3/D9*100</f>
        <v>32.653061224489797</v>
      </c>
      <c r="M3" s="4">
        <v>0</v>
      </c>
    </row>
    <row r="4" spans="1:13">
      <c r="A4" s="1"/>
      <c r="B4" s="1" t="s">
        <v>4</v>
      </c>
      <c r="C4" s="1">
        <v>0</v>
      </c>
      <c r="D4" s="1">
        <v>15</v>
      </c>
      <c r="G4" s="1"/>
      <c r="H4" s="1">
        <v>9.5</v>
      </c>
      <c r="I4" s="1">
        <f>C4/C9*100</f>
        <v>0</v>
      </c>
      <c r="J4" s="1">
        <f>D4/D9*100</f>
        <v>2.0408163265306123</v>
      </c>
      <c r="M4" s="1">
        <v>9.5</v>
      </c>
    </row>
    <row r="5" spans="1:13">
      <c r="A5" s="1"/>
      <c r="B5" s="1" t="s">
        <v>5</v>
      </c>
      <c r="C5" s="1">
        <v>10</v>
      </c>
      <c r="D5" s="1">
        <v>250</v>
      </c>
      <c r="G5" s="1"/>
      <c r="H5" s="1">
        <v>19</v>
      </c>
      <c r="I5" s="1">
        <f>C5/C9*100</f>
        <v>71.428571428571431</v>
      </c>
      <c r="J5" s="1">
        <f>D5/D9*100</f>
        <v>34.013605442176868</v>
      </c>
      <c r="M5" s="1">
        <v>19</v>
      </c>
    </row>
    <row r="6" spans="1:13">
      <c r="A6" s="1"/>
      <c r="B6" s="1" t="s">
        <v>6</v>
      </c>
      <c r="C6" s="1">
        <v>0</v>
      </c>
      <c r="D6" s="1">
        <v>0</v>
      </c>
      <c r="G6" s="1"/>
      <c r="H6" s="1">
        <v>28.5</v>
      </c>
      <c r="I6" s="1">
        <f>C6/C9*100</f>
        <v>0</v>
      </c>
      <c r="J6" s="1">
        <f>D6/D9*100</f>
        <v>0</v>
      </c>
      <c r="M6" s="1">
        <v>28.5</v>
      </c>
    </row>
    <row r="7" spans="1:13">
      <c r="A7" s="1"/>
      <c r="B7" s="1" t="s">
        <v>7</v>
      </c>
      <c r="C7" s="1">
        <v>0</v>
      </c>
      <c r="D7" s="1">
        <v>5</v>
      </c>
      <c r="G7" s="1"/>
      <c r="H7" s="1">
        <v>38</v>
      </c>
      <c r="I7" s="1">
        <f>C7/C9*100</f>
        <v>0</v>
      </c>
      <c r="J7" s="1">
        <f>D7/D9*100</f>
        <v>0.68027210884353739</v>
      </c>
      <c r="M7" s="1">
        <v>38</v>
      </c>
    </row>
    <row r="8" spans="1:13">
      <c r="A8" s="1" t="s">
        <v>32</v>
      </c>
      <c r="B8" s="1" t="s">
        <v>8</v>
      </c>
      <c r="C8" s="1">
        <v>0</v>
      </c>
      <c r="D8" s="1">
        <v>0</v>
      </c>
      <c r="G8" s="1"/>
      <c r="H8" s="1">
        <v>47.5</v>
      </c>
      <c r="I8" s="1">
        <f>C8/C9*100</f>
        <v>0</v>
      </c>
      <c r="J8" s="1">
        <f>D8/D9*100</f>
        <v>0</v>
      </c>
      <c r="M8" s="1">
        <v>47.5</v>
      </c>
    </row>
    <row r="9" spans="1:13">
      <c r="A9" s="1"/>
      <c r="B9" s="1" t="s">
        <v>9</v>
      </c>
      <c r="C9" s="1">
        <f>SUM(C2:C8)</f>
        <v>14</v>
      </c>
      <c r="D9" s="1">
        <f>SUM(D2:D8)</f>
        <v>735</v>
      </c>
      <c r="I9" s="1">
        <f>SUM(I2:I8)</f>
        <v>100</v>
      </c>
      <c r="J9" s="1">
        <f>SUM(J2:J8)</f>
        <v>100</v>
      </c>
    </row>
    <row r="10" spans="1:13">
      <c r="A10" s="1"/>
      <c r="B10" s="1" t="s">
        <v>10</v>
      </c>
      <c r="C10" s="1">
        <f>(10*((13.75+23.25)/2))/14</f>
        <v>13.214285714285714</v>
      </c>
      <c r="D10" s="1">
        <f>(2160+4440+187.5)/D9</f>
        <v>9.2346938775510203</v>
      </c>
    </row>
    <row r="11" spans="1:13">
      <c r="A11" s="1"/>
      <c r="B11" s="1" t="s">
        <v>11</v>
      </c>
      <c r="C11" s="1">
        <v>1000</v>
      </c>
      <c r="D11" s="1">
        <v>5000</v>
      </c>
    </row>
    <row r="12" spans="1:13">
      <c r="A12" s="1"/>
      <c r="B12" s="1" t="s">
        <v>12</v>
      </c>
      <c r="C12" s="1">
        <f>(C9/C11)*100</f>
        <v>1.4000000000000001</v>
      </c>
      <c r="D12" s="1">
        <f>(D9/D11)*100</f>
        <v>14.7</v>
      </c>
    </row>
    <row r="13" spans="1:13">
      <c r="A13" s="1"/>
      <c r="B13" s="1"/>
      <c r="C13" s="1"/>
      <c r="D13" s="1"/>
    </row>
    <row r="14" spans="1:13">
      <c r="A14" s="1"/>
      <c r="B14" s="1" t="s">
        <v>19</v>
      </c>
      <c r="C14" s="1" t="s">
        <v>0</v>
      </c>
      <c r="D14" s="1" t="s">
        <v>1</v>
      </c>
      <c r="H14" s="1" t="s">
        <v>19</v>
      </c>
      <c r="I14" s="1" t="s">
        <v>13</v>
      </c>
      <c r="J14" s="1" t="s">
        <v>14</v>
      </c>
    </row>
    <row r="15" spans="1:13">
      <c r="A15" s="1"/>
      <c r="B15" s="4" t="s">
        <v>33</v>
      </c>
      <c r="C15" s="1">
        <v>5</v>
      </c>
      <c r="D15" s="1">
        <v>0</v>
      </c>
      <c r="H15" s="4">
        <v>-28.5</v>
      </c>
      <c r="I15" s="1">
        <f>C15/C24*100</f>
        <v>31.25</v>
      </c>
      <c r="J15">
        <v>0</v>
      </c>
    </row>
    <row r="16" spans="1:13">
      <c r="A16" s="1"/>
      <c r="B16" s="4" t="s">
        <v>34</v>
      </c>
      <c r="C16" s="1">
        <v>0</v>
      </c>
      <c r="D16" s="1">
        <v>0</v>
      </c>
      <c r="H16" s="4">
        <v>-19</v>
      </c>
      <c r="I16" s="1">
        <f>C16/C24*100</f>
        <v>0</v>
      </c>
      <c r="J16" s="1">
        <v>0</v>
      </c>
    </row>
    <row r="17" spans="1:14">
      <c r="A17" s="1"/>
      <c r="B17" s="4" t="s">
        <v>2</v>
      </c>
      <c r="C17" s="1">
        <v>4</v>
      </c>
      <c r="D17" s="1">
        <v>0</v>
      </c>
      <c r="H17" s="4">
        <v>-9.5</v>
      </c>
      <c r="I17" s="1">
        <f>C17/C24*100</f>
        <v>25</v>
      </c>
      <c r="J17" s="1">
        <f>D17/D24*100</f>
        <v>0</v>
      </c>
    </row>
    <row r="18" spans="1:14">
      <c r="A18" s="1" t="s">
        <v>18</v>
      </c>
      <c r="B18" s="4" t="s">
        <v>3</v>
      </c>
      <c r="C18" s="1">
        <v>0</v>
      </c>
      <c r="D18" s="1">
        <v>27</v>
      </c>
      <c r="F18">
        <v>0</v>
      </c>
      <c r="H18" s="4">
        <v>0</v>
      </c>
      <c r="I18" s="1">
        <f>C18/C24*100</f>
        <v>0</v>
      </c>
      <c r="J18" s="1">
        <f>D18/D24*100</f>
        <v>5.8315334773218144</v>
      </c>
    </row>
    <row r="19" spans="1:14">
      <c r="A19" s="1" t="s">
        <v>35</v>
      </c>
      <c r="B19" s="1" t="s">
        <v>4</v>
      </c>
      <c r="C19" s="1">
        <v>7</v>
      </c>
      <c r="D19" s="1">
        <v>343</v>
      </c>
      <c r="F19">
        <f>(4.25+13.75)/2</f>
        <v>9</v>
      </c>
      <c r="G19">
        <f>F19*D19</f>
        <v>3087</v>
      </c>
      <c r="H19" s="1">
        <v>9.5</v>
      </c>
      <c r="I19" s="1">
        <f>C19/C24*100</f>
        <v>43.75</v>
      </c>
      <c r="J19" s="1">
        <f>D19/D24*100</f>
        <v>74.082073434125277</v>
      </c>
    </row>
    <row r="20" spans="1:14">
      <c r="A20" s="1"/>
      <c r="B20" s="1" t="s">
        <v>5</v>
      </c>
      <c r="C20" s="1">
        <v>0</v>
      </c>
      <c r="D20" s="1">
        <v>78</v>
      </c>
      <c r="F20">
        <f>(13.75+23.25)/2</f>
        <v>18.5</v>
      </c>
      <c r="G20">
        <f>D20*F20</f>
        <v>1443</v>
      </c>
      <c r="H20" s="1">
        <v>19</v>
      </c>
      <c r="I20" s="1">
        <f>C20/C24*100</f>
        <v>0</v>
      </c>
      <c r="J20" s="1">
        <f>D20/D24*100</f>
        <v>16.846652267818573</v>
      </c>
    </row>
    <row r="21" spans="1:14">
      <c r="A21" s="1"/>
      <c r="B21" s="1" t="s">
        <v>6</v>
      </c>
      <c r="C21" s="1">
        <v>0</v>
      </c>
      <c r="D21" s="1">
        <v>15</v>
      </c>
      <c r="F21">
        <f>(23.25+32.75)/2</f>
        <v>28</v>
      </c>
      <c r="G21">
        <f>F21*D21</f>
        <v>420</v>
      </c>
      <c r="H21" s="1">
        <v>28.5</v>
      </c>
      <c r="I21" s="1">
        <f>C21/C24*100</f>
        <v>0</v>
      </c>
      <c r="J21" s="1">
        <f>D21/D24*100</f>
        <v>3.2397408207343417</v>
      </c>
      <c r="N21" t="s">
        <v>114</v>
      </c>
    </row>
    <row r="22" spans="1:14">
      <c r="A22" s="1"/>
      <c r="B22" s="1" t="s">
        <v>7</v>
      </c>
      <c r="C22" s="1">
        <v>0</v>
      </c>
      <c r="D22" s="1">
        <v>0</v>
      </c>
      <c r="H22" s="1">
        <v>38</v>
      </c>
      <c r="I22" s="1">
        <f>C22/C24*100</f>
        <v>0</v>
      </c>
      <c r="J22" s="1">
        <f>D22/D24*100</f>
        <v>0</v>
      </c>
    </row>
    <row r="23" spans="1:14">
      <c r="A23" s="1"/>
      <c r="B23" s="1" t="s">
        <v>8</v>
      </c>
      <c r="C23" s="1">
        <v>0</v>
      </c>
      <c r="D23" s="1">
        <v>0</v>
      </c>
      <c r="H23" s="1">
        <v>47.5</v>
      </c>
      <c r="I23" s="1">
        <f>C23/C24*100</f>
        <v>0</v>
      </c>
      <c r="J23" s="1">
        <f>D23/D24*100</f>
        <v>0</v>
      </c>
    </row>
    <row r="24" spans="1:14">
      <c r="A24" s="1" t="s">
        <v>36</v>
      </c>
      <c r="B24" s="1" t="s">
        <v>9</v>
      </c>
      <c r="C24" s="1">
        <f>SUM(C15:C23)</f>
        <v>16</v>
      </c>
      <c r="D24" s="1">
        <f>SUM(D15:D23)</f>
        <v>463</v>
      </c>
      <c r="I24" s="1">
        <f>SUM(I15:I23)</f>
        <v>100</v>
      </c>
      <c r="J24" s="1">
        <f>SUM(J17:J23)</f>
        <v>100</v>
      </c>
    </row>
    <row r="25" spans="1:14">
      <c r="A25" s="1"/>
      <c r="B25" s="1" t="s">
        <v>10</v>
      </c>
      <c r="C25" s="1">
        <f>108/C24</f>
        <v>6.75</v>
      </c>
      <c r="D25" s="1">
        <f>SUM(G19:G21)/D24</f>
        <v>10.691144708423327</v>
      </c>
    </row>
    <row r="26" spans="1:14">
      <c r="A26" s="1"/>
      <c r="B26" s="1" t="s">
        <v>11</v>
      </c>
      <c r="C26" s="1">
        <v>1000</v>
      </c>
      <c r="D26" s="1">
        <v>5000</v>
      </c>
    </row>
    <row r="27" spans="1:14">
      <c r="A27" s="1"/>
      <c r="B27" s="1" t="s">
        <v>12</v>
      </c>
      <c r="C27" s="1">
        <f>(C24/C26)*100</f>
        <v>1.6</v>
      </c>
      <c r="D27" s="1">
        <f>(D24/D26)*100</f>
        <v>9.26</v>
      </c>
    </row>
    <row r="28" spans="1:14">
      <c r="A28" s="1"/>
      <c r="B28" s="1"/>
      <c r="C28" s="1"/>
      <c r="D28" s="1"/>
    </row>
    <row r="29" spans="1:14">
      <c r="A29" s="1"/>
      <c r="B29" s="1" t="s">
        <v>19</v>
      </c>
      <c r="C29" s="1"/>
      <c r="D29" s="1"/>
      <c r="H29" s="1" t="s">
        <v>19</v>
      </c>
      <c r="I29" s="1" t="s">
        <v>13</v>
      </c>
      <c r="J29" s="1" t="s">
        <v>14</v>
      </c>
    </row>
    <row r="30" spans="1:14">
      <c r="A30" s="1"/>
      <c r="B30" s="4" t="s">
        <v>2</v>
      </c>
      <c r="C30" s="1">
        <v>15</v>
      </c>
      <c r="D30" s="1">
        <v>310</v>
      </c>
      <c r="F30">
        <f>(13.75+4.25)/2</f>
        <v>9</v>
      </c>
      <c r="G30">
        <f>C30*F30</f>
        <v>135</v>
      </c>
      <c r="H30" s="4">
        <v>-9.5</v>
      </c>
      <c r="I30" s="1">
        <f>C30/C37*100</f>
        <v>3.4642032332563506</v>
      </c>
      <c r="J30" s="1">
        <f>D30/D37*100</f>
        <v>26.006711409395972</v>
      </c>
      <c r="K30" s="1"/>
    </row>
    <row r="31" spans="1:14">
      <c r="A31" s="1" t="s">
        <v>18</v>
      </c>
      <c r="B31" s="4" t="s">
        <v>3</v>
      </c>
      <c r="C31" s="1">
        <v>400</v>
      </c>
      <c r="D31" s="1">
        <v>775</v>
      </c>
      <c r="F31">
        <v>0</v>
      </c>
      <c r="G31">
        <f t="shared" ref="G31:G36" si="0">C31*F31</f>
        <v>0</v>
      </c>
      <c r="H31" s="4">
        <v>0</v>
      </c>
      <c r="I31" s="1">
        <f>C31/C37*100</f>
        <v>92.378752886836025</v>
      </c>
      <c r="J31" s="1">
        <f>D31/D37*100</f>
        <v>65.016778523489933</v>
      </c>
      <c r="K31" s="1"/>
    </row>
    <row r="32" spans="1:14">
      <c r="A32" s="1" t="s">
        <v>37</v>
      </c>
      <c r="B32" s="1" t="s">
        <v>4</v>
      </c>
      <c r="C32" s="1">
        <v>15</v>
      </c>
      <c r="D32" s="1">
        <v>90</v>
      </c>
      <c r="F32">
        <v>9</v>
      </c>
      <c r="G32">
        <f t="shared" si="0"/>
        <v>135</v>
      </c>
      <c r="H32" s="1">
        <v>9.5</v>
      </c>
      <c r="I32" s="1">
        <f>C32/C37*100</f>
        <v>3.4642032332563506</v>
      </c>
      <c r="J32" s="1">
        <f>D32/D37*100</f>
        <v>7.550335570469799</v>
      </c>
      <c r="K32" s="1"/>
    </row>
    <row r="33" spans="1:13">
      <c r="A33" s="1"/>
      <c r="B33" s="1" t="s">
        <v>5</v>
      </c>
      <c r="C33" s="1">
        <v>0</v>
      </c>
      <c r="D33" s="1">
        <v>8</v>
      </c>
      <c r="F33">
        <v>18.5</v>
      </c>
      <c r="G33">
        <f t="shared" si="0"/>
        <v>0</v>
      </c>
      <c r="H33" s="1">
        <v>19</v>
      </c>
      <c r="I33" s="1">
        <f>C33/C37*100</f>
        <v>0</v>
      </c>
      <c r="J33" s="1">
        <f>D33/D37*100</f>
        <v>0.67114093959731547</v>
      </c>
      <c r="K33" s="1"/>
    </row>
    <row r="34" spans="1:13">
      <c r="A34" s="1"/>
      <c r="B34" s="1" t="s">
        <v>6</v>
      </c>
      <c r="C34" s="1">
        <v>3</v>
      </c>
      <c r="D34" s="1">
        <v>9</v>
      </c>
      <c r="F34">
        <v>28</v>
      </c>
      <c r="G34">
        <f t="shared" si="0"/>
        <v>84</v>
      </c>
      <c r="H34" s="1">
        <v>28.5</v>
      </c>
      <c r="I34" s="1">
        <f>C34/C37*100</f>
        <v>0.69284064665127021</v>
      </c>
      <c r="J34" s="1">
        <f>D34/D37*100</f>
        <v>0.75503355704697994</v>
      </c>
    </row>
    <row r="35" spans="1:13">
      <c r="A35" s="1"/>
      <c r="B35" s="1" t="s">
        <v>7</v>
      </c>
      <c r="C35" s="1">
        <v>0</v>
      </c>
      <c r="D35" s="1">
        <v>0</v>
      </c>
      <c r="F35">
        <f>(32.75+42.25)/2</f>
        <v>37.5</v>
      </c>
      <c r="G35">
        <f t="shared" si="0"/>
        <v>0</v>
      </c>
      <c r="H35" s="1">
        <v>38</v>
      </c>
      <c r="I35" s="1">
        <f>C35/C37*100</f>
        <v>0</v>
      </c>
      <c r="J35" s="1">
        <f>D35/D37*100</f>
        <v>0</v>
      </c>
    </row>
    <row r="36" spans="1:13">
      <c r="A36" s="1"/>
      <c r="B36" s="1" t="s">
        <v>8</v>
      </c>
      <c r="C36" s="1">
        <v>0</v>
      </c>
      <c r="D36" s="1">
        <v>0</v>
      </c>
      <c r="F36">
        <f>(51.75+42.25)/2</f>
        <v>47</v>
      </c>
      <c r="G36">
        <f t="shared" si="0"/>
        <v>0</v>
      </c>
      <c r="H36" s="1">
        <v>47.5</v>
      </c>
      <c r="I36" s="1">
        <f>C36/C37*100</f>
        <v>0</v>
      </c>
      <c r="J36" s="1">
        <f>D36/D37*100</f>
        <v>0</v>
      </c>
    </row>
    <row r="37" spans="1:13">
      <c r="A37" s="1" t="s">
        <v>32</v>
      </c>
      <c r="B37" s="1" t="s">
        <v>9</v>
      </c>
      <c r="C37" s="1">
        <f>SUM(C30:C36)</f>
        <v>433</v>
      </c>
      <c r="D37" s="1">
        <f>SUM(D30:D36)</f>
        <v>1192</v>
      </c>
      <c r="I37" s="1">
        <f>SUM(I30:I36)</f>
        <v>100.00000000000001</v>
      </c>
      <c r="J37" s="1">
        <f>SUM(J30:J36)</f>
        <v>100.00000000000001</v>
      </c>
    </row>
    <row r="38" spans="1:13">
      <c r="A38" s="1"/>
      <c r="B38" s="1" t="s">
        <v>10</v>
      </c>
      <c r="C38" s="1">
        <f>(G30+G32+G34)/C37</f>
        <v>0.81755196304849886</v>
      </c>
      <c r="D38" s="1">
        <f>(H30+H32+H33+H34)/D37</f>
        <v>3.9848993288590602E-2</v>
      </c>
    </row>
    <row r="39" spans="1:13">
      <c r="A39" s="1"/>
      <c r="B39" s="1" t="s">
        <v>11</v>
      </c>
      <c r="C39" s="1">
        <v>1000</v>
      </c>
      <c r="D39" s="1">
        <v>5000</v>
      </c>
    </row>
    <row r="40" spans="1:13">
      <c r="A40" s="1"/>
      <c r="B40" s="1" t="s">
        <v>12</v>
      </c>
      <c r="C40" s="1">
        <f>(C37/C39)*100</f>
        <v>43.3</v>
      </c>
      <c r="D40" s="1">
        <f>(D37/D39)*100</f>
        <v>23.84</v>
      </c>
    </row>
    <row r="41" spans="1:13">
      <c r="A41" s="1"/>
      <c r="B41" s="1"/>
      <c r="C41" s="1"/>
      <c r="D41" s="1"/>
    </row>
    <row r="42" spans="1:13">
      <c r="A42" s="1"/>
      <c r="B42" s="1" t="s">
        <v>19</v>
      </c>
      <c r="C42" s="1" t="s">
        <v>0</v>
      </c>
      <c r="D42" s="1" t="s">
        <v>1</v>
      </c>
      <c r="H42" s="1" t="s">
        <v>19</v>
      </c>
      <c r="I42" s="1" t="s">
        <v>13</v>
      </c>
      <c r="J42" s="1" t="s">
        <v>14</v>
      </c>
    </row>
    <row r="43" spans="1:13">
      <c r="A43" s="1"/>
      <c r="B43" s="4" t="s">
        <v>2</v>
      </c>
      <c r="C43" s="1">
        <v>9</v>
      </c>
      <c r="D43" s="1">
        <v>60</v>
      </c>
      <c r="F43">
        <f>(13.75+4.25)/2</f>
        <v>9</v>
      </c>
      <c r="G43">
        <f>C43*F43</f>
        <v>81</v>
      </c>
      <c r="H43" s="4">
        <v>-9.5</v>
      </c>
      <c r="I43" s="1">
        <f>C43/C50*100</f>
        <v>2.0089285714285716</v>
      </c>
      <c r="J43" s="1">
        <f>D43/D50*100</f>
        <v>2.0026702269692924</v>
      </c>
      <c r="L43" s="4"/>
      <c r="M43" s="1"/>
    </row>
    <row r="44" spans="1:13">
      <c r="A44" s="1" t="s">
        <v>18</v>
      </c>
      <c r="B44" s="4" t="s">
        <v>3</v>
      </c>
      <c r="C44" s="1">
        <v>432</v>
      </c>
      <c r="D44" s="1">
        <v>2880</v>
      </c>
      <c r="F44">
        <v>0</v>
      </c>
      <c r="G44">
        <f t="shared" ref="G44:G49" si="1">C44*F44</f>
        <v>0</v>
      </c>
      <c r="H44" s="4">
        <v>0</v>
      </c>
      <c r="I44" s="1">
        <f>C44/C50*100</f>
        <v>96.428571428571431</v>
      </c>
      <c r="J44" s="1">
        <f>D44/D50*100</f>
        <v>96.128170894526036</v>
      </c>
      <c r="L44" s="1"/>
      <c r="M44" s="1"/>
    </row>
    <row r="45" spans="1:13">
      <c r="A45" s="1" t="s">
        <v>38</v>
      </c>
      <c r="B45" s="1" t="s">
        <v>4</v>
      </c>
      <c r="C45" s="1">
        <v>7</v>
      </c>
      <c r="D45" s="1">
        <v>56</v>
      </c>
      <c r="F45">
        <v>9</v>
      </c>
      <c r="G45">
        <f t="shared" si="1"/>
        <v>63</v>
      </c>
      <c r="H45" s="1">
        <v>9.5</v>
      </c>
      <c r="I45" s="1">
        <f>C45/C50*100</f>
        <v>1.5625</v>
      </c>
      <c r="J45" s="1">
        <f>D45/D50*100</f>
        <v>1.8691588785046727</v>
      </c>
    </row>
    <row r="46" spans="1:13">
      <c r="A46" s="1"/>
      <c r="B46" s="1" t="s">
        <v>5</v>
      </c>
      <c r="C46" s="1">
        <v>0</v>
      </c>
      <c r="D46" s="1">
        <v>0</v>
      </c>
      <c r="F46">
        <v>18.5</v>
      </c>
      <c r="G46">
        <f t="shared" si="1"/>
        <v>0</v>
      </c>
      <c r="H46" s="1">
        <v>19</v>
      </c>
      <c r="I46" s="1">
        <f>C46/C50*100</f>
        <v>0</v>
      </c>
      <c r="J46" s="1">
        <f>D46/D50*100</f>
        <v>0</v>
      </c>
    </row>
    <row r="47" spans="1:13">
      <c r="A47" s="1"/>
      <c r="B47" s="1" t="s">
        <v>6</v>
      </c>
      <c r="C47" s="1">
        <v>0</v>
      </c>
      <c r="D47" s="1">
        <v>0</v>
      </c>
      <c r="F47">
        <v>28</v>
      </c>
      <c r="G47">
        <f t="shared" si="1"/>
        <v>0</v>
      </c>
      <c r="H47" s="1">
        <v>28.5</v>
      </c>
      <c r="I47" s="1">
        <f>C47/C50*100</f>
        <v>0</v>
      </c>
      <c r="J47" s="1">
        <f>D47/D50*100</f>
        <v>0</v>
      </c>
    </row>
    <row r="48" spans="1:13">
      <c r="A48" s="1"/>
      <c r="B48" s="1" t="s">
        <v>7</v>
      </c>
      <c r="C48" s="1">
        <v>0</v>
      </c>
      <c r="D48" s="1">
        <v>0</v>
      </c>
      <c r="F48">
        <f>(32.75+42.25)/2</f>
        <v>37.5</v>
      </c>
      <c r="G48">
        <f t="shared" si="1"/>
        <v>0</v>
      </c>
      <c r="H48" s="1">
        <v>38</v>
      </c>
      <c r="I48" s="1">
        <f>C48/C50*100</f>
        <v>0</v>
      </c>
      <c r="J48" s="1">
        <f>D48/D50*100</f>
        <v>0</v>
      </c>
    </row>
    <row r="49" spans="1:11">
      <c r="A49" s="1"/>
      <c r="B49" s="1" t="s">
        <v>8</v>
      </c>
      <c r="C49" s="1">
        <v>0</v>
      </c>
      <c r="D49" s="1">
        <v>0</v>
      </c>
      <c r="F49">
        <f>(51.75+42.25)/2</f>
        <v>47</v>
      </c>
      <c r="G49">
        <f t="shared" si="1"/>
        <v>0</v>
      </c>
      <c r="H49" s="1">
        <v>47.5</v>
      </c>
      <c r="I49" s="1">
        <f>C49/C50*100</f>
        <v>0</v>
      </c>
      <c r="J49" s="1">
        <f>D49/D50*100</f>
        <v>0</v>
      </c>
    </row>
    <row r="50" spans="1:11">
      <c r="A50" s="1"/>
      <c r="B50" s="1" t="s">
        <v>9</v>
      </c>
      <c r="C50" s="1">
        <f>SUM(C43:C49)</f>
        <v>448</v>
      </c>
      <c r="D50" s="1">
        <f>SUM(D43:D49)</f>
        <v>2996</v>
      </c>
      <c r="I50" s="1">
        <f>SUM(I43:I49)</f>
        <v>100</v>
      </c>
      <c r="J50" s="1">
        <f>SUM(J43:J49)</f>
        <v>100</v>
      </c>
    </row>
    <row r="51" spans="1:11">
      <c r="A51" s="1" t="s">
        <v>39</v>
      </c>
      <c r="B51" s="1" t="s">
        <v>10</v>
      </c>
      <c r="C51" s="1">
        <f>(SUM(G43:G49))/C50</f>
        <v>0.32142857142857145</v>
      </c>
      <c r="D51" s="1">
        <f>SUM(H43:H49)/D50</f>
        <v>4.4392523364485979E-2</v>
      </c>
    </row>
    <row r="52" spans="1:11">
      <c r="A52" s="1"/>
      <c r="B52" s="1" t="s">
        <v>11</v>
      </c>
      <c r="C52" s="1">
        <v>1000</v>
      </c>
      <c r="D52" s="1">
        <v>5000</v>
      </c>
    </row>
    <row r="53" spans="1:11">
      <c r="A53" s="1"/>
      <c r="B53" s="1" t="s">
        <v>12</v>
      </c>
      <c r="C53" s="1">
        <f>C50/C52*100</f>
        <v>44.800000000000004</v>
      </c>
      <c r="D53" s="1">
        <f>D50/D52*100</f>
        <v>59.919999999999995</v>
      </c>
    </row>
    <row r="54" spans="1:11">
      <c r="A54" s="1"/>
      <c r="B54" s="1"/>
      <c r="C54" s="1"/>
      <c r="D54" s="1"/>
    </row>
    <row r="55" spans="1:11">
      <c r="A55" s="1"/>
      <c r="B55" s="1" t="s">
        <v>19</v>
      </c>
      <c r="C55" s="1" t="s">
        <v>0</v>
      </c>
      <c r="D55" s="1" t="s">
        <v>1</v>
      </c>
      <c r="I55" s="1" t="s">
        <v>19</v>
      </c>
      <c r="J55" s="1" t="s">
        <v>13</v>
      </c>
      <c r="K55" s="1" t="s">
        <v>14</v>
      </c>
    </row>
    <row r="56" spans="1:11">
      <c r="A56" s="1"/>
      <c r="B56" s="4" t="s">
        <v>2</v>
      </c>
      <c r="C56" s="1">
        <v>0</v>
      </c>
      <c r="D56" s="1">
        <v>7</v>
      </c>
      <c r="F56">
        <f>(13.75+4.25)/2</f>
        <v>9</v>
      </c>
      <c r="G56">
        <f>C56*F56</f>
        <v>0</v>
      </c>
      <c r="H56">
        <f>F56*D56</f>
        <v>63</v>
      </c>
      <c r="I56" s="4">
        <v>-9.5</v>
      </c>
      <c r="J56" s="1">
        <f>C56/C63*100</f>
        <v>0</v>
      </c>
      <c r="K56" s="1">
        <f>D56/D63*100</f>
        <v>1.3461538461538463</v>
      </c>
    </row>
    <row r="57" spans="1:11">
      <c r="A57" s="1" t="s">
        <v>18</v>
      </c>
      <c r="B57" s="4" t="s">
        <v>3</v>
      </c>
      <c r="C57" s="1">
        <v>0</v>
      </c>
      <c r="D57" s="1">
        <v>90</v>
      </c>
      <c r="F57">
        <v>0</v>
      </c>
      <c r="G57">
        <f t="shared" ref="G57:G62" si="2">C57*F57</f>
        <v>0</v>
      </c>
      <c r="H57">
        <f>0</f>
        <v>0</v>
      </c>
      <c r="I57" s="4">
        <v>0</v>
      </c>
      <c r="J57" s="1">
        <f>C57/C63*100</f>
        <v>0</v>
      </c>
      <c r="K57" s="1">
        <f>D57/D63*100</f>
        <v>17.307692307692307</v>
      </c>
    </row>
    <row r="58" spans="1:11">
      <c r="A58" s="1" t="s">
        <v>40</v>
      </c>
      <c r="B58" s="1" t="s">
        <v>4</v>
      </c>
      <c r="C58" s="1">
        <v>84</v>
      </c>
      <c r="D58" s="1">
        <v>378</v>
      </c>
      <c r="F58">
        <v>9</v>
      </c>
      <c r="G58">
        <f t="shared" si="2"/>
        <v>756</v>
      </c>
      <c r="H58">
        <f>F58*D58</f>
        <v>3402</v>
      </c>
      <c r="I58" s="1">
        <v>9.5</v>
      </c>
      <c r="J58" s="1">
        <f>C58/C63*100</f>
        <v>91.304347826086953</v>
      </c>
      <c r="K58" s="1">
        <f>D58/D63*100</f>
        <v>72.692307692307693</v>
      </c>
    </row>
    <row r="59" spans="1:11">
      <c r="A59" s="1"/>
      <c r="B59" s="1" t="s">
        <v>5</v>
      </c>
      <c r="C59" s="1">
        <v>0</v>
      </c>
      <c r="D59" s="1">
        <v>21</v>
      </c>
      <c r="F59">
        <v>18.5</v>
      </c>
      <c r="G59">
        <f t="shared" si="2"/>
        <v>0</v>
      </c>
      <c r="H59">
        <f>F59*D59</f>
        <v>388.5</v>
      </c>
      <c r="I59" s="1">
        <v>19</v>
      </c>
      <c r="J59" s="1">
        <f>C59/C63*100</f>
        <v>0</v>
      </c>
      <c r="K59" s="1">
        <f>D59/D63*100</f>
        <v>4.0384615384615383</v>
      </c>
    </row>
    <row r="60" spans="1:11">
      <c r="A60" s="1"/>
      <c r="B60" s="1" t="s">
        <v>6</v>
      </c>
      <c r="C60" s="1">
        <v>8</v>
      </c>
      <c r="D60" s="1">
        <v>24</v>
      </c>
      <c r="F60">
        <v>28</v>
      </c>
      <c r="G60">
        <f t="shared" si="2"/>
        <v>224</v>
      </c>
      <c r="H60">
        <f>F60*D60</f>
        <v>672</v>
      </c>
      <c r="I60" s="1">
        <v>28.5</v>
      </c>
      <c r="J60" s="1">
        <f>C60/C63*100</f>
        <v>8.695652173913043</v>
      </c>
      <c r="K60" s="1">
        <f>D60/D63*100</f>
        <v>4.6153846153846159</v>
      </c>
    </row>
    <row r="61" spans="1:11">
      <c r="A61" s="1"/>
      <c r="B61" s="1" t="s">
        <v>7</v>
      </c>
      <c r="C61" s="1">
        <v>0</v>
      </c>
      <c r="D61" s="1">
        <v>0</v>
      </c>
      <c r="F61">
        <f>(32.75+42.25)/2</f>
        <v>37.5</v>
      </c>
      <c r="G61">
        <f t="shared" si="2"/>
        <v>0</v>
      </c>
      <c r="H61">
        <v>0</v>
      </c>
      <c r="I61" s="1">
        <v>38</v>
      </c>
      <c r="J61" s="1">
        <f>C61/C63*100</f>
        <v>0</v>
      </c>
      <c r="K61" s="1">
        <f>D61/D63*100</f>
        <v>0</v>
      </c>
    </row>
    <row r="62" spans="1:11">
      <c r="A62" s="1"/>
      <c r="B62" s="1" t="s">
        <v>8</v>
      </c>
      <c r="C62" s="1">
        <v>0</v>
      </c>
      <c r="D62" s="1">
        <v>0</v>
      </c>
      <c r="F62">
        <f>(51.75+42.25)/2</f>
        <v>47</v>
      </c>
      <c r="G62">
        <f t="shared" si="2"/>
        <v>0</v>
      </c>
      <c r="H62">
        <v>0</v>
      </c>
      <c r="I62" s="1">
        <v>47.5</v>
      </c>
      <c r="J62" s="1">
        <f>C62/C63*100</f>
        <v>0</v>
      </c>
      <c r="K62" s="1">
        <f>D62/D63*100</f>
        <v>0</v>
      </c>
    </row>
    <row r="63" spans="1:11">
      <c r="A63" s="1" t="s">
        <v>41</v>
      </c>
      <c r="B63" s="1" t="s">
        <v>9</v>
      </c>
      <c r="C63" s="1">
        <f>SUM(C56:C62)</f>
        <v>92</v>
      </c>
      <c r="D63" s="1">
        <f>SUM(D56:D62)</f>
        <v>520</v>
      </c>
      <c r="J63" s="1">
        <f>SUM(J56:J62)</f>
        <v>100</v>
      </c>
      <c r="K63" s="1">
        <f>SUM(K56:K62)</f>
        <v>99.999999999999986</v>
      </c>
    </row>
    <row r="64" spans="1:11">
      <c r="A64" s="1"/>
      <c r="B64" s="1" t="s">
        <v>10</v>
      </c>
      <c r="C64" s="1">
        <f>SUM(G56:G62)/C63</f>
        <v>10.652173913043478</v>
      </c>
      <c r="D64" s="1">
        <f>SUM(H56:H62)/D63</f>
        <v>8.7028846153846153</v>
      </c>
    </row>
    <row r="65" spans="1:11">
      <c r="A65" s="1"/>
      <c r="B65" s="1" t="s">
        <v>42</v>
      </c>
      <c r="C65" s="1">
        <v>1000</v>
      </c>
      <c r="D65" s="1">
        <v>5000</v>
      </c>
    </row>
    <row r="66" spans="1:11">
      <c r="B66" s="1" t="s">
        <v>12</v>
      </c>
      <c r="C66">
        <f>C63/C65*100</f>
        <v>9.1999999999999993</v>
      </c>
      <c r="D66">
        <f>D63/D65*100</f>
        <v>10.4</v>
      </c>
    </row>
    <row r="68" spans="1:11">
      <c r="A68" s="1"/>
      <c r="B68" s="1" t="s">
        <v>19</v>
      </c>
      <c r="C68" s="1" t="s">
        <v>0</v>
      </c>
      <c r="D68" s="1" t="s">
        <v>1</v>
      </c>
      <c r="I68" s="1" t="s">
        <v>19</v>
      </c>
      <c r="J68" s="1" t="s">
        <v>13</v>
      </c>
      <c r="K68" s="1" t="s">
        <v>14</v>
      </c>
    </row>
    <row r="69" spans="1:11">
      <c r="A69" s="1" t="s">
        <v>18</v>
      </c>
      <c r="B69" s="4" t="s">
        <v>2</v>
      </c>
      <c r="C69" s="1">
        <v>0</v>
      </c>
      <c r="D69" s="1">
        <v>36</v>
      </c>
      <c r="F69">
        <f>(13.75+4.25)/2</f>
        <v>9</v>
      </c>
      <c r="G69">
        <f>C69*F69</f>
        <v>0</v>
      </c>
      <c r="H69">
        <f>F69*D69</f>
        <v>324</v>
      </c>
      <c r="I69" s="4">
        <v>-9.5</v>
      </c>
      <c r="J69" s="1">
        <f>C69/C76*100</f>
        <v>0</v>
      </c>
      <c r="K69" s="1">
        <f>D69/D76*100</f>
        <v>2.4032042723631508</v>
      </c>
    </row>
    <row r="70" spans="1:11">
      <c r="A70" s="1" t="s">
        <v>43</v>
      </c>
      <c r="B70" s="4" t="s">
        <v>3</v>
      </c>
      <c r="C70" s="1">
        <v>0</v>
      </c>
      <c r="D70" s="1">
        <v>186</v>
      </c>
      <c r="F70">
        <v>0</v>
      </c>
      <c r="G70">
        <f t="shared" ref="G70:G75" si="3">C70*F70</f>
        <v>0</v>
      </c>
      <c r="H70">
        <f>0</f>
        <v>0</v>
      </c>
      <c r="I70" s="4">
        <v>0</v>
      </c>
      <c r="J70" s="1">
        <f>C70/C76*100</f>
        <v>0</v>
      </c>
      <c r="K70" s="1">
        <f>D70/D76*100</f>
        <v>12.416555407209612</v>
      </c>
    </row>
    <row r="71" spans="1:11">
      <c r="A71" s="1"/>
      <c r="B71" s="1" t="s">
        <v>4</v>
      </c>
      <c r="C71" s="1">
        <v>0</v>
      </c>
      <c r="D71" s="1">
        <v>1200</v>
      </c>
      <c r="F71">
        <v>9</v>
      </c>
      <c r="G71">
        <f t="shared" si="3"/>
        <v>0</v>
      </c>
      <c r="H71">
        <f>F71*D71</f>
        <v>10800</v>
      </c>
      <c r="I71" s="1">
        <v>9.5</v>
      </c>
      <c r="J71" s="1">
        <f>C71/C76*100</f>
        <v>0</v>
      </c>
      <c r="K71" s="1">
        <f>D71/D76*100</f>
        <v>80.10680907877169</v>
      </c>
    </row>
    <row r="72" spans="1:11">
      <c r="A72" s="1"/>
      <c r="B72" s="1" t="s">
        <v>5</v>
      </c>
      <c r="C72" s="1">
        <v>3</v>
      </c>
      <c r="D72" s="1">
        <v>69</v>
      </c>
      <c r="F72">
        <v>18.5</v>
      </c>
      <c r="G72">
        <f t="shared" si="3"/>
        <v>55.5</v>
      </c>
      <c r="H72">
        <f>F72*D72</f>
        <v>1276.5</v>
      </c>
      <c r="I72" s="1">
        <v>19</v>
      </c>
      <c r="J72" s="1">
        <f>C72/C76*100</f>
        <v>100</v>
      </c>
      <c r="K72" s="1">
        <f>D72/D76*100</f>
        <v>4.6061415220293718</v>
      </c>
    </row>
    <row r="73" spans="1:11">
      <c r="A73" s="1"/>
      <c r="B73" s="1" t="s">
        <v>6</v>
      </c>
      <c r="C73" s="1">
        <v>0</v>
      </c>
      <c r="D73" s="1">
        <v>7</v>
      </c>
      <c r="F73">
        <v>28</v>
      </c>
      <c r="G73">
        <f t="shared" si="3"/>
        <v>0</v>
      </c>
      <c r="H73">
        <f>F73*D73</f>
        <v>196</v>
      </c>
      <c r="I73" s="1">
        <v>28.5</v>
      </c>
      <c r="J73" s="1">
        <f>C73/C76*100</f>
        <v>0</v>
      </c>
      <c r="K73" s="1">
        <f>D73/D76*100</f>
        <v>0.46728971962616817</v>
      </c>
    </row>
    <row r="74" spans="1:11">
      <c r="A74" s="1"/>
      <c r="B74" s="1" t="s">
        <v>7</v>
      </c>
      <c r="C74" s="1">
        <v>0</v>
      </c>
      <c r="D74" s="1">
        <v>0</v>
      </c>
      <c r="F74">
        <f>(32.75+42.25)/2</f>
        <v>37.5</v>
      </c>
      <c r="G74">
        <f t="shared" si="3"/>
        <v>0</v>
      </c>
      <c r="H74">
        <v>0</v>
      </c>
      <c r="I74" s="1">
        <v>38</v>
      </c>
      <c r="J74" s="1">
        <f>C74/C76*100</f>
        <v>0</v>
      </c>
      <c r="K74" s="1">
        <f>D74/D76*100</f>
        <v>0</v>
      </c>
    </row>
    <row r="75" spans="1:11">
      <c r="A75" s="1" t="s">
        <v>44</v>
      </c>
      <c r="B75" s="1" t="s">
        <v>8</v>
      </c>
      <c r="C75" s="1">
        <v>0</v>
      </c>
      <c r="D75" s="1">
        <v>0</v>
      </c>
      <c r="F75">
        <f>(51.75+42.25)/2</f>
        <v>47</v>
      </c>
      <c r="G75">
        <f t="shared" si="3"/>
        <v>0</v>
      </c>
      <c r="H75">
        <v>0</v>
      </c>
      <c r="I75" s="1">
        <v>47.5</v>
      </c>
      <c r="J75" s="1">
        <f>C75/C76*100</f>
        <v>0</v>
      </c>
      <c r="K75" s="1">
        <f>D75/D76*100</f>
        <v>0</v>
      </c>
    </row>
    <row r="76" spans="1:11">
      <c r="A76" s="1"/>
      <c r="B76" s="1" t="s">
        <v>9</v>
      </c>
      <c r="C76" s="1">
        <f>SUM(C69:C75)</f>
        <v>3</v>
      </c>
      <c r="D76" s="1">
        <f>SUM(D69:D75)</f>
        <v>1498</v>
      </c>
      <c r="J76" s="1">
        <f>SUM(J69:J75)</f>
        <v>100</v>
      </c>
      <c r="K76" s="1">
        <f>SUM(K69:K75)</f>
        <v>100</v>
      </c>
    </row>
    <row r="77" spans="1:11">
      <c r="B77" s="1" t="s">
        <v>10</v>
      </c>
      <c r="C77" s="1">
        <f>(G72)/C76</f>
        <v>18.5</v>
      </c>
      <c r="D77" s="1">
        <f>SUM(H69:H75)/D76</f>
        <v>8.4088785046728969</v>
      </c>
    </row>
    <row r="78" spans="1:11">
      <c r="B78" s="1" t="s">
        <v>11</v>
      </c>
      <c r="C78">
        <v>1000</v>
      </c>
      <c r="D78">
        <v>5000</v>
      </c>
    </row>
    <row r="79" spans="1:11">
      <c r="B79" s="1" t="s">
        <v>12</v>
      </c>
      <c r="C79">
        <f>C76/C78*100</f>
        <v>0.3</v>
      </c>
      <c r="D79">
        <f>D76/D78*100</f>
        <v>29.959999999999997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2"/>
  <sheetViews>
    <sheetView workbookViewId="0">
      <selection activeCell="F2" sqref="F2"/>
    </sheetView>
  </sheetViews>
  <sheetFormatPr defaultRowHeight="14.4"/>
  <cols>
    <col min="1" max="1" width="18.44140625" customWidth="1"/>
    <col min="2" max="2" width="25.88671875" customWidth="1"/>
    <col min="4" max="4" width="13" customWidth="1"/>
    <col min="5" max="5" width="24.6640625" customWidth="1"/>
    <col min="6" max="6" width="22.44140625" customWidth="1"/>
    <col min="7" max="7" width="24.5546875" customWidth="1"/>
    <col min="8" max="8" width="27.6640625" customWidth="1"/>
    <col min="11" max="11" width="13" customWidth="1"/>
  </cols>
  <sheetData>
    <row r="1" spans="1:9">
      <c r="A1" t="s">
        <v>18</v>
      </c>
      <c r="B1" t="s">
        <v>109</v>
      </c>
      <c r="C1" t="s">
        <v>0</v>
      </c>
      <c r="D1" t="s">
        <v>1</v>
      </c>
      <c r="E1" t="s">
        <v>97</v>
      </c>
      <c r="F1" t="s">
        <v>96</v>
      </c>
      <c r="G1" t="s">
        <v>95</v>
      </c>
      <c r="H1" t="s">
        <v>94</v>
      </c>
      <c r="I1" t="s">
        <v>131</v>
      </c>
    </row>
    <row r="2" spans="1:9">
      <c r="B2">
        <v>-28.5</v>
      </c>
      <c r="C2">
        <v>0</v>
      </c>
      <c r="D2">
        <v>0</v>
      </c>
      <c r="E2">
        <f>ABS(B2*C2)</f>
        <v>0</v>
      </c>
      <c r="F2">
        <f>ABS(D2*B2)</f>
        <v>0</v>
      </c>
      <c r="G2" t="e">
        <v>#DIV/0!</v>
      </c>
      <c r="H2">
        <v>0</v>
      </c>
    </row>
    <row r="3" spans="1:9">
      <c r="B3">
        <v>-19</v>
      </c>
      <c r="C3">
        <v>0</v>
      </c>
      <c r="D3">
        <v>0</v>
      </c>
      <c r="E3">
        <f t="shared" ref="E3:E11" si="0">ABS(B3*C3)</f>
        <v>0</v>
      </c>
      <c r="F3">
        <f t="shared" ref="F3:F12" si="1">ABS(D3*B3)</f>
        <v>0</v>
      </c>
      <c r="G3" t="e">
        <v>#DIV/0!</v>
      </c>
      <c r="H3">
        <v>0</v>
      </c>
    </row>
    <row r="4" spans="1:9">
      <c r="B4">
        <v>-9.5</v>
      </c>
      <c r="C4">
        <v>0</v>
      </c>
      <c r="D4">
        <v>36</v>
      </c>
      <c r="E4">
        <f t="shared" si="0"/>
        <v>0</v>
      </c>
      <c r="F4">
        <f t="shared" si="1"/>
        <v>342</v>
      </c>
      <c r="G4" t="e">
        <v>#DIV/0!</v>
      </c>
      <c r="H4">
        <v>4.0494938129999998</v>
      </c>
    </row>
    <row r="5" spans="1:9">
      <c r="B5">
        <v>0</v>
      </c>
      <c r="C5">
        <v>0</v>
      </c>
      <c r="D5">
        <v>720</v>
      </c>
      <c r="E5">
        <f t="shared" si="0"/>
        <v>0</v>
      </c>
      <c r="F5">
        <f t="shared" si="1"/>
        <v>0</v>
      </c>
      <c r="G5" t="e">
        <v>#DIV/0!</v>
      </c>
      <c r="H5">
        <v>80.989876269999996</v>
      </c>
    </row>
    <row r="6" spans="1:9">
      <c r="A6" t="s">
        <v>108</v>
      </c>
      <c r="B6">
        <v>9.5</v>
      </c>
      <c r="C6">
        <v>0</v>
      </c>
      <c r="D6">
        <v>98</v>
      </c>
      <c r="E6">
        <f t="shared" si="0"/>
        <v>0</v>
      </c>
      <c r="F6">
        <f t="shared" si="1"/>
        <v>931</v>
      </c>
      <c r="G6" t="e">
        <v>#DIV/0!</v>
      </c>
      <c r="H6">
        <v>11.02362205</v>
      </c>
    </row>
    <row r="7" spans="1:9">
      <c r="B7">
        <v>19</v>
      </c>
      <c r="C7">
        <v>0</v>
      </c>
      <c r="D7">
        <v>35</v>
      </c>
      <c r="E7">
        <f t="shared" si="0"/>
        <v>0</v>
      </c>
      <c r="F7">
        <f t="shared" si="1"/>
        <v>665</v>
      </c>
      <c r="G7" t="e">
        <v>#DIV/0!</v>
      </c>
      <c r="H7">
        <v>3.9370078739999999</v>
      </c>
    </row>
    <row r="8" spans="1:9">
      <c r="B8">
        <v>28.5</v>
      </c>
      <c r="C8">
        <v>0</v>
      </c>
      <c r="D8">
        <v>0</v>
      </c>
      <c r="E8">
        <f t="shared" si="0"/>
        <v>0</v>
      </c>
      <c r="F8">
        <f t="shared" si="1"/>
        <v>0</v>
      </c>
      <c r="G8" t="e">
        <v>#DIV/0!</v>
      </c>
      <c r="H8">
        <v>0</v>
      </c>
    </row>
    <row r="9" spans="1:9">
      <c r="B9">
        <v>38</v>
      </c>
      <c r="C9">
        <v>0</v>
      </c>
      <c r="D9">
        <v>0</v>
      </c>
      <c r="E9">
        <f t="shared" si="0"/>
        <v>0</v>
      </c>
      <c r="F9">
        <f t="shared" si="1"/>
        <v>0</v>
      </c>
      <c r="G9" t="e">
        <v>#DIV/0!</v>
      </c>
      <c r="H9">
        <v>0</v>
      </c>
    </row>
    <row r="10" spans="1:9">
      <c r="B10">
        <v>47.5</v>
      </c>
      <c r="C10">
        <v>0</v>
      </c>
      <c r="D10">
        <v>0</v>
      </c>
      <c r="E10">
        <f t="shared" si="0"/>
        <v>0</v>
      </c>
      <c r="F10">
        <f t="shared" si="1"/>
        <v>0</v>
      </c>
      <c r="G10" t="e">
        <v>#DIV/0!</v>
      </c>
      <c r="H10">
        <v>0</v>
      </c>
    </row>
    <row r="11" spans="1:9">
      <c r="A11" t="s">
        <v>107</v>
      </c>
      <c r="B11">
        <v>57</v>
      </c>
      <c r="C11">
        <v>0</v>
      </c>
      <c r="D11">
        <v>0</v>
      </c>
      <c r="E11">
        <f t="shared" si="0"/>
        <v>0</v>
      </c>
      <c r="F11">
        <f t="shared" si="1"/>
        <v>0</v>
      </c>
      <c r="G11" t="e">
        <v>#DIV/0!</v>
      </c>
      <c r="H11">
        <v>0</v>
      </c>
    </row>
    <row r="12" spans="1:9">
      <c r="B12">
        <v>100</v>
      </c>
      <c r="C12">
        <v>0</v>
      </c>
      <c r="D12">
        <v>0</v>
      </c>
      <c r="E12">
        <f t="shared" ref="E12" si="2">ABS(D12*C12)</f>
        <v>0</v>
      </c>
      <c r="F12">
        <f t="shared" si="1"/>
        <v>0</v>
      </c>
      <c r="G12" t="e">
        <v>#DIV/0!</v>
      </c>
      <c r="H12">
        <v>0</v>
      </c>
    </row>
    <row r="13" spans="1:9">
      <c r="B13" t="s">
        <v>9</v>
      </c>
      <c r="C13">
        <v>0</v>
      </c>
      <c r="D13">
        <v>889</v>
      </c>
    </row>
    <row r="14" spans="1:9">
      <c r="B14" t="s">
        <v>106</v>
      </c>
      <c r="C14" t="e">
        <f>SUM(E2:E12)/C13</f>
        <v>#DIV/0!</v>
      </c>
      <c r="D14">
        <f>SUM(F2:F12)/D13</f>
        <v>2.1799775028121484</v>
      </c>
    </row>
    <row r="15" spans="1:9">
      <c r="B15" t="s">
        <v>11</v>
      </c>
      <c r="C15">
        <v>255</v>
      </c>
      <c r="D15">
        <v>3250</v>
      </c>
      <c r="F15" t="s">
        <v>110</v>
      </c>
      <c r="G15" t="s">
        <v>111</v>
      </c>
    </row>
    <row r="16" spans="1:9">
      <c r="B16" t="s">
        <v>12</v>
      </c>
      <c r="C16">
        <v>0</v>
      </c>
      <c r="D16">
        <v>17.78</v>
      </c>
      <c r="F16" t="s">
        <v>112</v>
      </c>
      <c r="G16" t="s">
        <v>113</v>
      </c>
    </row>
    <row r="19" spans="1:8">
      <c r="B19" t="s">
        <v>19</v>
      </c>
      <c r="C19" t="s">
        <v>0</v>
      </c>
      <c r="D19" t="s">
        <v>1</v>
      </c>
      <c r="E19" t="s">
        <v>97</v>
      </c>
      <c r="F19" t="s">
        <v>96</v>
      </c>
      <c r="G19" t="s">
        <v>95</v>
      </c>
      <c r="H19" t="s">
        <v>94</v>
      </c>
    </row>
    <row r="20" spans="1:8">
      <c r="B20">
        <v>-28.5</v>
      </c>
      <c r="C20">
        <v>0</v>
      </c>
      <c r="D20">
        <v>0</v>
      </c>
      <c r="E20">
        <f>ABS(C20*B20)</f>
        <v>0</v>
      </c>
      <c r="F20">
        <f>ABS(D20*B20)</f>
        <v>0</v>
      </c>
      <c r="G20">
        <v>0</v>
      </c>
      <c r="H20">
        <v>0</v>
      </c>
    </row>
    <row r="21" spans="1:8">
      <c r="B21">
        <v>-19</v>
      </c>
      <c r="C21">
        <v>12</v>
      </c>
      <c r="D21">
        <v>6</v>
      </c>
      <c r="E21">
        <f t="shared" ref="E21:E30" si="3">ABS(C21*B21)</f>
        <v>228</v>
      </c>
      <c r="F21">
        <f t="shared" ref="F21:F30" si="4">ABS(D21*B21)</f>
        <v>114</v>
      </c>
      <c r="G21">
        <v>6.4171122990000002</v>
      </c>
      <c r="H21">
        <v>0.29702970299999998</v>
      </c>
    </row>
    <row r="22" spans="1:8">
      <c r="B22">
        <v>-9.5</v>
      </c>
      <c r="C22">
        <v>0</v>
      </c>
      <c r="D22">
        <v>16</v>
      </c>
      <c r="E22">
        <f t="shared" si="3"/>
        <v>0</v>
      </c>
      <c r="F22">
        <f t="shared" si="4"/>
        <v>152</v>
      </c>
      <c r="G22">
        <v>0</v>
      </c>
      <c r="H22">
        <v>0.79207920799999998</v>
      </c>
    </row>
    <row r="23" spans="1:8">
      <c r="A23" t="s">
        <v>18</v>
      </c>
      <c r="B23">
        <v>0</v>
      </c>
      <c r="C23">
        <v>150</v>
      </c>
      <c r="D23">
        <v>1950</v>
      </c>
      <c r="E23">
        <f t="shared" si="3"/>
        <v>0</v>
      </c>
      <c r="F23">
        <f t="shared" si="4"/>
        <v>0</v>
      </c>
      <c r="G23">
        <v>80.213903740000006</v>
      </c>
      <c r="H23">
        <v>96.534653469999995</v>
      </c>
    </row>
    <row r="24" spans="1:8">
      <c r="A24" t="s">
        <v>105</v>
      </c>
      <c r="B24">
        <v>9.5</v>
      </c>
      <c r="C24">
        <v>25</v>
      </c>
      <c r="D24">
        <v>45</v>
      </c>
      <c r="E24">
        <f t="shared" si="3"/>
        <v>237.5</v>
      </c>
      <c r="F24">
        <f t="shared" si="4"/>
        <v>427.5</v>
      </c>
      <c r="G24">
        <v>13.36898396</v>
      </c>
      <c r="H24">
        <v>2.2277227719999999</v>
      </c>
    </row>
    <row r="25" spans="1:8">
      <c r="B25">
        <v>19</v>
      </c>
      <c r="C25">
        <v>0</v>
      </c>
      <c r="D25">
        <v>3</v>
      </c>
      <c r="E25">
        <f t="shared" si="3"/>
        <v>0</v>
      </c>
      <c r="F25">
        <f t="shared" si="4"/>
        <v>57</v>
      </c>
      <c r="G25">
        <v>0</v>
      </c>
      <c r="H25">
        <v>0.148514851</v>
      </c>
    </row>
    <row r="26" spans="1:8">
      <c r="B26">
        <v>28.5</v>
      </c>
      <c r="C26">
        <v>0</v>
      </c>
      <c r="D26">
        <v>0</v>
      </c>
      <c r="E26">
        <f t="shared" si="3"/>
        <v>0</v>
      </c>
      <c r="F26">
        <f t="shared" si="4"/>
        <v>0</v>
      </c>
      <c r="G26">
        <v>0</v>
      </c>
      <c r="H26">
        <v>0</v>
      </c>
    </row>
    <row r="27" spans="1:8">
      <c r="B27">
        <v>38</v>
      </c>
      <c r="C27">
        <v>0</v>
      </c>
      <c r="D27">
        <v>0</v>
      </c>
      <c r="E27">
        <f t="shared" si="3"/>
        <v>0</v>
      </c>
      <c r="F27">
        <f t="shared" si="4"/>
        <v>0</v>
      </c>
      <c r="G27">
        <v>0</v>
      </c>
      <c r="H27">
        <v>0</v>
      </c>
    </row>
    <row r="28" spans="1:8">
      <c r="B28">
        <v>47.5</v>
      </c>
      <c r="C28">
        <v>0</v>
      </c>
      <c r="D28">
        <v>0</v>
      </c>
      <c r="E28">
        <f t="shared" si="3"/>
        <v>0</v>
      </c>
      <c r="F28">
        <f t="shared" si="4"/>
        <v>0</v>
      </c>
      <c r="G28">
        <v>0</v>
      </c>
      <c r="H28">
        <v>0</v>
      </c>
    </row>
    <row r="29" spans="1:8">
      <c r="A29" t="s">
        <v>41</v>
      </c>
      <c r="B29">
        <v>57</v>
      </c>
      <c r="C29">
        <v>0</v>
      </c>
      <c r="D29">
        <v>0</v>
      </c>
      <c r="E29">
        <f t="shared" si="3"/>
        <v>0</v>
      </c>
      <c r="F29">
        <f t="shared" si="4"/>
        <v>0</v>
      </c>
      <c r="G29">
        <v>0</v>
      </c>
      <c r="H29">
        <v>0</v>
      </c>
    </row>
    <row r="30" spans="1:8">
      <c r="B30">
        <v>100</v>
      </c>
      <c r="C30">
        <v>0</v>
      </c>
      <c r="D30">
        <v>0</v>
      </c>
      <c r="E30">
        <f t="shared" si="3"/>
        <v>0</v>
      </c>
      <c r="F30">
        <f t="shared" si="4"/>
        <v>0</v>
      </c>
      <c r="G30">
        <v>0</v>
      </c>
      <c r="H30">
        <v>0</v>
      </c>
    </row>
    <row r="31" spans="1:8">
      <c r="B31" t="s">
        <v>9</v>
      </c>
      <c r="C31">
        <v>187</v>
      </c>
      <c r="D31">
        <v>2020</v>
      </c>
    </row>
    <row r="32" spans="1:8">
      <c r="B32" t="s">
        <v>104</v>
      </c>
      <c r="C32">
        <v>2.4893048129999999</v>
      </c>
      <c r="D32">
        <v>0.37153465299999999</v>
      </c>
    </row>
    <row r="33" spans="1:8">
      <c r="B33" t="s">
        <v>11</v>
      </c>
      <c r="C33">
        <v>247</v>
      </c>
      <c r="D33">
        <v>3125</v>
      </c>
    </row>
    <row r="34" spans="1:8">
      <c r="B34" t="s">
        <v>12</v>
      </c>
      <c r="C34">
        <f>C31/C33*100</f>
        <v>75.708502024291505</v>
      </c>
      <c r="D34">
        <v>40.4</v>
      </c>
    </row>
    <row r="36" spans="1:8">
      <c r="B36" t="s">
        <v>19</v>
      </c>
      <c r="C36">
        <v>1.9810000000000001</v>
      </c>
      <c r="D36" t="s">
        <v>103</v>
      </c>
      <c r="E36" t="s">
        <v>97</v>
      </c>
      <c r="F36" t="s">
        <v>96</v>
      </c>
      <c r="G36" t="s">
        <v>95</v>
      </c>
      <c r="H36" t="s">
        <v>94</v>
      </c>
    </row>
    <row r="37" spans="1:8">
      <c r="B37">
        <v>-28.5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B38">
        <v>-19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B39">
        <v>-9.5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B40">
        <v>0</v>
      </c>
      <c r="C40">
        <v>20</v>
      </c>
      <c r="D40">
        <v>560</v>
      </c>
      <c r="E40">
        <v>0</v>
      </c>
      <c r="F40">
        <v>0</v>
      </c>
      <c r="G40">
        <v>22.47191011</v>
      </c>
      <c r="H40">
        <v>62.992125979999997</v>
      </c>
    </row>
    <row r="41" spans="1:8">
      <c r="A41" t="s">
        <v>18</v>
      </c>
      <c r="B41">
        <v>9.5</v>
      </c>
      <c r="C41">
        <v>40</v>
      </c>
      <c r="D41">
        <v>360</v>
      </c>
      <c r="E41">
        <v>380</v>
      </c>
      <c r="F41">
        <v>3420</v>
      </c>
      <c r="G41">
        <v>44.943820219999999</v>
      </c>
      <c r="H41">
        <v>40.494938130000001</v>
      </c>
    </row>
    <row r="42" spans="1:8">
      <c r="A42" t="s">
        <v>102</v>
      </c>
      <c r="B42">
        <v>19</v>
      </c>
      <c r="C42">
        <v>7</v>
      </c>
      <c r="D42">
        <v>40</v>
      </c>
      <c r="E42">
        <v>133</v>
      </c>
      <c r="F42">
        <v>760</v>
      </c>
      <c r="G42">
        <v>7.8651685389999999</v>
      </c>
      <c r="H42">
        <v>4.4994375700000004</v>
      </c>
    </row>
    <row r="43" spans="1:8">
      <c r="B43">
        <v>28.5</v>
      </c>
      <c r="C43">
        <v>10</v>
      </c>
      <c r="D43">
        <v>16</v>
      </c>
      <c r="E43">
        <v>285</v>
      </c>
      <c r="F43">
        <v>456</v>
      </c>
      <c r="G43">
        <v>11.23595506</v>
      </c>
      <c r="H43">
        <v>1.799775028</v>
      </c>
    </row>
    <row r="44" spans="1:8">
      <c r="B44">
        <v>38</v>
      </c>
      <c r="C44">
        <v>3</v>
      </c>
      <c r="D44">
        <v>3</v>
      </c>
      <c r="E44">
        <v>114</v>
      </c>
      <c r="F44">
        <v>114</v>
      </c>
      <c r="G44">
        <v>3.370786517</v>
      </c>
      <c r="H44">
        <v>0.33745781800000002</v>
      </c>
    </row>
    <row r="45" spans="1:8">
      <c r="B45">
        <v>47.5</v>
      </c>
      <c r="C45">
        <v>6</v>
      </c>
      <c r="D45">
        <v>12</v>
      </c>
      <c r="E45">
        <v>285</v>
      </c>
      <c r="F45">
        <v>570</v>
      </c>
      <c r="G45">
        <v>6.741573034</v>
      </c>
      <c r="H45">
        <v>1.349831271</v>
      </c>
    </row>
    <row r="46" spans="1:8">
      <c r="B46">
        <v>57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t="s">
        <v>100</v>
      </c>
      <c r="B47">
        <v>100</v>
      </c>
      <c r="C47">
        <v>3</v>
      </c>
      <c r="D47">
        <v>6</v>
      </c>
      <c r="E47">
        <v>300</v>
      </c>
      <c r="F47">
        <v>600</v>
      </c>
      <c r="G47">
        <v>3.370786517</v>
      </c>
      <c r="H47">
        <v>0.67491563600000004</v>
      </c>
    </row>
    <row r="48" spans="1:8">
      <c r="B48" t="s">
        <v>9</v>
      </c>
      <c r="C48">
        <v>89</v>
      </c>
      <c r="D48">
        <v>997</v>
      </c>
    </row>
    <row r="49" spans="1:8">
      <c r="B49" t="s">
        <v>10</v>
      </c>
      <c r="C49">
        <v>16.820224719999999</v>
      </c>
      <c r="D49">
        <v>5.9378134400000002</v>
      </c>
    </row>
    <row r="50" spans="1:8">
      <c r="B50" t="s">
        <v>11</v>
      </c>
      <c r="C50">
        <v>240</v>
      </c>
      <c r="D50">
        <v>3125</v>
      </c>
    </row>
    <row r="51" spans="1:8">
      <c r="B51" t="s">
        <v>12</v>
      </c>
      <c r="C51">
        <v>29.666666670000001</v>
      </c>
      <c r="D51">
        <v>19.940000000000001</v>
      </c>
    </row>
    <row r="53" spans="1:8">
      <c r="B53" t="s">
        <v>19</v>
      </c>
      <c r="C53" t="s">
        <v>0</v>
      </c>
      <c r="D53" t="s">
        <v>1</v>
      </c>
      <c r="E53" t="s">
        <v>97</v>
      </c>
      <c r="F53" t="s">
        <v>96</v>
      </c>
      <c r="G53" t="s">
        <v>95</v>
      </c>
      <c r="H53" t="s">
        <v>94</v>
      </c>
    </row>
    <row r="54" spans="1:8">
      <c r="B54">
        <v>-28.5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t="s">
        <v>18</v>
      </c>
      <c r="B55">
        <v>-19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t="s">
        <v>101</v>
      </c>
      <c r="B56">
        <v>-9.5</v>
      </c>
      <c r="C56">
        <v>0</v>
      </c>
      <c r="D56">
        <v>126</v>
      </c>
      <c r="E56">
        <v>0</v>
      </c>
      <c r="F56">
        <v>1197</v>
      </c>
      <c r="G56">
        <v>0</v>
      </c>
      <c r="H56">
        <v>9.8591549300000008</v>
      </c>
    </row>
    <row r="57" spans="1:8">
      <c r="B57">
        <v>0</v>
      </c>
      <c r="C57">
        <v>30</v>
      </c>
      <c r="D57">
        <v>1100</v>
      </c>
      <c r="E57">
        <v>0</v>
      </c>
      <c r="F57">
        <v>0</v>
      </c>
      <c r="G57">
        <v>78.947368420000004</v>
      </c>
      <c r="H57">
        <v>86.071987480000004</v>
      </c>
    </row>
    <row r="58" spans="1:8">
      <c r="B58">
        <v>9.5</v>
      </c>
      <c r="C58">
        <v>5</v>
      </c>
      <c r="D58">
        <v>36</v>
      </c>
      <c r="E58">
        <v>47.5</v>
      </c>
      <c r="F58">
        <v>342</v>
      </c>
      <c r="G58">
        <v>13.15789474</v>
      </c>
      <c r="H58">
        <v>2.8169014080000001</v>
      </c>
    </row>
    <row r="59" spans="1:8">
      <c r="B59">
        <v>19</v>
      </c>
      <c r="C59">
        <v>0</v>
      </c>
      <c r="D59">
        <v>6</v>
      </c>
      <c r="E59">
        <v>0</v>
      </c>
      <c r="F59">
        <v>114</v>
      </c>
      <c r="G59">
        <v>0</v>
      </c>
      <c r="H59">
        <v>0.46948356800000002</v>
      </c>
    </row>
    <row r="60" spans="1:8">
      <c r="B60">
        <v>28.5</v>
      </c>
      <c r="C60">
        <v>0</v>
      </c>
      <c r="D60">
        <v>3</v>
      </c>
      <c r="E60">
        <v>0</v>
      </c>
      <c r="F60">
        <v>85.5</v>
      </c>
      <c r="G60">
        <v>0</v>
      </c>
      <c r="H60">
        <v>0.23474178400000001</v>
      </c>
    </row>
    <row r="61" spans="1:8">
      <c r="B61">
        <v>38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B62">
        <v>47.5</v>
      </c>
      <c r="C62">
        <v>0</v>
      </c>
      <c r="D62">
        <v>3</v>
      </c>
      <c r="E62">
        <v>0</v>
      </c>
      <c r="F62">
        <v>142.5</v>
      </c>
      <c r="G62">
        <v>0</v>
      </c>
      <c r="H62">
        <v>0.23474178400000001</v>
      </c>
    </row>
    <row r="63" spans="1:8">
      <c r="B63">
        <v>57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B64">
        <v>100</v>
      </c>
      <c r="C64">
        <v>3</v>
      </c>
      <c r="D64">
        <v>4</v>
      </c>
      <c r="E64">
        <v>300</v>
      </c>
      <c r="F64">
        <v>400</v>
      </c>
      <c r="G64">
        <v>7.8947368420000004</v>
      </c>
      <c r="H64">
        <v>0.31298904500000002</v>
      </c>
    </row>
    <row r="65" spans="1:8">
      <c r="B65" t="s">
        <v>9</v>
      </c>
      <c r="C65">
        <v>38</v>
      </c>
      <c r="D65">
        <v>1278</v>
      </c>
    </row>
    <row r="66" spans="1:8">
      <c r="A66" t="s">
        <v>100</v>
      </c>
      <c r="B66" t="s">
        <v>10</v>
      </c>
      <c r="C66">
        <v>9.1447368420000004</v>
      </c>
      <c r="D66">
        <v>1.784820031</v>
      </c>
    </row>
    <row r="67" spans="1:8">
      <c r="B67" t="s">
        <v>11</v>
      </c>
      <c r="C67">
        <v>247</v>
      </c>
      <c r="D67">
        <v>3125</v>
      </c>
    </row>
    <row r="68" spans="1:8">
      <c r="B68" t="s">
        <v>12</v>
      </c>
      <c r="C68">
        <v>12.66666667</v>
      </c>
      <c r="D68">
        <v>25.56</v>
      </c>
    </row>
    <row r="70" spans="1:8">
      <c r="B70" t="s">
        <v>19</v>
      </c>
      <c r="C70" t="s">
        <v>0</v>
      </c>
      <c r="D70" t="s">
        <v>1</v>
      </c>
      <c r="E70" t="s">
        <v>97</v>
      </c>
      <c r="F70" t="s">
        <v>96</v>
      </c>
      <c r="G70" t="s">
        <v>95</v>
      </c>
      <c r="H70" t="s">
        <v>94</v>
      </c>
    </row>
    <row r="71" spans="1:8">
      <c r="B71">
        <v>-28.5</v>
      </c>
      <c r="C71">
        <v>0</v>
      </c>
      <c r="D71">
        <v>4</v>
      </c>
      <c r="E71">
        <f>ABS(C71*B71)</f>
        <v>0</v>
      </c>
      <c r="F71">
        <f>ABS(D71*B71)</f>
        <v>114</v>
      </c>
      <c r="G71">
        <f>C71/C$82*100</f>
        <v>0</v>
      </c>
      <c r="H71">
        <f>D71/D$82*100</f>
        <v>0.48661800486618007</v>
      </c>
    </row>
    <row r="72" spans="1:8">
      <c r="A72" t="s">
        <v>18</v>
      </c>
      <c r="B72">
        <v>-19</v>
      </c>
      <c r="C72">
        <v>0</v>
      </c>
      <c r="D72">
        <v>13</v>
      </c>
      <c r="E72">
        <f t="shared" ref="E72:E81" si="5">ABS(C72*B72)</f>
        <v>0</v>
      </c>
      <c r="F72">
        <f t="shared" ref="F72:F81" si="6">ABS(D72*B72)</f>
        <v>247</v>
      </c>
      <c r="G72">
        <f t="shared" ref="G72:G81" si="7">C72/C$82*100</f>
        <v>0</v>
      </c>
      <c r="H72">
        <f t="shared" ref="H72:H81" si="8">D72/D$82*100</f>
        <v>1.5815085158150852</v>
      </c>
    </row>
    <row r="73" spans="1:8">
      <c r="A73" t="s">
        <v>99</v>
      </c>
      <c r="B73">
        <v>-9.5</v>
      </c>
      <c r="C73">
        <v>8</v>
      </c>
      <c r="D73">
        <v>88</v>
      </c>
      <c r="E73">
        <f t="shared" si="5"/>
        <v>76</v>
      </c>
      <c r="F73">
        <f t="shared" si="6"/>
        <v>836</v>
      </c>
      <c r="G73">
        <f t="shared" si="7"/>
        <v>100</v>
      </c>
      <c r="H73">
        <f t="shared" si="8"/>
        <v>10.70559610705596</v>
      </c>
    </row>
    <row r="74" spans="1:8">
      <c r="A74" t="s">
        <v>132</v>
      </c>
      <c r="B74">
        <v>0</v>
      </c>
      <c r="C74">
        <v>0</v>
      </c>
      <c r="D74">
        <v>444</v>
      </c>
      <c r="E74">
        <f t="shared" si="5"/>
        <v>0</v>
      </c>
      <c r="F74">
        <f t="shared" si="6"/>
        <v>0</v>
      </c>
      <c r="G74">
        <f t="shared" si="7"/>
        <v>0</v>
      </c>
      <c r="H74">
        <f t="shared" si="8"/>
        <v>54.014598540145982</v>
      </c>
    </row>
    <row r="75" spans="1:8">
      <c r="B75">
        <v>9.5</v>
      </c>
      <c r="C75">
        <v>0</v>
      </c>
      <c r="D75">
        <v>200</v>
      </c>
      <c r="E75">
        <f t="shared" si="5"/>
        <v>0</v>
      </c>
      <c r="F75">
        <f t="shared" si="6"/>
        <v>1900</v>
      </c>
      <c r="G75">
        <f t="shared" si="7"/>
        <v>0</v>
      </c>
      <c r="H75">
        <f t="shared" si="8"/>
        <v>24.330900243309003</v>
      </c>
    </row>
    <row r="76" spans="1:8">
      <c r="B76">
        <v>19</v>
      </c>
      <c r="C76">
        <v>0</v>
      </c>
      <c r="D76">
        <v>68</v>
      </c>
      <c r="E76">
        <f t="shared" si="5"/>
        <v>0</v>
      </c>
      <c r="F76">
        <f t="shared" si="6"/>
        <v>1292</v>
      </c>
      <c r="G76">
        <f t="shared" si="7"/>
        <v>0</v>
      </c>
      <c r="H76">
        <f t="shared" si="8"/>
        <v>8.2725060827250605</v>
      </c>
    </row>
    <row r="77" spans="1:8">
      <c r="B77">
        <v>28.5</v>
      </c>
      <c r="C77">
        <v>0</v>
      </c>
      <c r="D77">
        <v>2</v>
      </c>
      <c r="E77">
        <f t="shared" si="5"/>
        <v>0</v>
      </c>
      <c r="F77">
        <f t="shared" si="6"/>
        <v>57</v>
      </c>
      <c r="G77">
        <f t="shared" si="7"/>
        <v>0</v>
      </c>
      <c r="H77">
        <f t="shared" si="8"/>
        <v>0.24330900243309003</v>
      </c>
    </row>
    <row r="78" spans="1:8">
      <c r="B78">
        <v>38</v>
      </c>
      <c r="C78">
        <v>0</v>
      </c>
      <c r="D78">
        <v>3</v>
      </c>
      <c r="E78">
        <f t="shared" si="5"/>
        <v>0</v>
      </c>
      <c r="F78">
        <f t="shared" si="6"/>
        <v>114</v>
      </c>
      <c r="G78">
        <f t="shared" si="7"/>
        <v>0</v>
      </c>
      <c r="H78">
        <f t="shared" si="8"/>
        <v>0.36496350364963503</v>
      </c>
    </row>
    <row r="79" spans="1:8">
      <c r="B79">
        <v>47.5</v>
      </c>
      <c r="C79">
        <v>0</v>
      </c>
      <c r="D79">
        <v>0</v>
      </c>
      <c r="E79">
        <f t="shared" si="5"/>
        <v>0</v>
      </c>
      <c r="F79">
        <f t="shared" si="6"/>
        <v>0</v>
      </c>
      <c r="G79">
        <f t="shared" si="7"/>
        <v>0</v>
      </c>
      <c r="H79">
        <f t="shared" si="8"/>
        <v>0</v>
      </c>
    </row>
    <row r="80" spans="1:8">
      <c r="B80">
        <v>57</v>
      </c>
      <c r="C80">
        <v>0</v>
      </c>
      <c r="D80">
        <v>0</v>
      </c>
      <c r="E80">
        <f t="shared" si="5"/>
        <v>0</v>
      </c>
      <c r="F80">
        <f t="shared" si="6"/>
        <v>0</v>
      </c>
      <c r="G80">
        <f t="shared" si="7"/>
        <v>0</v>
      </c>
      <c r="H80">
        <f t="shared" si="8"/>
        <v>0</v>
      </c>
    </row>
    <row r="81" spans="1:8">
      <c r="B81">
        <v>100</v>
      </c>
      <c r="C81">
        <v>0</v>
      </c>
      <c r="D81">
        <v>0</v>
      </c>
      <c r="E81">
        <f t="shared" si="5"/>
        <v>0</v>
      </c>
      <c r="F81">
        <f t="shared" si="6"/>
        <v>0</v>
      </c>
      <c r="G81">
        <f t="shared" si="7"/>
        <v>0</v>
      </c>
      <c r="H81">
        <f t="shared" si="8"/>
        <v>0</v>
      </c>
    </row>
    <row r="82" spans="1:8">
      <c r="A82" t="s">
        <v>98</v>
      </c>
      <c r="B82" t="s">
        <v>9</v>
      </c>
      <c r="C82">
        <f>SUM(C71:C81)</f>
        <v>8</v>
      </c>
      <c r="D82">
        <f>SUM(D71:D81)</f>
        <v>822</v>
      </c>
    </row>
    <row r="83" spans="1:8">
      <c r="B83" t="s">
        <v>10</v>
      </c>
      <c r="C83">
        <f>SUM(E71:E81)/C82</f>
        <v>9.5</v>
      </c>
      <c r="D83">
        <f>SUM(F71:F81)/D82</f>
        <v>5.5474452554744529</v>
      </c>
      <c r="E83" t="s">
        <v>133</v>
      </c>
    </row>
    <row r="84" spans="1:8">
      <c r="B84" t="s">
        <v>42</v>
      </c>
      <c r="C84">
        <v>231</v>
      </c>
      <c r="D84">
        <v>3125</v>
      </c>
    </row>
    <row r="85" spans="1:8">
      <c r="B85" t="s">
        <v>12</v>
      </c>
      <c r="C85">
        <f>C82/C84*100</f>
        <v>3.4632034632034632</v>
      </c>
      <c r="D85">
        <f>D82/D84*100</f>
        <v>26.303999999999998</v>
      </c>
    </row>
    <row r="87" spans="1:8">
      <c r="B87" t="s">
        <v>19</v>
      </c>
      <c r="C87" t="s">
        <v>0</v>
      </c>
      <c r="D87" t="s">
        <v>1</v>
      </c>
      <c r="E87" t="s">
        <v>97</v>
      </c>
      <c r="F87" t="s">
        <v>96</v>
      </c>
      <c r="G87" t="s">
        <v>95</v>
      </c>
      <c r="H87" t="s">
        <v>94</v>
      </c>
    </row>
    <row r="88" spans="1:8">
      <c r="A88" t="s">
        <v>18</v>
      </c>
      <c r="B88">
        <v>-28.5</v>
      </c>
      <c r="C88">
        <v>0</v>
      </c>
      <c r="D88">
        <v>0</v>
      </c>
      <c r="E88">
        <f>ABS(C88*B88)</f>
        <v>0</v>
      </c>
      <c r="F88">
        <f>ABS(D88*B88)</f>
        <v>0</v>
      </c>
      <c r="G88">
        <f>C88/C$99*100</f>
        <v>0</v>
      </c>
      <c r="H88">
        <f>D88/D$99*100</f>
        <v>0</v>
      </c>
    </row>
    <row r="89" spans="1:8">
      <c r="A89" t="s">
        <v>93</v>
      </c>
      <c r="B89">
        <v>-19</v>
      </c>
      <c r="C89">
        <v>0</v>
      </c>
      <c r="D89">
        <v>0</v>
      </c>
      <c r="E89">
        <f t="shared" ref="E89:E98" si="9">ABS(C89*B89)</f>
        <v>0</v>
      </c>
      <c r="F89">
        <f t="shared" ref="F89:F98" si="10">ABS(D89*B89)</f>
        <v>0</v>
      </c>
      <c r="G89">
        <f t="shared" ref="G89:G98" si="11">C89/C$99*100</f>
        <v>0</v>
      </c>
      <c r="H89">
        <f t="shared" ref="H89:H98" si="12">D89/D$99*100</f>
        <v>0</v>
      </c>
    </row>
    <row r="90" spans="1:8">
      <c r="A90" t="s">
        <v>132</v>
      </c>
      <c r="B90">
        <v>-9.5</v>
      </c>
      <c r="C90">
        <v>0</v>
      </c>
      <c r="D90">
        <v>3</v>
      </c>
      <c r="E90">
        <f t="shared" si="9"/>
        <v>0</v>
      </c>
      <c r="F90">
        <f t="shared" si="10"/>
        <v>28.5</v>
      </c>
      <c r="G90">
        <f t="shared" si="11"/>
        <v>0</v>
      </c>
      <c r="H90">
        <f t="shared" si="12"/>
        <v>0.41724617524339358</v>
      </c>
    </row>
    <row r="91" spans="1:8">
      <c r="B91">
        <v>0</v>
      </c>
      <c r="C91">
        <v>85</v>
      </c>
      <c r="D91">
        <v>500</v>
      </c>
      <c r="E91">
        <f t="shared" si="9"/>
        <v>0</v>
      </c>
      <c r="F91">
        <f t="shared" si="10"/>
        <v>0</v>
      </c>
      <c r="G91">
        <f t="shared" si="11"/>
        <v>83.333333333333343</v>
      </c>
      <c r="H91">
        <f t="shared" si="12"/>
        <v>69.54102920723227</v>
      </c>
    </row>
    <row r="92" spans="1:8">
      <c r="B92">
        <v>9.5</v>
      </c>
      <c r="C92">
        <v>15</v>
      </c>
      <c r="D92">
        <v>210</v>
      </c>
      <c r="E92">
        <f t="shared" si="9"/>
        <v>142.5</v>
      </c>
      <c r="F92">
        <f t="shared" si="10"/>
        <v>1995</v>
      </c>
      <c r="G92">
        <f t="shared" si="11"/>
        <v>14.705882352941178</v>
      </c>
      <c r="H92">
        <f t="shared" si="12"/>
        <v>29.207232267037554</v>
      </c>
    </row>
    <row r="93" spans="1:8">
      <c r="B93">
        <v>19</v>
      </c>
      <c r="C93">
        <v>2</v>
      </c>
      <c r="D93">
        <v>6</v>
      </c>
      <c r="E93">
        <f t="shared" si="9"/>
        <v>38</v>
      </c>
      <c r="F93">
        <f t="shared" si="10"/>
        <v>114</v>
      </c>
      <c r="G93">
        <f t="shared" si="11"/>
        <v>1.9607843137254901</v>
      </c>
      <c r="H93">
        <f t="shared" si="12"/>
        <v>0.83449235048678716</v>
      </c>
    </row>
    <row r="94" spans="1:8">
      <c r="A94" t="s">
        <v>92</v>
      </c>
      <c r="B94">
        <v>28.5</v>
      </c>
      <c r="C94">
        <v>0</v>
      </c>
      <c r="D94">
        <v>0</v>
      </c>
      <c r="E94">
        <f t="shared" si="9"/>
        <v>0</v>
      </c>
      <c r="F94">
        <f t="shared" si="10"/>
        <v>0</v>
      </c>
      <c r="G94">
        <f t="shared" si="11"/>
        <v>0</v>
      </c>
      <c r="H94">
        <f t="shared" si="12"/>
        <v>0</v>
      </c>
    </row>
    <row r="95" spans="1:8">
      <c r="B95">
        <v>38</v>
      </c>
      <c r="C95">
        <v>0</v>
      </c>
      <c r="D95">
        <v>0</v>
      </c>
      <c r="E95">
        <f t="shared" si="9"/>
        <v>0</v>
      </c>
      <c r="F95">
        <f t="shared" si="10"/>
        <v>0</v>
      </c>
      <c r="G95">
        <f t="shared" si="11"/>
        <v>0</v>
      </c>
      <c r="H95">
        <f t="shared" si="12"/>
        <v>0</v>
      </c>
    </row>
    <row r="96" spans="1:8">
      <c r="B96">
        <v>47.5</v>
      </c>
      <c r="C96">
        <v>0</v>
      </c>
      <c r="D96">
        <v>0</v>
      </c>
      <c r="E96">
        <f t="shared" si="9"/>
        <v>0</v>
      </c>
      <c r="F96">
        <f t="shared" si="10"/>
        <v>0</v>
      </c>
      <c r="G96">
        <f t="shared" si="11"/>
        <v>0</v>
      </c>
      <c r="H96">
        <f t="shared" si="12"/>
        <v>0</v>
      </c>
    </row>
    <row r="97" spans="2:8">
      <c r="B97">
        <v>57</v>
      </c>
      <c r="C97">
        <v>0</v>
      </c>
      <c r="D97">
        <v>0</v>
      </c>
      <c r="E97">
        <f t="shared" si="9"/>
        <v>0</v>
      </c>
      <c r="F97">
        <f t="shared" si="10"/>
        <v>0</v>
      </c>
      <c r="G97">
        <f t="shared" si="11"/>
        <v>0</v>
      </c>
      <c r="H97">
        <f t="shared" si="12"/>
        <v>0</v>
      </c>
    </row>
    <row r="98" spans="2:8">
      <c r="B98">
        <v>100</v>
      </c>
      <c r="C98">
        <v>0</v>
      </c>
      <c r="D98">
        <v>0</v>
      </c>
      <c r="E98">
        <f t="shared" si="9"/>
        <v>0</v>
      </c>
      <c r="F98">
        <f t="shared" si="10"/>
        <v>0</v>
      </c>
      <c r="G98">
        <f t="shared" si="11"/>
        <v>0</v>
      </c>
      <c r="H98">
        <f t="shared" si="12"/>
        <v>0</v>
      </c>
    </row>
    <row r="99" spans="2:8">
      <c r="B99" t="s">
        <v>9</v>
      </c>
      <c r="C99">
        <f>SUM(C88:C98)</f>
        <v>102</v>
      </c>
      <c r="D99">
        <f>SUM(D88:D98)</f>
        <v>719</v>
      </c>
    </row>
    <row r="100" spans="2:8">
      <c r="B100" t="s">
        <v>10</v>
      </c>
      <c r="C100">
        <f>SUM(E88:E98)/C99</f>
        <v>1.7696078431372548</v>
      </c>
      <c r="D100">
        <f>SUM(F88:F98)/D99</f>
        <v>2.9728789986091795</v>
      </c>
    </row>
    <row r="101" spans="2:8">
      <c r="B101" t="s">
        <v>11</v>
      </c>
      <c r="C101">
        <v>247</v>
      </c>
      <c r="D101">
        <v>3125</v>
      </c>
    </row>
    <row r="102" spans="2:8">
      <c r="B102" t="s">
        <v>12</v>
      </c>
      <c r="C102">
        <f>C99/C101*100</f>
        <v>41.295546558704451</v>
      </c>
      <c r="D102">
        <f>D99/D101*100</f>
        <v>23.007999999999999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9AC87-2AD0-4024-8804-8F4828A1F137}">
  <dimension ref="A1:H113"/>
  <sheetViews>
    <sheetView topLeftCell="A45" workbookViewId="0">
      <selection activeCell="E34" sqref="E34"/>
    </sheetView>
  </sheetViews>
  <sheetFormatPr defaultRowHeight="14.4"/>
  <cols>
    <col min="1" max="1" width="20.44140625" customWidth="1"/>
    <col min="2" max="2" width="28.44140625" customWidth="1"/>
    <col min="4" max="4" width="12.5546875" customWidth="1"/>
    <col min="5" max="5" width="21.5546875" customWidth="1"/>
    <col min="6" max="6" width="24.44140625" customWidth="1"/>
    <col min="7" max="7" width="25.44140625" customWidth="1"/>
    <col min="8" max="8" width="26.88671875" customWidth="1"/>
  </cols>
  <sheetData>
    <row r="1" spans="1:8">
      <c r="A1" t="s">
        <v>18</v>
      </c>
      <c r="B1" t="s">
        <v>109</v>
      </c>
      <c r="C1" t="s">
        <v>13</v>
      </c>
      <c r="D1" t="s">
        <v>143</v>
      </c>
      <c r="E1" t="s">
        <v>97</v>
      </c>
      <c r="F1" t="s">
        <v>96</v>
      </c>
      <c r="G1" t="s">
        <v>95</v>
      </c>
      <c r="H1" t="s">
        <v>94</v>
      </c>
    </row>
    <row r="2" spans="1:8">
      <c r="B2">
        <v>-28.5</v>
      </c>
      <c r="C2">
        <v>0</v>
      </c>
      <c r="D2">
        <v>0</v>
      </c>
      <c r="E2">
        <f t="shared" ref="E2:E14" si="0">ABS(C2*B2)</f>
        <v>0</v>
      </c>
      <c r="F2">
        <f t="shared" ref="F2:F14" si="1">ABS(D2*B2)</f>
        <v>0</v>
      </c>
      <c r="G2">
        <f t="shared" ref="G2:G14" si="2">C2/C$15*100</f>
        <v>0</v>
      </c>
      <c r="H2">
        <f t="shared" ref="H2:H14" si="3">D2/D$15*100</f>
        <v>0</v>
      </c>
    </row>
    <row r="3" spans="1:8">
      <c r="B3">
        <v>-19</v>
      </c>
      <c r="C3">
        <v>0</v>
      </c>
      <c r="D3">
        <v>0</v>
      </c>
      <c r="E3">
        <f t="shared" si="0"/>
        <v>0</v>
      </c>
      <c r="F3">
        <f t="shared" si="1"/>
        <v>0</v>
      </c>
      <c r="G3">
        <f t="shared" si="2"/>
        <v>0</v>
      </c>
      <c r="H3">
        <f t="shared" si="3"/>
        <v>0</v>
      </c>
    </row>
    <row r="4" spans="1:8">
      <c r="B4">
        <v>-9.5</v>
      </c>
      <c r="C4">
        <v>0</v>
      </c>
      <c r="D4">
        <v>0</v>
      </c>
      <c r="E4">
        <f t="shared" si="0"/>
        <v>0</v>
      </c>
      <c r="F4">
        <f t="shared" si="1"/>
        <v>0</v>
      </c>
      <c r="G4">
        <f t="shared" si="2"/>
        <v>0</v>
      </c>
      <c r="H4">
        <f t="shared" si="3"/>
        <v>0</v>
      </c>
    </row>
    <row r="5" spans="1:8">
      <c r="B5">
        <v>0</v>
      </c>
      <c r="C5">
        <v>0</v>
      </c>
      <c r="D5">
        <v>25</v>
      </c>
      <c r="E5">
        <f t="shared" si="0"/>
        <v>0</v>
      </c>
      <c r="F5">
        <f t="shared" si="1"/>
        <v>0</v>
      </c>
      <c r="G5">
        <f t="shared" si="2"/>
        <v>0</v>
      </c>
      <c r="H5">
        <f t="shared" si="3"/>
        <v>10.822510822510822</v>
      </c>
    </row>
    <row r="6" spans="1:8">
      <c r="A6" t="s">
        <v>145</v>
      </c>
      <c r="B6">
        <v>9.5</v>
      </c>
      <c r="C6">
        <v>54</v>
      </c>
      <c r="D6">
        <v>120</v>
      </c>
      <c r="E6">
        <f t="shared" si="0"/>
        <v>513</v>
      </c>
      <c r="F6">
        <f t="shared" si="1"/>
        <v>1140</v>
      </c>
      <c r="G6">
        <f t="shared" si="2"/>
        <v>47.787610619469028</v>
      </c>
      <c r="H6">
        <f t="shared" si="3"/>
        <v>51.94805194805194</v>
      </c>
    </row>
    <row r="7" spans="1:8">
      <c r="B7">
        <v>19</v>
      </c>
      <c r="C7">
        <v>6</v>
      </c>
      <c r="D7">
        <v>18</v>
      </c>
      <c r="E7">
        <f t="shared" si="0"/>
        <v>114</v>
      </c>
      <c r="F7">
        <f t="shared" si="1"/>
        <v>342</v>
      </c>
      <c r="G7">
        <f t="shared" si="2"/>
        <v>5.3097345132743365</v>
      </c>
      <c r="H7">
        <f t="shared" si="3"/>
        <v>7.7922077922077921</v>
      </c>
    </row>
    <row r="8" spans="1:8">
      <c r="B8">
        <v>28.5</v>
      </c>
      <c r="C8">
        <v>28</v>
      </c>
      <c r="D8">
        <v>18</v>
      </c>
      <c r="E8">
        <f t="shared" si="0"/>
        <v>798</v>
      </c>
      <c r="F8">
        <f t="shared" si="1"/>
        <v>513</v>
      </c>
      <c r="G8">
        <f t="shared" si="2"/>
        <v>24.778761061946902</v>
      </c>
      <c r="H8">
        <f t="shared" si="3"/>
        <v>7.7922077922077921</v>
      </c>
    </row>
    <row r="9" spans="1:8">
      <c r="B9">
        <v>38</v>
      </c>
      <c r="C9">
        <v>21</v>
      </c>
      <c r="D9">
        <v>12</v>
      </c>
      <c r="E9">
        <f t="shared" si="0"/>
        <v>798</v>
      </c>
      <c r="F9">
        <f t="shared" si="1"/>
        <v>456</v>
      </c>
      <c r="G9">
        <f t="shared" si="2"/>
        <v>18.584070796460178</v>
      </c>
      <c r="H9">
        <f t="shared" si="3"/>
        <v>5.1948051948051948</v>
      </c>
    </row>
    <row r="10" spans="1:8">
      <c r="B10">
        <v>47.5</v>
      </c>
      <c r="C10">
        <v>2</v>
      </c>
      <c r="D10">
        <v>29</v>
      </c>
      <c r="E10">
        <f t="shared" si="0"/>
        <v>95</v>
      </c>
      <c r="F10">
        <f t="shared" si="1"/>
        <v>1377.5</v>
      </c>
      <c r="G10">
        <f t="shared" si="2"/>
        <v>1.7699115044247788</v>
      </c>
      <c r="H10">
        <f t="shared" si="3"/>
        <v>12.554112554112553</v>
      </c>
    </row>
    <row r="11" spans="1:8">
      <c r="A11" t="s">
        <v>100</v>
      </c>
      <c r="B11">
        <v>57</v>
      </c>
      <c r="C11">
        <v>0</v>
      </c>
      <c r="D11">
        <v>0</v>
      </c>
      <c r="E11">
        <f t="shared" si="0"/>
        <v>0</v>
      </c>
      <c r="F11">
        <f t="shared" si="1"/>
        <v>0</v>
      </c>
      <c r="G11">
        <f t="shared" si="2"/>
        <v>0</v>
      </c>
      <c r="H11">
        <f t="shared" si="3"/>
        <v>0</v>
      </c>
    </row>
    <row r="12" spans="1:8">
      <c r="B12">
        <f>B11+9.5</f>
        <v>66.5</v>
      </c>
      <c r="C12">
        <v>2</v>
      </c>
      <c r="D12">
        <v>5</v>
      </c>
      <c r="E12">
        <f t="shared" si="0"/>
        <v>133</v>
      </c>
      <c r="F12">
        <f t="shared" si="1"/>
        <v>332.5</v>
      </c>
      <c r="G12">
        <f t="shared" si="2"/>
        <v>1.7699115044247788</v>
      </c>
      <c r="H12">
        <f t="shared" si="3"/>
        <v>2.1645021645021645</v>
      </c>
    </row>
    <row r="13" spans="1:8">
      <c r="B13">
        <f>B12+9.5</f>
        <v>76</v>
      </c>
      <c r="C13">
        <v>0</v>
      </c>
      <c r="D13">
        <v>4</v>
      </c>
      <c r="E13">
        <f t="shared" si="0"/>
        <v>0</v>
      </c>
      <c r="F13">
        <f t="shared" si="1"/>
        <v>304</v>
      </c>
      <c r="G13">
        <f t="shared" si="2"/>
        <v>0</v>
      </c>
      <c r="H13">
        <f t="shared" si="3"/>
        <v>1.7316017316017316</v>
      </c>
    </row>
    <row r="14" spans="1:8">
      <c r="B14">
        <v>100</v>
      </c>
      <c r="C14">
        <v>0</v>
      </c>
      <c r="D14">
        <v>0</v>
      </c>
      <c r="E14">
        <f t="shared" si="0"/>
        <v>0</v>
      </c>
      <c r="F14">
        <f t="shared" si="1"/>
        <v>0</v>
      </c>
      <c r="G14">
        <f t="shared" si="2"/>
        <v>0</v>
      </c>
      <c r="H14">
        <f t="shared" si="3"/>
        <v>0</v>
      </c>
    </row>
    <row r="15" spans="1:8">
      <c r="B15" t="s">
        <v>9</v>
      </c>
      <c r="C15">
        <f>SUM(C2:C14)</f>
        <v>113</v>
      </c>
      <c r="D15">
        <f>SUM(D2:D14)</f>
        <v>231</v>
      </c>
    </row>
    <row r="16" spans="1:8">
      <c r="B16" t="s">
        <v>106</v>
      </c>
      <c r="C16">
        <f>SUM(E2:E14)/C15</f>
        <v>21.690265486725664</v>
      </c>
      <c r="D16">
        <f>SUM(F2:F14)/D15</f>
        <v>19.329004329004331</v>
      </c>
    </row>
    <row r="17" spans="1:8">
      <c r="B17" t="s">
        <v>11</v>
      </c>
      <c r="C17">
        <v>500</v>
      </c>
      <c r="D17">
        <v>3000</v>
      </c>
    </row>
    <row r="18" spans="1:8">
      <c r="B18" t="s">
        <v>12</v>
      </c>
      <c r="C18">
        <f>C15/C17*100</f>
        <v>22.6</v>
      </c>
      <c r="D18">
        <f>D15/D17*100</f>
        <v>7.7</v>
      </c>
    </row>
    <row r="19" spans="1:8" s="37" customFormat="1"/>
    <row r="20" spans="1:8">
      <c r="A20" t="s">
        <v>18</v>
      </c>
      <c r="B20" t="s">
        <v>109</v>
      </c>
      <c r="C20" t="s">
        <v>13</v>
      </c>
      <c r="D20" t="s">
        <v>143</v>
      </c>
      <c r="E20" t="s">
        <v>97</v>
      </c>
      <c r="F20" t="s">
        <v>96</v>
      </c>
      <c r="G20" t="s">
        <v>95</v>
      </c>
      <c r="H20" t="s">
        <v>94</v>
      </c>
    </row>
    <row r="21" spans="1:8">
      <c r="B21">
        <v>-28.5</v>
      </c>
      <c r="C21">
        <v>0</v>
      </c>
      <c r="D21">
        <v>0</v>
      </c>
      <c r="E21">
        <f t="shared" ref="E21:E33" si="4">ABS(C21*B21)</f>
        <v>0</v>
      </c>
      <c r="F21">
        <f t="shared" ref="F21:F33" si="5">ABS(D21*B21)</f>
        <v>0</v>
      </c>
      <c r="G21">
        <f t="shared" ref="G21:G33" si="6">C21/C$34*100</f>
        <v>0</v>
      </c>
      <c r="H21">
        <f t="shared" ref="H21:H33" si="7">D21/D$34*100</f>
        <v>0</v>
      </c>
    </row>
    <row r="22" spans="1:8">
      <c r="B22">
        <v>-19</v>
      </c>
      <c r="C22">
        <v>0</v>
      </c>
      <c r="D22">
        <v>0</v>
      </c>
      <c r="E22">
        <f t="shared" si="4"/>
        <v>0</v>
      </c>
      <c r="F22">
        <f t="shared" si="5"/>
        <v>0</v>
      </c>
      <c r="G22">
        <f t="shared" si="6"/>
        <v>0</v>
      </c>
      <c r="H22">
        <f t="shared" si="7"/>
        <v>0</v>
      </c>
    </row>
    <row r="23" spans="1:8">
      <c r="B23">
        <v>-9.5</v>
      </c>
      <c r="C23">
        <v>0</v>
      </c>
      <c r="D23">
        <v>0</v>
      </c>
      <c r="E23">
        <f t="shared" si="4"/>
        <v>0</v>
      </c>
      <c r="F23">
        <f t="shared" si="5"/>
        <v>0</v>
      </c>
      <c r="G23">
        <f t="shared" si="6"/>
        <v>0</v>
      </c>
      <c r="H23">
        <f t="shared" si="7"/>
        <v>0</v>
      </c>
    </row>
    <row r="24" spans="1:8">
      <c r="B24">
        <v>0</v>
      </c>
      <c r="C24">
        <v>0</v>
      </c>
      <c r="D24">
        <v>444</v>
      </c>
      <c r="E24">
        <f t="shared" si="4"/>
        <v>0</v>
      </c>
      <c r="F24">
        <f t="shared" si="5"/>
        <v>0</v>
      </c>
      <c r="G24">
        <f t="shared" si="6"/>
        <v>0</v>
      </c>
      <c r="H24">
        <f t="shared" si="7"/>
        <v>92.116182572614107</v>
      </c>
    </row>
    <row r="25" spans="1:8">
      <c r="A25" t="s">
        <v>144</v>
      </c>
      <c r="B25">
        <v>9.5</v>
      </c>
      <c r="C25">
        <v>5</v>
      </c>
      <c r="D25">
        <v>30</v>
      </c>
      <c r="E25">
        <f t="shared" si="4"/>
        <v>47.5</v>
      </c>
      <c r="F25">
        <f t="shared" si="5"/>
        <v>285</v>
      </c>
      <c r="G25">
        <f t="shared" si="6"/>
        <v>35.714285714285715</v>
      </c>
      <c r="H25">
        <f t="shared" si="7"/>
        <v>6.2240663900414939</v>
      </c>
    </row>
    <row r="26" spans="1:8">
      <c r="B26">
        <v>19</v>
      </c>
      <c r="C26">
        <v>3</v>
      </c>
      <c r="D26">
        <v>5</v>
      </c>
      <c r="E26">
        <f t="shared" si="4"/>
        <v>57</v>
      </c>
      <c r="F26">
        <f t="shared" si="5"/>
        <v>95</v>
      </c>
      <c r="G26">
        <f t="shared" si="6"/>
        <v>21.428571428571427</v>
      </c>
      <c r="H26">
        <f t="shared" si="7"/>
        <v>1.0373443983402488</v>
      </c>
    </row>
    <row r="27" spans="1:8">
      <c r="B27">
        <v>28.5</v>
      </c>
      <c r="C27">
        <v>3</v>
      </c>
      <c r="D27">
        <v>3</v>
      </c>
      <c r="E27">
        <f t="shared" si="4"/>
        <v>85.5</v>
      </c>
      <c r="F27">
        <f t="shared" si="5"/>
        <v>85.5</v>
      </c>
      <c r="G27">
        <f t="shared" si="6"/>
        <v>21.428571428571427</v>
      </c>
      <c r="H27">
        <f t="shared" si="7"/>
        <v>0.62240663900414939</v>
      </c>
    </row>
    <row r="28" spans="1:8">
      <c r="B28">
        <v>38</v>
      </c>
      <c r="C28">
        <v>3</v>
      </c>
      <c r="D28">
        <v>0</v>
      </c>
      <c r="E28">
        <f t="shared" si="4"/>
        <v>114</v>
      </c>
      <c r="F28">
        <f t="shared" si="5"/>
        <v>0</v>
      </c>
      <c r="G28">
        <f t="shared" si="6"/>
        <v>21.428571428571427</v>
      </c>
      <c r="H28">
        <f t="shared" si="7"/>
        <v>0</v>
      </c>
    </row>
    <row r="29" spans="1:8">
      <c r="B29">
        <v>47.5</v>
      </c>
      <c r="C29">
        <v>0</v>
      </c>
      <c r="D29">
        <v>0</v>
      </c>
      <c r="E29">
        <f t="shared" si="4"/>
        <v>0</v>
      </c>
      <c r="F29">
        <f t="shared" si="5"/>
        <v>0</v>
      </c>
      <c r="G29">
        <f t="shared" si="6"/>
        <v>0</v>
      </c>
      <c r="H29">
        <f t="shared" si="7"/>
        <v>0</v>
      </c>
    </row>
    <row r="30" spans="1:8">
      <c r="A30" t="s">
        <v>100</v>
      </c>
      <c r="B30">
        <v>57</v>
      </c>
      <c r="C30">
        <v>0</v>
      </c>
      <c r="D30">
        <v>0</v>
      </c>
      <c r="E30">
        <f t="shared" si="4"/>
        <v>0</v>
      </c>
      <c r="F30">
        <f t="shared" si="5"/>
        <v>0</v>
      </c>
      <c r="G30">
        <f t="shared" si="6"/>
        <v>0</v>
      </c>
      <c r="H30">
        <f t="shared" si="7"/>
        <v>0</v>
      </c>
    </row>
    <row r="31" spans="1:8">
      <c r="B31">
        <f>B30+9.5</f>
        <v>66.5</v>
      </c>
      <c r="C31">
        <v>0</v>
      </c>
      <c r="D31">
        <v>0</v>
      </c>
      <c r="E31">
        <f t="shared" si="4"/>
        <v>0</v>
      </c>
      <c r="F31">
        <f t="shared" si="5"/>
        <v>0</v>
      </c>
      <c r="G31">
        <f t="shared" si="6"/>
        <v>0</v>
      </c>
      <c r="H31">
        <f t="shared" si="7"/>
        <v>0</v>
      </c>
    </row>
    <row r="32" spans="1:8">
      <c r="B32">
        <f>B31+9.5</f>
        <v>76</v>
      </c>
      <c r="C32">
        <v>0</v>
      </c>
      <c r="D32">
        <v>0</v>
      </c>
      <c r="E32">
        <f t="shared" si="4"/>
        <v>0</v>
      </c>
      <c r="F32">
        <f t="shared" si="5"/>
        <v>0</v>
      </c>
      <c r="G32">
        <f t="shared" si="6"/>
        <v>0</v>
      </c>
      <c r="H32">
        <f t="shared" si="7"/>
        <v>0</v>
      </c>
    </row>
    <row r="33" spans="1:8">
      <c r="B33">
        <v>100</v>
      </c>
      <c r="C33">
        <v>0</v>
      </c>
      <c r="D33">
        <v>0</v>
      </c>
      <c r="E33">
        <f t="shared" si="4"/>
        <v>0</v>
      </c>
      <c r="F33">
        <f t="shared" si="5"/>
        <v>0</v>
      </c>
      <c r="G33">
        <f t="shared" si="6"/>
        <v>0</v>
      </c>
      <c r="H33">
        <f t="shared" si="7"/>
        <v>0</v>
      </c>
    </row>
    <row r="34" spans="1:8">
      <c r="B34" t="s">
        <v>9</v>
      </c>
      <c r="C34">
        <f>SUM(C21:C33)</f>
        <v>14</v>
      </c>
      <c r="D34">
        <f>SUM(D21:D33)</f>
        <v>482</v>
      </c>
    </row>
    <row r="35" spans="1:8">
      <c r="B35" t="s">
        <v>106</v>
      </c>
      <c r="C35">
        <f>SUM(E21:E33)/C34</f>
        <v>21.714285714285715</v>
      </c>
      <c r="D35">
        <f>SUM(F21:F33)/D34</f>
        <v>0.96576763485477179</v>
      </c>
    </row>
    <row r="36" spans="1:8">
      <c r="B36" t="s">
        <v>11</v>
      </c>
      <c r="C36">
        <v>500</v>
      </c>
      <c r="D36">
        <v>3200</v>
      </c>
    </row>
    <row r="37" spans="1:8">
      <c r="B37" t="s">
        <v>12</v>
      </c>
      <c r="C37">
        <f>C34/C36*100</f>
        <v>2.8000000000000003</v>
      </c>
      <c r="D37">
        <f>D34/D36*100</f>
        <v>15.0625</v>
      </c>
    </row>
    <row r="38" spans="1:8" s="37" customFormat="1"/>
    <row r="39" spans="1:8">
      <c r="A39" t="s">
        <v>18</v>
      </c>
      <c r="B39" t="s">
        <v>109</v>
      </c>
      <c r="C39" t="s">
        <v>13</v>
      </c>
      <c r="D39" t="s">
        <v>143</v>
      </c>
      <c r="E39" t="s">
        <v>97</v>
      </c>
      <c r="F39" t="s">
        <v>96</v>
      </c>
      <c r="G39" t="s">
        <v>95</v>
      </c>
      <c r="H39" t="s">
        <v>94</v>
      </c>
    </row>
    <row r="40" spans="1:8">
      <c r="B40">
        <v>-28.5</v>
      </c>
      <c r="C40">
        <v>0</v>
      </c>
      <c r="D40">
        <v>0</v>
      </c>
      <c r="E40">
        <f t="shared" ref="E40:E52" si="8">ABS(C40*B40)</f>
        <v>0</v>
      </c>
      <c r="F40">
        <f t="shared" ref="F40:F52" si="9">ABS(D40*B40)</f>
        <v>0</v>
      </c>
      <c r="G40">
        <f t="shared" ref="G40:G52" si="10">C40/C$53*100</f>
        <v>0</v>
      </c>
      <c r="H40">
        <f t="shared" ref="H40:H52" si="11">D40/D$53*100</f>
        <v>0</v>
      </c>
    </row>
    <row r="41" spans="1:8">
      <c r="B41">
        <v>-19</v>
      </c>
      <c r="C41">
        <v>0</v>
      </c>
      <c r="D41">
        <v>0</v>
      </c>
      <c r="E41">
        <f t="shared" si="8"/>
        <v>0</v>
      </c>
      <c r="F41">
        <f t="shared" si="9"/>
        <v>0</v>
      </c>
      <c r="G41">
        <f t="shared" si="10"/>
        <v>0</v>
      </c>
      <c r="H41">
        <f t="shared" si="11"/>
        <v>0</v>
      </c>
    </row>
    <row r="42" spans="1:8">
      <c r="B42">
        <v>-9.5</v>
      </c>
      <c r="C42">
        <v>0</v>
      </c>
      <c r="D42">
        <v>0</v>
      </c>
      <c r="E42">
        <f t="shared" si="8"/>
        <v>0</v>
      </c>
      <c r="F42">
        <f t="shared" si="9"/>
        <v>0</v>
      </c>
      <c r="G42">
        <f t="shared" si="10"/>
        <v>0</v>
      </c>
      <c r="H42">
        <f t="shared" si="11"/>
        <v>0</v>
      </c>
    </row>
    <row r="43" spans="1:8">
      <c r="B43">
        <v>0</v>
      </c>
      <c r="C43">
        <v>0</v>
      </c>
      <c r="D43">
        <v>34</v>
      </c>
      <c r="E43">
        <f t="shared" si="8"/>
        <v>0</v>
      </c>
      <c r="F43">
        <f t="shared" si="9"/>
        <v>0</v>
      </c>
      <c r="G43">
        <f t="shared" si="10"/>
        <v>0</v>
      </c>
      <c r="H43">
        <f t="shared" si="11"/>
        <v>5.5016181229773462</v>
      </c>
    </row>
    <row r="44" spans="1:8">
      <c r="A44" t="s">
        <v>146</v>
      </c>
      <c r="B44">
        <v>9.5</v>
      </c>
      <c r="C44">
        <v>7</v>
      </c>
      <c r="D44">
        <v>160</v>
      </c>
      <c r="E44">
        <f t="shared" si="8"/>
        <v>66.5</v>
      </c>
      <c r="F44">
        <f t="shared" si="9"/>
        <v>1520</v>
      </c>
      <c r="G44">
        <f t="shared" si="10"/>
        <v>4.895104895104895</v>
      </c>
      <c r="H44">
        <f t="shared" si="11"/>
        <v>25.889967637540451</v>
      </c>
    </row>
    <row r="45" spans="1:8">
      <c r="B45">
        <v>19</v>
      </c>
      <c r="C45">
        <v>38</v>
      </c>
      <c r="D45">
        <v>315</v>
      </c>
      <c r="E45">
        <f t="shared" si="8"/>
        <v>722</v>
      </c>
      <c r="F45">
        <f t="shared" si="9"/>
        <v>5985</v>
      </c>
      <c r="G45">
        <f t="shared" si="10"/>
        <v>26.573426573426573</v>
      </c>
      <c r="H45">
        <f t="shared" si="11"/>
        <v>50.970873786407765</v>
      </c>
    </row>
    <row r="46" spans="1:8">
      <c r="B46">
        <v>28.5</v>
      </c>
      <c r="C46">
        <v>44</v>
      </c>
      <c r="D46">
        <v>48</v>
      </c>
      <c r="E46">
        <f t="shared" si="8"/>
        <v>1254</v>
      </c>
      <c r="F46">
        <f t="shared" si="9"/>
        <v>1368</v>
      </c>
      <c r="G46">
        <f t="shared" si="10"/>
        <v>30.76923076923077</v>
      </c>
      <c r="H46">
        <f t="shared" si="11"/>
        <v>7.7669902912621351</v>
      </c>
    </row>
    <row r="47" spans="1:8">
      <c r="B47">
        <v>38</v>
      </c>
      <c r="C47">
        <v>42</v>
      </c>
      <c r="D47">
        <v>30</v>
      </c>
      <c r="E47">
        <f t="shared" si="8"/>
        <v>1596</v>
      </c>
      <c r="F47">
        <f t="shared" si="9"/>
        <v>1140</v>
      </c>
      <c r="G47">
        <f t="shared" si="10"/>
        <v>29.37062937062937</v>
      </c>
      <c r="H47">
        <f t="shared" si="11"/>
        <v>4.8543689320388346</v>
      </c>
    </row>
    <row r="48" spans="1:8">
      <c r="B48">
        <v>47.5</v>
      </c>
      <c r="C48">
        <v>8</v>
      </c>
      <c r="D48">
        <v>20</v>
      </c>
      <c r="E48">
        <f t="shared" si="8"/>
        <v>380</v>
      </c>
      <c r="F48">
        <f t="shared" si="9"/>
        <v>950</v>
      </c>
      <c r="G48">
        <f t="shared" si="10"/>
        <v>5.5944055944055942</v>
      </c>
      <c r="H48">
        <f t="shared" si="11"/>
        <v>3.2362459546925564</v>
      </c>
    </row>
    <row r="49" spans="1:8">
      <c r="A49" t="s">
        <v>100</v>
      </c>
      <c r="B49">
        <v>57</v>
      </c>
      <c r="C49">
        <v>4</v>
      </c>
      <c r="D49">
        <v>8</v>
      </c>
      <c r="E49">
        <f t="shared" si="8"/>
        <v>228</v>
      </c>
      <c r="F49">
        <f t="shared" si="9"/>
        <v>456</v>
      </c>
      <c r="G49">
        <f t="shared" si="10"/>
        <v>2.7972027972027971</v>
      </c>
      <c r="H49">
        <f t="shared" si="11"/>
        <v>1.2944983818770228</v>
      </c>
    </row>
    <row r="50" spans="1:8">
      <c r="B50">
        <f>B49+9.5</f>
        <v>66.5</v>
      </c>
      <c r="C50">
        <v>0</v>
      </c>
      <c r="D50">
        <v>3</v>
      </c>
      <c r="E50">
        <f t="shared" si="8"/>
        <v>0</v>
      </c>
      <c r="F50">
        <f t="shared" si="9"/>
        <v>199.5</v>
      </c>
      <c r="G50">
        <f t="shared" si="10"/>
        <v>0</v>
      </c>
      <c r="H50">
        <f t="shared" si="11"/>
        <v>0.48543689320388345</v>
      </c>
    </row>
    <row r="51" spans="1:8">
      <c r="B51">
        <f>B50+9.5</f>
        <v>76</v>
      </c>
      <c r="C51">
        <v>0</v>
      </c>
      <c r="D51">
        <v>0</v>
      </c>
      <c r="E51">
        <f t="shared" si="8"/>
        <v>0</v>
      </c>
      <c r="F51">
        <f t="shared" si="9"/>
        <v>0</v>
      </c>
      <c r="G51">
        <f t="shared" si="10"/>
        <v>0</v>
      </c>
      <c r="H51">
        <f t="shared" si="11"/>
        <v>0</v>
      </c>
    </row>
    <row r="52" spans="1:8">
      <c r="B52">
        <v>100</v>
      </c>
      <c r="C52">
        <v>0</v>
      </c>
      <c r="D52">
        <v>0</v>
      </c>
      <c r="E52">
        <f t="shared" si="8"/>
        <v>0</v>
      </c>
      <c r="F52">
        <f t="shared" si="9"/>
        <v>0</v>
      </c>
      <c r="G52">
        <f t="shared" si="10"/>
        <v>0</v>
      </c>
      <c r="H52">
        <f t="shared" si="11"/>
        <v>0</v>
      </c>
    </row>
    <row r="53" spans="1:8">
      <c r="B53" t="s">
        <v>9</v>
      </c>
      <c r="C53">
        <f>SUM(C40:C52)</f>
        <v>143</v>
      </c>
      <c r="D53">
        <f>SUM(D40:D52)</f>
        <v>618</v>
      </c>
    </row>
    <row r="54" spans="1:8">
      <c r="B54" t="s">
        <v>106</v>
      </c>
      <c r="C54">
        <f>SUM(E40:E52)/C53</f>
        <v>29.695804195804197</v>
      </c>
      <c r="D54">
        <f>SUM(F40:F52)/D53</f>
        <v>18.800161812297734</v>
      </c>
    </row>
    <row r="55" spans="1:8">
      <c r="B55" t="s">
        <v>11</v>
      </c>
      <c r="C55">
        <v>500</v>
      </c>
      <c r="D55">
        <v>2500</v>
      </c>
    </row>
    <row r="56" spans="1:8">
      <c r="B56" t="s">
        <v>12</v>
      </c>
      <c r="C56">
        <f>C53/C55*100</f>
        <v>28.599999999999998</v>
      </c>
      <c r="D56">
        <f>D53/D55*100</f>
        <v>24.72</v>
      </c>
    </row>
    <row r="57" spans="1:8" s="37" customFormat="1"/>
    <row r="58" spans="1:8">
      <c r="A58" t="s">
        <v>18</v>
      </c>
      <c r="B58" t="s">
        <v>109</v>
      </c>
      <c r="C58" t="s">
        <v>13</v>
      </c>
      <c r="D58" t="s">
        <v>143</v>
      </c>
      <c r="E58" t="s">
        <v>97</v>
      </c>
      <c r="F58" t="s">
        <v>96</v>
      </c>
      <c r="G58" t="s">
        <v>95</v>
      </c>
      <c r="H58" t="s">
        <v>94</v>
      </c>
    </row>
    <row r="59" spans="1:8">
      <c r="B59">
        <v>-28.5</v>
      </c>
      <c r="C59">
        <v>0</v>
      </c>
      <c r="D59">
        <v>0</v>
      </c>
      <c r="E59">
        <f t="shared" ref="E59:E71" si="12">ABS(C59*B59)</f>
        <v>0</v>
      </c>
      <c r="F59">
        <f t="shared" ref="F59:F71" si="13">ABS(D59*B59)</f>
        <v>0</v>
      </c>
      <c r="G59">
        <f t="shared" ref="G59:G71" si="14">C59/C$72*100</f>
        <v>0</v>
      </c>
      <c r="H59">
        <f t="shared" ref="H59:H71" si="15">D59/D$72*100</f>
        <v>0</v>
      </c>
    </row>
    <row r="60" spans="1:8">
      <c r="B60">
        <v>-19</v>
      </c>
      <c r="C60">
        <v>0</v>
      </c>
      <c r="D60">
        <v>0</v>
      </c>
      <c r="E60">
        <f t="shared" si="12"/>
        <v>0</v>
      </c>
      <c r="F60">
        <f t="shared" si="13"/>
        <v>0</v>
      </c>
      <c r="G60">
        <f t="shared" si="14"/>
        <v>0</v>
      </c>
      <c r="H60">
        <f t="shared" si="15"/>
        <v>0</v>
      </c>
    </row>
    <row r="61" spans="1:8">
      <c r="B61">
        <v>-9.5</v>
      </c>
      <c r="C61">
        <v>0</v>
      </c>
      <c r="D61">
        <v>0</v>
      </c>
      <c r="E61">
        <f t="shared" si="12"/>
        <v>0</v>
      </c>
      <c r="F61">
        <f t="shared" si="13"/>
        <v>0</v>
      </c>
      <c r="G61">
        <f t="shared" si="14"/>
        <v>0</v>
      </c>
      <c r="H61">
        <f t="shared" si="15"/>
        <v>0</v>
      </c>
    </row>
    <row r="62" spans="1:8">
      <c r="B62">
        <v>0</v>
      </c>
      <c r="C62">
        <v>0</v>
      </c>
      <c r="D62">
        <v>34</v>
      </c>
      <c r="E62">
        <f t="shared" si="12"/>
        <v>0</v>
      </c>
      <c r="F62">
        <f t="shared" si="13"/>
        <v>0</v>
      </c>
      <c r="G62">
        <f t="shared" si="14"/>
        <v>0</v>
      </c>
      <c r="H62">
        <f t="shared" si="15"/>
        <v>5.5016181229773462</v>
      </c>
    </row>
    <row r="63" spans="1:8">
      <c r="A63" t="s">
        <v>148</v>
      </c>
      <c r="B63">
        <v>9.5</v>
      </c>
      <c r="C63">
        <v>186</v>
      </c>
      <c r="D63">
        <v>560</v>
      </c>
      <c r="E63">
        <f t="shared" si="12"/>
        <v>1767</v>
      </c>
      <c r="F63">
        <f t="shared" si="13"/>
        <v>5320</v>
      </c>
      <c r="G63">
        <f t="shared" si="14"/>
        <v>85.714285714285708</v>
      </c>
      <c r="H63">
        <f t="shared" si="15"/>
        <v>90.614886731391593</v>
      </c>
    </row>
    <row r="64" spans="1:8">
      <c r="B64">
        <v>19</v>
      </c>
      <c r="C64">
        <v>16</v>
      </c>
      <c r="D64">
        <v>20</v>
      </c>
      <c r="E64">
        <f t="shared" si="12"/>
        <v>304</v>
      </c>
      <c r="F64">
        <f t="shared" si="13"/>
        <v>380</v>
      </c>
      <c r="G64">
        <f t="shared" si="14"/>
        <v>7.3732718894009217</v>
      </c>
      <c r="H64">
        <f t="shared" si="15"/>
        <v>3.2362459546925564</v>
      </c>
    </row>
    <row r="65" spans="1:8">
      <c r="B65">
        <v>28.5</v>
      </c>
      <c r="C65">
        <v>11</v>
      </c>
      <c r="D65">
        <v>4</v>
      </c>
      <c r="E65">
        <f t="shared" si="12"/>
        <v>313.5</v>
      </c>
      <c r="F65">
        <f t="shared" si="13"/>
        <v>114</v>
      </c>
      <c r="G65">
        <f t="shared" si="14"/>
        <v>5.0691244239631335</v>
      </c>
      <c r="H65">
        <f t="shared" si="15"/>
        <v>0.64724919093851141</v>
      </c>
    </row>
    <row r="66" spans="1:8">
      <c r="B66">
        <v>38</v>
      </c>
      <c r="C66">
        <v>4</v>
      </c>
      <c r="D66">
        <v>0</v>
      </c>
      <c r="E66">
        <f t="shared" si="12"/>
        <v>152</v>
      </c>
      <c r="F66">
        <f t="shared" si="13"/>
        <v>0</v>
      </c>
      <c r="G66">
        <f t="shared" si="14"/>
        <v>1.8433179723502304</v>
      </c>
      <c r="H66">
        <f t="shared" si="15"/>
        <v>0</v>
      </c>
    </row>
    <row r="67" spans="1:8">
      <c r="B67">
        <v>47.5</v>
      </c>
      <c r="C67">
        <v>0</v>
      </c>
      <c r="D67">
        <v>0</v>
      </c>
      <c r="E67">
        <f t="shared" si="12"/>
        <v>0</v>
      </c>
      <c r="F67">
        <f t="shared" si="13"/>
        <v>0</v>
      </c>
      <c r="G67">
        <f t="shared" si="14"/>
        <v>0</v>
      </c>
      <c r="H67">
        <f t="shared" si="15"/>
        <v>0</v>
      </c>
    </row>
    <row r="68" spans="1:8">
      <c r="A68" t="s">
        <v>100</v>
      </c>
      <c r="B68">
        <v>57</v>
      </c>
      <c r="C68">
        <v>0</v>
      </c>
      <c r="D68">
        <v>0</v>
      </c>
      <c r="E68">
        <f t="shared" si="12"/>
        <v>0</v>
      </c>
      <c r="F68">
        <f t="shared" si="13"/>
        <v>0</v>
      </c>
      <c r="G68">
        <f t="shared" si="14"/>
        <v>0</v>
      </c>
      <c r="H68">
        <f t="shared" si="15"/>
        <v>0</v>
      </c>
    </row>
    <row r="69" spans="1:8">
      <c r="B69">
        <f>B68+9.5</f>
        <v>66.5</v>
      </c>
      <c r="C69">
        <v>0</v>
      </c>
      <c r="D69">
        <v>0</v>
      </c>
      <c r="E69">
        <f t="shared" si="12"/>
        <v>0</v>
      </c>
      <c r="F69">
        <f t="shared" si="13"/>
        <v>0</v>
      </c>
      <c r="G69">
        <f t="shared" si="14"/>
        <v>0</v>
      </c>
      <c r="H69">
        <f t="shared" si="15"/>
        <v>0</v>
      </c>
    </row>
    <row r="70" spans="1:8">
      <c r="B70">
        <f>B69+9.5</f>
        <v>76</v>
      </c>
      <c r="C70">
        <v>0</v>
      </c>
      <c r="D70">
        <v>0</v>
      </c>
      <c r="E70">
        <f t="shared" si="12"/>
        <v>0</v>
      </c>
      <c r="F70">
        <f t="shared" si="13"/>
        <v>0</v>
      </c>
      <c r="G70">
        <f t="shared" si="14"/>
        <v>0</v>
      </c>
      <c r="H70">
        <f t="shared" si="15"/>
        <v>0</v>
      </c>
    </row>
    <row r="71" spans="1:8">
      <c r="B71">
        <v>100</v>
      </c>
      <c r="C71">
        <v>0</v>
      </c>
      <c r="D71">
        <v>0</v>
      </c>
      <c r="E71">
        <f t="shared" si="12"/>
        <v>0</v>
      </c>
      <c r="F71">
        <f t="shared" si="13"/>
        <v>0</v>
      </c>
      <c r="G71">
        <f t="shared" si="14"/>
        <v>0</v>
      </c>
      <c r="H71">
        <f t="shared" si="15"/>
        <v>0</v>
      </c>
    </row>
    <row r="72" spans="1:8">
      <c r="B72" t="s">
        <v>9</v>
      </c>
      <c r="C72">
        <f>SUM(C59:C71)</f>
        <v>217</v>
      </c>
      <c r="D72">
        <f>SUM(D59:D71)</f>
        <v>618</v>
      </c>
    </row>
    <row r="73" spans="1:8">
      <c r="B73" t="s">
        <v>106</v>
      </c>
      <c r="C73">
        <f>SUM(E59:E71)/C72</f>
        <v>11.688940092165899</v>
      </c>
      <c r="D73">
        <f>SUM(F59:F71)/D72</f>
        <v>9.4077669902912628</v>
      </c>
    </row>
    <row r="74" spans="1:8">
      <c r="B74" t="s">
        <v>11</v>
      </c>
      <c r="C74">
        <v>500</v>
      </c>
      <c r="D74">
        <v>2500</v>
      </c>
    </row>
    <row r="75" spans="1:8">
      <c r="B75" t="s">
        <v>12</v>
      </c>
      <c r="C75">
        <f>C72/C74*100</f>
        <v>43.4</v>
      </c>
      <c r="D75">
        <f>D72/D74*100</f>
        <v>24.72</v>
      </c>
    </row>
    <row r="76" spans="1:8" s="37" customFormat="1"/>
    <row r="77" spans="1:8">
      <c r="A77" t="s">
        <v>18</v>
      </c>
      <c r="B77" t="s">
        <v>109</v>
      </c>
      <c r="C77" t="s">
        <v>13</v>
      </c>
      <c r="D77" t="s">
        <v>143</v>
      </c>
      <c r="E77" t="s">
        <v>97</v>
      </c>
      <c r="F77" t="s">
        <v>96</v>
      </c>
      <c r="G77" t="s">
        <v>95</v>
      </c>
      <c r="H77" t="s">
        <v>94</v>
      </c>
    </row>
    <row r="78" spans="1:8">
      <c r="B78">
        <v>-28.5</v>
      </c>
      <c r="C78">
        <v>0</v>
      </c>
      <c r="D78">
        <v>0</v>
      </c>
      <c r="E78">
        <f t="shared" ref="E78:E90" si="16">ABS(C78*B78)</f>
        <v>0</v>
      </c>
      <c r="F78">
        <f t="shared" ref="F78:F90" si="17">ABS(D78*B78)</f>
        <v>0</v>
      </c>
      <c r="G78">
        <f t="shared" ref="G78:G90" si="18">C78/C$91*100</f>
        <v>0</v>
      </c>
      <c r="H78">
        <f t="shared" ref="H78:H90" si="19">D78/D$91*100</f>
        <v>0</v>
      </c>
    </row>
    <row r="79" spans="1:8">
      <c r="B79">
        <v>-19</v>
      </c>
      <c r="C79">
        <v>0</v>
      </c>
      <c r="D79">
        <v>0</v>
      </c>
      <c r="E79">
        <f t="shared" si="16"/>
        <v>0</v>
      </c>
      <c r="F79">
        <f t="shared" si="17"/>
        <v>0</v>
      </c>
      <c r="G79">
        <f t="shared" si="18"/>
        <v>0</v>
      </c>
      <c r="H79">
        <f t="shared" si="19"/>
        <v>0</v>
      </c>
    </row>
    <row r="80" spans="1:8">
      <c r="B80">
        <v>-9.5</v>
      </c>
      <c r="C80">
        <v>0</v>
      </c>
      <c r="D80">
        <v>0</v>
      </c>
      <c r="E80">
        <f t="shared" si="16"/>
        <v>0</v>
      </c>
      <c r="F80">
        <f t="shared" si="17"/>
        <v>0</v>
      </c>
      <c r="G80">
        <f t="shared" si="18"/>
        <v>0</v>
      </c>
      <c r="H80">
        <f t="shared" si="19"/>
        <v>0</v>
      </c>
    </row>
    <row r="81" spans="1:8">
      <c r="B81">
        <v>0</v>
      </c>
      <c r="C81">
        <v>4</v>
      </c>
      <c r="D81">
        <v>0</v>
      </c>
      <c r="E81">
        <f t="shared" si="16"/>
        <v>0</v>
      </c>
      <c r="F81">
        <f t="shared" si="17"/>
        <v>0</v>
      </c>
      <c r="G81">
        <f t="shared" si="18"/>
        <v>3.1496062992125982</v>
      </c>
      <c r="H81">
        <f t="shared" si="19"/>
        <v>0</v>
      </c>
    </row>
    <row r="82" spans="1:8">
      <c r="A82" t="s">
        <v>147</v>
      </c>
      <c r="B82">
        <v>9.5</v>
      </c>
      <c r="C82">
        <v>0</v>
      </c>
      <c r="D82">
        <v>4</v>
      </c>
      <c r="E82">
        <f t="shared" si="16"/>
        <v>0</v>
      </c>
      <c r="F82">
        <f t="shared" si="17"/>
        <v>38</v>
      </c>
      <c r="G82">
        <f t="shared" si="18"/>
        <v>0</v>
      </c>
      <c r="H82">
        <f t="shared" si="19"/>
        <v>0.42372881355932202</v>
      </c>
    </row>
    <row r="83" spans="1:8">
      <c r="B83">
        <v>19</v>
      </c>
      <c r="C83">
        <v>8</v>
      </c>
      <c r="D83">
        <v>36</v>
      </c>
      <c r="E83">
        <f t="shared" si="16"/>
        <v>152</v>
      </c>
      <c r="F83">
        <f t="shared" si="17"/>
        <v>684</v>
      </c>
      <c r="G83">
        <f t="shared" si="18"/>
        <v>6.2992125984251963</v>
      </c>
      <c r="H83">
        <f t="shared" si="19"/>
        <v>3.8135593220338984</v>
      </c>
    </row>
    <row r="84" spans="1:8">
      <c r="B84">
        <v>28.5</v>
      </c>
      <c r="C84">
        <v>56</v>
      </c>
      <c r="D84">
        <v>680</v>
      </c>
      <c r="E84">
        <f t="shared" si="16"/>
        <v>1596</v>
      </c>
      <c r="F84">
        <f t="shared" si="17"/>
        <v>19380</v>
      </c>
      <c r="G84">
        <f t="shared" si="18"/>
        <v>44.094488188976378</v>
      </c>
      <c r="H84">
        <f t="shared" si="19"/>
        <v>72.033898305084747</v>
      </c>
    </row>
    <row r="85" spans="1:8">
      <c r="B85">
        <v>38</v>
      </c>
      <c r="C85">
        <v>48</v>
      </c>
      <c r="D85">
        <v>112</v>
      </c>
      <c r="E85">
        <f t="shared" si="16"/>
        <v>1824</v>
      </c>
      <c r="F85">
        <f t="shared" si="17"/>
        <v>4256</v>
      </c>
      <c r="G85">
        <f t="shared" si="18"/>
        <v>37.795275590551178</v>
      </c>
      <c r="H85">
        <f t="shared" si="19"/>
        <v>11.864406779661017</v>
      </c>
    </row>
    <row r="86" spans="1:8">
      <c r="B86">
        <v>47.5</v>
      </c>
      <c r="C86">
        <v>8</v>
      </c>
      <c r="D86">
        <v>112</v>
      </c>
      <c r="E86">
        <f t="shared" si="16"/>
        <v>380</v>
      </c>
      <c r="F86">
        <f t="shared" si="17"/>
        <v>5320</v>
      </c>
      <c r="G86">
        <f t="shared" si="18"/>
        <v>6.2992125984251963</v>
      </c>
      <c r="H86">
        <f t="shared" si="19"/>
        <v>11.864406779661017</v>
      </c>
    </row>
    <row r="87" spans="1:8">
      <c r="A87" t="s">
        <v>100</v>
      </c>
      <c r="B87">
        <v>57</v>
      </c>
      <c r="C87">
        <v>3</v>
      </c>
      <c r="D87">
        <v>0</v>
      </c>
      <c r="E87">
        <f t="shared" si="16"/>
        <v>171</v>
      </c>
      <c r="F87">
        <f t="shared" si="17"/>
        <v>0</v>
      </c>
      <c r="G87">
        <f t="shared" si="18"/>
        <v>2.3622047244094486</v>
      </c>
      <c r="H87">
        <f t="shared" si="19"/>
        <v>0</v>
      </c>
    </row>
    <row r="88" spans="1:8">
      <c r="B88">
        <f>B87+9.5</f>
        <v>66.5</v>
      </c>
      <c r="C88">
        <v>0</v>
      </c>
      <c r="D88">
        <v>0</v>
      </c>
      <c r="E88">
        <f t="shared" si="16"/>
        <v>0</v>
      </c>
      <c r="F88">
        <f t="shared" si="17"/>
        <v>0</v>
      </c>
      <c r="G88">
        <f t="shared" si="18"/>
        <v>0</v>
      </c>
      <c r="H88">
        <f t="shared" si="19"/>
        <v>0</v>
      </c>
    </row>
    <row r="89" spans="1:8">
      <c r="B89">
        <f>B88+9.5</f>
        <v>76</v>
      </c>
      <c r="C89">
        <v>0</v>
      </c>
      <c r="D89">
        <v>0</v>
      </c>
      <c r="E89">
        <f t="shared" si="16"/>
        <v>0</v>
      </c>
      <c r="F89">
        <f t="shared" si="17"/>
        <v>0</v>
      </c>
      <c r="G89">
        <f t="shared" si="18"/>
        <v>0</v>
      </c>
      <c r="H89">
        <f t="shared" si="19"/>
        <v>0</v>
      </c>
    </row>
    <row r="90" spans="1:8">
      <c r="B90">
        <v>100</v>
      </c>
      <c r="C90">
        <v>0</v>
      </c>
      <c r="D90">
        <v>0</v>
      </c>
      <c r="E90">
        <f t="shared" si="16"/>
        <v>0</v>
      </c>
      <c r="F90">
        <f t="shared" si="17"/>
        <v>0</v>
      </c>
      <c r="G90">
        <f t="shared" si="18"/>
        <v>0</v>
      </c>
      <c r="H90">
        <f t="shared" si="19"/>
        <v>0</v>
      </c>
    </row>
    <row r="91" spans="1:8">
      <c r="B91" t="s">
        <v>9</v>
      </c>
      <c r="C91">
        <f>SUM(C78:C90)</f>
        <v>127</v>
      </c>
      <c r="D91">
        <f>SUM(D78:D90)</f>
        <v>944</v>
      </c>
    </row>
    <row r="92" spans="1:8">
      <c r="B92" t="s">
        <v>106</v>
      </c>
      <c r="C92">
        <f>SUM(E78:E90)/C91</f>
        <v>32.464566929133859</v>
      </c>
      <c r="D92">
        <f>SUM(F78:F90)/D91</f>
        <v>31.4385593220339</v>
      </c>
    </row>
    <row r="93" spans="1:8">
      <c r="B93" t="s">
        <v>11</v>
      </c>
      <c r="C93">
        <v>500</v>
      </c>
      <c r="D93">
        <v>1100</v>
      </c>
    </row>
    <row r="94" spans="1:8">
      <c r="B94" t="s">
        <v>12</v>
      </c>
      <c r="C94">
        <f>C91/C93*100</f>
        <v>25.4</v>
      </c>
      <c r="D94">
        <f>D91/D93*100</f>
        <v>85.818181818181813</v>
      </c>
    </row>
    <row r="95" spans="1:8" s="37" customFormat="1"/>
    <row r="96" spans="1:8">
      <c r="A96" t="s">
        <v>18</v>
      </c>
      <c r="B96" t="s">
        <v>109</v>
      </c>
      <c r="C96" t="s">
        <v>13</v>
      </c>
      <c r="D96" t="s">
        <v>143</v>
      </c>
      <c r="E96" t="s">
        <v>97</v>
      </c>
      <c r="F96" t="s">
        <v>96</v>
      </c>
      <c r="G96" t="s">
        <v>95</v>
      </c>
      <c r="H96" t="s">
        <v>94</v>
      </c>
    </row>
    <row r="97" spans="1:8">
      <c r="B97">
        <v>-28.5</v>
      </c>
      <c r="C97">
        <v>0</v>
      </c>
      <c r="D97">
        <v>0</v>
      </c>
      <c r="E97">
        <f t="shared" ref="E97:E109" si="20">ABS(C97*B97)</f>
        <v>0</v>
      </c>
      <c r="F97">
        <f t="shared" ref="F97:F109" si="21">ABS(D97*B97)</f>
        <v>0</v>
      </c>
      <c r="G97">
        <f t="shared" ref="G97:G109" si="22">C97/C$110*100</f>
        <v>0</v>
      </c>
      <c r="H97">
        <f t="shared" ref="H97:H109" si="23">D97/D$110*100</f>
        <v>0</v>
      </c>
    </row>
    <row r="98" spans="1:8">
      <c r="B98">
        <v>-19</v>
      </c>
      <c r="C98">
        <v>0</v>
      </c>
      <c r="D98">
        <v>0</v>
      </c>
      <c r="E98">
        <f t="shared" si="20"/>
        <v>0</v>
      </c>
      <c r="F98">
        <f t="shared" si="21"/>
        <v>0</v>
      </c>
      <c r="G98">
        <f t="shared" si="22"/>
        <v>0</v>
      </c>
      <c r="H98">
        <f t="shared" si="23"/>
        <v>0</v>
      </c>
    </row>
    <row r="99" spans="1:8">
      <c r="B99">
        <v>-9.5</v>
      </c>
      <c r="C99">
        <v>0</v>
      </c>
      <c r="D99">
        <v>0</v>
      </c>
      <c r="E99">
        <f t="shared" si="20"/>
        <v>0</v>
      </c>
      <c r="F99">
        <f t="shared" si="21"/>
        <v>0</v>
      </c>
      <c r="G99">
        <f t="shared" si="22"/>
        <v>0</v>
      </c>
      <c r="H99">
        <f t="shared" si="23"/>
        <v>0</v>
      </c>
    </row>
    <row r="100" spans="1:8">
      <c r="B100">
        <v>0</v>
      </c>
      <c r="C100">
        <v>0</v>
      </c>
      <c r="D100">
        <v>12</v>
      </c>
      <c r="E100">
        <f t="shared" si="20"/>
        <v>0</v>
      </c>
      <c r="F100">
        <f t="shared" si="21"/>
        <v>0</v>
      </c>
      <c r="G100">
        <f t="shared" si="22"/>
        <v>0</v>
      </c>
      <c r="H100">
        <f t="shared" si="23"/>
        <v>2.2770398481973433</v>
      </c>
    </row>
    <row r="101" spans="1:8">
      <c r="A101" t="s">
        <v>149</v>
      </c>
      <c r="B101">
        <v>9.5</v>
      </c>
      <c r="C101">
        <v>39</v>
      </c>
      <c r="D101">
        <v>300</v>
      </c>
      <c r="E101">
        <f t="shared" si="20"/>
        <v>370.5</v>
      </c>
      <c r="F101">
        <f t="shared" si="21"/>
        <v>2850</v>
      </c>
      <c r="G101">
        <f t="shared" si="22"/>
        <v>41.48936170212766</v>
      </c>
      <c r="H101">
        <f t="shared" si="23"/>
        <v>56.925996204933583</v>
      </c>
    </row>
    <row r="102" spans="1:8">
      <c r="B102">
        <v>19</v>
      </c>
      <c r="C102">
        <v>48</v>
      </c>
      <c r="D102">
        <v>210</v>
      </c>
      <c r="E102">
        <f t="shared" si="20"/>
        <v>912</v>
      </c>
      <c r="F102">
        <f t="shared" si="21"/>
        <v>3990</v>
      </c>
      <c r="G102">
        <f t="shared" si="22"/>
        <v>51.063829787234042</v>
      </c>
      <c r="H102">
        <f t="shared" si="23"/>
        <v>39.848197343453513</v>
      </c>
    </row>
    <row r="103" spans="1:8">
      <c r="B103">
        <v>28.5</v>
      </c>
      <c r="C103">
        <v>7</v>
      </c>
      <c r="D103">
        <v>5</v>
      </c>
      <c r="E103">
        <f t="shared" si="20"/>
        <v>199.5</v>
      </c>
      <c r="F103">
        <f t="shared" si="21"/>
        <v>142.5</v>
      </c>
      <c r="G103">
        <f t="shared" si="22"/>
        <v>7.4468085106382977</v>
      </c>
      <c r="H103">
        <f t="shared" si="23"/>
        <v>0.94876660341555974</v>
      </c>
    </row>
    <row r="104" spans="1:8">
      <c r="B104">
        <v>38</v>
      </c>
      <c r="C104">
        <v>0</v>
      </c>
      <c r="D104">
        <v>0</v>
      </c>
      <c r="E104">
        <f t="shared" si="20"/>
        <v>0</v>
      </c>
      <c r="F104">
        <f t="shared" si="21"/>
        <v>0</v>
      </c>
      <c r="G104">
        <f t="shared" si="22"/>
        <v>0</v>
      </c>
      <c r="H104">
        <f t="shared" si="23"/>
        <v>0</v>
      </c>
    </row>
    <row r="105" spans="1:8">
      <c r="B105">
        <v>47.5</v>
      </c>
      <c r="C105">
        <v>0</v>
      </c>
      <c r="D105">
        <v>0</v>
      </c>
      <c r="E105">
        <f t="shared" si="20"/>
        <v>0</v>
      </c>
      <c r="F105">
        <f t="shared" si="21"/>
        <v>0</v>
      </c>
      <c r="G105">
        <f t="shared" si="22"/>
        <v>0</v>
      </c>
      <c r="H105">
        <f t="shared" si="23"/>
        <v>0</v>
      </c>
    </row>
    <row r="106" spans="1:8">
      <c r="A106" t="s">
        <v>107</v>
      </c>
      <c r="B106">
        <v>57</v>
      </c>
      <c r="C106">
        <v>0</v>
      </c>
      <c r="D106">
        <v>0</v>
      </c>
      <c r="E106">
        <f t="shared" si="20"/>
        <v>0</v>
      </c>
      <c r="F106">
        <f t="shared" si="21"/>
        <v>0</v>
      </c>
      <c r="G106">
        <f t="shared" si="22"/>
        <v>0</v>
      </c>
      <c r="H106">
        <f t="shared" si="23"/>
        <v>0</v>
      </c>
    </row>
    <row r="107" spans="1:8">
      <c r="B107">
        <f>B106+9.5</f>
        <v>66.5</v>
      </c>
      <c r="C107">
        <v>0</v>
      </c>
      <c r="D107">
        <v>0</v>
      </c>
      <c r="E107">
        <f t="shared" si="20"/>
        <v>0</v>
      </c>
      <c r="F107">
        <f t="shared" si="21"/>
        <v>0</v>
      </c>
      <c r="G107">
        <f t="shared" si="22"/>
        <v>0</v>
      </c>
      <c r="H107">
        <f t="shared" si="23"/>
        <v>0</v>
      </c>
    </row>
    <row r="108" spans="1:8">
      <c r="B108">
        <f>B107+9.5</f>
        <v>76</v>
      </c>
      <c r="C108">
        <v>0</v>
      </c>
      <c r="D108">
        <v>0</v>
      </c>
      <c r="E108">
        <f t="shared" si="20"/>
        <v>0</v>
      </c>
      <c r="F108">
        <f t="shared" si="21"/>
        <v>0</v>
      </c>
      <c r="G108">
        <f t="shared" si="22"/>
        <v>0</v>
      </c>
      <c r="H108">
        <f t="shared" si="23"/>
        <v>0</v>
      </c>
    </row>
    <row r="109" spans="1:8">
      <c r="B109">
        <v>100</v>
      </c>
      <c r="C109">
        <v>0</v>
      </c>
      <c r="D109">
        <v>0</v>
      </c>
      <c r="E109">
        <f t="shared" si="20"/>
        <v>0</v>
      </c>
      <c r="F109">
        <f t="shared" si="21"/>
        <v>0</v>
      </c>
      <c r="G109">
        <f t="shared" si="22"/>
        <v>0</v>
      </c>
      <c r="H109">
        <f t="shared" si="23"/>
        <v>0</v>
      </c>
    </row>
    <row r="110" spans="1:8">
      <c r="B110" t="s">
        <v>9</v>
      </c>
      <c r="C110">
        <f>SUM(C97:C109)</f>
        <v>94</v>
      </c>
      <c r="D110">
        <f>SUM(D97:D109)</f>
        <v>527</v>
      </c>
    </row>
    <row r="111" spans="1:8">
      <c r="B111" t="s">
        <v>106</v>
      </c>
      <c r="C111">
        <f>SUM(E97:E109)/C110</f>
        <v>15.76595744680851</v>
      </c>
      <c r="D111">
        <f>SUM(F97:F109)/D110</f>
        <v>13.249525616698293</v>
      </c>
    </row>
    <row r="112" spans="1:8">
      <c r="B112" t="s">
        <v>11</v>
      </c>
      <c r="C112">
        <v>500</v>
      </c>
      <c r="D112">
        <v>2300</v>
      </c>
    </row>
    <row r="113" spans="2:4">
      <c r="B113" t="s">
        <v>12</v>
      </c>
      <c r="C113">
        <f>C110/C112*100</f>
        <v>18.8</v>
      </c>
      <c r="D113">
        <f>D110/D112*100</f>
        <v>22.913043478260871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23"/>
  <sheetViews>
    <sheetView topLeftCell="K1" workbookViewId="0">
      <selection activeCell="Q22" sqref="Q22"/>
    </sheetView>
  </sheetViews>
  <sheetFormatPr defaultRowHeight="14.4"/>
  <cols>
    <col min="1" max="1" width="21.109375" customWidth="1"/>
    <col min="2" max="2" width="17.44140625" customWidth="1"/>
    <col min="3" max="3" width="19.5546875" customWidth="1"/>
    <col min="4" max="4" width="17.109375" customWidth="1"/>
    <col min="7" max="7" width="22.33203125" customWidth="1"/>
    <col min="8" max="8" width="22.109375" customWidth="1"/>
    <col min="9" max="9" width="20.109375" customWidth="1"/>
    <col min="11" max="11" width="13.44140625" customWidth="1"/>
    <col min="12" max="12" width="8.6640625" customWidth="1"/>
    <col min="13" max="13" width="20.109375" customWidth="1"/>
    <col min="14" max="14" width="23.109375" customWidth="1"/>
    <col min="15" max="15" width="19.88671875" customWidth="1"/>
    <col min="16" max="16" width="15.5546875" customWidth="1"/>
    <col min="17" max="17" width="13.44140625" customWidth="1"/>
    <col min="18" max="18" width="15.44140625" customWidth="1"/>
    <col min="19" max="19" width="16.44140625" customWidth="1"/>
  </cols>
  <sheetData>
    <row r="1" spans="1:19" ht="17.399999999999999" thickBot="1">
      <c r="A1" s="8" t="s">
        <v>45</v>
      </c>
      <c r="B1" s="9"/>
      <c r="C1" s="10"/>
      <c r="D1" s="10"/>
      <c r="E1" s="11"/>
      <c r="G1" s="8" t="s">
        <v>46</v>
      </c>
      <c r="H1" s="9"/>
      <c r="I1" s="10"/>
      <c r="J1" s="10"/>
      <c r="K1" s="11"/>
      <c r="M1" s="23" t="s">
        <v>47</v>
      </c>
      <c r="N1" s="18"/>
      <c r="O1" s="18"/>
      <c r="P1" s="18"/>
      <c r="Q1" s="18"/>
    </row>
    <row r="2" spans="1:19">
      <c r="A2" s="5" t="s">
        <v>48</v>
      </c>
      <c r="B2" s="6" t="s">
        <v>48</v>
      </c>
      <c r="C2" s="6" t="s">
        <v>48</v>
      </c>
      <c r="D2" s="6" t="s">
        <v>49</v>
      </c>
      <c r="E2" s="7" t="s">
        <v>50</v>
      </c>
      <c r="G2" s="5" t="s">
        <v>48</v>
      </c>
      <c r="H2" s="6" t="s">
        <v>48</v>
      </c>
      <c r="I2" s="6" t="s">
        <v>48</v>
      </c>
      <c r="J2" s="6" t="s">
        <v>49</v>
      </c>
      <c r="K2" s="7" t="s">
        <v>50</v>
      </c>
      <c r="M2" s="24" t="s">
        <v>51</v>
      </c>
      <c r="N2" s="10" t="s">
        <v>52</v>
      </c>
      <c r="O2" s="10"/>
      <c r="P2" s="10"/>
      <c r="Q2" s="11"/>
    </row>
    <row r="3" spans="1:19">
      <c r="A3" s="12" t="s">
        <v>53</v>
      </c>
      <c r="B3" s="13" t="s">
        <v>54</v>
      </c>
      <c r="C3" s="13" t="s">
        <v>55</v>
      </c>
      <c r="D3" s="13" t="s">
        <v>56</v>
      </c>
      <c r="E3" s="14" t="s">
        <v>56</v>
      </c>
      <c r="G3" s="12" t="s">
        <v>53</v>
      </c>
      <c r="H3" s="13" t="s">
        <v>54</v>
      </c>
      <c r="I3" s="13" t="s">
        <v>55</v>
      </c>
      <c r="J3" s="13" t="s">
        <v>56</v>
      </c>
      <c r="K3" s="14" t="s">
        <v>56</v>
      </c>
      <c r="M3" s="25" t="s">
        <v>57</v>
      </c>
      <c r="N3" s="11" t="s">
        <v>57</v>
      </c>
      <c r="O3" s="11" t="s">
        <v>57</v>
      </c>
      <c r="P3" s="11" t="s">
        <v>58</v>
      </c>
      <c r="Q3" s="11" t="s">
        <v>59</v>
      </c>
      <c r="R3" s="7" t="s">
        <v>215</v>
      </c>
      <c r="S3" s="7" t="s">
        <v>216</v>
      </c>
    </row>
    <row r="4" spans="1:19">
      <c r="A4" s="5">
        <v>2</v>
      </c>
      <c r="B4" s="6">
        <v>2.08</v>
      </c>
      <c r="C4" s="6">
        <v>2.04</v>
      </c>
      <c r="D4" s="6">
        <v>0</v>
      </c>
      <c r="E4" s="7">
        <v>0</v>
      </c>
      <c r="G4" s="5">
        <v>2</v>
      </c>
      <c r="H4" s="6">
        <v>2.08</v>
      </c>
      <c r="I4" s="6">
        <v>2.04</v>
      </c>
      <c r="J4" s="6">
        <v>0</v>
      </c>
      <c r="K4" s="7">
        <v>0</v>
      </c>
      <c r="M4" s="26" t="s">
        <v>53</v>
      </c>
      <c r="N4" s="14" t="s">
        <v>54</v>
      </c>
      <c r="O4" s="14" t="s">
        <v>55</v>
      </c>
      <c r="P4" s="14" t="s">
        <v>56</v>
      </c>
      <c r="Q4" s="14" t="s">
        <v>56</v>
      </c>
      <c r="R4" s="7"/>
      <c r="S4" s="7">
        <f>Q5*O5</f>
        <v>0</v>
      </c>
    </row>
    <row r="5" spans="1:19">
      <c r="A5" s="5">
        <v>1.65</v>
      </c>
      <c r="B5" s="6">
        <v>1.73</v>
      </c>
      <c r="C5" s="6">
        <v>1.69</v>
      </c>
      <c r="D5" s="6">
        <v>0</v>
      </c>
      <c r="E5" s="7">
        <v>0</v>
      </c>
      <c r="G5" s="5">
        <v>1.65</v>
      </c>
      <c r="H5" s="6">
        <v>1.73</v>
      </c>
      <c r="I5" s="6">
        <v>1.69</v>
      </c>
      <c r="J5" s="6">
        <v>0</v>
      </c>
      <c r="K5" s="7">
        <v>0</v>
      </c>
      <c r="M5" s="27">
        <v>200</v>
      </c>
      <c r="N5" s="10">
        <v>208</v>
      </c>
      <c r="O5" s="10">
        <v>204</v>
      </c>
      <c r="P5" s="10">
        <v>0</v>
      </c>
      <c r="Q5" s="11">
        <v>0</v>
      </c>
      <c r="R5">
        <f>P5*O5</f>
        <v>0</v>
      </c>
      <c r="S5" s="7">
        <f t="shared" ref="S5:S18" si="0">Q6*O6</f>
        <v>0</v>
      </c>
    </row>
    <row r="6" spans="1:19">
      <c r="A6" s="5">
        <v>1.3</v>
      </c>
      <c r="B6" s="6">
        <v>1.38</v>
      </c>
      <c r="C6" s="6">
        <v>1.34</v>
      </c>
      <c r="D6" s="6">
        <v>0</v>
      </c>
      <c r="E6" s="7">
        <v>0</v>
      </c>
      <c r="G6" s="5">
        <v>1.3</v>
      </c>
      <c r="H6" s="6">
        <v>1.38</v>
      </c>
      <c r="I6" s="6">
        <v>1.34</v>
      </c>
      <c r="J6" s="6">
        <v>0</v>
      </c>
      <c r="K6" s="7">
        <v>0</v>
      </c>
      <c r="M6" s="5">
        <v>165</v>
      </c>
      <c r="N6" s="6">
        <v>173</v>
      </c>
      <c r="O6" s="6">
        <v>169</v>
      </c>
      <c r="P6" s="6">
        <v>0</v>
      </c>
      <c r="Q6" s="7">
        <v>0</v>
      </c>
      <c r="R6">
        <f t="shared" ref="R6:R18" si="1">P6*O6</f>
        <v>0</v>
      </c>
      <c r="S6" s="7">
        <f t="shared" si="0"/>
        <v>0</v>
      </c>
    </row>
    <row r="7" spans="1:19">
      <c r="A7" s="5">
        <v>1</v>
      </c>
      <c r="B7" s="6">
        <v>1.08</v>
      </c>
      <c r="C7" s="6">
        <v>1.04</v>
      </c>
      <c r="D7" s="6">
        <v>1</v>
      </c>
      <c r="E7" s="7">
        <v>0.05</v>
      </c>
      <c r="G7" s="5">
        <v>1</v>
      </c>
      <c r="H7" s="6">
        <v>1.08</v>
      </c>
      <c r="I7" s="6">
        <v>1.04</v>
      </c>
      <c r="J7" s="6">
        <v>0</v>
      </c>
      <c r="K7" s="7">
        <v>0</v>
      </c>
      <c r="M7" s="5">
        <v>130</v>
      </c>
      <c r="N7" s="6">
        <v>138</v>
      </c>
      <c r="O7" s="6">
        <v>134</v>
      </c>
      <c r="P7" s="6">
        <v>0</v>
      </c>
      <c r="Q7" s="7">
        <v>0</v>
      </c>
      <c r="R7">
        <f t="shared" si="1"/>
        <v>0</v>
      </c>
      <c r="S7" s="7">
        <f t="shared" si="0"/>
        <v>0</v>
      </c>
    </row>
    <row r="8" spans="1:19">
      <c r="A8" s="5">
        <v>0.9</v>
      </c>
      <c r="B8" s="6">
        <v>0.98</v>
      </c>
      <c r="C8" s="6">
        <v>0.94</v>
      </c>
      <c r="D8" s="6">
        <v>0</v>
      </c>
      <c r="E8" s="7">
        <v>0</v>
      </c>
      <c r="G8" s="5">
        <v>0.9</v>
      </c>
      <c r="H8" s="6">
        <v>0.98</v>
      </c>
      <c r="I8" s="6">
        <v>0.94</v>
      </c>
      <c r="J8" s="6">
        <v>0</v>
      </c>
      <c r="K8" s="7">
        <v>0</v>
      </c>
      <c r="M8" s="5">
        <v>100</v>
      </c>
      <c r="N8" s="6">
        <v>108</v>
      </c>
      <c r="O8" s="6">
        <v>104</v>
      </c>
      <c r="P8" s="6">
        <v>1</v>
      </c>
      <c r="Q8" s="7">
        <v>0</v>
      </c>
      <c r="R8">
        <f t="shared" si="1"/>
        <v>104</v>
      </c>
      <c r="S8" s="7">
        <f t="shared" si="0"/>
        <v>0</v>
      </c>
    </row>
    <row r="9" spans="1:19">
      <c r="A9" s="5">
        <v>0.8</v>
      </c>
      <c r="B9" s="6">
        <v>0.88</v>
      </c>
      <c r="C9" s="6">
        <v>0.84</v>
      </c>
      <c r="D9" s="6">
        <v>3</v>
      </c>
      <c r="E9" s="7">
        <v>0.14000000000000001</v>
      </c>
      <c r="G9" s="5">
        <v>0.8</v>
      </c>
      <c r="H9" s="6">
        <v>0.88</v>
      </c>
      <c r="I9" s="6">
        <v>0.84</v>
      </c>
      <c r="J9" s="6">
        <v>1</v>
      </c>
      <c r="K9" s="7">
        <v>1.08</v>
      </c>
      <c r="M9" s="5">
        <v>90</v>
      </c>
      <c r="N9" s="6">
        <v>98</v>
      </c>
      <c r="O9" s="6">
        <v>94</v>
      </c>
      <c r="P9" s="6">
        <v>0</v>
      </c>
      <c r="Q9" s="7">
        <v>0</v>
      </c>
      <c r="R9">
        <f t="shared" si="1"/>
        <v>0</v>
      </c>
      <c r="S9" s="7">
        <f t="shared" si="0"/>
        <v>84</v>
      </c>
    </row>
    <row r="10" spans="1:19">
      <c r="A10" s="5">
        <v>0.7</v>
      </c>
      <c r="B10" s="6">
        <v>0.78</v>
      </c>
      <c r="C10" s="6">
        <v>0.74</v>
      </c>
      <c r="D10" s="6">
        <v>1</v>
      </c>
      <c r="E10" s="7">
        <v>0.05</v>
      </c>
      <c r="G10" s="5">
        <v>0.7</v>
      </c>
      <c r="H10" s="6">
        <v>0.78</v>
      </c>
      <c r="I10" s="6">
        <v>0.74</v>
      </c>
      <c r="J10" s="6">
        <v>0</v>
      </c>
      <c r="K10" s="7">
        <v>0</v>
      </c>
      <c r="M10" s="5">
        <v>80</v>
      </c>
      <c r="N10" s="6">
        <v>88</v>
      </c>
      <c r="O10" s="6">
        <v>84</v>
      </c>
      <c r="P10" s="6">
        <v>3</v>
      </c>
      <c r="Q10" s="7">
        <v>1</v>
      </c>
      <c r="R10">
        <f t="shared" si="1"/>
        <v>252</v>
      </c>
      <c r="S10" s="7">
        <f t="shared" si="0"/>
        <v>0</v>
      </c>
    </row>
    <row r="11" spans="1:19">
      <c r="A11" s="5">
        <v>0.6</v>
      </c>
      <c r="B11" s="6">
        <v>0.68</v>
      </c>
      <c r="C11" s="6">
        <v>0.64</v>
      </c>
      <c r="D11" s="6">
        <v>1</v>
      </c>
      <c r="E11" s="7">
        <v>0.05</v>
      </c>
      <c r="G11" s="5">
        <v>0.6</v>
      </c>
      <c r="H11" s="6">
        <v>0.68</v>
      </c>
      <c r="I11" s="6">
        <v>0.64</v>
      </c>
      <c r="J11" s="6">
        <v>0</v>
      </c>
      <c r="K11" s="7">
        <v>0</v>
      </c>
      <c r="M11" s="5">
        <v>70</v>
      </c>
      <c r="N11" s="6">
        <v>78</v>
      </c>
      <c r="O11" s="6">
        <v>74</v>
      </c>
      <c r="P11" s="6">
        <v>1</v>
      </c>
      <c r="Q11" s="7">
        <v>0</v>
      </c>
      <c r="R11">
        <f t="shared" si="1"/>
        <v>74</v>
      </c>
      <c r="S11" s="7">
        <f t="shared" si="0"/>
        <v>0</v>
      </c>
    </row>
    <row r="12" spans="1:19">
      <c r="A12" s="5">
        <v>0.5</v>
      </c>
      <c r="B12" s="6">
        <v>0.57999999999999996</v>
      </c>
      <c r="C12" s="6">
        <v>0.54</v>
      </c>
      <c r="D12" s="6">
        <v>4</v>
      </c>
      <c r="E12" s="7">
        <v>0.19</v>
      </c>
      <c r="G12" s="5">
        <v>0.5</v>
      </c>
      <c r="H12" s="6">
        <v>0.57999999999999996</v>
      </c>
      <c r="I12" s="6">
        <v>0.54</v>
      </c>
      <c r="J12" s="6">
        <v>0</v>
      </c>
      <c r="K12" s="7">
        <v>0</v>
      </c>
      <c r="M12" s="5">
        <v>60</v>
      </c>
      <c r="N12" s="6">
        <v>68</v>
      </c>
      <c r="O12" s="6">
        <v>64</v>
      </c>
      <c r="P12" s="6">
        <v>1</v>
      </c>
      <c r="Q12" s="7">
        <v>0</v>
      </c>
      <c r="R12">
        <f t="shared" si="1"/>
        <v>64</v>
      </c>
      <c r="S12" s="7">
        <f t="shared" si="0"/>
        <v>0</v>
      </c>
    </row>
    <row r="13" spans="1:19">
      <c r="A13" s="5">
        <v>0.4</v>
      </c>
      <c r="B13" s="6">
        <v>0.48</v>
      </c>
      <c r="C13" s="6">
        <v>0.44</v>
      </c>
      <c r="D13" s="6">
        <v>2</v>
      </c>
      <c r="E13" s="7">
        <v>0.09</v>
      </c>
      <c r="G13" s="5">
        <v>0.4</v>
      </c>
      <c r="H13" s="6">
        <v>0.48</v>
      </c>
      <c r="I13" s="6">
        <v>0.44</v>
      </c>
      <c r="J13" s="6">
        <v>0</v>
      </c>
      <c r="K13" s="7">
        <v>0</v>
      </c>
      <c r="M13" s="5">
        <v>50</v>
      </c>
      <c r="N13" s="6">
        <v>58</v>
      </c>
      <c r="O13" s="6">
        <v>54</v>
      </c>
      <c r="P13" s="6">
        <v>4</v>
      </c>
      <c r="Q13" s="7">
        <v>0</v>
      </c>
      <c r="R13">
        <f t="shared" si="1"/>
        <v>216</v>
      </c>
      <c r="S13" s="7">
        <f t="shared" si="0"/>
        <v>0</v>
      </c>
    </row>
    <row r="14" spans="1:19">
      <c r="A14" s="5">
        <v>0.3</v>
      </c>
      <c r="B14" s="6">
        <v>0.38</v>
      </c>
      <c r="C14" s="6">
        <v>0.34</v>
      </c>
      <c r="D14" s="6">
        <v>1</v>
      </c>
      <c r="E14" s="7">
        <v>0.05</v>
      </c>
      <c r="G14" s="5">
        <v>0.3</v>
      </c>
      <c r="H14" s="6">
        <v>0.38</v>
      </c>
      <c r="I14" s="6">
        <v>0.34</v>
      </c>
      <c r="J14" s="6">
        <v>1</v>
      </c>
      <c r="K14" s="7">
        <v>1.08</v>
      </c>
      <c r="M14" s="5">
        <v>40</v>
      </c>
      <c r="N14" s="6">
        <v>48</v>
      </c>
      <c r="O14" s="6">
        <v>44</v>
      </c>
      <c r="P14" s="6">
        <v>2</v>
      </c>
      <c r="Q14" s="7">
        <v>0</v>
      </c>
      <c r="R14">
        <f t="shared" si="1"/>
        <v>88</v>
      </c>
      <c r="S14" s="7">
        <f t="shared" si="0"/>
        <v>34</v>
      </c>
    </row>
    <row r="15" spans="1:19">
      <c r="A15" s="5">
        <v>0.2</v>
      </c>
      <c r="B15" s="6">
        <v>0.28000000000000003</v>
      </c>
      <c r="C15" s="6">
        <v>0.24</v>
      </c>
      <c r="D15" s="6">
        <v>22</v>
      </c>
      <c r="E15" s="7">
        <v>1.03</v>
      </c>
      <c r="G15" s="5">
        <v>0.2</v>
      </c>
      <c r="H15" s="6">
        <v>0.28000000000000003</v>
      </c>
      <c r="I15" s="6">
        <v>0.24</v>
      </c>
      <c r="J15" s="6">
        <v>3</v>
      </c>
      <c r="K15" s="7">
        <v>3.23</v>
      </c>
      <c r="M15" s="5">
        <v>30</v>
      </c>
      <c r="N15" s="6">
        <v>38</v>
      </c>
      <c r="O15" s="6">
        <v>34</v>
      </c>
      <c r="P15" s="6">
        <v>1</v>
      </c>
      <c r="Q15" s="7">
        <v>1</v>
      </c>
      <c r="R15">
        <f t="shared" si="1"/>
        <v>34</v>
      </c>
      <c r="S15" s="7">
        <f t="shared" si="0"/>
        <v>72</v>
      </c>
    </row>
    <row r="16" spans="1:19">
      <c r="A16" s="5">
        <v>0.1</v>
      </c>
      <c r="B16" s="6">
        <v>0.18</v>
      </c>
      <c r="C16" s="6">
        <v>0.14000000000000001</v>
      </c>
      <c r="D16" s="6">
        <v>212</v>
      </c>
      <c r="E16" s="7">
        <v>9.92</v>
      </c>
      <c r="G16" s="5">
        <v>0.1</v>
      </c>
      <c r="H16" s="6">
        <v>0.18</v>
      </c>
      <c r="I16" s="6">
        <v>0.14000000000000001</v>
      </c>
      <c r="J16" s="6">
        <v>11</v>
      </c>
      <c r="K16" s="7">
        <v>11.83</v>
      </c>
      <c r="M16" s="5">
        <v>20</v>
      </c>
      <c r="N16" s="6">
        <v>28</v>
      </c>
      <c r="O16" s="6">
        <v>24</v>
      </c>
      <c r="P16" s="6">
        <v>22</v>
      </c>
      <c r="Q16" s="7">
        <v>3</v>
      </c>
      <c r="R16">
        <f t="shared" si="1"/>
        <v>528</v>
      </c>
      <c r="S16" s="7">
        <f t="shared" si="0"/>
        <v>154</v>
      </c>
    </row>
    <row r="17" spans="1:19">
      <c r="A17" s="5">
        <v>0</v>
      </c>
      <c r="B17" s="6">
        <v>0.08</v>
      </c>
      <c r="C17" s="6">
        <v>0.04</v>
      </c>
      <c r="D17" s="6">
        <v>1002</v>
      </c>
      <c r="E17" s="7">
        <v>46.89</v>
      </c>
      <c r="G17" s="5">
        <v>0</v>
      </c>
      <c r="H17" s="6">
        <v>0.08</v>
      </c>
      <c r="I17" s="6">
        <v>0.04</v>
      </c>
      <c r="J17" s="6">
        <v>55</v>
      </c>
      <c r="K17" s="7">
        <v>59.14</v>
      </c>
      <c r="M17" s="5">
        <v>10</v>
      </c>
      <c r="N17" s="6">
        <v>18</v>
      </c>
      <c r="O17" s="6">
        <v>14</v>
      </c>
      <c r="P17" s="6">
        <v>212</v>
      </c>
      <c r="Q17" s="7">
        <v>11</v>
      </c>
      <c r="R17">
        <f t="shared" si="1"/>
        <v>2968</v>
      </c>
      <c r="S17" s="7">
        <f t="shared" si="0"/>
        <v>220</v>
      </c>
    </row>
    <row r="18" spans="1:19">
      <c r="A18" s="5">
        <v>0</v>
      </c>
      <c r="B18" s="6">
        <v>0</v>
      </c>
      <c r="C18" s="6">
        <v>0</v>
      </c>
      <c r="D18" s="6">
        <v>888</v>
      </c>
      <c r="E18" s="7">
        <v>41.55</v>
      </c>
      <c r="G18" s="5">
        <v>0</v>
      </c>
      <c r="H18" s="6">
        <v>0</v>
      </c>
      <c r="I18" s="6">
        <v>0</v>
      </c>
      <c r="J18" s="6">
        <v>22</v>
      </c>
      <c r="K18" s="7">
        <v>23.66</v>
      </c>
      <c r="M18" s="5">
        <v>0</v>
      </c>
      <c r="N18" s="6">
        <v>8</v>
      </c>
      <c r="O18" s="6">
        <v>4</v>
      </c>
      <c r="P18" s="6">
        <v>1002</v>
      </c>
      <c r="Q18" s="7">
        <v>55</v>
      </c>
      <c r="R18">
        <f t="shared" si="1"/>
        <v>4008</v>
      </c>
      <c r="S18" s="7">
        <f t="shared" si="0"/>
        <v>0</v>
      </c>
    </row>
    <row r="19" spans="1:19">
      <c r="A19" s="15"/>
      <c r="B19" s="16"/>
      <c r="C19" s="16"/>
      <c r="D19" s="16"/>
      <c r="E19" s="17"/>
      <c r="G19" s="15"/>
      <c r="H19" s="16"/>
      <c r="I19" s="16"/>
      <c r="J19" s="16"/>
      <c r="K19" s="17"/>
      <c r="M19" s="12">
        <v>0</v>
      </c>
      <c r="N19" s="13">
        <v>0</v>
      </c>
      <c r="O19" s="13">
        <v>0</v>
      </c>
      <c r="P19" s="13">
        <v>888</v>
      </c>
      <c r="Q19" s="14">
        <v>22</v>
      </c>
      <c r="R19">
        <v>0</v>
      </c>
      <c r="S19" s="7">
        <v>0</v>
      </c>
    </row>
    <row r="20" spans="1:19">
      <c r="A20" s="15" t="s">
        <v>60</v>
      </c>
      <c r="B20" s="16"/>
      <c r="C20" s="16">
        <v>3.9007954999999997E-2</v>
      </c>
      <c r="D20" s="16"/>
      <c r="E20" s="17"/>
      <c r="G20" s="15" t="s">
        <v>60</v>
      </c>
      <c r="H20" s="16"/>
      <c r="I20" s="16">
        <v>6.0645161000000003E-2</v>
      </c>
      <c r="J20" s="16"/>
      <c r="K20" s="17"/>
      <c r="O20" t="s">
        <v>9</v>
      </c>
      <c r="P20">
        <f>SUM(P5:P19)</f>
        <v>2137</v>
      </c>
      <c r="Q20">
        <f>SUM(Q5:Q19)</f>
        <v>93</v>
      </c>
    </row>
    <row r="21" spans="1:19">
      <c r="A21" s="15" t="s">
        <v>61</v>
      </c>
      <c r="B21" s="18"/>
      <c r="C21" s="18">
        <v>6.2386522999999999E-2</v>
      </c>
      <c r="D21" s="18"/>
      <c r="E21" s="19"/>
      <c r="G21" s="15" t="s">
        <v>61</v>
      </c>
      <c r="H21" s="18"/>
      <c r="I21" s="18">
        <v>9.1182795999999997E-2</v>
      </c>
      <c r="J21" s="18"/>
      <c r="K21" s="19"/>
      <c r="O21" t="s">
        <v>217</v>
      </c>
      <c r="P21">
        <f>SUM(R5:R19)/P20</f>
        <v>3.9007955077211043</v>
      </c>
      <c r="Q21" cm="1">
        <f t="array" ref="Q21">SUM(S4:S19/Q20)</f>
        <v>6.064516129032258</v>
      </c>
    </row>
    <row r="22" spans="1:19">
      <c r="A22" s="20" t="s">
        <v>62</v>
      </c>
      <c r="B22" s="21"/>
      <c r="C22" s="21">
        <v>1.5629387000000002E-2</v>
      </c>
      <c r="D22" s="21"/>
      <c r="E22" s="22"/>
      <c r="G22" s="20" t="s">
        <v>62</v>
      </c>
      <c r="H22" s="21"/>
      <c r="I22" s="21">
        <v>3.0107526999999999E-2</v>
      </c>
      <c r="J22" s="21"/>
      <c r="K22" s="22"/>
    </row>
    <row r="23" spans="1:19">
      <c r="K23">
        <f>SUM(K4:K18)</f>
        <v>100.02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8"/>
  <sheetViews>
    <sheetView topLeftCell="A13" workbookViewId="0">
      <selection activeCell="C14" sqref="C14"/>
    </sheetView>
  </sheetViews>
  <sheetFormatPr defaultRowHeight="14.4"/>
  <cols>
    <col min="1" max="1" width="18.5546875" customWidth="1"/>
    <col min="2" max="2" width="22" customWidth="1"/>
    <col min="3" max="3" width="20.44140625" customWidth="1"/>
    <col min="4" max="4" width="14" customWidth="1"/>
    <col min="5" max="5" width="15.5546875" customWidth="1"/>
    <col min="7" max="7" width="19.6640625" customWidth="1"/>
    <col min="8" max="8" width="18.109375" customWidth="1"/>
    <col min="9" max="9" width="18.44140625" customWidth="1"/>
    <col min="12" max="12" width="17.109375" customWidth="1"/>
  </cols>
  <sheetData>
    <row r="1" spans="1:12" ht="15" thickBot="1">
      <c r="A1" s="8" t="s">
        <v>63</v>
      </c>
      <c r="B1" s="9"/>
      <c r="C1" s="10"/>
      <c r="D1" s="10"/>
      <c r="E1" s="11"/>
      <c r="G1" s="8" t="s">
        <v>64</v>
      </c>
      <c r="H1" s="9"/>
      <c r="I1" s="10"/>
      <c r="J1" s="10"/>
      <c r="K1" s="11"/>
    </row>
    <row r="2" spans="1:12">
      <c r="A2" s="5" t="s">
        <v>48</v>
      </c>
      <c r="B2" s="6" t="s">
        <v>48</v>
      </c>
      <c r="C2" s="6" t="s">
        <v>48</v>
      </c>
      <c r="D2" s="6" t="s">
        <v>49</v>
      </c>
      <c r="E2" s="7" t="s">
        <v>50</v>
      </c>
      <c r="G2" s="5" t="s">
        <v>48</v>
      </c>
      <c r="H2" s="6" t="s">
        <v>48</v>
      </c>
      <c r="I2" s="6" t="s">
        <v>48</v>
      </c>
      <c r="J2" s="6" t="s">
        <v>49</v>
      </c>
      <c r="K2" s="7" t="s">
        <v>50</v>
      </c>
    </row>
    <row r="3" spans="1:12">
      <c r="A3" s="12" t="s">
        <v>53</v>
      </c>
      <c r="B3" s="13" t="s">
        <v>54</v>
      </c>
      <c r="C3" s="13" t="s">
        <v>55</v>
      </c>
      <c r="D3" s="13" t="s">
        <v>56</v>
      </c>
      <c r="E3" s="14" t="s">
        <v>56</v>
      </c>
      <c r="G3" s="12" t="s">
        <v>53</v>
      </c>
      <c r="H3" s="13" t="s">
        <v>54</v>
      </c>
      <c r="I3" s="13" t="s">
        <v>55</v>
      </c>
      <c r="J3" s="13" t="s">
        <v>56</v>
      </c>
      <c r="K3" s="14" t="s">
        <v>56</v>
      </c>
      <c r="L3" s="6" t="s">
        <v>91</v>
      </c>
    </row>
    <row r="4" spans="1:12">
      <c r="A4" s="5">
        <v>2</v>
      </c>
      <c r="B4" s="6">
        <v>2.08</v>
      </c>
      <c r="C4" s="6">
        <v>2.04</v>
      </c>
      <c r="D4" s="6">
        <v>0</v>
      </c>
      <c r="E4" s="7">
        <v>0</v>
      </c>
      <c r="G4" s="5">
        <v>2</v>
      </c>
      <c r="H4" s="6">
        <v>2.08</v>
      </c>
      <c r="I4" s="6">
        <v>2.04</v>
      </c>
      <c r="J4" s="6">
        <v>0</v>
      </c>
      <c r="K4" s="7">
        <v>0</v>
      </c>
      <c r="L4">
        <f>J4*I4*100</f>
        <v>0</v>
      </c>
    </row>
    <row r="5" spans="1:12">
      <c r="A5" s="5">
        <v>1.65</v>
      </c>
      <c r="B5" s="6">
        <v>1.73</v>
      </c>
      <c r="C5" s="6">
        <v>1.69</v>
      </c>
      <c r="D5" s="6">
        <v>0</v>
      </c>
      <c r="E5" s="7">
        <v>0</v>
      </c>
      <c r="G5" s="5">
        <v>1.65</v>
      </c>
      <c r="H5" s="6">
        <v>1.73</v>
      </c>
      <c r="I5" s="6">
        <v>1.69</v>
      </c>
      <c r="J5" s="6">
        <v>0</v>
      </c>
      <c r="K5" s="7">
        <v>0</v>
      </c>
      <c r="L5">
        <f t="shared" ref="L5:L16" si="0">J5*I5*100</f>
        <v>0</v>
      </c>
    </row>
    <row r="6" spans="1:12">
      <c r="A6" s="5">
        <v>1.32</v>
      </c>
      <c r="B6" s="6">
        <v>1.4</v>
      </c>
      <c r="C6" s="6">
        <v>1.36</v>
      </c>
      <c r="D6" s="6">
        <v>1</v>
      </c>
      <c r="E6" s="7">
        <v>7.0000000000000007E-2</v>
      </c>
      <c r="G6" s="5">
        <v>1.3</v>
      </c>
      <c r="H6" s="6">
        <v>1.38</v>
      </c>
      <c r="I6" s="6">
        <v>1.34</v>
      </c>
      <c r="J6" s="6">
        <v>0</v>
      </c>
      <c r="K6" s="7">
        <v>0</v>
      </c>
      <c r="L6">
        <f t="shared" si="0"/>
        <v>0</v>
      </c>
    </row>
    <row r="7" spans="1:12">
      <c r="A7" s="5">
        <v>0.98</v>
      </c>
      <c r="B7" s="6">
        <v>1.06</v>
      </c>
      <c r="C7" s="6">
        <v>1.02</v>
      </c>
      <c r="D7" s="6">
        <v>10</v>
      </c>
      <c r="E7" s="7">
        <v>0.71</v>
      </c>
      <c r="G7" s="5">
        <v>1</v>
      </c>
      <c r="H7" s="6">
        <v>1.08</v>
      </c>
      <c r="I7" s="6">
        <v>1.04</v>
      </c>
      <c r="J7" s="6">
        <v>0</v>
      </c>
      <c r="K7" s="7">
        <v>0</v>
      </c>
      <c r="L7">
        <f t="shared" si="0"/>
        <v>0</v>
      </c>
    </row>
    <row r="8" spans="1:12">
      <c r="A8" s="5">
        <v>0.8</v>
      </c>
      <c r="B8" s="6">
        <v>0.88</v>
      </c>
      <c r="C8" s="6">
        <v>0.84</v>
      </c>
      <c r="D8" s="6">
        <v>14</v>
      </c>
      <c r="E8" s="7">
        <v>1</v>
      </c>
      <c r="G8" s="5">
        <v>0.8</v>
      </c>
      <c r="H8" s="6">
        <v>0.88</v>
      </c>
      <c r="I8" s="6">
        <v>0.84</v>
      </c>
      <c r="J8" s="6">
        <v>0</v>
      </c>
      <c r="K8" s="7">
        <v>0</v>
      </c>
      <c r="L8">
        <f t="shared" si="0"/>
        <v>0</v>
      </c>
    </row>
    <row r="9" spans="1:12">
      <c r="A9" s="5">
        <v>0.6</v>
      </c>
      <c r="B9" s="6">
        <v>0.68</v>
      </c>
      <c r="C9" s="6">
        <v>0.64</v>
      </c>
      <c r="D9" s="6">
        <v>8</v>
      </c>
      <c r="E9" s="7">
        <v>0.56999999999999995</v>
      </c>
      <c r="G9" s="5">
        <v>0.6</v>
      </c>
      <c r="H9" s="6">
        <v>0.68</v>
      </c>
      <c r="I9" s="6">
        <v>0.64</v>
      </c>
      <c r="J9" s="6">
        <v>0</v>
      </c>
      <c r="K9" s="7">
        <v>0</v>
      </c>
      <c r="L9">
        <f t="shared" si="0"/>
        <v>0</v>
      </c>
    </row>
    <row r="10" spans="1:12">
      <c r="A10" s="5">
        <v>0.5</v>
      </c>
      <c r="B10" s="6">
        <v>0.57999999999999996</v>
      </c>
      <c r="C10" s="6">
        <v>0.54</v>
      </c>
      <c r="D10" s="6">
        <v>34</v>
      </c>
      <c r="E10" s="7">
        <v>2.42</v>
      </c>
      <c r="G10" s="5">
        <v>0.5</v>
      </c>
      <c r="H10" s="6">
        <v>0.57999999999999996</v>
      </c>
      <c r="I10" s="6">
        <v>0.54</v>
      </c>
      <c r="J10" s="6">
        <v>1</v>
      </c>
      <c r="K10" s="7">
        <v>1.69</v>
      </c>
      <c r="L10">
        <f t="shared" si="0"/>
        <v>54</v>
      </c>
    </row>
    <row r="11" spans="1:12">
      <c r="A11" s="5">
        <v>0.4</v>
      </c>
      <c r="B11" s="6">
        <v>0.48</v>
      </c>
      <c r="C11" s="6">
        <v>0.44</v>
      </c>
      <c r="D11" s="6">
        <v>34</v>
      </c>
      <c r="E11" s="7">
        <v>2.42</v>
      </c>
      <c r="G11" s="5">
        <v>0.4</v>
      </c>
      <c r="H11" s="6">
        <v>0.48</v>
      </c>
      <c r="I11" s="6">
        <v>0.44</v>
      </c>
      <c r="J11" s="6">
        <v>1</v>
      </c>
      <c r="K11" s="7">
        <v>1.69</v>
      </c>
      <c r="L11">
        <f t="shared" si="0"/>
        <v>44</v>
      </c>
    </row>
    <row r="12" spans="1:12">
      <c r="A12" s="5">
        <v>0.3</v>
      </c>
      <c r="B12" s="6">
        <v>0.38</v>
      </c>
      <c r="C12" s="6">
        <v>0.34</v>
      </c>
      <c r="D12" s="6">
        <v>41</v>
      </c>
      <c r="E12" s="7">
        <v>2.92</v>
      </c>
      <c r="G12" s="5">
        <v>0.3</v>
      </c>
      <c r="H12" s="6">
        <v>0.38</v>
      </c>
      <c r="I12" s="6">
        <v>0.34</v>
      </c>
      <c r="J12" s="6">
        <v>3</v>
      </c>
      <c r="K12" s="7">
        <v>5.08</v>
      </c>
      <c r="L12">
        <f t="shared" si="0"/>
        <v>102</v>
      </c>
    </row>
    <row r="13" spans="1:12">
      <c r="A13" s="5">
        <v>0.2</v>
      </c>
      <c r="B13" s="6">
        <v>0.28000000000000003</v>
      </c>
      <c r="C13" s="6">
        <v>0.24</v>
      </c>
      <c r="D13" s="6">
        <v>124</v>
      </c>
      <c r="E13" s="7">
        <v>8.83</v>
      </c>
      <c r="G13" s="5">
        <v>0.2</v>
      </c>
      <c r="H13" s="6">
        <v>0.28000000000000003</v>
      </c>
      <c r="I13" s="6">
        <v>0.24</v>
      </c>
      <c r="J13" s="6">
        <v>7</v>
      </c>
      <c r="K13" s="7">
        <v>11.86</v>
      </c>
      <c r="L13">
        <f t="shared" si="0"/>
        <v>168</v>
      </c>
    </row>
    <row r="14" spans="1:12">
      <c r="A14" s="5">
        <v>0.1</v>
      </c>
      <c r="B14" s="6">
        <v>0.18</v>
      </c>
      <c r="C14" s="6">
        <v>0.14000000000000001</v>
      </c>
      <c r="D14" s="6">
        <v>120</v>
      </c>
      <c r="E14" s="7">
        <v>8.5500000000000007</v>
      </c>
      <c r="G14" s="5">
        <v>0.1</v>
      </c>
      <c r="H14" s="6">
        <v>0.18</v>
      </c>
      <c r="I14" s="6">
        <v>0.14000000000000001</v>
      </c>
      <c r="J14" s="6">
        <v>11</v>
      </c>
      <c r="K14" s="7">
        <v>18.64</v>
      </c>
      <c r="L14">
        <f t="shared" si="0"/>
        <v>154</v>
      </c>
    </row>
    <row r="15" spans="1:12">
      <c r="A15" s="5">
        <v>0</v>
      </c>
      <c r="B15" s="6">
        <v>0.08</v>
      </c>
      <c r="C15" s="6">
        <v>0.04</v>
      </c>
      <c r="D15" s="6">
        <v>616</v>
      </c>
      <c r="E15" s="7">
        <v>43.87</v>
      </c>
      <c r="G15" s="5">
        <v>0</v>
      </c>
      <c r="H15" s="6">
        <v>0.08</v>
      </c>
      <c r="I15" s="6">
        <v>0.04</v>
      </c>
      <c r="J15" s="6">
        <v>12</v>
      </c>
      <c r="K15" s="7">
        <v>20.34</v>
      </c>
      <c r="L15">
        <f t="shared" si="0"/>
        <v>48</v>
      </c>
    </row>
    <row r="16" spans="1:12">
      <c r="A16" s="5">
        <v>0</v>
      </c>
      <c r="B16" s="6">
        <v>0</v>
      </c>
      <c r="C16" s="6">
        <v>0</v>
      </c>
      <c r="D16" s="6">
        <v>402</v>
      </c>
      <c r="E16" s="7">
        <v>28.63</v>
      </c>
      <c r="G16" s="5">
        <v>0</v>
      </c>
      <c r="H16" s="6">
        <v>0</v>
      </c>
      <c r="I16" s="6">
        <v>0</v>
      </c>
      <c r="J16" s="6">
        <v>24</v>
      </c>
      <c r="K16" s="7">
        <v>40.68</v>
      </c>
      <c r="L16">
        <f t="shared" si="0"/>
        <v>0</v>
      </c>
    </row>
    <row r="17" spans="1:11">
      <c r="A17" s="15"/>
      <c r="B17" s="16"/>
      <c r="C17" s="16"/>
      <c r="D17" s="16"/>
      <c r="E17" s="17"/>
      <c r="G17" s="15"/>
      <c r="H17" s="16"/>
      <c r="I17" s="16"/>
      <c r="J17" s="16"/>
      <c r="K17" s="17"/>
    </row>
    <row r="18" spans="1:11">
      <c r="A18" s="15" t="s">
        <v>60</v>
      </c>
      <c r="B18" s="16"/>
      <c r="C18" s="16">
        <v>0.10462963</v>
      </c>
      <c r="D18" s="16"/>
      <c r="E18" s="17"/>
      <c r="G18" s="15" t="s">
        <v>60</v>
      </c>
      <c r="H18" s="16"/>
      <c r="I18" s="16">
        <v>9.6610168999999996E-2</v>
      </c>
      <c r="J18" s="16"/>
      <c r="K18" s="17"/>
    </row>
    <row r="19" spans="1:11">
      <c r="A19" s="15" t="s">
        <v>61</v>
      </c>
      <c r="B19" s="18"/>
      <c r="C19" s="18">
        <v>0.13317663800000001</v>
      </c>
      <c r="D19" s="18"/>
      <c r="E19" s="19"/>
      <c r="G19" s="15" t="s">
        <v>61</v>
      </c>
      <c r="H19" s="18"/>
      <c r="I19" s="18">
        <v>0.120338983</v>
      </c>
      <c r="J19" s="18"/>
      <c r="K19" s="19"/>
    </row>
    <row r="20" spans="1:11">
      <c r="A20" s="20" t="s">
        <v>62</v>
      </c>
      <c r="B20" s="21"/>
      <c r="C20" s="21">
        <v>7.6082621000000003E-2</v>
      </c>
      <c r="D20" s="21"/>
      <c r="E20" s="22"/>
      <c r="G20" s="20" t="s">
        <v>62</v>
      </c>
      <c r="H20" s="21"/>
      <c r="I20" s="21">
        <v>7.2881355999999994E-2</v>
      </c>
      <c r="J20" s="21"/>
      <c r="K20" s="22"/>
    </row>
    <row r="21" spans="1:11">
      <c r="I21" t="s">
        <v>139</v>
      </c>
      <c r="J21">
        <f>SUM(J4:J16)</f>
        <v>59</v>
      </c>
    </row>
    <row r="22" spans="1:11" ht="16.8">
      <c r="A22" s="23" t="s">
        <v>65</v>
      </c>
      <c r="B22" s="18"/>
      <c r="C22" s="18"/>
      <c r="D22" s="18"/>
      <c r="E22" s="18"/>
      <c r="I22" t="s">
        <v>90</v>
      </c>
      <c r="J22">
        <f>SUM(L4:L16)/J21</f>
        <v>9.6610169491525415</v>
      </c>
    </row>
    <row r="23" spans="1:11">
      <c r="A23" s="24" t="s">
        <v>66</v>
      </c>
      <c r="B23" s="10" t="s">
        <v>67</v>
      </c>
      <c r="C23" s="10"/>
      <c r="D23" s="10"/>
      <c r="E23" s="11"/>
    </row>
    <row r="24" spans="1:11">
      <c r="A24" s="25" t="s">
        <v>57</v>
      </c>
      <c r="B24" s="11" t="s">
        <v>57</v>
      </c>
      <c r="C24" s="11" t="s">
        <v>57</v>
      </c>
      <c r="D24" s="11" t="s">
        <v>58</v>
      </c>
      <c r="E24" s="11" t="s">
        <v>59</v>
      </c>
    </row>
    <row r="25" spans="1:11">
      <c r="A25" s="26" t="s">
        <v>53</v>
      </c>
      <c r="B25" s="14" t="s">
        <v>54</v>
      </c>
      <c r="C25" s="14" t="s">
        <v>55</v>
      </c>
      <c r="D25" s="14" t="s">
        <v>56</v>
      </c>
      <c r="E25" s="14" t="s">
        <v>56</v>
      </c>
    </row>
    <row r="26" spans="1:11">
      <c r="A26" s="5">
        <v>200</v>
      </c>
      <c r="B26" s="6">
        <v>208</v>
      </c>
      <c r="C26" s="6">
        <v>204</v>
      </c>
      <c r="D26" s="6">
        <v>0</v>
      </c>
      <c r="E26" s="7">
        <v>0</v>
      </c>
    </row>
    <row r="27" spans="1:11">
      <c r="A27" s="5">
        <v>165</v>
      </c>
      <c r="B27" s="6">
        <v>173</v>
      </c>
      <c r="C27" s="6">
        <v>169</v>
      </c>
      <c r="D27" s="6">
        <v>0</v>
      </c>
      <c r="E27" s="7">
        <v>0</v>
      </c>
    </row>
    <row r="28" spans="1:11">
      <c r="A28" s="5">
        <v>132</v>
      </c>
      <c r="B28" s="6">
        <v>140</v>
      </c>
      <c r="C28" s="6">
        <v>136</v>
      </c>
      <c r="D28" s="6">
        <v>1</v>
      </c>
      <c r="E28" s="7">
        <v>0</v>
      </c>
    </row>
    <row r="29" spans="1:11">
      <c r="A29" s="5">
        <v>98</v>
      </c>
      <c r="B29" s="6">
        <v>106</v>
      </c>
      <c r="C29" s="6">
        <v>102</v>
      </c>
      <c r="D29" s="6">
        <v>10</v>
      </c>
      <c r="E29" s="7">
        <v>0</v>
      </c>
    </row>
    <row r="30" spans="1:11">
      <c r="A30" s="5">
        <v>80</v>
      </c>
      <c r="B30" s="6">
        <v>88</v>
      </c>
      <c r="C30" s="6">
        <v>84</v>
      </c>
      <c r="D30" s="6">
        <v>14</v>
      </c>
      <c r="E30" s="7">
        <v>0</v>
      </c>
    </row>
    <row r="31" spans="1:11">
      <c r="A31" s="5">
        <v>60</v>
      </c>
      <c r="B31" s="6">
        <v>68</v>
      </c>
      <c r="C31" s="6">
        <v>64</v>
      </c>
      <c r="D31" s="6">
        <v>8</v>
      </c>
      <c r="E31" s="7">
        <v>0</v>
      </c>
    </row>
    <row r="32" spans="1:11">
      <c r="A32" s="5">
        <v>50</v>
      </c>
      <c r="B32" s="6">
        <v>58</v>
      </c>
      <c r="C32" s="6">
        <v>54</v>
      </c>
      <c r="D32" s="6">
        <v>34</v>
      </c>
      <c r="E32" s="7">
        <v>1</v>
      </c>
    </row>
    <row r="33" spans="1:5">
      <c r="A33" s="5">
        <v>40</v>
      </c>
      <c r="B33" s="6">
        <v>48</v>
      </c>
      <c r="C33" s="6">
        <v>44</v>
      </c>
      <c r="D33" s="6">
        <v>34</v>
      </c>
      <c r="E33" s="7">
        <v>1</v>
      </c>
    </row>
    <row r="34" spans="1:5">
      <c r="A34" s="5">
        <v>30</v>
      </c>
      <c r="B34" s="6">
        <v>38</v>
      </c>
      <c r="C34" s="6">
        <v>34</v>
      </c>
      <c r="D34" s="6">
        <v>41</v>
      </c>
      <c r="E34" s="7">
        <v>3</v>
      </c>
    </row>
    <row r="35" spans="1:5">
      <c r="A35" s="5">
        <v>20</v>
      </c>
      <c r="B35" s="6">
        <v>28</v>
      </c>
      <c r="C35" s="6">
        <v>24</v>
      </c>
      <c r="D35" s="6">
        <v>124</v>
      </c>
      <c r="E35" s="7">
        <v>7</v>
      </c>
    </row>
    <row r="36" spans="1:5">
      <c r="A36" s="5">
        <v>10</v>
      </c>
      <c r="B36" s="6">
        <v>18</v>
      </c>
      <c r="C36" s="6">
        <v>14</v>
      </c>
      <c r="D36" s="6">
        <v>120</v>
      </c>
      <c r="E36" s="7">
        <v>11</v>
      </c>
    </row>
    <row r="37" spans="1:5">
      <c r="A37" s="5">
        <v>0</v>
      </c>
      <c r="B37" s="6">
        <v>8</v>
      </c>
      <c r="C37" s="6">
        <v>4</v>
      </c>
      <c r="D37" s="6">
        <v>616</v>
      </c>
      <c r="E37" s="7">
        <v>12</v>
      </c>
    </row>
    <row r="38" spans="1:5">
      <c r="A38" s="12">
        <v>0</v>
      </c>
      <c r="B38" s="13">
        <v>0</v>
      </c>
      <c r="C38" s="13">
        <v>0</v>
      </c>
      <c r="D38" s="13">
        <v>402</v>
      </c>
      <c r="E38" s="14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2"/>
  <sheetViews>
    <sheetView workbookViewId="0">
      <selection activeCell="L20" sqref="L20"/>
    </sheetView>
  </sheetViews>
  <sheetFormatPr defaultRowHeight="14.4"/>
  <cols>
    <col min="1" max="1" width="22.109375" customWidth="1"/>
    <col min="2" max="2" width="20.44140625" customWidth="1"/>
    <col min="3" max="3" width="23.5546875" customWidth="1"/>
    <col min="4" max="4" width="14.44140625" customWidth="1"/>
    <col min="5" max="5" width="17" customWidth="1"/>
    <col min="7" max="7" width="18.6640625" customWidth="1"/>
    <col min="8" max="8" width="18.44140625" customWidth="1"/>
    <col min="9" max="9" width="20.33203125" customWidth="1"/>
    <col min="10" max="10" width="17.44140625" customWidth="1"/>
    <col min="11" max="11" width="14.44140625" customWidth="1"/>
    <col min="12" max="12" width="15.88671875" customWidth="1"/>
  </cols>
  <sheetData>
    <row r="1" spans="1:12" ht="15" thickBot="1">
      <c r="A1" s="8" t="s">
        <v>68</v>
      </c>
      <c r="B1" s="9"/>
      <c r="C1" s="10"/>
      <c r="D1" s="10"/>
      <c r="E1" s="11"/>
      <c r="G1" s="8" t="s">
        <v>69</v>
      </c>
      <c r="H1" s="9"/>
      <c r="I1" s="10"/>
      <c r="J1" s="10"/>
      <c r="K1" s="11"/>
    </row>
    <row r="2" spans="1:12">
      <c r="A2" s="5" t="s">
        <v>70</v>
      </c>
      <c r="B2" s="6" t="s">
        <v>70</v>
      </c>
      <c r="C2" s="6" t="s">
        <v>70</v>
      </c>
      <c r="D2" s="6" t="s">
        <v>49</v>
      </c>
      <c r="E2" s="7" t="s">
        <v>50</v>
      </c>
      <c r="G2" s="5" t="s">
        <v>70</v>
      </c>
      <c r="H2" s="6" t="s">
        <v>70</v>
      </c>
      <c r="I2" s="6" t="s">
        <v>70</v>
      </c>
      <c r="J2" s="6" t="s">
        <v>49</v>
      </c>
      <c r="K2" s="7" t="s">
        <v>50</v>
      </c>
    </row>
    <row r="3" spans="1:12">
      <c r="A3" s="12" t="s">
        <v>53</v>
      </c>
      <c r="B3" s="13" t="s">
        <v>54</v>
      </c>
      <c r="C3" s="13" t="s">
        <v>55</v>
      </c>
      <c r="D3" s="13" t="s">
        <v>56</v>
      </c>
      <c r="E3" s="14" t="s">
        <v>56</v>
      </c>
      <c r="G3" s="12" t="s">
        <v>53</v>
      </c>
      <c r="H3" s="13" t="s">
        <v>54</v>
      </c>
      <c r="I3" s="13" t="s">
        <v>55</v>
      </c>
      <c r="J3" s="13" t="s">
        <v>56</v>
      </c>
      <c r="K3" s="14" t="s">
        <v>56</v>
      </c>
      <c r="L3" s="6" t="s">
        <v>76</v>
      </c>
    </row>
    <row r="4" spans="1:12">
      <c r="A4" s="5">
        <v>2</v>
      </c>
      <c r="B4" s="6">
        <v>2.08</v>
      </c>
      <c r="C4" s="6">
        <v>2.04</v>
      </c>
      <c r="D4" s="6">
        <v>0</v>
      </c>
      <c r="E4" s="7">
        <v>0</v>
      </c>
      <c r="G4" s="5">
        <v>2</v>
      </c>
      <c r="H4" s="6">
        <v>2.08</v>
      </c>
      <c r="I4" s="6">
        <v>2.04</v>
      </c>
      <c r="J4" s="6">
        <v>0</v>
      </c>
      <c r="K4" s="7">
        <v>0</v>
      </c>
      <c r="L4">
        <f>J4*I4*100</f>
        <v>0</v>
      </c>
    </row>
    <row r="5" spans="1:12">
      <c r="A5" s="5">
        <v>1.65</v>
      </c>
      <c r="B5" s="6">
        <v>1.73</v>
      </c>
      <c r="C5" s="6">
        <v>1.69</v>
      </c>
      <c r="D5" s="6">
        <v>0</v>
      </c>
      <c r="E5" s="7">
        <v>0</v>
      </c>
      <c r="G5" s="5">
        <v>1.65</v>
      </c>
      <c r="H5" s="6">
        <v>1.73</v>
      </c>
      <c r="I5" s="6">
        <v>1.69</v>
      </c>
      <c r="J5" s="6">
        <v>0</v>
      </c>
      <c r="K5" s="7">
        <v>0</v>
      </c>
      <c r="L5">
        <f t="shared" ref="L5:L18" si="0">J5*I5*100</f>
        <v>0</v>
      </c>
    </row>
    <row r="6" spans="1:12">
      <c r="A6" s="5">
        <v>1.3</v>
      </c>
      <c r="B6" s="6">
        <v>1.38</v>
      </c>
      <c r="C6" s="6">
        <v>1.34</v>
      </c>
      <c r="D6" s="6">
        <v>0</v>
      </c>
      <c r="E6" s="7">
        <v>0</v>
      </c>
      <c r="G6" s="5">
        <v>1.3</v>
      </c>
      <c r="H6" s="6">
        <v>1.38</v>
      </c>
      <c r="I6" s="6">
        <v>1.34</v>
      </c>
      <c r="J6" s="6">
        <v>2</v>
      </c>
      <c r="K6" s="7">
        <v>2.4700000000000002</v>
      </c>
      <c r="L6">
        <f t="shared" si="0"/>
        <v>268</v>
      </c>
    </row>
    <row r="7" spans="1:12">
      <c r="A7" s="5">
        <v>1</v>
      </c>
      <c r="B7" s="6">
        <v>1.08</v>
      </c>
      <c r="C7" s="6">
        <v>1.04</v>
      </c>
      <c r="D7" s="6">
        <v>1</v>
      </c>
      <c r="E7" s="7">
        <v>0.05</v>
      </c>
      <c r="G7" s="5">
        <v>1</v>
      </c>
      <c r="H7" s="6">
        <v>1.08</v>
      </c>
      <c r="I7" s="6">
        <v>1.04</v>
      </c>
      <c r="J7" s="6">
        <v>1</v>
      </c>
      <c r="K7" s="7">
        <v>1.23</v>
      </c>
      <c r="L7">
        <f t="shared" si="0"/>
        <v>104</v>
      </c>
    </row>
    <row r="8" spans="1:12">
      <c r="A8" s="5">
        <v>0.9</v>
      </c>
      <c r="B8" s="6">
        <v>0.98</v>
      </c>
      <c r="C8" s="6">
        <v>0.94</v>
      </c>
      <c r="D8" s="6">
        <v>4</v>
      </c>
      <c r="E8" s="7">
        <v>0.19</v>
      </c>
      <c r="G8" s="5">
        <v>0.9</v>
      </c>
      <c r="H8" s="6">
        <v>0.98</v>
      </c>
      <c r="I8" s="6">
        <v>0.94</v>
      </c>
      <c r="J8" s="6">
        <v>3</v>
      </c>
      <c r="K8" s="7">
        <v>3.7</v>
      </c>
      <c r="L8">
        <f t="shared" si="0"/>
        <v>282</v>
      </c>
    </row>
    <row r="9" spans="1:12">
      <c r="A9" s="5">
        <v>0.8</v>
      </c>
      <c r="B9" s="6">
        <v>0.88</v>
      </c>
      <c r="C9" s="6">
        <v>0.84</v>
      </c>
      <c r="D9" s="6">
        <v>3</v>
      </c>
      <c r="E9" s="7">
        <v>0.15</v>
      </c>
      <c r="G9" s="5">
        <v>0.8</v>
      </c>
      <c r="H9" s="6">
        <v>0.88</v>
      </c>
      <c r="I9" s="6">
        <v>0.84</v>
      </c>
      <c r="J9" s="6">
        <v>0</v>
      </c>
      <c r="K9" s="7">
        <v>0</v>
      </c>
      <c r="L9">
        <f t="shared" si="0"/>
        <v>0</v>
      </c>
    </row>
    <row r="10" spans="1:12">
      <c r="A10" s="5">
        <v>0.7</v>
      </c>
      <c r="B10" s="6">
        <v>0.78</v>
      </c>
      <c r="C10" s="6">
        <v>0.74</v>
      </c>
      <c r="D10" s="6">
        <v>3</v>
      </c>
      <c r="E10" s="7">
        <v>0.15</v>
      </c>
      <c r="G10" s="5">
        <v>0.7</v>
      </c>
      <c r="H10" s="6">
        <v>0.78</v>
      </c>
      <c r="I10" s="6">
        <v>0.74</v>
      </c>
      <c r="J10" s="6">
        <v>10</v>
      </c>
      <c r="K10" s="7">
        <v>12.35</v>
      </c>
      <c r="L10">
        <f t="shared" si="0"/>
        <v>740</v>
      </c>
    </row>
    <row r="11" spans="1:12">
      <c r="A11" s="5">
        <v>0.6</v>
      </c>
      <c r="B11" s="6">
        <v>0.68</v>
      </c>
      <c r="C11" s="6">
        <v>0.64</v>
      </c>
      <c r="D11" s="6">
        <v>5</v>
      </c>
      <c r="E11" s="7">
        <v>0.24</v>
      </c>
      <c r="G11" s="5">
        <v>0.6</v>
      </c>
      <c r="H11" s="6">
        <v>0.68</v>
      </c>
      <c r="I11" s="6">
        <v>0.64</v>
      </c>
      <c r="J11" s="6">
        <v>9</v>
      </c>
      <c r="K11" s="7">
        <v>11.11</v>
      </c>
      <c r="L11">
        <f t="shared" si="0"/>
        <v>576</v>
      </c>
    </row>
    <row r="12" spans="1:12">
      <c r="A12" s="5">
        <v>0.5</v>
      </c>
      <c r="B12" s="6">
        <v>0.57999999999999996</v>
      </c>
      <c r="C12" s="6">
        <v>0.54</v>
      </c>
      <c r="D12" s="6">
        <v>20</v>
      </c>
      <c r="E12" s="7">
        <v>0.97</v>
      </c>
      <c r="G12" s="5">
        <v>0.5</v>
      </c>
      <c r="H12" s="6">
        <v>0.57999999999999996</v>
      </c>
      <c r="I12" s="6">
        <v>0.54</v>
      </c>
      <c r="J12" s="6">
        <v>1</v>
      </c>
      <c r="K12" s="7">
        <v>1.23</v>
      </c>
      <c r="L12">
        <f t="shared" si="0"/>
        <v>54</v>
      </c>
    </row>
    <row r="13" spans="1:12">
      <c r="A13" s="5">
        <v>0.4</v>
      </c>
      <c r="B13" s="6">
        <v>0.48</v>
      </c>
      <c r="C13" s="6">
        <v>0.44</v>
      </c>
      <c r="D13" s="6">
        <v>40</v>
      </c>
      <c r="E13" s="7">
        <v>1.94</v>
      </c>
      <c r="G13" s="5">
        <v>0.4</v>
      </c>
      <c r="H13" s="6">
        <v>0.48</v>
      </c>
      <c r="I13" s="6">
        <v>0.44</v>
      </c>
      <c r="J13" s="6">
        <v>3</v>
      </c>
      <c r="K13" s="7">
        <v>3.7</v>
      </c>
      <c r="L13">
        <f t="shared" si="0"/>
        <v>132</v>
      </c>
    </row>
    <row r="14" spans="1:12">
      <c r="A14" s="5">
        <v>0.3</v>
      </c>
      <c r="B14" s="6">
        <v>0.38</v>
      </c>
      <c r="C14" s="6">
        <v>0.34</v>
      </c>
      <c r="D14" s="6">
        <v>42</v>
      </c>
      <c r="E14" s="7">
        <v>2.04</v>
      </c>
      <c r="G14" s="5">
        <v>0.3</v>
      </c>
      <c r="H14" s="6">
        <v>0.38</v>
      </c>
      <c r="I14" s="6">
        <v>0.34</v>
      </c>
      <c r="J14" s="6">
        <v>0</v>
      </c>
      <c r="K14" s="7">
        <v>0</v>
      </c>
      <c r="L14">
        <f t="shared" si="0"/>
        <v>0</v>
      </c>
    </row>
    <row r="15" spans="1:12">
      <c r="A15" s="5">
        <v>0.2</v>
      </c>
      <c r="B15" s="6">
        <v>0.28000000000000003</v>
      </c>
      <c r="C15" s="6">
        <v>0.24</v>
      </c>
      <c r="D15" s="6">
        <v>160</v>
      </c>
      <c r="E15" s="7">
        <v>7.76</v>
      </c>
      <c r="G15" s="5">
        <v>0.2</v>
      </c>
      <c r="H15" s="6">
        <v>0.28000000000000003</v>
      </c>
      <c r="I15" s="6">
        <v>0.24</v>
      </c>
      <c r="J15" s="6">
        <v>38</v>
      </c>
      <c r="K15" s="7">
        <v>46.91</v>
      </c>
      <c r="L15">
        <f t="shared" si="0"/>
        <v>911.99999999999989</v>
      </c>
    </row>
    <row r="16" spans="1:12">
      <c r="A16" s="5">
        <v>0.1</v>
      </c>
      <c r="B16" s="6">
        <v>0.18</v>
      </c>
      <c r="C16" s="6">
        <v>0.14000000000000001</v>
      </c>
      <c r="D16" s="6">
        <v>1346</v>
      </c>
      <c r="E16" s="7">
        <v>65.239999999999995</v>
      </c>
      <c r="G16" s="5">
        <v>0.1</v>
      </c>
      <c r="H16" s="6">
        <v>0.18</v>
      </c>
      <c r="I16" s="6">
        <v>0.14000000000000001</v>
      </c>
      <c r="J16" s="6">
        <v>13</v>
      </c>
      <c r="K16" s="7">
        <v>16.05</v>
      </c>
      <c r="L16">
        <f t="shared" si="0"/>
        <v>182.00000000000003</v>
      </c>
    </row>
    <row r="17" spans="1:12">
      <c r="A17" s="5">
        <v>0</v>
      </c>
      <c r="B17" s="6">
        <v>0.08</v>
      </c>
      <c r="C17" s="6">
        <v>0.04</v>
      </c>
      <c r="D17" s="6">
        <v>431</v>
      </c>
      <c r="E17" s="7">
        <v>20.89</v>
      </c>
      <c r="G17" s="5">
        <v>0</v>
      </c>
      <c r="H17" s="6">
        <v>0.08</v>
      </c>
      <c r="I17" s="6">
        <v>0.04</v>
      </c>
      <c r="J17" s="6">
        <v>1</v>
      </c>
      <c r="K17" s="7">
        <v>1.23</v>
      </c>
      <c r="L17">
        <f t="shared" si="0"/>
        <v>4</v>
      </c>
    </row>
    <row r="18" spans="1:12">
      <c r="A18" s="5">
        <v>0</v>
      </c>
      <c r="B18" s="6">
        <v>0</v>
      </c>
      <c r="C18" s="6">
        <v>0</v>
      </c>
      <c r="D18" s="6">
        <v>8</v>
      </c>
      <c r="E18" s="7">
        <v>0.39</v>
      </c>
      <c r="G18" s="5">
        <v>0</v>
      </c>
      <c r="H18" s="6">
        <v>0</v>
      </c>
      <c r="I18" s="6">
        <v>0</v>
      </c>
      <c r="J18" s="6">
        <v>0</v>
      </c>
      <c r="K18" s="7">
        <v>0</v>
      </c>
      <c r="L18">
        <f t="shared" si="0"/>
        <v>0</v>
      </c>
    </row>
    <row r="19" spans="1:12">
      <c r="A19" s="15"/>
      <c r="B19" s="16"/>
      <c r="C19" s="16"/>
      <c r="D19" s="16"/>
      <c r="E19" s="17"/>
      <c r="G19" s="15"/>
      <c r="H19" s="16"/>
      <c r="I19" s="16"/>
      <c r="J19" s="16"/>
      <c r="K19" s="17"/>
    </row>
    <row r="20" spans="1:12">
      <c r="A20" s="15" t="s">
        <v>60</v>
      </c>
      <c r="B20" s="16"/>
      <c r="C20" s="16">
        <v>0.14517692700000001</v>
      </c>
      <c r="D20" s="16"/>
      <c r="E20" s="17"/>
      <c r="G20" s="15" t="s">
        <v>60</v>
      </c>
      <c r="H20" s="16"/>
      <c r="I20" s="16">
        <v>0.40172839500000002</v>
      </c>
      <c r="J20" s="16"/>
      <c r="K20" s="17"/>
    </row>
    <row r="21" spans="1:12">
      <c r="A21" s="15" t="s">
        <v>61</v>
      </c>
      <c r="B21" s="18"/>
      <c r="C21" s="18">
        <v>0.18502181300000001</v>
      </c>
      <c r="D21" s="18"/>
      <c r="E21" s="19"/>
      <c r="G21" s="15" t="s">
        <v>61</v>
      </c>
      <c r="H21" s="18"/>
      <c r="I21" s="18">
        <v>0.441728395</v>
      </c>
      <c r="J21" s="18"/>
      <c r="K21" s="19"/>
    </row>
    <row r="22" spans="1:12">
      <c r="A22" s="20" t="s">
        <v>62</v>
      </c>
      <c r="B22" s="21"/>
      <c r="C22" s="21">
        <v>0.105332041</v>
      </c>
      <c r="D22" s="21"/>
      <c r="E22" s="22"/>
      <c r="G22" s="20" t="s">
        <v>62</v>
      </c>
      <c r="H22" s="21"/>
      <c r="I22" s="21">
        <v>0.36172839499999998</v>
      </c>
      <c r="J22" s="21"/>
      <c r="K22" s="22"/>
    </row>
    <row r="23" spans="1:12">
      <c r="I23" t="s">
        <v>138</v>
      </c>
      <c r="J23">
        <f>SUM(J4:J18)</f>
        <v>81</v>
      </c>
    </row>
    <row r="24" spans="1:12" ht="16.8">
      <c r="A24" s="23" t="s">
        <v>71</v>
      </c>
      <c r="B24" s="18"/>
      <c r="C24" s="18"/>
      <c r="D24" s="18"/>
      <c r="E24" s="18"/>
      <c r="I24" t="s">
        <v>90</v>
      </c>
      <c r="J24">
        <f>SUM(L4:L18)/J23</f>
        <v>40.172839506172842</v>
      </c>
    </row>
    <row r="25" spans="1:12">
      <c r="A25" s="28" t="s">
        <v>72</v>
      </c>
      <c r="B25" s="10" t="s">
        <v>73</v>
      </c>
      <c r="C25" s="10"/>
      <c r="D25" s="10"/>
      <c r="E25" s="11"/>
    </row>
    <row r="26" spans="1:12">
      <c r="A26" s="25" t="s">
        <v>57</v>
      </c>
      <c r="B26" s="25" t="s">
        <v>57</v>
      </c>
      <c r="C26" s="25" t="s">
        <v>57</v>
      </c>
      <c r="D26" s="25" t="s">
        <v>58</v>
      </c>
      <c r="E26" s="11" t="s">
        <v>59</v>
      </c>
    </row>
    <row r="27" spans="1:12">
      <c r="A27" s="26" t="s">
        <v>53</v>
      </c>
      <c r="B27" s="26" t="s">
        <v>54</v>
      </c>
      <c r="C27" s="26" t="s">
        <v>55</v>
      </c>
      <c r="D27" s="26" t="s">
        <v>56</v>
      </c>
      <c r="E27" s="14" t="s">
        <v>56</v>
      </c>
    </row>
    <row r="28" spans="1:12">
      <c r="A28" s="5">
        <v>200</v>
      </c>
      <c r="B28" s="6">
        <v>208</v>
      </c>
      <c r="C28" s="6">
        <v>204</v>
      </c>
      <c r="D28" s="6">
        <v>0</v>
      </c>
      <c r="E28" s="7">
        <v>0</v>
      </c>
    </row>
    <row r="29" spans="1:12">
      <c r="A29" s="5">
        <v>165</v>
      </c>
      <c r="B29" s="6">
        <v>173</v>
      </c>
      <c r="C29" s="6">
        <v>169</v>
      </c>
      <c r="D29" s="6">
        <v>0</v>
      </c>
      <c r="E29" s="7">
        <v>0</v>
      </c>
    </row>
    <row r="30" spans="1:12">
      <c r="A30" s="5">
        <v>130</v>
      </c>
      <c r="B30" s="6">
        <v>138</v>
      </c>
      <c r="C30" s="6">
        <v>134</v>
      </c>
      <c r="D30" s="6">
        <v>0</v>
      </c>
      <c r="E30" s="7">
        <v>2</v>
      </c>
    </row>
    <row r="31" spans="1:12">
      <c r="A31" s="5">
        <v>100</v>
      </c>
      <c r="B31" s="6">
        <v>108</v>
      </c>
      <c r="C31" s="6">
        <v>104</v>
      </c>
      <c r="D31" s="6">
        <v>1</v>
      </c>
      <c r="E31" s="7">
        <v>1</v>
      </c>
    </row>
    <row r="32" spans="1:12">
      <c r="A32" s="5">
        <v>90</v>
      </c>
      <c r="B32" s="6">
        <v>98</v>
      </c>
      <c r="C32" s="6">
        <v>94</v>
      </c>
      <c r="D32" s="6">
        <v>4</v>
      </c>
      <c r="E32" s="7">
        <v>3</v>
      </c>
    </row>
    <row r="33" spans="1:5">
      <c r="A33" s="5">
        <v>80</v>
      </c>
      <c r="B33" s="6">
        <v>88</v>
      </c>
      <c r="C33" s="6">
        <v>84</v>
      </c>
      <c r="D33" s="6">
        <v>3</v>
      </c>
      <c r="E33" s="7">
        <v>0</v>
      </c>
    </row>
    <row r="34" spans="1:5">
      <c r="A34" s="5">
        <v>70</v>
      </c>
      <c r="B34" s="6">
        <v>78</v>
      </c>
      <c r="C34" s="6">
        <v>74</v>
      </c>
      <c r="D34" s="6">
        <v>3</v>
      </c>
      <c r="E34" s="7">
        <v>10</v>
      </c>
    </row>
    <row r="35" spans="1:5">
      <c r="A35" s="5">
        <v>60</v>
      </c>
      <c r="B35" s="6">
        <v>68</v>
      </c>
      <c r="C35" s="6">
        <v>64</v>
      </c>
      <c r="D35" s="6">
        <v>5</v>
      </c>
      <c r="E35" s="7">
        <v>9</v>
      </c>
    </row>
    <row r="36" spans="1:5">
      <c r="A36" s="5">
        <v>50</v>
      </c>
      <c r="B36" s="6">
        <v>58</v>
      </c>
      <c r="C36" s="6">
        <v>54</v>
      </c>
      <c r="D36" s="6">
        <v>20</v>
      </c>
      <c r="E36" s="7">
        <v>1</v>
      </c>
    </row>
    <row r="37" spans="1:5">
      <c r="A37" s="5">
        <v>40</v>
      </c>
      <c r="B37" s="6">
        <v>48</v>
      </c>
      <c r="C37" s="6">
        <v>44</v>
      </c>
      <c r="D37" s="6">
        <v>40</v>
      </c>
      <c r="E37" s="7">
        <v>3</v>
      </c>
    </row>
    <row r="38" spans="1:5">
      <c r="A38" s="5">
        <v>30</v>
      </c>
      <c r="B38" s="6">
        <v>38</v>
      </c>
      <c r="C38" s="6">
        <v>34</v>
      </c>
      <c r="D38" s="6">
        <v>42</v>
      </c>
      <c r="E38" s="7">
        <v>0</v>
      </c>
    </row>
    <row r="39" spans="1:5">
      <c r="A39" s="5">
        <v>20</v>
      </c>
      <c r="B39" s="6">
        <v>28</v>
      </c>
      <c r="C39" s="6">
        <v>24</v>
      </c>
      <c r="D39" s="6">
        <v>160</v>
      </c>
      <c r="E39" s="7">
        <v>38</v>
      </c>
    </row>
    <row r="40" spans="1:5">
      <c r="A40" s="5">
        <v>10</v>
      </c>
      <c r="B40" s="6">
        <v>18</v>
      </c>
      <c r="C40" s="6">
        <v>14</v>
      </c>
      <c r="D40" s="6">
        <v>1346</v>
      </c>
      <c r="E40" s="7">
        <v>13</v>
      </c>
    </row>
    <row r="41" spans="1:5">
      <c r="A41" s="5">
        <v>0</v>
      </c>
      <c r="B41" s="6">
        <v>8</v>
      </c>
      <c r="C41" s="6">
        <v>4</v>
      </c>
      <c r="D41" s="6">
        <v>431</v>
      </c>
      <c r="E41" s="7">
        <v>1</v>
      </c>
    </row>
    <row r="42" spans="1:5">
      <c r="A42" s="12">
        <v>0</v>
      </c>
      <c r="B42" s="13">
        <v>0</v>
      </c>
      <c r="C42" s="13">
        <v>0</v>
      </c>
      <c r="D42" s="13">
        <v>8</v>
      </c>
      <c r="E42" s="1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5"/>
  <sheetViews>
    <sheetView workbookViewId="0">
      <selection activeCell="H29" sqref="H29"/>
    </sheetView>
  </sheetViews>
  <sheetFormatPr defaultRowHeight="14.4"/>
  <cols>
    <col min="1" max="1" width="14.88671875" customWidth="1"/>
    <col min="3" max="3" width="17.44140625" customWidth="1"/>
    <col min="5" max="5" width="12.44140625" customWidth="1"/>
    <col min="7" max="7" width="19.33203125" customWidth="1"/>
    <col min="9" max="9" width="13.44140625" customWidth="1"/>
    <col min="11" max="11" width="17.109375" customWidth="1"/>
  </cols>
  <sheetData>
    <row r="1" spans="1:11">
      <c r="A1" t="s">
        <v>74</v>
      </c>
      <c r="B1" t="s">
        <v>75</v>
      </c>
      <c r="C1" t="s">
        <v>76</v>
      </c>
      <c r="E1" t="s">
        <v>77</v>
      </c>
      <c r="F1" t="s">
        <v>75</v>
      </c>
      <c r="G1" t="s">
        <v>76</v>
      </c>
      <c r="I1" t="s">
        <v>115</v>
      </c>
      <c r="J1" t="s">
        <v>116</v>
      </c>
      <c r="K1" t="s">
        <v>91</v>
      </c>
    </row>
    <row r="2" spans="1:11">
      <c r="B2">
        <v>1</v>
      </c>
      <c r="C2">
        <v>1.8</v>
      </c>
      <c r="F2">
        <v>1</v>
      </c>
      <c r="G2">
        <v>0</v>
      </c>
      <c r="J2">
        <v>1</v>
      </c>
      <c r="K2">
        <v>2</v>
      </c>
    </row>
    <row r="3" spans="1:11">
      <c r="B3">
        <v>2</v>
      </c>
      <c r="C3">
        <v>10</v>
      </c>
      <c r="F3">
        <v>2</v>
      </c>
      <c r="G3">
        <v>1</v>
      </c>
      <c r="J3">
        <v>2</v>
      </c>
      <c r="K3">
        <v>2</v>
      </c>
    </row>
    <row r="4" spans="1:11">
      <c r="B4">
        <v>3</v>
      </c>
      <c r="C4">
        <v>21</v>
      </c>
      <c r="F4">
        <v>3</v>
      </c>
      <c r="G4">
        <v>2</v>
      </c>
      <c r="J4">
        <v>3</v>
      </c>
      <c r="K4">
        <v>7</v>
      </c>
    </row>
    <row r="5" spans="1:11">
      <c r="B5">
        <v>4</v>
      </c>
      <c r="C5">
        <v>24</v>
      </c>
      <c r="F5">
        <v>4</v>
      </c>
      <c r="G5">
        <v>0</v>
      </c>
      <c r="J5">
        <v>4</v>
      </c>
      <c r="K5">
        <v>6</v>
      </c>
    </row>
    <row r="6" spans="1:11">
      <c r="B6">
        <v>5</v>
      </c>
      <c r="C6">
        <v>1</v>
      </c>
      <c r="F6">
        <v>5</v>
      </c>
      <c r="G6">
        <v>8.1999999999999993</v>
      </c>
      <c r="J6">
        <v>5</v>
      </c>
      <c r="K6">
        <v>11</v>
      </c>
    </row>
    <row r="7" spans="1:11">
      <c r="B7">
        <v>6</v>
      </c>
      <c r="C7">
        <v>8.5</v>
      </c>
      <c r="F7">
        <v>6</v>
      </c>
      <c r="G7">
        <v>3.5</v>
      </c>
      <c r="J7">
        <v>6</v>
      </c>
      <c r="K7">
        <v>7</v>
      </c>
    </row>
    <row r="8" spans="1:11">
      <c r="B8">
        <v>7</v>
      </c>
      <c r="C8">
        <v>15</v>
      </c>
      <c r="F8">
        <v>7</v>
      </c>
      <c r="G8">
        <v>1</v>
      </c>
      <c r="J8">
        <v>7</v>
      </c>
      <c r="K8">
        <v>6</v>
      </c>
    </row>
    <row r="9" spans="1:11">
      <c r="B9">
        <v>8</v>
      </c>
      <c r="C9">
        <v>3.5</v>
      </c>
      <c r="F9">
        <v>8</v>
      </c>
      <c r="G9">
        <v>0</v>
      </c>
      <c r="J9">
        <v>8</v>
      </c>
      <c r="K9">
        <v>-1</v>
      </c>
    </row>
    <row r="10" spans="1:11">
      <c r="B10">
        <v>9</v>
      </c>
      <c r="C10">
        <v>2</v>
      </c>
      <c r="F10">
        <v>9</v>
      </c>
      <c r="G10">
        <v>0</v>
      </c>
      <c r="J10">
        <v>9</v>
      </c>
      <c r="K10">
        <v>5</v>
      </c>
    </row>
    <row r="11" spans="1:11">
      <c r="B11">
        <v>10</v>
      </c>
      <c r="C11">
        <v>3.15</v>
      </c>
      <c r="F11">
        <v>10</v>
      </c>
      <c r="G11">
        <v>0</v>
      </c>
      <c r="J11">
        <v>10</v>
      </c>
      <c r="K11">
        <v>8</v>
      </c>
    </row>
    <row r="12" spans="1:11">
      <c r="B12">
        <v>11</v>
      </c>
      <c r="C12">
        <v>3.15</v>
      </c>
      <c r="F12">
        <v>11</v>
      </c>
      <c r="G12">
        <v>0</v>
      </c>
      <c r="J12">
        <v>11</v>
      </c>
      <c r="K12">
        <v>1</v>
      </c>
    </row>
    <row r="13" spans="1:11">
      <c r="B13">
        <v>12</v>
      </c>
      <c r="C13">
        <v>4.12</v>
      </c>
      <c r="F13">
        <v>12</v>
      </c>
      <c r="G13">
        <v>2</v>
      </c>
      <c r="J13">
        <v>12</v>
      </c>
      <c r="K13">
        <v>0</v>
      </c>
    </row>
    <row r="14" spans="1:11">
      <c r="B14">
        <v>13</v>
      </c>
      <c r="C14">
        <v>11.1</v>
      </c>
      <c r="F14">
        <v>13</v>
      </c>
      <c r="G14">
        <v>0</v>
      </c>
      <c r="J14">
        <v>13</v>
      </c>
      <c r="K14">
        <v>0</v>
      </c>
    </row>
    <row r="15" spans="1:11">
      <c r="B15">
        <v>14</v>
      </c>
      <c r="C15">
        <v>0</v>
      </c>
      <c r="F15" t="s">
        <v>78</v>
      </c>
      <c r="G15">
        <f>SUM(G2:G14)/13</f>
        <v>1.3615384615384616</v>
      </c>
      <c r="J15">
        <v>14</v>
      </c>
      <c r="K15">
        <v>0</v>
      </c>
    </row>
    <row r="16" spans="1:11">
      <c r="B16">
        <v>15</v>
      </c>
      <c r="C16">
        <v>2</v>
      </c>
      <c r="J16">
        <v>15</v>
      </c>
      <c r="K16">
        <v>0</v>
      </c>
    </row>
    <row r="17" spans="2:11">
      <c r="B17">
        <v>16</v>
      </c>
      <c r="C17">
        <v>1.3</v>
      </c>
      <c r="J17">
        <v>16</v>
      </c>
      <c r="K17">
        <v>0</v>
      </c>
    </row>
    <row r="18" spans="2:11">
      <c r="B18">
        <v>17</v>
      </c>
      <c r="C18">
        <v>4</v>
      </c>
      <c r="J18">
        <v>17</v>
      </c>
      <c r="K18">
        <v>8</v>
      </c>
    </row>
    <row r="19" spans="2:11">
      <c r="B19">
        <v>18</v>
      </c>
      <c r="C19">
        <v>4</v>
      </c>
      <c r="J19">
        <v>18</v>
      </c>
      <c r="K19">
        <v>0</v>
      </c>
    </row>
    <row r="20" spans="2:11">
      <c r="B20">
        <v>19</v>
      </c>
      <c r="C20">
        <v>5.4</v>
      </c>
      <c r="J20" t="s">
        <v>117</v>
      </c>
      <c r="K20">
        <f>SUM(K2:K19)/J19</f>
        <v>3.4444444444444446</v>
      </c>
    </row>
    <row r="21" spans="2:11">
      <c r="B21" t="s">
        <v>79</v>
      </c>
      <c r="C21">
        <f>SUM(C2:C20)/19</f>
        <v>6.580000000000001</v>
      </c>
    </row>
    <row r="24" spans="2:11">
      <c r="E24">
        <f>SUM(C21+G15)/2</f>
        <v>3.9707692307692311</v>
      </c>
    </row>
    <row r="25" spans="2:11">
      <c r="H25">
        <f>(SUM(C2:C20)+SUM(G2:G14)+SUM(K2:K19))/50</f>
        <v>4.0944000000000003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62"/>
  <sheetViews>
    <sheetView workbookViewId="0">
      <selection activeCell="J35" sqref="J35"/>
    </sheetView>
  </sheetViews>
  <sheetFormatPr defaultRowHeight="14.4"/>
  <cols>
    <col min="1" max="2" width="14.109375" customWidth="1"/>
    <col min="3" max="3" width="21.109375" customWidth="1"/>
    <col min="4" max="4" width="20.44140625" customWidth="1"/>
    <col min="5" max="5" width="15.44140625" style="31" customWidth="1"/>
    <col min="6" max="6" width="24.88671875" customWidth="1"/>
    <col min="7" max="7" width="12.109375" customWidth="1"/>
    <col min="9" max="9" width="17.5546875" customWidth="1"/>
    <col min="10" max="10" width="16.5546875" customWidth="1"/>
    <col min="13" max="13" width="15.6640625" customWidth="1"/>
    <col min="14" max="14" width="17.6640625" customWidth="1"/>
    <col min="15" max="15" width="19.88671875" customWidth="1"/>
    <col min="16" max="16" width="26.6640625" customWidth="1"/>
    <col min="17" max="17" width="9.5546875" customWidth="1"/>
    <col min="18" max="18" width="17.109375" customWidth="1"/>
  </cols>
  <sheetData>
    <row r="1" spans="1:18">
      <c r="A1" t="s">
        <v>80</v>
      </c>
      <c r="C1" t="s">
        <v>81</v>
      </c>
      <c r="D1" t="s">
        <v>125</v>
      </c>
      <c r="E1" t="s">
        <v>128</v>
      </c>
      <c r="F1" t="s">
        <v>129</v>
      </c>
      <c r="I1" s="29"/>
      <c r="J1" s="29"/>
    </row>
    <row r="2" spans="1:18" ht="27" customHeight="1">
      <c r="A2">
        <v>0.75</v>
      </c>
      <c r="C2">
        <v>-28.5</v>
      </c>
      <c r="D2">
        <v>0</v>
      </c>
      <c r="E2">
        <f>C2*D2</f>
        <v>0</v>
      </c>
      <c r="F2">
        <v>0</v>
      </c>
      <c r="I2" t="s">
        <v>130</v>
      </c>
      <c r="J2" t="s">
        <v>76</v>
      </c>
      <c r="N2" s="32"/>
      <c r="O2" s="33"/>
      <c r="R2" s="33"/>
    </row>
    <row r="3" spans="1:18">
      <c r="A3" t="s">
        <v>82</v>
      </c>
      <c r="C3">
        <v>-19</v>
      </c>
      <c r="D3">
        <v>9</v>
      </c>
      <c r="E3">
        <f>ABS(C3*D3)</f>
        <v>171</v>
      </c>
      <c r="F3">
        <f>D3/D$13*100</f>
        <v>7.1039545346909788E-2</v>
      </c>
      <c r="I3">
        <v>0.75</v>
      </c>
      <c r="J3">
        <v>3.3</v>
      </c>
      <c r="N3" s="4"/>
    </row>
    <row r="4" spans="1:18">
      <c r="A4" t="s">
        <v>83</v>
      </c>
      <c r="C4">
        <v>-9.5</v>
      </c>
      <c r="D4">
        <v>915</v>
      </c>
      <c r="E4">
        <f>ABS(C4*D4)</f>
        <v>8692.5</v>
      </c>
      <c r="F4">
        <f t="shared" ref="F4:F12" si="0">D4/D$13*100</f>
        <v>7.2223537769358277</v>
      </c>
      <c r="I4">
        <v>2</v>
      </c>
      <c r="J4">
        <v>3</v>
      </c>
      <c r="N4" s="1"/>
    </row>
    <row r="5" spans="1:18">
      <c r="C5">
        <v>0</v>
      </c>
      <c r="D5">
        <v>9234</v>
      </c>
      <c r="E5">
        <f t="shared" ref="E5:E12" si="1">C5*D5</f>
        <v>0</v>
      </c>
      <c r="F5">
        <f t="shared" si="0"/>
        <v>72.886573525929435</v>
      </c>
      <c r="I5">
        <v>3</v>
      </c>
      <c r="J5">
        <v>15.75</v>
      </c>
      <c r="N5" s="1"/>
    </row>
    <row r="6" spans="1:18">
      <c r="C6">
        <v>9.5</v>
      </c>
      <c r="D6">
        <v>1836</v>
      </c>
      <c r="E6">
        <f t="shared" si="1"/>
        <v>17442</v>
      </c>
      <c r="F6">
        <f t="shared" si="0"/>
        <v>14.492067250769594</v>
      </c>
      <c r="I6">
        <v>30</v>
      </c>
      <c r="J6">
        <v>4.0999999999999996</v>
      </c>
      <c r="K6" s="29"/>
      <c r="L6" s="29"/>
      <c r="N6" s="1"/>
    </row>
    <row r="7" spans="1:18">
      <c r="C7">
        <v>19</v>
      </c>
      <c r="D7">
        <v>544</v>
      </c>
      <c r="E7">
        <f t="shared" si="1"/>
        <v>10336</v>
      </c>
      <c r="F7">
        <f t="shared" si="0"/>
        <v>4.2939458520798803</v>
      </c>
      <c r="K7" s="29"/>
      <c r="L7" s="29"/>
      <c r="N7" s="1"/>
    </row>
    <row r="8" spans="1:18">
      <c r="C8">
        <v>28.5</v>
      </c>
      <c r="D8">
        <v>86</v>
      </c>
      <c r="E8">
        <f t="shared" si="1"/>
        <v>2451</v>
      </c>
      <c r="F8">
        <f t="shared" si="0"/>
        <v>0.67882232220380456</v>
      </c>
      <c r="I8" t="s">
        <v>76</v>
      </c>
      <c r="J8" t="s">
        <v>130</v>
      </c>
      <c r="K8" s="29"/>
      <c r="L8" s="29"/>
      <c r="N8" s="1"/>
    </row>
    <row r="9" spans="1:18">
      <c r="C9">
        <v>38</v>
      </c>
      <c r="D9">
        <v>12</v>
      </c>
      <c r="E9">
        <f t="shared" si="1"/>
        <v>456</v>
      </c>
      <c r="F9">
        <f t="shared" si="0"/>
        <v>9.4719393795879708E-2</v>
      </c>
      <c r="I9">
        <v>3.3</v>
      </c>
      <c r="J9">
        <v>0.75</v>
      </c>
      <c r="K9" s="29"/>
      <c r="L9" s="29"/>
    </row>
    <row r="10" spans="1:18">
      <c r="C10">
        <v>47.5</v>
      </c>
      <c r="D10">
        <v>23</v>
      </c>
      <c r="E10">
        <f t="shared" si="1"/>
        <v>1092.5</v>
      </c>
      <c r="F10">
        <f t="shared" si="0"/>
        <v>0.1815455047754361</v>
      </c>
      <c r="I10">
        <v>3</v>
      </c>
      <c r="J10">
        <v>2</v>
      </c>
      <c r="L10" s="29"/>
    </row>
    <row r="11" spans="1:18">
      <c r="C11">
        <v>57</v>
      </c>
      <c r="D11">
        <v>0</v>
      </c>
      <c r="E11">
        <f t="shared" si="1"/>
        <v>0</v>
      </c>
      <c r="F11">
        <f t="shared" si="0"/>
        <v>0</v>
      </c>
      <c r="I11">
        <v>15.75</v>
      </c>
      <c r="J11">
        <v>3</v>
      </c>
      <c r="L11" s="29"/>
    </row>
    <row r="12" spans="1:18">
      <c r="C12">
        <v>100</v>
      </c>
      <c r="D12">
        <v>10</v>
      </c>
      <c r="E12">
        <f t="shared" si="1"/>
        <v>1000</v>
      </c>
      <c r="F12">
        <f t="shared" si="0"/>
        <v>7.893282816323309E-2</v>
      </c>
      <c r="I12">
        <v>4.0999999999999996</v>
      </c>
      <c r="J12">
        <v>30</v>
      </c>
      <c r="L12" s="29"/>
    </row>
    <row r="13" spans="1:18">
      <c r="C13" t="s">
        <v>9</v>
      </c>
      <c r="D13">
        <f>7454+457+1216+3012+530</f>
        <v>12669</v>
      </c>
      <c r="E13"/>
      <c r="I13" s="29"/>
      <c r="J13" s="29"/>
      <c r="L13" s="29"/>
      <c r="M13" s="29"/>
      <c r="P13" s="29"/>
    </row>
    <row r="14" spans="1:18">
      <c r="C14" t="s">
        <v>106</v>
      </c>
      <c r="D14">
        <f>SUM(E2:E12)/D13</f>
        <v>3.2868418975451892</v>
      </c>
      <c r="E14"/>
      <c r="I14" s="29"/>
      <c r="J14" s="29"/>
      <c r="M14" s="29"/>
      <c r="N14" s="29"/>
      <c r="P14" s="29"/>
      <c r="Q14" s="29"/>
    </row>
    <row r="15" spans="1:18">
      <c r="C15" t="s">
        <v>11</v>
      </c>
      <c r="D15">
        <f>23125+5000+4250+9250+1000</f>
        <v>42625</v>
      </c>
      <c r="E15"/>
      <c r="I15" s="29"/>
      <c r="J15" s="29"/>
      <c r="M15" s="29"/>
      <c r="N15" s="29"/>
      <c r="P15" s="29"/>
      <c r="Q15" s="29"/>
    </row>
    <row r="16" spans="1:18">
      <c r="C16" t="s">
        <v>12</v>
      </c>
      <c r="D16">
        <f>D13/D15*100</f>
        <v>29.721994134897361</v>
      </c>
      <c r="E16"/>
      <c r="I16" s="29"/>
      <c r="J16" s="29"/>
      <c r="M16" s="29"/>
      <c r="N16" s="29"/>
      <c r="P16" s="29"/>
      <c r="Q16" s="29"/>
    </row>
    <row r="17" spans="1:17">
      <c r="E17"/>
      <c r="I17" s="29"/>
      <c r="J17" s="29"/>
      <c r="M17" s="29"/>
      <c r="N17" s="29"/>
      <c r="P17" s="29"/>
      <c r="Q17" s="29"/>
    </row>
    <row r="18" spans="1:17">
      <c r="C18" t="s">
        <v>76</v>
      </c>
      <c r="D18" t="s">
        <v>126</v>
      </c>
      <c r="E18" t="s">
        <v>128</v>
      </c>
      <c r="F18" t="s">
        <v>127</v>
      </c>
      <c r="I18" s="29"/>
      <c r="J18" s="29"/>
      <c r="M18" s="29"/>
      <c r="N18" s="29"/>
      <c r="P18" s="29"/>
      <c r="Q18" s="29"/>
    </row>
    <row r="19" spans="1:17">
      <c r="C19">
        <v>-28.5</v>
      </c>
      <c r="D19">
        <v>0</v>
      </c>
      <c r="E19">
        <f>ABS(D19*C19)</f>
        <v>0</v>
      </c>
      <c r="F19">
        <f>D19/D$30</f>
        <v>0</v>
      </c>
      <c r="M19" s="29"/>
      <c r="N19" s="29"/>
      <c r="P19" s="29"/>
      <c r="Q19" s="29"/>
    </row>
    <row r="20" spans="1:17">
      <c r="A20" t="s">
        <v>80</v>
      </c>
      <c r="C20">
        <v>-19</v>
      </c>
      <c r="D20">
        <v>12</v>
      </c>
      <c r="E20">
        <f t="shared" ref="E20:E21" si="2">ABS(D20*C20)</f>
        <v>228</v>
      </c>
      <c r="F20">
        <f t="shared" ref="F20:F29" si="3">D20/D$30</f>
        <v>7.3304825901038487E-3</v>
      </c>
    </row>
    <row r="21" spans="1:17">
      <c r="A21" t="s">
        <v>13</v>
      </c>
      <c r="C21">
        <v>-9.5</v>
      </c>
      <c r="D21">
        <v>28</v>
      </c>
      <c r="E21">
        <f t="shared" si="2"/>
        <v>266</v>
      </c>
      <c r="F21">
        <f t="shared" si="3"/>
        <v>1.7104459376908979E-2</v>
      </c>
    </row>
    <row r="22" spans="1:17">
      <c r="A22" t="s">
        <v>82</v>
      </c>
      <c r="C22">
        <v>0</v>
      </c>
      <c r="D22">
        <v>1312</v>
      </c>
      <c r="E22">
        <f t="shared" ref="E22:E29" si="4">D22*C22</f>
        <v>0</v>
      </c>
      <c r="F22">
        <f t="shared" si="3"/>
        <v>0.80146609651802081</v>
      </c>
    </row>
    <row r="23" spans="1:17">
      <c r="A23" t="s">
        <v>83</v>
      </c>
      <c r="C23">
        <v>9.5</v>
      </c>
      <c r="D23">
        <v>207</v>
      </c>
      <c r="E23">
        <f t="shared" si="4"/>
        <v>1966.5</v>
      </c>
      <c r="F23">
        <f t="shared" si="3"/>
        <v>0.12645082467929139</v>
      </c>
    </row>
    <row r="24" spans="1:17">
      <c r="C24">
        <v>19</v>
      </c>
      <c r="D24">
        <v>37</v>
      </c>
      <c r="E24">
        <f t="shared" si="4"/>
        <v>703</v>
      </c>
      <c r="F24">
        <f t="shared" si="3"/>
        <v>2.2602321319486866E-2</v>
      </c>
    </row>
    <row r="25" spans="1:17">
      <c r="C25">
        <v>28.5</v>
      </c>
      <c r="D25">
        <v>26</v>
      </c>
      <c r="E25">
        <f t="shared" si="4"/>
        <v>741</v>
      </c>
      <c r="F25">
        <f t="shared" si="3"/>
        <v>1.588271227855834E-2</v>
      </c>
    </row>
    <row r="26" spans="1:17">
      <c r="C26">
        <v>38</v>
      </c>
      <c r="D26">
        <v>3</v>
      </c>
      <c r="E26">
        <f t="shared" si="4"/>
        <v>114</v>
      </c>
      <c r="F26">
        <f t="shared" si="3"/>
        <v>1.8326206475259622E-3</v>
      </c>
    </row>
    <row r="27" spans="1:17">
      <c r="C27">
        <v>47.5</v>
      </c>
      <c r="D27">
        <v>6</v>
      </c>
      <c r="E27">
        <f t="shared" si="4"/>
        <v>285</v>
      </c>
      <c r="F27">
        <f t="shared" si="3"/>
        <v>3.6652412950519244E-3</v>
      </c>
    </row>
    <row r="28" spans="1:17">
      <c r="C28">
        <v>57</v>
      </c>
      <c r="D28">
        <v>0</v>
      </c>
      <c r="E28">
        <f t="shared" si="4"/>
        <v>0</v>
      </c>
      <c r="F28">
        <f t="shared" si="3"/>
        <v>0</v>
      </c>
    </row>
    <row r="29" spans="1:17">
      <c r="C29">
        <v>100</v>
      </c>
      <c r="D29">
        <v>6</v>
      </c>
      <c r="E29">
        <f t="shared" si="4"/>
        <v>600</v>
      </c>
      <c r="F29">
        <f t="shared" si="3"/>
        <v>3.6652412950519244E-3</v>
      </c>
    </row>
    <row r="30" spans="1:17">
      <c r="C30" t="s">
        <v>9</v>
      </c>
      <c r="D30">
        <f>SUM(D19:D29)</f>
        <v>1637</v>
      </c>
      <c r="E30"/>
      <c r="G30" s="29"/>
      <c r="H30" s="29"/>
    </row>
    <row r="31" spans="1:17">
      <c r="C31" t="s">
        <v>106</v>
      </c>
      <c r="D31">
        <f>SUM(E19:E29)/D30</f>
        <v>2.995418448381185</v>
      </c>
      <c r="E31"/>
      <c r="G31" s="29"/>
      <c r="H31" s="29"/>
    </row>
    <row r="32" spans="1:17">
      <c r="C32" t="s">
        <v>11</v>
      </c>
      <c r="D32">
        <f>4247+1000+555+787+300</f>
        <v>6889</v>
      </c>
      <c r="E32"/>
      <c r="G32" s="29"/>
      <c r="H32" s="29"/>
    </row>
    <row r="33" spans="1:8">
      <c r="C33" t="s">
        <v>12</v>
      </c>
      <c r="D33">
        <f>D30/D32*100</f>
        <v>23.762519959355494</v>
      </c>
      <c r="E33"/>
      <c r="G33" s="29"/>
      <c r="H33" s="29"/>
    </row>
    <row r="34" spans="1:8">
      <c r="G34" s="29"/>
      <c r="H34" s="29"/>
    </row>
    <row r="35" spans="1:8">
      <c r="A35" t="s">
        <v>80</v>
      </c>
      <c r="C35">
        <v>-28.5</v>
      </c>
      <c r="G35" s="29"/>
      <c r="H35" s="29"/>
    </row>
    <row r="36" spans="1:8">
      <c r="A36" t="s">
        <v>85</v>
      </c>
      <c r="C36">
        <v>-19</v>
      </c>
      <c r="G36" s="29"/>
      <c r="H36" s="29"/>
    </row>
    <row r="37" spans="1:8">
      <c r="A37" t="s">
        <v>86</v>
      </c>
      <c r="C37">
        <v>-9.5</v>
      </c>
      <c r="D37" t="s">
        <v>85</v>
      </c>
      <c r="G37" s="29"/>
      <c r="H37" s="29"/>
    </row>
    <row r="38" spans="1:8">
      <c r="A38" t="s">
        <v>87</v>
      </c>
      <c r="C38">
        <v>0</v>
      </c>
      <c r="D38">
        <v>15.75</v>
      </c>
      <c r="G38" s="29"/>
      <c r="H38" s="29"/>
    </row>
    <row r="39" spans="1:8">
      <c r="C39">
        <v>9.5</v>
      </c>
      <c r="G39" s="29"/>
      <c r="H39" s="30"/>
    </row>
    <row r="40" spans="1:8">
      <c r="C40">
        <v>19</v>
      </c>
      <c r="G40" s="29"/>
      <c r="H40" s="29"/>
    </row>
    <row r="41" spans="1:8">
      <c r="C41">
        <v>28.5</v>
      </c>
      <c r="G41" s="29"/>
      <c r="H41" s="29"/>
    </row>
    <row r="42" spans="1:8">
      <c r="C42">
        <v>38</v>
      </c>
      <c r="G42" s="29"/>
      <c r="H42" s="29"/>
    </row>
    <row r="43" spans="1:8">
      <c r="C43">
        <v>47.5</v>
      </c>
      <c r="G43" s="29"/>
      <c r="H43" s="29"/>
    </row>
    <row r="44" spans="1:8">
      <c r="C44">
        <v>57</v>
      </c>
      <c r="G44" s="29"/>
      <c r="H44" s="29"/>
    </row>
    <row r="45" spans="1:8">
      <c r="C45">
        <v>100</v>
      </c>
      <c r="G45" s="29"/>
      <c r="H45" s="29"/>
    </row>
    <row r="46" spans="1:8">
      <c r="G46" s="29"/>
      <c r="H46" s="29"/>
    </row>
    <row r="47" spans="1:8">
      <c r="G47" s="29"/>
      <c r="H47" s="29"/>
    </row>
    <row r="48" spans="1:8">
      <c r="A48" t="s">
        <v>80</v>
      </c>
      <c r="C48" s="4" t="s">
        <v>88</v>
      </c>
      <c r="G48" s="29"/>
      <c r="H48" s="29"/>
    </row>
    <row r="49" spans="1:8">
      <c r="A49" t="s">
        <v>89</v>
      </c>
      <c r="C49" s="1">
        <v>50</v>
      </c>
      <c r="G49" s="29"/>
      <c r="H49" s="29"/>
    </row>
    <row r="50" spans="1:8">
      <c r="A50" t="s">
        <v>86</v>
      </c>
      <c r="C50" s="1" t="s">
        <v>84</v>
      </c>
      <c r="D50" t="s">
        <v>124</v>
      </c>
    </row>
    <row r="51" spans="1:8">
      <c r="A51" t="s">
        <v>87</v>
      </c>
      <c r="C51" s="1"/>
    </row>
    <row r="52" spans="1:8">
      <c r="C52" s="4"/>
    </row>
    <row r="53" spans="1:8">
      <c r="C53" s="1"/>
    </row>
    <row r="54" spans="1:8">
      <c r="C54" s="1"/>
    </row>
    <row r="55" spans="1:8">
      <c r="C55" s="1"/>
    </row>
    <row r="56" spans="1:8">
      <c r="C56" s="1"/>
    </row>
    <row r="57" spans="1:8">
      <c r="C57" s="1"/>
    </row>
    <row r="60" spans="1:8">
      <c r="C60" s="1"/>
    </row>
    <row r="61" spans="1:8">
      <c r="C61" s="1"/>
    </row>
    <row r="62" spans="1:8">
      <c r="C62" s="1"/>
    </row>
  </sheetData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6"/>
  <sheetViews>
    <sheetView workbookViewId="0">
      <selection activeCell="B12" sqref="B12"/>
    </sheetView>
  </sheetViews>
  <sheetFormatPr defaultRowHeight="14.4"/>
  <cols>
    <col min="1" max="1" width="12.109375" customWidth="1"/>
    <col min="2" max="2" width="25.6640625" customWidth="1"/>
    <col min="3" max="3" width="26.33203125" customWidth="1"/>
    <col min="4" max="4" width="29.109375" customWidth="1"/>
  </cols>
  <sheetData>
    <row r="1" spans="1:5">
      <c r="A1" t="s">
        <v>82</v>
      </c>
      <c r="B1" t="s">
        <v>135</v>
      </c>
      <c r="C1" t="s">
        <v>136</v>
      </c>
      <c r="D1" t="s">
        <v>137</v>
      </c>
    </row>
    <row r="2" spans="1:5">
      <c r="A2">
        <v>7</v>
      </c>
      <c r="B2">
        <v>0</v>
      </c>
      <c r="C2">
        <v>1.1000000000000001</v>
      </c>
      <c r="D2">
        <v>2.5</v>
      </c>
      <c r="E2" t="s">
        <v>17</v>
      </c>
    </row>
    <row r="3" spans="1:5">
      <c r="A3">
        <v>12</v>
      </c>
      <c r="B3">
        <v>6</v>
      </c>
      <c r="C3">
        <v>9.5</v>
      </c>
      <c r="D3">
        <v>11</v>
      </c>
      <c r="E3" t="s">
        <v>142</v>
      </c>
    </row>
    <row r="4" spans="1:5">
      <c r="A4">
        <v>17</v>
      </c>
      <c r="B4">
        <v>0</v>
      </c>
      <c r="C4">
        <v>2.2000000000000002</v>
      </c>
      <c r="D4">
        <v>3.6</v>
      </c>
      <c r="E4" t="s">
        <v>15</v>
      </c>
    </row>
    <row r="5" spans="1:5">
      <c r="A5">
        <v>22</v>
      </c>
      <c r="B5">
        <v>9.6999999999999993</v>
      </c>
      <c r="C5">
        <v>11.7</v>
      </c>
      <c r="D5">
        <v>4.5</v>
      </c>
      <c r="E5" t="s">
        <v>141</v>
      </c>
    </row>
    <row r="6" spans="1:5">
      <c r="A6">
        <v>27</v>
      </c>
      <c r="B6">
        <v>40.200000000000003</v>
      </c>
      <c r="C6">
        <v>5.5</v>
      </c>
      <c r="D6">
        <v>0.7</v>
      </c>
      <c r="E6" t="s">
        <v>140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Total sed transport</vt:lpstr>
      <vt:lpstr>all-studies sed transport</vt:lpstr>
      <vt:lpstr>grain-model-imputs</vt:lpstr>
      <vt:lpstr>2020 transport</vt:lpstr>
      <vt:lpstr>Lee Vining Climate</vt:lpstr>
      <vt:lpstr>2021 transport</vt:lpstr>
      <vt:lpstr>2022 transport</vt:lpstr>
      <vt:lpstr>2023 transport</vt:lpstr>
      <vt:lpstr>Tim's MBO 1 2017</vt:lpstr>
      <vt:lpstr>Tim's MBO 2 2017</vt:lpstr>
      <vt:lpstr>Tim's MBO 3 2017</vt:lpstr>
      <vt:lpstr>Rob's pebbles</vt:lpstr>
      <vt:lpstr>diameter + transport</vt:lpstr>
      <vt:lpstr>Slope angle and transport rates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19522</dc:creator>
  <cp:keywords/>
  <dc:description/>
  <cp:lastModifiedBy>Robert Chance</cp:lastModifiedBy>
  <cp:revision/>
  <dcterms:created xsi:type="dcterms:W3CDTF">2022-12-12T20:17:17Z</dcterms:created>
  <dcterms:modified xsi:type="dcterms:W3CDTF">2025-03-11T19:20:39Z</dcterms:modified>
  <cp:category/>
  <cp:contentStatus/>
</cp:coreProperties>
</file>