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4dcf4db07e9d225/Senior Design/FDR/"/>
    </mc:Choice>
  </mc:AlternateContent>
  <xr:revisionPtr revIDLastSave="666" documentId="13_ncr:1_{4C560040-2D34-4C3F-9A64-33BF2C3B4B12}" xr6:coauthVersionLast="47" xr6:coauthVersionMax="47" xr10:uidLastSave="{CDA99E4A-AB42-4A40-81C5-0A51EDD32406}"/>
  <bookViews>
    <workbookView xWindow="-110" yWindow="-110" windowWidth="19420" windowHeight="10300" xr2:uid="{00000000-000D-0000-FFFF-FFFF00000000}"/>
  </bookViews>
  <sheets>
    <sheet name="OFFICIAL" sheetId="2" r:id="rId1"/>
    <sheet name="OLD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2" l="1"/>
  <c r="I74" i="2"/>
  <c r="N8" i="2"/>
  <c r="N11" i="2" s="1"/>
  <c r="N15" i="2" s="1"/>
  <c r="I89" i="2"/>
  <c r="I41" i="2" l="1"/>
  <c r="I43" i="2" s="1"/>
  <c r="D41" i="2"/>
  <c r="D43" i="2" s="1"/>
  <c r="I7" i="2"/>
  <c r="I9" i="2" s="1"/>
  <c r="D7" i="2"/>
  <c r="D9" i="2" s="1"/>
  <c r="I93" i="2"/>
  <c r="I97" i="2" s="1"/>
  <c r="D93" i="2"/>
  <c r="D97" i="2" s="1"/>
  <c r="I78" i="2"/>
  <c r="I82" i="2" s="1"/>
  <c r="D80" i="2"/>
  <c r="D76" i="2"/>
  <c r="I65" i="2"/>
  <c r="I61" i="2"/>
  <c r="D65" i="2"/>
  <c r="D61" i="2"/>
  <c r="I47" i="2"/>
  <c r="D47" i="2"/>
  <c r="I31" i="2"/>
  <c r="I27" i="2"/>
  <c r="D27" i="2"/>
  <c r="D31" i="2"/>
  <c r="D33" i="2" s="1"/>
  <c r="I13" i="2"/>
  <c r="D13" i="2"/>
  <c r="B51" i="1"/>
  <c r="J5" i="1"/>
  <c r="I67" i="2" l="1"/>
  <c r="D82" i="2"/>
  <c r="D15" i="2"/>
  <c r="D18" i="2" s="1"/>
  <c r="D67" i="2"/>
  <c r="I33" i="2"/>
  <c r="I49" i="2"/>
  <c r="I52" i="2" s="1"/>
  <c r="D49" i="2"/>
  <c r="D52" i="2" s="1"/>
  <c r="I15" i="2"/>
  <c r="I18" i="2" s="1"/>
  <c r="N18" i="2" s="1"/>
  <c r="F5" i="1"/>
  <c r="B5" i="1" l="1"/>
  <c r="J53" i="1" l="1"/>
  <c r="J57" i="1" s="1"/>
  <c r="J9" i="1"/>
  <c r="F53" i="1"/>
  <c r="F57" i="1" s="1"/>
  <c r="B9" i="1"/>
  <c r="B58" i="1"/>
  <c r="B53" i="1"/>
  <c r="J40" i="1"/>
  <c r="J44" i="1" s="1"/>
  <c r="F40" i="1"/>
  <c r="F44" i="1" s="1"/>
  <c r="B40" i="1"/>
  <c r="B44" i="1" s="1"/>
  <c r="J27" i="1"/>
  <c r="J31" i="1" s="1"/>
  <c r="F27" i="1"/>
  <c r="F31" i="1" s="1"/>
  <c r="B27" i="1"/>
  <c r="B31" i="1" s="1"/>
  <c r="J13" i="1"/>
  <c r="F13" i="1"/>
  <c r="F9" i="1"/>
  <c r="B13" i="1"/>
  <c r="B60" i="1" l="1"/>
  <c r="J15" i="1"/>
  <c r="J18" i="1" s="1"/>
  <c r="F15" i="1"/>
  <c r="F18" i="1" s="1"/>
  <c r="B15" i="1"/>
  <c r="B18" i="1" s="1"/>
  <c r="B61" i="1" l="1"/>
</calcChain>
</file>

<file path=xl/sharedStrings.xml><?xml version="1.0" encoding="utf-8"?>
<sst xmlns="http://schemas.openxmlformats.org/spreadsheetml/2006/main" count="418" uniqueCount="116">
  <si>
    <t xml:space="preserve">Component #1 - Machined Stylet Shaft </t>
  </si>
  <si>
    <t>Component #2 - Machined Stylet Nub</t>
  </si>
  <si>
    <t>Assembly</t>
  </si>
  <si>
    <t>Raw Material</t>
  </si>
  <si>
    <t>Dimensions</t>
  </si>
  <si>
    <t>L: 194mm; D: 4.5mm</t>
  </si>
  <si>
    <t>L: 5.17mm; D: 1.9mm</t>
  </si>
  <si>
    <t>Portal Sub-Assembly</t>
  </si>
  <si>
    <t>hrs.</t>
  </si>
  <si>
    <t>Volume</t>
  </si>
  <si>
    <t>cu. in.</t>
  </si>
  <si>
    <t>Back Stabilizer Sub-Assembly</t>
  </si>
  <si>
    <t>Material</t>
  </si>
  <si>
    <t>Stainless Steel 316L</t>
  </si>
  <si>
    <t>Stylet Sub-Assembly</t>
  </si>
  <si>
    <t>Density</t>
  </si>
  <si>
    <t>lbs. / cu. in.</t>
  </si>
  <si>
    <t>Denervator Sub-Assembly</t>
  </si>
  <si>
    <t>Weight</t>
  </si>
  <si>
    <t>lbs.</t>
  </si>
  <si>
    <t>Final Assembly/Packaging</t>
  </si>
  <si>
    <t>Cost per lb.</t>
  </si>
  <si>
    <t>$ / lb.</t>
  </si>
  <si>
    <t>Total Assy. Time</t>
  </si>
  <si>
    <t>Matl. Cost</t>
  </si>
  <si>
    <t>Labor</t>
  </si>
  <si>
    <t>Labor Rate</t>
  </si>
  <si>
    <t>$ / hr.</t>
  </si>
  <si>
    <t>Machining Hrs.</t>
  </si>
  <si>
    <t>hr.</t>
  </si>
  <si>
    <t>Labor Cost</t>
  </si>
  <si>
    <t>Overhead</t>
  </si>
  <si>
    <t>Matl. + Labor</t>
  </si>
  <si>
    <t>Component Cost</t>
  </si>
  <si>
    <t>Total Cost per Kit</t>
  </si>
  <si>
    <t>Component #3 - 3D Printed Stylet Handle</t>
  </si>
  <si>
    <t>Component #4 - 3D Printed Denervator Handle</t>
  </si>
  <si>
    <t>Filament Diameter</t>
  </si>
  <si>
    <t>in.</t>
  </si>
  <si>
    <t>Filament Length</t>
  </si>
  <si>
    <t>ft.</t>
  </si>
  <si>
    <t>Filament Density</t>
  </si>
  <si>
    <t>Filament Weight</t>
  </si>
  <si>
    <t>Price</t>
  </si>
  <si>
    <t>Printing Time</t>
  </si>
  <si>
    <t>Component #5 - Machined Denervator Shaft</t>
  </si>
  <si>
    <t>Component #6 - Machined Portal Shaft</t>
  </si>
  <si>
    <t>L: 222.5mm; D: 4mm</t>
  </si>
  <si>
    <t>L: 157.5mm; D: 5.15mm</t>
  </si>
  <si>
    <t>Component #7 - 3D Printed Portal Sleeve</t>
  </si>
  <si>
    <t>Component #8 - 3D Printed Portal C-ring</t>
  </si>
  <si>
    <t>Component #9 - 3D Printed Back Stabilizer</t>
  </si>
  <si>
    <t>Component #10 - Purchased Rubber Pads</t>
  </si>
  <si>
    <t>Description</t>
  </si>
  <si>
    <t>Rubber pads for grip</t>
  </si>
  <si>
    <t>Vendor</t>
  </si>
  <si>
    <t>Amazon</t>
  </si>
  <si>
    <t>Retail Cost</t>
  </si>
  <si>
    <t>Units / yr.</t>
  </si>
  <si>
    <t>Volumized % of Retail</t>
  </si>
  <si>
    <t>Components Produced</t>
  </si>
  <si>
    <t>Part Cost</t>
  </si>
  <si>
    <t>Component #11 - Structural Epoxy</t>
  </si>
  <si>
    <t>Component #12 - Magigoo PP</t>
  </si>
  <si>
    <t>Bonding adhesive</t>
  </si>
  <si>
    <t>3D printing adhesive</t>
  </si>
  <si>
    <t>McMaster-Carr</t>
  </si>
  <si>
    <t>Component #2 - Portal Hollow Tube</t>
  </si>
  <si>
    <t xml:space="preserve">Component #3 - Denervator Shaft </t>
  </si>
  <si>
    <t xml:space="preserve">Description </t>
  </si>
  <si>
    <t>Stylet Shaft body</t>
  </si>
  <si>
    <t>Portal Hollow Tube Body</t>
  </si>
  <si>
    <t>Denervator Shaft Body</t>
  </si>
  <si>
    <t>Units / yr</t>
  </si>
  <si>
    <t xml:space="preserve">Volumized % of retail </t>
  </si>
  <si>
    <t>Machining hrs.</t>
  </si>
  <si>
    <t>Labor rate</t>
  </si>
  <si>
    <t>$/ hr.</t>
  </si>
  <si>
    <t>Labor cost</t>
  </si>
  <si>
    <t>Part + Labor</t>
  </si>
  <si>
    <t>Component #4 - C-Clip</t>
  </si>
  <si>
    <t>Component #5 - Back Stabilizer</t>
  </si>
  <si>
    <t xml:space="preserve">Component #6 - Epoxy Coating </t>
  </si>
  <si>
    <t>C Clip</t>
  </si>
  <si>
    <t>Denervator Body</t>
  </si>
  <si>
    <t>Epoxy Coating Spray</t>
  </si>
  <si>
    <t>Matter Hackers</t>
  </si>
  <si>
    <t xml:space="preserve"> </t>
  </si>
  <si>
    <t>Component #7 -Denervator Handle</t>
  </si>
  <si>
    <t>Component #8 - Misc. Fasteners</t>
  </si>
  <si>
    <t>Component #9 - Threaded Inserts</t>
  </si>
  <si>
    <t>3D Prined Handle</t>
  </si>
  <si>
    <t>M2x6mm Stainless Fasteners</t>
  </si>
  <si>
    <t>M2 Threaded Inserts</t>
  </si>
  <si>
    <t>Matterhackers</t>
  </si>
  <si>
    <t>Component #10 - 3D Printing Filament</t>
  </si>
  <si>
    <t>Component #11 - Stylet Handle</t>
  </si>
  <si>
    <t>Component #12 - Strucutral Epoxy</t>
  </si>
  <si>
    <t>Material: PP</t>
  </si>
  <si>
    <t>Handle for Assy</t>
  </si>
  <si>
    <t>Filament diameter</t>
  </si>
  <si>
    <t>in</t>
  </si>
  <si>
    <t>Filament length</t>
  </si>
  <si>
    <t>ft</t>
  </si>
  <si>
    <t>Filament density</t>
  </si>
  <si>
    <t>lb. / cu. in.</t>
  </si>
  <si>
    <t>Filament weight</t>
  </si>
  <si>
    <t>lb.</t>
  </si>
  <si>
    <t>$/lb.</t>
  </si>
  <si>
    <t>Material cost</t>
  </si>
  <si>
    <t>Units/yr</t>
  </si>
  <si>
    <t>Labor &amp; Machine Cost (added to all materials)</t>
  </si>
  <si>
    <t>Printing time</t>
  </si>
  <si>
    <t>Cost / hr.</t>
  </si>
  <si>
    <t>Labor &amp; Machine 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</si>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</sst>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0.000"/>
    <numFmt numFmtId="167" formatCode="_([$$-409]* #,##0.00_);_([$$-409]* \(#,##0.00\);_([$$-409]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FB3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4">
    <xf numFmtId="0" fontId="0" fillId="0" borderId="0" xfId="0"/>
    <xf numFmtId="164" fontId="1" fillId="6" borderId="16" xfId="0" applyNumberFormat="1" applyFont="1" applyFill="1" applyBorder="1" applyAlignment="1">
      <alignment horizontal="center"/>
    </xf>
    <xf numFmtId="164" fontId="1" fillId="6" borderId="17" xfId="0" applyNumberFormat="1" applyFont="1" applyFill="1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164" fontId="0" fillId="5" borderId="17" xfId="0" applyNumberFormat="1" applyFill="1" applyBorder="1" applyAlignment="1">
      <alignment horizontal="center"/>
    </xf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0" borderId="9" xfId="0" applyBorder="1"/>
    <xf numFmtId="0" fontId="0" fillId="4" borderId="1" xfId="0" applyFill="1" applyBorder="1"/>
    <xf numFmtId="0" fontId="0" fillId="0" borderId="10" xfId="0" applyBorder="1"/>
    <xf numFmtId="0" fontId="0" fillId="0" borderId="12" xfId="0" applyBorder="1"/>
    <xf numFmtId="0" fontId="1" fillId="0" borderId="13" xfId="0" applyFont="1" applyBorder="1"/>
    <xf numFmtId="44" fontId="1" fillId="4" borderId="14" xfId="0" applyNumberFormat="1" applyFont="1" applyFill="1" applyBorder="1"/>
    <xf numFmtId="0" fontId="0" fillId="0" borderId="15" xfId="0" applyBorder="1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0" fillId="5" borderId="1" xfId="0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" xfId="0" applyFont="1" applyBorder="1"/>
    <xf numFmtId="0" fontId="0" fillId="7" borderId="1" xfId="0" applyFill="1" applyBorder="1"/>
    <xf numFmtId="164" fontId="0" fillId="4" borderId="1" xfId="0" applyNumberFormat="1" applyFill="1" applyBorder="1"/>
    <xf numFmtId="164" fontId="0" fillId="7" borderId="1" xfId="0" applyNumberFormat="1" applyFill="1" applyBorder="1"/>
    <xf numFmtId="9" fontId="0" fillId="2" borderId="1" xfId="0" applyNumberFormat="1" applyFill="1" applyBorder="1"/>
    <xf numFmtId="0" fontId="1" fillId="6" borderId="1" xfId="0" applyFont="1" applyFill="1" applyBorder="1"/>
    <xf numFmtId="44" fontId="0" fillId="3" borderId="11" xfId="1" applyFont="1" applyFill="1" applyBorder="1" applyAlignment="1"/>
    <xf numFmtId="165" fontId="0" fillId="2" borderId="16" xfId="0" applyNumberFormat="1" applyFill="1" applyBorder="1"/>
    <xf numFmtId="165" fontId="0" fillId="2" borderId="17" xfId="0" applyNumberForma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3" borderId="1" xfId="0" applyFill="1" applyBorder="1"/>
    <xf numFmtId="0" fontId="1" fillId="0" borderId="18" xfId="0" applyFont="1" applyBorder="1"/>
    <xf numFmtId="8" fontId="0" fillId="0" borderId="1" xfId="0" applyNumberFormat="1" applyBorder="1"/>
    <xf numFmtId="9" fontId="1" fillId="0" borderId="1" xfId="0" applyNumberFormat="1" applyFont="1" applyBorder="1"/>
    <xf numFmtId="0" fontId="0" fillId="0" borderId="3" xfId="0" applyBorder="1"/>
    <xf numFmtId="0" fontId="0" fillId="0" borderId="4" xfId="0" applyBorder="1"/>
    <xf numFmtId="44" fontId="0" fillId="3" borderId="1" xfId="1" applyFont="1" applyFill="1" applyBorder="1"/>
    <xf numFmtId="0" fontId="1" fillId="0" borderId="10" xfId="0" applyFont="1" applyBorder="1"/>
    <xf numFmtId="44" fontId="1" fillId="4" borderId="11" xfId="1" applyFont="1" applyFill="1" applyBorder="1"/>
    <xf numFmtId="164" fontId="0" fillId="8" borderId="0" xfId="0" applyNumberFormat="1" applyFill="1"/>
    <xf numFmtId="166" fontId="0" fillId="4" borderId="1" xfId="0" applyNumberFormat="1" applyFill="1" applyBorder="1"/>
    <xf numFmtId="0" fontId="1" fillId="0" borderId="0" xfId="0" applyFont="1" applyAlignment="1">
      <alignment vertical="top"/>
    </xf>
    <xf numFmtId="0" fontId="0" fillId="0" borderId="19" xfId="0" applyBorder="1"/>
    <xf numFmtId="0" fontId="1" fillId="0" borderId="19" xfId="0" applyFont="1" applyBorder="1"/>
    <xf numFmtId="8" fontId="0" fillId="0" borderId="19" xfId="0" applyNumberFormat="1" applyBorder="1"/>
    <xf numFmtId="0" fontId="0" fillId="0" borderId="19" xfId="0" applyBorder="1" applyAlignment="1">
      <alignment vertical="center" wrapText="1"/>
    </xf>
    <xf numFmtId="167" fontId="0" fillId="0" borderId="19" xfId="0" applyNumberFormat="1" applyBorder="1"/>
    <xf numFmtId="0" fontId="1" fillId="9" borderId="19" xfId="0" applyFont="1" applyFill="1" applyBorder="1"/>
    <xf numFmtId="0" fontId="1" fillId="10" borderId="19" xfId="0" applyFont="1" applyFill="1" applyBorder="1"/>
    <xf numFmtId="0" fontId="1" fillId="7" borderId="20" xfId="0" applyFont="1" applyFill="1" applyBorder="1"/>
    <xf numFmtId="0" fontId="1" fillId="11" borderId="19" xfId="0" applyFont="1" applyFill="1" applyBorder="1"/>
    <xf numFmtId="0" fontId="1" fillId="5" borderId="19" xfId="0" applyFont="1" applyFill="1" applyBorder="1"/>
    <xf numFmtId="0" fontId="0" fillId="0" borderId="21" xfId="0" applyBorder="1"/>
    <xf numFmtId="9" fontId="0" fillId="0" borderId="19" xfId="0" applyNumberFormat="1" applyBorder="1"/>
    <xf numFmtId="167" fontId="1" fillId="9" borderId="19" xfId="0" applyNumberFormat="1" applyFont="1" applyFill="1" applyBorder="1"/>
    <xf numFmtId="167" fontId="1" fillId="10" borderId="19" xfId="0" applyNumberFormat="1" applyFont="1" applyFill="1" applyBorder="1"/>
    <xf numFmtId="165" fontId="1" fillId="11" borderId="19" xfId="0" applyNumberFormat="1" applyFont="1" applyFill="1" applyBorder="1"/>
    <xf numFmtId="167" fontId="1" fillId="5" borderId="19" xfId="0" applyNumberFormat="1" applyFont="1" applyFill="1" applyBorder="1"/>
    <xf numFmtId="167" fontId="1" fillId="7" borderId="20" xfId="0" applyNumberFormat="1" applyFont="1" applyFill="1" applyBorder="1"/>
    <xf numFmtId="9" fontId="1" fillId="11" borderId="19" xfId="0" applyNumberFormat="1" applyFont="1" applyFill="1" applyBorder="1"/>
    <xf numFmtId="166" fontId="0" fillId="0" borderId="22" xfId="0" applyNumberFormat="1" applyBorder="1"/>
    <xf numFmtId="166" fontId="0" fillId="0" borderId="19" xfId="0" applyNumberFormat="1" applyBorder="1"/>
    <xf numFmtId="0" fontId="0" fillId="0" borderId="19" xfId="0" applyBorder="1" applyAlignment="1">
      <alignment horizontal="right"/>
    </xf>
    <xf numFmtId="0" fontId="0" fillId="0" borderId="23" xfId="0" applyBorder="1" applyAlignment="1">
      <alignment horizontal="right"/>
    </xf>
    <xf numFmtId="11" fontId="0" fillId="0" borderId="19" xfId="0" applyNumberFormat="1" applyBorder="1"/>
    <xf numFmtId="0" fontId="1" fillId="9" borderId="26" xfId="0" applyFont="1" applyFill="1" applyBorder="1"/>
    <xf numFmtId="0" fontId="1" fillId="9" borderId="21" xfId="0" applyFont="1" applyFill="1" applyBorder="1"/>
    <xf numFmtId="167" fontId="1" fillId="10" borderId="27" xfId="0" applyNumberFormat="1" applyFont="1" applyFill="1" applyBorder="1"/>
    <xf numFmtId="0" fontId="0" fillId="0" borderId="20" xfId="0" applyBorder="1"/>
    <xf numFmtId="167" fontId="1" fillId="8" borderId="0" xfId="0" applyNumberFormat="1" applyFont="1" applyFill="1"/>
    <xf numFmtId="0" fontId="1" fillId="0" borderId="19" xfId="0" applyFont="1" applyBorder="1" applyAlignment="1">
      <alignment horizontal="center" vertical="center" textRotation="90"/>
    </xf>
    <xf numFmtId="0" fontId="1" fillId="0" borderId="20" xfId="0" applyFont="1" applyBorder="1" applyAlignment="1">
      <alignment horizontal="center" vertical="center" textRotation="90"/>
    </xf>
    <xf numFmtId="0" fontId="1" fillId="0" borderId="24" xfId="0" applyFont="1" applyBorder="1" applyAlignment="1">
      <alignment horizontal="center" vertical="center" textRotation="90"/>
    </xf>
    <xf numFmtId="0" fontId="1" fillId="0" borderId="22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164" fontId="0" fillId="5" borderId="16" xfId="0" applyNumberFormat="1" applyFill="1" applyBorder="1" applyAlignment="1">
      <alignment horizontal="center"/>
    </xf>
    <xf numFmtId="164" fontId="0" fillId="5" borderId="17" xfId="0" applyNumberFormat="1" applyFill="1" applyBorder="1" applyAlignment="1">
      <alignment horizontal="center"/>
    </xf>
    <xf numFmtId="164" fontId="1" fillId="6" borderId="16" xfId="0" applyNumberFormat="1" applyFont="1" applyFill="1" applyBorder="1" applyAlignment="1">
      <alignment horizontal="center"/>
    </xf>
    <xf numFmtId="164" fontId="1" fillId="6" borderId="17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499E2-1715-4D07-B426-8BB40F0685B0}">
  <dimension ref="B2:O97"/>
  <sheetViews>
    <sheetView tabSelected="1" zoomScale="60" zoomScaleNormal="70" workbookViewId="0">
      <selection activeCell="S10" sqref="S10"/>
    </sheetView>
  </sheetViews>
  <sheetFormatPr defaultRowHeight="15" customHeight="1"/>
  <cols>
    <col min="2" max="2" width="4.5703125" bestFit="1" customWidth="1"/>
    <col min="3" max="3" width="20.85546875" customWidth="1"/>
    <col min="4" max="4" width="19.140625" customWidth="1"/>
    <col min="5" max="5" width="10.42578125" bestFit="1" customWidth="1"/>
    <col min="6" max="6" width="10.5703125" customWidth="1"/>
    <col min="7" max="7" width="4.5703125" bestFit="1" customWidth="1"/>
    <col min="8" max="8" width="20.85546875" customWidth="1"/>
    <col min="9" max="9" width="21.85546875" customWidth="1"/>
    <col min="10" max="10" width="10.42578125" bestFit="1" customWidth="1"/>
    <col min="11" max="12" width="10.7109375" customWidth="1"/>
    <col min="13" max="13" width="26.85546875" bestFit="1" customWidth="1"/>
    <col min="14" max="14" width="17.85546875" customWidth="1"/>
  </cols>
  <sheetData>
    <row r="2" spans="2:15" ht="30.75" customHeight="1">
      <c r="C2" s="78" t="s">
        <v>0</v>
      </c>
      <c r="D2" s="78"/>
      <c r="G2" s="45"/>
      <c r="H2" s="79" t="s">
        <v>1</v>
      </c>
      <c r="I2" s="79"/>
      <c r="M2" s="79" t="s">
        <v>2</v>
      </c>
      <c r="N2" s="79"/>
    </row>
    <row r="3" spans="2:15">
      <c r="B3" s="74" t="s">
        <v>3</v>
      </c>
      <c r="C3" s="46" t="s">
        <v>4</v>
      </c>
      <c r="D3" s="67" t="s">
        <v>5</v>
      </c>
      <c r="E3" s="47"/>
      <c r="G3" s="75" t="s">
        <v>3</v>
      </c>
      <c r="H3" s="46" t="s">
        <v>4</v>
      </c>
      <c r="I3" s="66" t="s">
        <v>6</v>
      </c>
      <c r="J3" s="47"/>
      <c r="L3" s="74" t="s">
        <v>2</v>
      </c>
      <c r="M3" s="56" t="s">
        <v>7</v>
      </c>
      <c r="N3" s="46">
        <v>0.1</v>
      </c>
      <c r="O3" s="46" t="s">
        <v>8</v>
      </c>
    </row>
    <row r="4" spans="2:15">
      <c r="B4" s="74"/>
      <c r="C4" s="46" t="s">
        <v>9</v>
      </c>
      <c r="D4" s="64">
        <v>0.1814300023482</v>
      </c>
      <c r="E4" s="46" t="s">
        <v>10</v>
      </c>
      <c r="G4" s="76"/>
      <c r="H4" s="46" t="s">
        <v>9</v>
      </c>
      <c r="I4" s="65">
        <v>8.9399784999999996E-4</v>
      </c>
      <c r="J4" s="46" t="s">
        <v>10</v>
      </c>
      <c r="L4" s="74"/>
      <c r="M4" s="56" t="s">
        <v>11</v>
      </c>
      <c r="N4" s="46">
        <v>0.2</v>
      </c>
      <c r="O4" s="46" t="s">
        <v>8</v>
      </c>
    </row>
    <row r="5" spans="2:15">
      <c r="B5" s="74"/>
      <c r="C5" s="46" t="s">
        <v>12</v>
      </c>
      <c r="D5" s="66" t="s">
        <v>13</v>
      </c>
      <c r="E5" s="46"/>
      <c r="G5" s="76"/>
      <c r="H5" s="46" t="s">
        <v>12</v>
      </c>
      <c r="I5" s="66" t="s">
        <v>13</v>
      </c>
      <c r="J5" s="46"/>
      <c r="L5" s="74"/>
      <c r="M5" s="56" t="s">
        <v>14</v>
      </c>
      <c r="N5" s="46">
        <v>0.5</v>
      </c>
      <c r="O5" s="46" t="s">
        <v>8</v>
      </c>
    </row>
    <row r="6" spans="2:15">
      <c r="B6" s="74"/>
      <c r="C6" s="46" t="s">
        <v>15</v>
      </c>
      <c r="D6" s="46">
        <v>0.28899999999999998</v>
      </c>
      <c r="E6" s="46" t="s">
        <v>16</v>
      </c>
      <c r="G6" s="76"/>
      <c r="H6" s="46" t="s">
        <v>15</v>
      </c>
      <c r="I6" s="46">
        <v>0.28899999999999998</v>
      </c>
      <c r="J6" s="46" t="s">
        <v>16</v>
      </c>
      <c r="L6" s="74"/>
      <c r="M6" s="56" t="s">
        <v>17</v>
      </c>
      <c r="N6" s="46">
        <v>0.1</v>
      </c>
      <c r="O6" s="46" t="s">
        <v>8</v>
      </c>
    </row>
    <row r="7" spans="2:15">
      <c r="B7" s="74"/>
      <c r="C7" s="46" t="s">
        <v>18</v>
      </c>
      <c r="D7" s="65">
        <f>D4*D6</f>
        <v>5.2433270678629795E-2</v>
      </c>
      <c r="E7" s="46" t="s">
        <v>19</v>
      </c>
      <c r="G7" s="76"/>
      <c r="H7" s="46" t="s">
        <v>18</v>
      </c>
      <c r="I7" s="68">
        <f>I4*I6</f>
        <v>2.5836537864999996E-4</v>
      </c>
      <c r="J7" s="46" t="s">
        <v>19</v>
      </c>
      <c r="L7" s="74"/>
      <c r="M7" s="56" t="s">
        <v>20</v>
      </c>
      <c r="N7" s="46">
        <v>0.1</v>
      </c>
      <c r="O7" s="46" t="s">
        <v>8</v>
      </c>
    </row>
    <row r="8" spans="2:15">
      <c r="B8" s="74"/>
      <c r="C8" s="49" t="s">
        <v>21</v>
      </c>
      <c r="D8" s="50">
        <v>125.98</v>
      </c>
      <c r="E8" s="46" t="s">
        <v>22</v>
      </c>
      <c r="G8" s="76"/>
      <c r="H8" s="49" t="s">
        <v>21</v>
      </c>
      <c r="I8" s="50">
        <v>715.33</v>
      </c>
      <c r="J8" s="46" t="s">
        <v>22</v>
      </c>
      <c r="L8" s="74"/>
      <c r="M8" s="70" t="s">
        <v>23</v>
      </c>
      <c r="N8" s="51">
        <f>SUM(N3:N7)</f>
        <v>1</v>
      </c>
      <c r="O8" s="69" t="s">
        <v>8</v>
      </c>
    </row>
    <row r="9" spans="2:15">
      <c r="B9" s="74"/>
      <c r="C9" s="51" t="s">
        <v>24</v>
      </c>
      <c r="D9" s="58">
        <f>D8*D7</f>
        <v>6.6055434400937818</v>
      </c>
      <c r="E9" s="46"/>
      <c r="G9" s="77"/>
      <c r="H9" s="51" t="s">
        <v>24</v>
      </c>
      <c r="I9" s="58">
        <f>I8*I7</f>
        <v>0.18481650630970448</v>
      </c>
      <c r="J9" s="46"/>
    </row>
    <row r="10" spans="2:15">
      <c r="L10" s="74" t="s">
        <v>25</v>
      </c>
      <c r="M10" s="46" t="s">
        <v>26</v>
      </c>
      <c r="N10" s="50">
        <v>60</v>
      </c>
      <c r="O10" s="72" t="s">
        <v>27</v>
      </c>
    </row>
    <row r="11" spans="2:15">
      <c r="B11" s="74" t="s">
        <v>25</v>
      </c>
      <c r="C11" s="46" t="s">
        <v>28</v>
      </c>
      <c r="D11" s="46">
        <v>0.5</v>
      </c>
      <c r="E11" s="46" t="s">
        <v>8</v>
      </c>
      <c r="G11" s="75" t="s">
        <v>25</v>
      </c>
      <c r="H11" s="46" t="s">
        <v>28</v>
      </c>
      <c r="I11" s="46">
        <v>8.3000000000000004E-2</v>
      </c>
      <c r="J11" s="46" t="s">
        <v>29</v>
      </c>
      <c r="L11" s="74"/>
      <c r="M11" s="52" t="s">
        <v>30</v>
      </c>
      <c r="N11" s="71">
        <f>N10*N8</f>
        <v>60</v>
      </c>
      <c r="O11" s="46"/>
    </row>
    <row r="12" spans="2:15">
      <c r="B12" s="74"/>
      <c r="C12" s="46" t="s">
        <v>26</v>
      </c>
      <c r="D12" s="50">
        <v>60</v>
      </c>
      <c r="E12" s="46" t="s">
        <v>27</v>
      </c>
      <c r="G12" s="76"/>
      <c r="H12" s="46" t="s">
        <v>26</v>
      </c>
      <c r="I12" s="50">
        <v>60</v>
      </c>
      <c r="J12" s="46" t="s">
        <v>27</v>
      </c>
    </row>
    <row r="13" spans="2:15">
      <c r="B13" s="74"/>
      <c r="C13" s="52" t="s">
        <v>30</v>
      </c>
      <c r="D13" s="59">
        <f>D12*D11</f>
        <v>30</v>
      </c>
      <c r="E13" s="46"/>
      <c r="G13" s="77"/>
      <c r="H13" s="52" t="s">
        <v>30</v>
      </c>
      <c r="I13" s="59">
        <f>I12*I11</f>
        <v>4.9800000000000004</v>
      </c>
      <c r="J13" s="46"/>
      <c r="M13" s="54" t="s">
        <v>31</v>
      </c>
      <c r="N13" s="60">
        <v>0.35</v>
      </c>
    </row>
    <row r="15" spans="2:15">
      <c r="C15" s="53" t="s">
        <v>32</v>
      </c>
      <c r="D15" s="62">
        <f>D9+D13</f>
        <v>36.605543440093783</v>
      </c>
      <c r="H15" s="53" t="s">
        <v>32</v>
      </c>
      <c r="I15" s="62">
        <f>I9+I13</f>
        <v>5.1648165063097053</v>
      </c>
      <c r="M15" s="55" t="s">
        <v>33</v>
      </c>
      <c r="N15" s="61">
        <f>N11*(1+N13)</f>
        <v>81</v>
      </c>
    </row>
    <row r="16" spans="2:15">
      <c r="C16" s="54" t="s">
        <v>31</v>
      </c>
      <c r="D16" s="63">
        <v>0.35</v>
      </c>
      <c r="H16" s="54" t="s">
        <v>31</v>
      </c>
      <c r="I16" s="63">
        <v>0.35</v>
      </c>
    </row>
    <row r="18" spans="2:14">
      <c r="C18" s="55" t="s">
        <v>33</v>
      </c>
      <c r="D18" s="61">
        <f>D15*(1+D16)</f>
        <v>49.417483644126612</v>
      </c>
      <c r="H18" s="55" t="s">
        <v>33</v>
      </c>
      <c r="I18" s="61">
        <f>I15*(1+I16)</f>
        <v>6.9725022835181028</v>
      </c>
      <c r="M18" s="73" t="s">
        <v>34</v>
      </c>
      <c r="N18" s="73">
        <f>SUM(D18,D33,D52,D67,D82,D97,I97,I82,I67,I52,I33,I18,N15)</f>
        <v>288.06898905743236</v>
      </c>
    </row>
    <row r="21" spans="2:14" ht="29.25" customHeight="1">
      <c r="B21" s="45"/>
      <c r="C21" s="79" t="s">
        <v>35</v>
      </c>
      <c r="D21" s="79"/>
      <c r="G21" s="45"/>
      <c r="H21" s="79" t="s">
        <v>36</v>
      </c>
      <c r="I21" s="79"/>
    </row>
    <row r="22" spans="2:14" ht="14.45" customHeight="1">
      <c r="B22" s="75" t="s">
        <v>3</v>
      </c>
      <c r="C22" s="46" t="s">
        <v>37</v>
      </c>
      <c r="D22" s="46">
        <v>6.9000000000000006E-2</v>
      </c>
      <c r="E22" s="46" t="s">
        <v>38</v>
      </c>
      <c r="G22" s="74" t="s">
        <v>3</v>
      </c>
      <c r="H22" s="46" t="s">
        <v>37</v>
      </c>
      <c r="I22" s="46">
        <v>6.9000000000000006E-2</v>
      </c>
      <c r="J22" s="46" t="s">
        <v>38</v>
      </c>
    </row>
    <row r="23" spans="2:14">
      <c r="B23" s="76"/>
      <c r="C23" s="46" t="s">
        <v>39</v>
      </c>
      <c r="D23" s="46">
        <v>41.896000000000001</v>
      </c>
      <c r="E23" s="46" t="s">
        <v>40</v>
      </c>
      <c r="G23" s="74"/>
      <c r="H23" s="46" t="s">
        <v>39</v>
      </c>
      <c r="I23" s="46">
        <v>89.206000000000003</v>
      </c>
      <c r="J23" s="46" t="s">
        <v>40</v>
      </c>
    </row>
    <row r="24" spans="2:14">
      <c r="B24" s="76"/>
      <c r="C24" s="46" t="s">
        <v>41</v>
      </c>
      <c r="D24" s="46">
        <v>3.1E-2</v>
      </c>
      <c r="E24" s="46" t="s">
        <v>16</v>
      </c>
      <c r="G24" s="74"/>
      <c r="H24" s="46" t="s">
        <v>41</v>
      </c>
      <c r="I24" s="46">
        <v>3.1E-2</v>
      </c>
      <c r="J24" s="46" t="s">
        <v>16</v>
      </c>
    </row>
    <row r="25" spans="2:14">
      <c r="B25" s="76"/>
      <c r="C25" s="46" t="s">
        <v>42</v>
      </c>
      <c r="D25" s="46">
        <v>8.3000000000000004E-2</v>
      </c>
      <c r="E25" s="46" t="s">
        <v>19</v>
      </c>
      <c r="G25" s="74"/>
      <c r="H25" s="46" t="s">
        <v>42</v>
      </c>
      <c r="I25" s="46">
        <v>0.17599999999999999</v>
      </c>
      <c r="J25" s="46" t="s">
        <v>19</v>
      </c>
    </row>
    <row r="26" spans="2:14">
      <c r="B26" s="76"/>
      <c r="C26" s="46" t="s">
        <v>43</v>
      </c>
      <c r="D26" s="50">
        <v>20.905000000000001</v>
      </c>
      <c r="E26" s="46" t="s">
        <v>22</v>
      </c>
      <c r="G26" s="74"/>
      <c r="H26" s="46" t="s">
        <v>43</v>
      </c>
      <c r="I26" s="50">
        <v>20.905000000000001</v>
      </c>
      <c r="J26" s="46" t="s">
        <v>22</v>
      </c>
    </row>
    <row r="27" spans="2:14">
      <c r="B27" s="77"/>
      <c r="C27" s="51" t="s">
        <v>24</v>
      </c>
      <c r="D27" s="58">
        <f>D25*D26</f>
        <v>1.7351150000000002</v>
      </c>
      <c r="E27" s="46"/>
      <c r="G27" s="74"/>
      <c r="H27" s="51" t="s">
        <v>24</v>
      </c>
      <c r="I27" s="58">
        <f>I25*I26</f>
        <v>3.6792799999999999</v>
      </c>
      <c r="J27" s="46"/>
    </row>
    <row r="29" spans="2:14">
      <c r="B29" s="75" t="s">
        <v>25</v>
      </c>
      <c r="C29" s="46" t="s">
        <v>44</v>
      </c>
      <c r="D29" s="46">
        <v>2.5</v>
      </c>
      <c r="E29" s="46" t="s">
        <v>8</v>
      </c>
      <c r="G29" s="74" t="s">
        <v>25</v>
      </c>
      <c r="H29" s="46" t="s">
        <v>44</v>
      </c>
      <c r="I29" s="46">
        <v>5.5</v>
      </c>
      <c r="J29" s="46" t="s">
        <v>8</v>
      </c>
    </row>
    <row r="30" spans="2:14" ht="14.45" customHeight="1">
      <c r="B30" s="76"/>
      <c r="C30" s="46" t="s">
        <v>26</v>
      </c>
      <c r="D30" s="50">
        <v>1</v>
      </c>
      <c r="E30" s="46" t="s">
        <v>27</v>
      </c>
      <c r="G30" s="74"/>
      <c r="H30" s="46" t="s">
        <v>26</v>
      </c>
      <c r="I30" s="50">
        <v>1</v>
      </c>
      <c r="J30" s="46" t="s">
        <v>27</v>
      </c>
    </row>
    <row r="31" spans="2:14">
      <c r="B31" s="77"/>
      <c r="C31" s="52" t="s">
        <v>30</v>
      </c>
      <c r="D31" s="59">
        <f>D30*D29</f>
        <v>2.5</v>
      </c>
      <c r="E31" s="46"/>
      <c r="G31" s="74"/>
      <c r="H31" s="52" t="s">
        <v>30</v>
      </c>
      <c r="I31" s="59">
        <f>I30*I29</f>
        <v>5.5</v>
      </c>
      <c r="J31" s="46"/>
    </row>
    <row r="33" spans="2:10">
      <c r="C33" s="55" t="s">
        <v>33</v>
      </c>
      <c r="D33" s="61">
        <f>D31+D27</f>
        <v>4.2351150000000004</v>
      </c>
      <c r="H33" s="55" t="s">
        <v>33</v>
      </c>
      <c r="I33" s="61">
        <f>I31+I27</f>
        <v>9.1792800000000003</v>
      </c>
    </row>
    <row r="36" spans="2:10" ht="31.5" customHeight="1">
      <c r="B36" s="45"/>
      <c r="C36" s="79" t="s">
        <v>45</v>
      </c>
      <c r="D36" s="79"/>
      <c r="G36" s="45"/>
      <c r="H36" s="79" t="s">
        <v>46</v>
      </c>
      <c r="I36" s="79"/>
    </row>
    <row r="37" spans="2:10">
      <c r="B37" s="74" t="s">
        <v>3</v>
      </c>
      <c r="C37" s="46" t="s">
        <v>4</v>
      </c>
      <c r="D37" s="66" t="s">
        <v>47</v>
      </c>
      <c r="E37" s="47"/>
      <c r="G37" s="74" t="s">
        <v>3</v>
      </c>
      <c r="H37" s="46" t="s">
        <v>4</v>
      </c>
      <c r="I37" s="66" t="s">
        <v>48</v>
      </c>
      <c r="J37" s="47"/>
    </row>
    <row r="38" spans="2:10">
      <c r="B38" s="74"/>
      <c r="C38" s="46" t="s">
        <v>9</v>
      </c>
      <c r="D38" s="65">
        <v>0.1712067451497</v>
      </c>
      <c r="E38" s="46" t="s">
        <v>10</v>
      </c>
      <c r="G38" s="74"/>
      <c r="H38" s="46" t="s">
        <v>9</v>
      </c>
      <c r="I38" s="65">
        <v>3.1804660069999997E-2</v>
      </c>
      <c r="J38" s="46" t="s">
        <v>10</v>
      </c>
    </row>
    <row r="39" spans="2:10">
      <c r="B39" s="74"/>
      <c r="C39" s="46" t="s">
        <v>12</v>
      </c>
      <c r="D39" s="66" t="s">
        <v>13</v>
      </c>
      <c r="E39" s="46"/>
      <c r="G39" s="74"/>
      <c r="H39" s="46" t="s">
        <v>12</v>
      </c>
      <c r="I39" s="66" t="s">
        <v>13</v>
      </c>
      <c r="J39" s="46"/>
    </row>
    <row r="40" spans="2:10">
      <c r="B40" s="74"/>
      <c r="C40" s="46" t="s">
        <v>15</v>
      </c>
      <c r="D40" s="46">
        <v>0.28899999999999998</v>
      </c>
      <c r="E40" s="46" t="s">
        <v>16</v>
      </c>
      <c r="G40" s="74"/>
      <c r="H40" s="46" t="s">
        <v>15</v>
      </c>
      <c r="I40" s="46">
        <v>0.28899999999999998</v>
      </c>
      <c r="J40" s="46" t="s">
        <v>16</v>
      </c>
    </row>
    <row r="41" spans="2:10">
      <c r="B41" s="74"/>
      <c r="C41" s="46" t="s">
        <v>18</v>
      </c>
      <c r="D41" s="65">
        <f>D38*D40</f>
        <v>4.9478749348263296E-2</v>
      </c>
      <c r="E41" s="46" t="s">
        <v>19</v>
      </c>
      <c r="G41" s="74"/>
      <c r="H41" s="46" t="s">
        <v>18</v>
      </c>
      <c r="I41" s="65">
        <f>I38*I40</f>
        <v>9.1915467602299988E-3</v>
      </c>
      <c r="J41" s="46" t="s">
        <v>19</v>
      </c>
    </row>
    <row r="42" spans="2:10">
      <c r="B42" s="74"/>
      <c r="C42" s="49" t="s">
        <v>21</v>
      </c>
      <c r="D42" s="50">
        <v>151.84</v>
      </c>
      <c r="E42" s="46" t="s">
        <v>22</v>
      </c>
      <c r="G42" s="74"/>
      <c r="H42" s="49" t="s">
        <v>21</v>
      </c>
      <c r="I42" s="50">
        <v>1212.3599999999999</v>
      </c>
      <c r="J42" s="46" t="s">
        <v>22</v>
      </c>
    </row>
    <row r="43" spans="2:10">
      <c r="B43" s="74"/>
      <c r="C43" s="51" t="s">
        <v>24</v>
      </c>
      <c r="D43" s="58">
        <f>D42*D41</f>
        <v>7.5128533010402991</v>
      </c>
      <c r="E43" s="46"/>
      <c r="G43" s="74"/>
      <c r="H43" s="51" t="s">
        <v>24</v>
      </c>
      <c r="I43" s="58">
        <f>I42*I41</f>
        <v>11.143463630232441</v>
      </c>
      <c r="J43" s="46"/>
    </row>
    <row r="45" spans="2:10">
      <c r="B45" s="74" t="s">
        <v>25</v>
      </c>
      <c r="C45" s="46" t="s">
        <v>28</v>
      </c>
      <c r="D45" s="46">
        <v>1</v>
      </c>
      <c r="E45" s="46" t="s">
        <v>8</v>
      </c>
      <c r="G45" s="74" t="s">
        <v>25</v>
      </c>
      <c r="H45" s="46" t="s">
        <v>28</v>
      </c>
      <c r="I45" s="46">
        <v>0.25</v>
      </c>
      <c r="J45" s="46" t="s">
        <v>8</v>
      </c>
    </row>
    <row r="46" spans="2:10">
      <c r="B46" s="74"/>
      <c r="C46" s="46" t="s">
        <v>26</v>
      </c>
      <c r="D46" s="50">
        <v>60</v>
      </c>
      <c r="E46" s="46" t="s">
        <v>27</v>
      </c>
      <c r="G46" s="74"/>
      <c r="H46" s="46" t="s">
        <v>26</v>
      </c>
      <c r="I46" s="50">
        <v>60</v>
      </c>
      <c r="J46" s="46" t="s">
        <v>27</v>
      </c>
    </row>
    <row r="47" spans="2:10">
      <c r="B47" s="74"/>
      <c r="C47" s="52" t="s">
        <v>30</v>
      </c>
      <c r="D47" s="59">
        <f>D46*D45</f>
        <v>60</v>
      </c>
      <c r="E47" s="46"/>
      <c r="G47" s="74"/>
      <c r="H47" s="52" t="s">
        <v>30</v>
      </c>
      <c r="I47" s="59">
        <f>I46*I45</f>
        <v>15</v>
      </c>
      <c r="J47" s="46"/>
    </row>
    <row r="49" spans="2:10">
      <c r="C49" s="53" t="s">
        <v>32</v>
      </c>
      <c r="D49" s="62">
        <f>D43+D47</f>
        <v>67.512853301040295</v>
      </c>
      <c r="H49" s="53" t="s">
        <v>32</v>
      </c>
      <c r="I49" s="62">
        <f>I43+I47</f>
        <v>26.143463630232439</v>
      </c>
    </row>
    <row r="50" spans="2:10">
      <c r="C50" s="54" t="s">
        <v>31</v>
      </c>
      <c r="D50" s="63">
        <v>0.35</v>
      </c>
      <c r="H50" s="54" t="s">
        <v>31</v>
      </c>
      <c r="I50" s="63">
        <v>0.35</v>
      </c>
    </row>
    <row r="52" spans="2:10">
      <c r="C52" s="55" t="s">
        <v>33</v>
      </c>
      <c r="D52" s="61">
        <f>D49*(1+D50)</f>
        <v>91.142351956404397</v>
      </c>
      <c r="H52" s="55" t="s">
        <v>33</v>
      </c>
      <c r="I52" s="61">
        <f>I49*(1+I50)</f>
        <v>35.293675900813795</v>
      </c>
    </row>
    <row r="55" spans="2:10" ht="30.75" customHeight="1">
      <c r="B55" s="45"/>
      <c r="C55" s="79" t="s">
        <v>49</v>
      </c>
      <c r="D55" s="79"/>
      <c r="G55" s="45"/>
      <c r="H55" s="79" t="s">
        <v>50</v>
      </c>
      <c r="I55" s="79"/>
    </row>
    <row r="56" spans="2:10">
      <c r="B56" s="74" t="s">
        <v>3</v>
      </c>
      <c r="C56" s="46" t="s">
        <v>37</v>
      </c>
      <c r="D56" s="46">
        <v>6.9000000000000006E-2</v>
      </c>
      <c r="E56" s="46" t="s">
        <v>38</v>
      </c>
      <c r="G56" s="74" t="s">
        <v>3</v>
      </c>
      <c r="H56" s="46" t="s">
        <v>37</v>
      </c>
      <c r="I56" s="46">
        <v>6.9000000000000006E-2</v>
      </c>
      <c r="J56" s="46" t="s">
        <v>38</v>
      </c>
    </row>
    <row r="57" spans="2:10">
      <c r="B57" s="74"/>
      <c r="C57" s="46" t="s">
        <v>39</v>
      </c>
      <c r="D57" s="46">
        <v>1.772</v>
      </c>
      <c r="E57" s="46" t="s">
        <v>40</v>
      </c>
      <c r="G57" s="74"/>
      <c r="H57" s="46" t="s">
        <v>39</v>
      </c>
      <c r="I57" s="46">
        <v>0.49199999999999999</v>
      </c>
      <c r="J57" s="46" t="s">
        <v>40</v>
      </c>
    </row>
    <row r="58" spans="2:10">
      <c r="B58" s="74"/>
      <c r="C58" s="46" t="s">
        <v>41</v>
      </c>
      <c r="D58" s="46">
        <v>3.1E-2</v>
      </c>
      <c r="E58" s="46" t="s">
        <v>16</v>
      </c>
      <c r="G58" s="74"/>
      <c r="H58" s="46" t="s">
        <v>41</v>
      </c>
      <c r="I58" s="46">
        <v>3.1E-2</v>
      </c>
      <c r="J58" s="46" t="s">
        <v>16</v>
      </c>
    </row>
    <row r="59" spans="2:10">
      <c r="B59" s="74"/>
      <c r="C59" s="46" t="s">
        <v>42</v>
      </c>
      <c r="D59" s="48">
        <v>3.0000000000000001E-3</v>
      </c>
      <c r="E59" s="46" t="s">
        <v>19</v>
      </c>
      <c r="G59" s="74"/>
      <c r="H59" s="46" t="s">
        <v>42</v>
      </c>
      <c r="I59" s="48">
        <v>1E-3</v>
      </c>
      <c r="J59" s="46" t="s">
        <v>19</v>
      </c>
    </row>
    <row r="60" spans="2:10">
      <c r="B60" s="74"/>
      <c r="C60" s="46" t="s">
        <v>43</v>
      </c>
      <c r="D60" s="50">
        <v>20.905000000000001</v>
      </c>
      <c r="E60" s="46" t="s">
        <v>22</v>
      </c>
      <c r="G60" s="74"/>
      <c r="H60" s="46" t="s">
        <v>43</v>
      </c>
      <c r="I60" s="50">
        <v>20.905000000000001</v>
      </c>
      <c r="J60" s="46" t="s">
        <v>22</v>
      </c>
    </row>
    <row r="61" spans="2:10">
      <c r="B61" s="74"/>
      <c r="C61" s="51" t="s">
        <v>24</v>
      </c>
      <c r="D61" s="58">
        <f>D59*D60</f>
        <v>6.2715000000000007E-2</v>
      </c>
      <c r="E61" s="46"/>
      <c r="G61" s="74"/>
      <c r="H61" s="51" t="s">
        <v>24</v>
      </c>
      <c r="I61" s="58">
        <f>I59*I60</f>
        <v>2.0905E-2</v>
      </c>
      <c r="J61" s="46"/>
    </row>
    <row r="63" spans="2:10">
      <c r="B63" s="74" t="s">
        <v>25</v>
      </c>
      <c r="C63" s="46" t="s">
        <v>44</v>
      </c>
      <c r="D63" s="46">
        <v>0.16700000000000001</v>
      </c>
      <c r="E63" s="46" t="s">
        <v>8</v>
      </c>
      <c r="G63" s="74" t="s">
        <v>25</v>
      </c>
      <c r="H63" s="46" t="s">
        <v>44</v>
      </c>
      <c r="I63" s="46">
        <v>8.3000000000000004E-2</v>
      </c>
      <c r="J63" s="46" t="s">
        <v>8</v>
      </c>
    </row>
    <row r="64" spans="2:10">
      <c r="B64" s="74"/>
      <c r="C64" s="46" t="s">
        <v>26</v>
      </c>
      <c r="D64" s="50">
        <v>1</v>
      </c>
      <c r="E64" s="46" t="s">
        <v>27</v>
      </c>
      <c r="G64" s="74"/>
      <c r="H64" s="46" t="s">
        <v>26</v>
      </c>
      <c r="I64" s="50">
        <v>1</v>
      </c>
      <c r="J64" s="46" t="s">
        <v>27</v>
      </c>
    </row>
    <row r="65" spans="2:10">
      <c r="B65" s="74"/>
      <c r="C65" s="52" t="s">
        <v>30</v>
      </c>
      <c r="D65" s="59">
        <f>D64*D63</f>
        <v>0.16700000000000001</v>
      </c>
      <c r="E65" s="46"/>
      <c r="G65" s="74"/>
      <c r="H65" s="52" t="s">
        <v>30</v>
      </c>
      <c r="I65" s="59">
        <f>I64*I63</f>
        <v>8.3000000000000004E-2</v>
      </c>
      <c r="J65" s="46"/>
    </row>
    <row r="67" spans="2:10">
      <c r="C67" s="55" t="s">
        <v>33</v>
      </c>
      <c r="D67" s="61">
        <f>D65+D61</f>
        <v>0.229715</v>
      </c>
      <c r="H67" s="55" t="s">
        <v>33</v>
      </c>
      <c r="I67" s="61">
        <f>I65+I61</f>
        <v>0.103905</v>
      </c>
    </row>
    <row r="70" spans="2:10" ht="30.75" customHeight="1">
      <c r="B70" s="45"/>
      <c r="C70" s="79" t="s">
        <v>51</v>
      </c>
      <c r="D70" s="79"/>
      <c r="G70" s="45"/>
      <c r="H70" s="79" t="s">
        <v>52</v>
      </c>
      <c r="I70" s="79"/>
    </row>
    <row r="71" spans="2:10">
      <c r="B71" s="74" t="s">
        <v>3</v>
      </c>
      <c r="C71" s="46" t="s">
        <v>37</v>
      </c>
      <c r="D71" s="46">
        <v>6.9000000000000006E-2</v>
      </c>
      <c r="E71" s="46" t="s">
        <v>38</v>
      </c>
      <c r="G71" s="74" t="s">
        <v>12</v>
      </c>
      <c r="H71" s="46" t="s">
        <v>53</v>
      </c>
      <c r="I71" s="66" t="s">
        <v>54</v>
      </c>
    </row>
    <row r="72" spans="2:10">
      <c r="B72" s="74"/>
      <c r="C72" s="46" t="s">
        <v>39</v>
      </c>
      <c r="D72" s="46">
        <v>53.904000000000003</v>
      </c>
      <c r="E72" s="46" t="s">
        <v>40</v>
      </c>
      <c r="G72" s="74"/>
      <c r="H72" s="46" t="s">
        <v>55</v>
      </c>
      <c r="I72" s="66" t="s">
        <v>56</v>
      </c>
    </row>
    <row r="73" spans="2:10">
      <c r="B73" s="74"/>
      <c r="C73" s="46" t="s">
        <v>41</v>
      </c>
      <c r="D73" s="46">
        <v>3.1E-2</v>
      </c>
      <c r="E73" s="46" t="s">
        <v>16</v>
      </c>
      <c r="G73" s="74"/>
      <c r="H73" s="46" t="s">
        <v>57</v>
      </c>
      <c r="I73" s="50">
        <v>8.99</v>
      </c>
    </row>
    <row r="74" spans="2:10">
      <c r="B74" s="74"/>
      <c r="C74" s="46" t="s">
        <v>42</v>
      </c>
      <c r="D74" s="48">
        <v>0.106</v>
      </c>
      <c r="E74" s="46" t="s">
        <v>19</v>
      </c>
      <c r="G74" s="74"/>
      <c r="H74" s="46" t="s">
        <v>58</v>
      </c>
      <c r="I74" s="46">
        <f>ROUNDDOWN(5000/I76,0)</f>
        <v>17</v>
      </c>
    </row>
    <row r="75" spans="2:10">
      <c r="B75" s="74"/>
      <c r="C75" s="46" t="s">
        <v>43</v>
      </c>
      <c r="D75" s="50">
        <v>20.905000000000001</v>
      </c>
      <c r="E75" s="46" t="s">
        <v>22</v>
      </c>
      <c r="G75" s="74"/>
      <c r="H75" s="46" t="s">
        <v>59</v>
      </c>
      <c r="I75" s="57">
        <v>0.95</v>
      </c>
    </row>
    <row r="76" spans="2:10">
      <c r="B76" s="74"/>
      <c r="C76" s="51" t="s">
        <v>24</v>
      </c>
      <c r="D76" s="58">
        <f>D74*D75</f>
        <v>2.2159300000000002</v>
      </c>
      <c r="E76" s="46"/>
      <c r="G76" s="74"/>
      <c r="H76" s="46" t="s">
        <v>60</v>
      </c>
      <c r="I76" s="46">
        <v>288</v>
      </c>
    </row>
    <row r="78" spans="2:10">
      <c r="B78" s="74" t="s">
        <v>25</v>
      </c>
      <c r="C78" s="46" t="s">
        <v>44</v>
      </c>
      <c r="D78" s="46">
        <v>3.25</v>
      </c>
      <c r="E78" s="46" t="s">
        <v>8</v>
      </c>
      <c r="H78" s="51" t="s">
        <v>61</v>
      </c>
      <c r="I78" s="58">
        <f>(I73*I75)/I76</f>
        <v>2.9654513888888887E-2</v>
      </c>
    </row>
    <row r="79" spans="2:10">
      <c r="B79" s="74"/>
      <c r="C79" s="46" t="s">
        <v>26</v>
      </c>
      <c r="D79" s="50">
        <v>1</v>
      </c>
      <c r="E79" s="46" t="s">
        <v>27</v>
      </c>
    </row>
    <row r="80" spans="2:10">
      <c r="B80" s="74"/>
      <c r="C80" s="52" t="s">
        <v>30</v>
      </c>
      <c r="D80" s="59">
        <f>D79*D78</f>
        <v>3.25</v>
      </c>
      <c r="E80" s="46"/>
      <c r="H80" s="54" t="s">
        <v>31</v>
      </c>
      <c r="I80" s="60">
        <v>8.5000000000000006E-2</v>
      </c>
    </row>
    <row r="82" spans="2:9">
      <c r="C82" s="55" t="s">
        <v>33</v>
      </c>
      <c r="D82" s="61">
        <f>D80+D76</f>
        <v>5.4659300000000002</v>
      </c>
      <c r="H82" s="55" t="s">
        <v>33</v>
      </c>
      <c r="I82" s="61">
        <f>I78*(1+I80)</f>
        <v>3.2175147569444444E-2</v>
      </c>
    </row>
    <row r="85" spans="2:9" ht="32.25" customHeight="1">
      <c r="B85" s="45"/>
      <c r="C85" s="79" t="s">
        <v>62</v>
      </c>
      <c r="D85" s="79"/>
      <c r="G85" s="45"/>
      <c r="H85" s="79" t="s">
        <v>63</v>
      </c>
      <c r="I85" s="79"/>
    </row>
    <row r="86" spans="2:9">
      <c r="B86" s="74" t="s">
        <v>12</v>
      </c>
      <c r="C86" s="56" t="s">
        <v>53</v>
      </c>
      <c r="D86" s="66" t="s">
        <v>64</v>
      </c>
      <c r="G86" s="74" t="s">
        <v>12</v>
      </c>
      <c r="H86" s="56" t="s">
        <v>53</v>
      </c>
      <c r="I86" s="66" t="s">
        <v>65</v>
      </c>
    </row>
    <row r="87" spans="2:9">
      <c r="B87" s="74"/>
      <c r="C87" s="56" t="s">
        <v>55</v>
      </c>
      <c r="D87" s="66" t="s">
        <v>66</v>
      </c>
      <c r="G87" s="74"/>
      <c r="H87" s="56" t="s">
        <v>55</v>
      </c>
      <c r="I87" s="66" t="s">
        <v>56</v>
      </c>
    </row>
    <row r="88" spans="2:9">
      <c r="B88" s="74"/>
      <c r="C88" s="56" t="s">
        <v>57</v>
      </c>
      <c r="D88" s="50">
        <v>89.09</v>
      </c>
      <c r="G88" s="74"/>
      <c r="H88" s="56" t="s">
        <v>57</v>
      </c>
      <c r="I88" s="50">
        <v>24.99</v>
      </c>
    </row>
    <row r="89" spans="2:9">
      <c r="B89" s="74"/>
      <c r="C89" s="56" t="s">
        <v>58</v>
      </c>
      <c r="D89" s="46">
        <f>ROUNDDOWN(5000/D91,0)</f>
        <v>178</v>
      </c>
      <c r="G89" s="74"/>
      <c r="H89" s="56" t="s">
        <v>58</v>
      </c>
      <c r="I89" s="46">
        <f>ROUNDUP(5000/I91,0)</f>
        <v>334</v>
      </c>
    </row>
    <row r="90" spans="2:9">
      <c r="B90" s="74"/>
      <c r="C90" s="56" t="s">
        <v>59</v>
      </c>
      <c r="D90" s="57">
        <v>0.95</v>
      </c>
      <c r="G90" s="74"/>
      <c r="H90" s="56" t="s">
        <v>59</v>
      </c>
      <c r="I90" s="57">
        <v>0.95</v>
      </c>
    </row>
    <row r="91" spans="2:9">
      <c r="B91" s="74"/>
      <c r="C91" s="56" t="s">
        <v>60</v>
      </c>
      <c r="D91" s="46">
        <v>28</v>
      </c>
      <c r="G91" s="74"/>
      <c r="H91" s="56" t="s">
        <v>60</v>
      </c>
      <c r="I91" s="46">
        <v>15</v>
      </c>
    </row>
    <row r="93" spans="2:9">
      <c r="C93" s="51" t="s">
        <v>61</v>
      </c>
      <c r="D93" s="58">
        <f>(D88*D90)/D91</f>
        <v>3.0226964285714284</v>
      </c>
      <c r="H93" s="51" t="s">
        <v>61</v>
      </c>
      <c r="I93" s="58">
        <f>(I88*I90)/I91</f>
        <v>1.5826999999999998</v>
      </c>
    </row>
    <row r="95" spans="2:9">
      <c r="C95" s="54" t="s">
        <v>31</v>
      </c>
      <c r="D95" s="60">
        <v>8.5000000000000006E-2</v>
      </c>
      <c r="H95" s="54" t="s">
        <v>31</v>
      </c>
      <c r="I95" s="60">
        <v>8.5000000000000006E-2</v>
      </c>
    </row>
    <row r="97" spans="3:9">
      <c r="C97" s="55" t="s">
        <v>33</v>
      </c>
      <c r="D97" s="61">
        <f>D93*(1+D95)</f>
        <v>3.2796256249999995</v>
      </c>
      <c r="H97" s="55" t="s">
        <v>33</v>
      </c>
      <c r="I97" s="61">
        <f>I93*(1+I95)</f>
        <v>1.7172294999999997</v>
      </c>
    </row>
  </sheetData>
  <mergeCells count="36">
    <mergeCell ref="M2:N2"/>
    <mergeCell ref="L3:L8"/>
    <mergeCell ref="L10:L11"/>
    <mergeCell ref="C55:D55"/>
    <mergeCell ref="H55:I55"/>
    <mergeCell ref="C36:D36"/>
    <mergeCell ref="H36:I36"/>
    <mergeCell ref="C21:D21"/>
    <mergeCell ref="H21:I21"/>
    <mergeCell ref="B86:B91"/>
    <mergeCell ref="G86:G91"/>
    <mergeCell ref="C2:D2"/>
    <mergeCell ref="H2:I2"/>
    <mergeCell ref="C85:D85"/>
    <mergeCell ref="H85:I85"/>
    <mergeCell ref="C70:D70"/>
    <mergeCell ref="H70:I70"/>
    <mergeCell ref="B56:B61"/>
    <mergeCell ref="B63:B65"/>
    <mergeCell ref="G56:G61"/>
    <mergeCell ref="G63:G65"/>
    <mergeCell ref="B71:B76"/>
    <mergeCell ref="B78:B80"/>
    <mergeCell ref="G71:G76"/>
    <mergeCell ref="B37:B43"/>
    <mergeCell ref="B45:B47"/>
    <mergeCell ref="G37:G43"/>
    <mergeCell ref="G45:G47"/>
    <mergeCell ref="B3:B9"/>
    <mergeCell ref="B11:B13"/>
    <mergeCell ref="G3:G9"/>
    <mergeCell ref="G11:G13"/>
    <mergeCell ref="B22:B27"/>
    <mergeCell ref="B29:B31"/>
    <mergeCell ref="G22:G27"/>
    <mergeCell ref="G29:G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1"/>
  <sheetViews>
    <sheetView zoomScale="76" zoomScaleNormal="130" workbookViewId="0">
      <selection activeCell="B61" sqref="B61"/>
    </sheetView>
  </sheetViews>
  <sheetFormatPr defaultRowHeight="14.45"/>
  <cols>
    <col min="1" max="1" width="40.28515625" bestFit="1" customWidth="1"/>
    <col min="2" max="2" width="15.5703125" bestFit="1" customWidth="1"/>
    <col min="3" max="3" width="9.85546875" bestFit="1" customWidth="1"/>
    <col min="5" max="5" width="31.85546875" bestFit="1" customWidth="1"/>
    <col min="6" max="6" width="25.85546875" bestFit="1" customWidth="1"/>
    <col min="7" max="7" width="5.7109375" bestFit="1" customWidth="1"/>
    <col min="8" max="8" width="8.5703125" customWidth="1"/>
    <col min="9" max="9" width="30.42578125" bestFit="1" customWidth="1"/>
    <col min="10" max="10" width="20.140625" bestFit="1" customWidth="1"/>
    <col min="11" max="11" width="5.7109375" bestFit="1" customWidth="1"/>
  </cols>
  <sheetData>
    <row r="2" spans="1:11">
      <c r="A2" s="20" t="s">
        <v>0</v>
      </c>
      <c r="B2" s="35"/>
      <c r="C2" s="21"/>
      <c r="E2" s="20" t="s">
        <v>67</v>
      </c>
      <c r="F2" s="35"/>
      <c r="G2" s="21"/>
      <c r="I2" s="20" t="s">
        <v>68</v>
      </c>
      <c r="J2" s="35"/>
      <c r="K2" s="21"/>
    </row>
    <row r="3" spans="1:11">
      <c r="A3" s="17" t="s">
        <v>69</v>
      </c>
      <c r="B3" s="17" t="s">
        <v>70</v>
      </c>
      <c r="C3" s="17"/>
      <c r="E3" s="17" t="s">
        <v>69</v>
      </c>
      <c r="F3" s="17" t="s">
        <v>71</v>
      </c>
      <c r="G3" s="17"/>
      <c r="I3" s="17" t="s">
        <v>69</v>
      </c>
      <c r="J3" s="17" t="s">
        <v>72</v>
      </c>
      <c r="K3" s="17"/>
    </row>
    <row r="4" spans="1:11">
      <c r="A4" s="17" t="s">
        <v>55</v>
      </c>
      <c r="B4" s="17" t="s">
        <v>66</v>
      </c>
      <c r="C4" s="17"/>
      <c r="E4" s="17" t="s">
        <v>55</v>
      </c>
      <c r="F4" s="17" t="s">
        <v>66</v>
      </c>
      <c r="G4" s="17"/>
      <c r="I4" s="17" t="s">
        <v>55</v>
      </c>
      <c r="J4" s="17" t="s">
        <v>66</v>
      </c>
      <c r="K4" s="17"/>
    </row>
    <row r="5" spans="1:11">
      <c r="A5" s="17" t="s">
        <v>57</v>
      </c>
      <c r="B5" s="36">
        <f>21.54/3</f>
        <v>7.18</v>
      </c>
      <c r="C5" s="17"/>
      <c r="E5" s="17" t="s">
        <v>57</v>
      </c>
      <c r="F5" s="36">
        <f>39.23/3</f>
        <v>13.076666666666666</v>
      </c>
      <c r="G5" s="17"/>
      <c r="I5" s="17" t="s">
        <v>57</v>
      </c>
      <c r="J5" s="36">
        <f>30.77/4</f>
        <v>7.6924999999999999</v>
      </c>
      <c r="K5" s="17"/>
    </row>
    <row r="6" spans="1:11">
      <c r="A6" s="17" t="s">
        <v>73</v>
      </c>
      <c r="B6" s="17">
        <v>5000</v>
      </c>
      <c r="C6" s="17"/>
      <c r="E6" s="17" t="s">
        <v>73</v>
      </c>
      <c r="F6" s="17">
        <v>5000</v>
      </c>
      <c r="G6" s="17"/>
      <c r="I6" s="17" t="s">
        <v>73</v>
      </c>
      <c r="J6" s="17">
        <v>5000</v>
      </c>
      <c r="K6" s="17"/>
    </row>
    <row r="7" spans="1:11" ht="43.5">
      <c r="A7" s="18" t="s">
        <v>74</v>
      </c>
      <c r="B7" s="37">
        <v>0.8</v>
      </c>
      <c r="C7" s="22"/>
      <c r="E7" s="18" t="s">
        <v>74</v>
      </c>
      <c r="F7" s="37">
        <v>0.8</v>
      </c>
      <c r="G7" s="22"/>
      <c r="I7" s="18" t="s">
        <v>74</v>
      </c>
      <c r="J7" s="37">
        <v>0.8</v>
      </c>
      <c r="K7" s="22"/>
    </row>
    <row r="9" spans="1:11">
      <c r="A9" s="19" t="s">
        <v>61</v>
      </c>
      <c r="B9" s="80">
        <f>B5*B7</f>
        <v>5.7439999999999998</v>
      </c>
      <c r="C9" s="81"/>
      <c r="E9" s="19" t="s">
        <v>61</v>
      </c>
      <c r="F9" s="3">
        <f>F5*F7</f>
        <v>10.461333333333334</v>
      </c>
      <c r="G9" s="4"/>
      <c r="I9" s="19" t="s">
        <v>61</v>
      </c>
      <c r="J9" s="3">
        <f>J5*J7</f>
        <v>6.1539999999999999</v>
      </c>
      <c r="K9" s="4"/>
    </row>
    <row r="11" spans="1:11">
      <c r="A11" s="17" t="s">
        <v>75</v>
      </c>
      <c r="B11" s="17">
        <v>0.5</v>
      </c>
      <c r="C11" s="17" t="s">
        <v>29</v>
      </c>
      <c r="E11" s="17" t="s">
        <v>75</v>
      </c>
      <c r="F11" s="17">
        <v>0.5</v>
      </c>
      <c r="G11" s="17" t="s">
        <v>29</v>
      </c>
      <c r="I11" s="17" t="s">
        <v>75</v>
      </c>
      <c r="J11" s="17">
        <v>0.5</v>
      </c>
      <c r="K11" s="17" t="s">
        <v>29</v>
      </c>
    </row>
    <row r="12" spans="1:11">
      <c r="A12" s="17" t="s">
        <v>76</v>
      </c>
      <c r="B12" s="17">
        <v>60</v>
      </c>
      <c r="C12" s="17" t="s">
        <v>77</v>
      </c>
      <c r="E12" s="17" t="s">
        <v>76</v>
      </c>
      <c r="F12" s="17">
        <v>60</v>
      </c>
      <c r="G12" s="17" t="s">
        <v>77</v>
      </c>
      <c r="I12" s="17" t="s">
        <v>76</v>
      </c>
      <c r="J12" s="17">
        <v>60</v>
      </c>
      <c r="K12" s="17" t="s">
        <v>77</v>
      </c>
    </row>
    <row r="13" spans="1:11">
      <c r="A13" s="11" t="s">
        <v>78</v>
      </c>
      <c r="B13" s="24">
        <f>B11*B12</f>
        <v>30</v>
      </c>
      <c r="C13" s="17"/>
      <c r="E13" s="11" t="s">
        <v>78</v>
      </c>
      <c r="F13" s="24">
        <f>F11*F12</f>
        <v>30</v>
      </c>
      <c r="G13" s="17"/>
      <c r="I13" s="11" t="s">
        <v>78</v>
      </c>
      <c r="J13" s="24">
        <f>J11*J12</f>
        <v>30</v>
      </c>
      <c r="K13" s="17"/>
    </row>
    <row r="15" spans="1:11">
      <c r="A15" s="23" t="s">
        <v>79</v>
      </c>
      <c r="B15" s="25">
        <f>B13+B9</f>
        <v>35.744</v>
      </c>
      <c r="E15" s="23" t="s">
        <v>79</v>
      </c>
      <c r="F15" s="25">
        <f>F13+F9</f>
        <v>40.461333333333336</v>
      </c>
      <c r="I15" s="23" t="s">
        <v>79</v>
      </c>
      <c r="J15" s="25">
        <f>J13+J9</f>
        <v>36.153999999999996</v>
      </c>
    </row>
    <row r="16" spans="1:11">
      <c r="A16" s="9" t="s">
        <v>31</v>
      </c>
      <c r="B16" s="26">
        <v>0.35</v>
      </c>
      <c r="E16" s="9" t="s">
        <v>31</v>
      </c>
      <c r="F16" s="26">
        <v>0.35</v>
      </c>
      <c r="I16" s="9" t="s">
        <v>31</v>
      </c>
      <c r="J16" s="26">
        <v>0.35</v>
      </c>
    </row>
    <row r="18" spans="1:11">
      <c r="A18" s="27" t="s">
        <v>33</v>
      </c>
      <c r="B18" s="82">
        <f>B15*1.35</f>
        <v>48.254400000000004</v>
      </c>
      <c r="C18" s="83"/>
      <c r="E18" s="27" t="s">
        <v>33</v>
      </c>
      <c r="F18" s="1">
        <f>F15*1.35</f>
        <v>54.622800000000005</v>
      </c>
      <c r="G18" s="2"/>
      <c r="I18" s="27" t="s">
        <v>33</v>
      </c>
      <c r="J18" s="1">
        <f>J15*1.35</f>
        <v>48.807899999999997</v>
      </c>
      <c r="K18" s="2"/>
    </row>
    <row r="20" spans="1:11">
      <c r="A20" s="20" t="s">
        <v>80</v>
      </c>
      <c r="B20" s="35"/>
      <c r="C20" s="21"/>
      <c r="E20" s="20" t="s">
        <v>81</v>
      </c>
      <c r="F20" s="35"/>
      <c r="G20" s="21"/>
      <c r="I20" s="20" t="s">
        <v>82</v>
      </c>
      <c r="J20" s="35"/>
      <c r="K20" s="21"/>
    </row>
    <row r="21" spans="1:11">
      <c r="A21" s="17" t="s">
        <v>69</v>
      </c>
      <c r="B21" s="17" t="s">
        <v>83</v>
      </c>
      <c r="C21" s="17"/>
      <c r="E21" s="17" t="s">
        <v>69</v>
      </c>
      <c r="F21" s="17" t="s">
        <v>84</v>
      </c>
      <c r="G21" s="17"/>
      <c r="I21" s="17" t="s">
        <v>69</v>
      </c>
      <c r="J21" s="17" t="s">
        <v>85</v>
      </c>
      <c r="K21" s="17"/>
    </row>
    <row r="22" spans="1:11">
      <c r="A22" s="17" t="s">
        <v>55</v>
      </c>
      <c r="B22" s="17" t="s">
        <v>86</v>
      </c>
      <c r="C22" s="17"/>
      <c r="E22" s="17" t="s">
        <v>55</v>
      </c>
      <c r="F22" s="17" t="s">
        <v>66</v>
      </c>
      <c r="G22" s="17"/>
      <c r="I22" s="17" t="s">
        <v>55</v>
      </c>
      <c r="J22" s="17" t="s">
        <v>66</v>
      </c>
      <c r="K22" s="17"/>
    </row>
    <row r="23" spans="1:11">
      <c r="A23" s="17" t="s">
        <v>57</v>
      </c>
      <c r="B23" s="36">
        <v>0.01</v>
      </c>
      <c r="C23" s="17"/>
      <c r="E23" s="17" t="s">
        <v>57</v>
      </c>
      <c r="F23" s="36">
        <v>1.1100000000000001</v>
      </c>
      <c r="G23" s="17"/>
      <c r="I23" s="17" t="s">
        <v>57</v>
      </c>
      <c r="J23" s="36">
        <v>21.47</v>
      </c>
      <c r="K23" s="17"/>
    </row>
    <row r="24" spans="1:11">
      <c r="A24" s="17" t="s">
        <v>73</v>
      </c>
      <c r="B24" s="17">
        <v>5000</v>
      </c>
      <c r="C24" s="17"/>
      <c r="E24" s="17" t="s">
        <v>73</v>
      </c>
      <c r="F24" s="17">
        <v>5000</v>
      </c>
      <c r="G24" s="17" t="s">
        <v>87</v>
      </c>
      <c r="I24" s="17" t="s">
        <v>73</v>
      </c>
      <c r="J24" s="17">
        <v>2000</v>
      </c>
      <c r="K24" s="17"/>
    </row>
    <row r="25" spans="1:11">
      <c r="A25" s="18" t="s">
        <v>74</v>
      </c>
      <c r="B25" s="37">
        <v>0.8</v>
      </c>
      <c r="C25" s="22"/>
      <c r="E25" s="18" t="s">
        <v>74</v>
      </c>
      <c r="F25" s="37">
        <v>0.8</v>
      </c>
      <c r="G25" s="22"/>
      <c r="I25" s="18" t="s">
        <v>74</v>
      </c>
      <c r="J25" s="37">
        <v>0.9</v>
      </c>
      <c r="K25" s="22"/>
    </row>
    <row r="27" spans="1:11">
      <c r="A27" s="19" t="s">
        <v>61</v>
      </c>
      <c r="B27" s="80">
        <f>B23*B25</f>
        <v>8.0000000000000002E-3</v>
      </c>
      <c r="C27" s="81"/>
      <c r="E27" s="19" t="s">
        <v>61</v>
      </c>
      <c r="F27" s="80">
        <f>F23*F25</f>
        <v>0.88800000000000012</v>
      </c>
      <c r="G27" s="81"/>
      <c r="I27" s="19" t="s">
        <v>61</v>
      </c>
      <c r="J27" s="3">
        <f>J23*J25</f>
        <v>19.323</v>
      </c>
      <c r="K27" s="4"/>
    </row>
    <row r="29" spans="1:11">
      <c r="A29" s="9" t="s">
        <v>31</v>
      </c>
      <c r="B29" s="29">
        <v>8.5000000000000006E-2</v>
      </c>
      <c r="C29" s="30"/>
      <c r="E29" s="9" t="s">
        <v>31</v>
      </c>
      <c r="F29" s="29">
        <v>8.5000000000000006E-2</v>
      </c>
      <c r="G29" s="30"/>
      <c r="I29" s="9" t="s">
        <v>31</v>
      </c>
      <c r="J29" s="29">
        <v>8.5000000000000006E-2</v>
      </c>
      <c r="K29" s="30"/>
    </row>
    <row r="31" spans="1:11">
      <c r="A31" s="27" t="s">
        <v>33</v>
      </c>
      <c r="B31" s="82">
        <f>B27*1.085</f>
        <v>8.6800000000000002E-3</v>
      </c>
      <c r="C31" s="83"/>
      <c r="E31" s="27" t="s">
        <v>33</v>
      </c>
      <c r="F31" s="82">
        <f>F27*1.085</f>
        <v>0.96348000000000011</v>
      </c>
      <c r="G31" s="83"/>
      <c r="I31" s="27" t="s">
        <v>33</v>
      </c>
      <c r="J31" s="1">
        <f>J27*1.085</f>
        <v>20.965454999999999</v>
      </c>
      <c r="K31" s="2"/>
    </row>
    <row r="33" spans="1:11">
      <c r="A33" s="20" t="s">
        <v>88</v>
      </c>
      <c r="B33" s="35"/>
      <c r="C33" s="21"/>
      <c r="E33" s="20" t="s">
        <v>89</v>
      </c>
      <c r="F33" s="35"/>
      <c r="G33" s="21"/>
      <c r="I33" s="20" t="s">
        <v>90</v>
      </c>
      <c r="J33" s="35"/>
      <c r="K33" s="21"/>
    </row>
    <row r="34" spans="1:11">
      <c r="A34" s="17" t="s">
        <v>69</v>
      </c>
      <c r="B34" s="17" t="s">
        <v>91</v>
      </c>
      <c r="C34" s="17"/>
      <c r="E34" s="17" t="s">
        <v>69</v>
      </c>
      <c r="F34" s="17" t="s">
        <v>92</v>
      </c>
      <c r="G34" s="17"/>
      <c r="I34" s="17" t="s">
        <v>69</v>
      </c>
      <c r="J34" s="17" t="s">
        <v>93</v>
      </c>
      <c r="K34" s="17"/>
    </row>
    <row r="35" spans="1:11">
      <c r="A35" s="17" t="s">
        <v>55</v>
      </c>
      <c r="B35" s="17" t="s">
        <v>94</v>
      </c>
      <c r="C35" s="17"/>
      <c r="E35" s="17" t="s">
        <v>55</v>
      </c>
      <c r="F35" s="17" t="s">
        <v>66</v>
      </c>
      <c r="G35" s="17"/>
      <c r="I35" s="17" t="s">
        <v>55</v>
      </c>
      <c r="J35" s="17" t="s">
        <v>66</v>
      </c>
      <c r="K35" s="17"/>
    </row>
    <row r="36" spans="1:11">
      <c r="A36" s="17" t="s">
        <v>57</v>
      </c>
      <c r="B36" s="36">
        <v>2.09</v>
      </c>
      <c r="C36" s="17"/>
      <c r="E36" s="17" t="s">
        <v>57</v>
      </c>
      <c r="F36" s="36">
        <v>7.29</v>
      </c>
      <c r="G36" s="17"/>
      <c r="I36" s="17" t="s">
        <v>57</v>
      </c>
      <c r="J36" s="36">
        <v>7.0000000000000007E-2</v>
      </c>
      <c r="K36" s="17"/>
    </row>
    <row r="37" spans="1:11">
      <c r="A37" s="17" t="s">
        <v>73</v>
      </c>
      <c r="B37" s="17">
        <v>5000</v>
      </c>
      <c r="C37" s="17"/>
      <c r="E37" s="17" t="s">
        <v>73</v>
      </c>
      <c r="F37" s="17">
        <v>2000</v>
      </c>
      <c r="G37" s="17"/>
      <c r="I37" s="17" t="s">
        <v>73</v>
      </c>
      <c r="J37" s="17">
        <v>10000</v>
      </c>
      <c r="K37" s="17"/>
    </row>
    <row r="38" spans="1:11">
      <c r="A38" s="18" t="s">
        <v>74</v>
      </c>
      <c r="B38" s="37">
        <v>0.8</v>
      </c>
      <c r="C38" s="22"/>
      <c r="E38" s="18" t="s">
        <v>74</v>
      </c>
      <c r="F38" s="37">
        <v>0.9</v>
      </c>
      <c r="G38" s="22"/>
      <c r="I38" s="18" t="s">
        <v>74</v>
      </c>
      <c r="J38" s="37">
        <v>0.7</v>
      </c>
      <c r="K38" s="22"/>
    </row>
    <row r="40" spans="1:11">
      <c r="A40" s="19" t="s">
        <v>61</v>
      </c>
      <c r="B40" s="80">
        <f>B36*B38</f>
        <v>1.6719999999999999</v>
      </c>
      <c r="C40" s="81"/>
      <c r="E40" s="19" t="s">
        <v>61</v>
      </c>
      <c r="F40" s="80">
        <f>F36*F38</f>
        <v>6.5609999999999999</v>
      </c>
      <c r="G40" s="81"/>
      <c r="I40" s="19" t="s">
        <v>61</v>
      </c>
      <c r="J40" s="3">
        <f>J36*J38</f>
        <v>4.9000000000000002E-2</v>
      </c>
      <c r="K40" s="4"/>
    </row>
    <row r="42" spans="1:11">
      <c r="A42" s="9" t="s">
        <v>31</v>
      </c>
      <c r="B42" s="29">
        <v>8.5000000000000006E-2</v>
      </c>
      <c r="C42" s="30"/>
      <c r="E42" s="9" t="s">
        <v>31</v>
      </c>
      <c r="F42" s="29">
        <v>8.5000000000000006E-2</v>
      </c>
      <c r="G42" s="30"/>
      <c r="I42" s="9" t="s">
        <v>31</v>
      </c>
      <c r="J42" s="29">
        <v>8.5000000000000006E-2</v>
      </c>
      <c r="K42" s="30"/>
    </row>
    <row r="44" spans="1:11">
      <c r="A44" s="27" t="s">
        <v>33</v>
      </c>
      <c r="B44" s="82">
        <f>B40*1.085</f>
        <v>1.81412</v>
      </c>
      <c r="C44" s="83"/>
      <c r="E44" s="27" t="s">
        <v>33</v>
      </c>
      <c r="F44" s="82">
        <f>F40*1.085</f>
        <v>7.1186849999999993</v>
      </c>
      <c r="G44" s="83"/>
      <c r="I44" s="27" t="s">
        <v>33</v>
      </c>
      <c r="J44" s="1">
        <f>J40*1.085</f>
        <v>5.3164999999999997E-2</v>
      </c>
      <c r="K44" s="2"/>
    </row>
    <row r="46" spans="1:11" ht="15" thickBot="1">
      <c r="A46" s="20" t="s">
        <v>95</v>
      </c>
      <c r="B46" s="35"/>
      <c r="C46" s="21"/>
      <c r="E46" s="20" t="s">
        <v>96</v>
      </c>
      <c r="F46" s="35"/>
      <c r="G46" s="21"/>
      <c r="I46" s="20" t="s">
        <v>97</v>
      </c>
      <c r="J46" s="35"/>
      <c r="K46" s="21"/>
    </row>
    <row r="47" spans="1:11" ht="15" thickBot="1">
      <c r="A47" s="31" t="s">
        <v>98</v>
      </c>
      <c r="B47" s="32"/>
      <c r="C47" s="33"/>
      <c r="E47" s="17" t="s">
        <v>69</v>
      </c>
      <c r="F47" s="17" t="s">
        <v>99</v>
      </c>
      <c r="G47" s="17"/>
      <c r="I47" s="17" t="s">
        <v>69</v>
      </c>
      <c r="J47" s="17" t="s">
        <v>93</v>
      </c>
      <c r="K47" s="17"/>
    </row>
    <row r="48" spans="1:11">
      <c r="A48" s="5" t="s">
        <v>100</v>
      </c>
      <c r="B48" s="6">
        <v>6.9000000000000006E-2</v>
      </c>
      <c r="C48" s="7" t="s">
        <v>101</v>
      </c>
      <c r="E48" s="17" t="s">
        <v>55</v>
      </c>
      <c r="F48" s="17" t="s">
        <v>94</v>
      </c>
      <c r="G48" s="17"/>
      <c r="I48" s="17" t="s">
        <v>55</v>
      </c>
      <c r="J48" s="17" t="s">
        <v>66</v>
      </c>
      <c r="K48" s="17"/>
    </row>
    <row r="49" spans="1:11">
      <c r="A49" s="8" t="s">
        <v>102</v>
      </c>
      <c r="B49" s="9">
        <v>186.614</v>
      </c>
      <c r="C49" s="10" t="s">
        <v>103</v>
      </c>
      <c r="E49" s="17" t="s">
        <v>57</v>
      </c>
      <c r="F49" s="36">
        <v>0.47</v>
      </c>
      <c r="G49" s="17"/>
      <c r="I49" s="17" t="s">
        <v>57</v>
      </c>
      <c r="J49" s="36">
        <v>89.09</v>
      </c>
      <c r="K49" s="17"/>
    </row>
    <row r="50" spans="1:11">
      <c r="A50" s="8" t="s">
        <v>104</v>
      </c>
      <c r="B50" s="34">
        <v>3.1E-2</v>
      </c>
      <c r="C50" s="10" t="s">
        <v>105</v>
      </c>
      <c r="E50" s="17" t="s">
        <v>73</v>
      </c>
      <c r="F50" s="17">
        <v>5000</v>
      </c>
      <c r="G50" s="17"/>
      <c r="I50" s="17" t="s">
        <v>73</v>
      </c>
      <c r="J50" s="17">
        <v>1000</v>
      </c>
      <c r="K50" s="17"/>
    </row>
    <row r="51" spans="1:11">
      <c r="A51" s="8" t="s">
        <v>106</v>
      </c>
      <c r="B51" s="44">
        <f>(PI()*POWER((B48/2),2))*B49*12*B50</f>
        <v>0.25958238876153283</v>
      </c>
      <c r="C51" s="10" t="s">
        <v>107</v>
      </c>
      <c r="E51" s="18" t="s">
        <v>74</v>
      </c>
      <c r="F51" s="37">
        <v>0.8</v>
      </c>
      <c r="G51" s="22"/>
      <c r="I51" s="18" t="s">
        <v>74</v>
      </c>
      <c r="J51" s="37">
        <v>0.9</v>
      </c>
      <c r="K51" s="22"/>
    </row>
    <row r="52" spans="1:11" ht="15" thickBot="1">
      <c r="A52" s="12" t="s">
        <v>43</v>
      </c>
      <c r="B52" s="28">
        <v>20.905000000000001</v>
      </c>
      <c r="C52" s="13" t="s">
        <v>108</v>
      </c>
    </row>
    <row r="53" spans="1:11" ht="15" thickBot="1">
      <c r="A53" s="14" t="s">
        <v>109</v>
      </c>
      <c r="B53" s="15">
        <f>B52*B51</f>
        <v>5.4265698370598443</v>
      </c>
      <c r="C53" s="16"/>
      <c r="E53" s="19" t="s">
        <v>61</v>
      </c>
      <c r="F53" s="80">
        <f>F49*F51</f>
        <v>0.376</v>
      </c>
      <c r="G53" s="81"/>
      <c r="I53" s="19" t="s">
        <v>61</v>
      </c>
      <c r="J53" s="80">
        <f>J49*J51</f>
        <v>80.181000000000012</v>
      </c>
      <c r="K53" s="81"/>
    </row>
    <row r="54" spans="1:11" ht="15" thickBot="1">
      <c r="A54" t="s">
        <v>110</v>
      </c>
      <c r="B54">
        <v>5000</v>
      </c>
    </row>
    <row r="55" spans="1:11" ht="15" thickBot="1">
      <c r="A55" s="31" t="s">
        <v>111</v>
      </c>
      <c r="B55" s="38"/>
      <c r="C55" s="39"/>
      <c r="E55" s="9" t="s">
        <v>31</v>
      </c>
      <c r="F55" s="29">
        <v>8.5000000000000006E-2</v>
      </c>
      <c r="G55" s="30"/>
      <c r="I55" s="9" t="s">
        <v>31</v>
      </c>
      <c r="J55" s="29">
        <v>8.5000000000000006E-2</v>
      </c>
      <c r="K55" s="30"/>
    </row>
    <row r="56" spans="1:11">
      <c r="A56" s="5" t="s">
        <v>112</v>
      </c>
      <c r="B56" s="6">
        <v>11.25</v>
      </c>
      <c r="C56" s="7" t="s">
        <v>8</v>
      </c>
    </row>
    <row r="57" spans="1:11">
      <c r="A57" s="8" t="s">
        <v>113</v>
      </c>
      <c r="B57" s="40">
        <v>1</v>
      </c>
      <c r="C57" s="10" t="s">
        <v>27</v>
      </c>
      <c r="E57" s="27" t="s">
        <v>33</v>
      </c>
      <c r="F57" s="82">
        <f>F53*1.085</f>
        <v>0.40795999999999999</v>
      </c>
      <c r="G57" s="83"/>
      <c r="I57" s="27" t="s">
        <v>33</v>
      </c>
      <c r="J57" s="82">
        <f>J53*1.085</f>
        <v>86.996385000000004</v>
      </c>
      <c r="K57" s="83"/>
    </row>
    <row r="58" spans="1:11" ht="15" thickBot="1">
      <c r="A58" s="41" t="s">
        <v>114</v>
      </c>
      <c r="B58" s="42">
        <f>B56*B57</f>
        <v>11.25</v>
      </c>
      <c r="C58" s="13"/>
    </row>
    <row r="60" spans="1:11">
      <c r="A60" s="27" t="s">
        <v>33</v>
      </c>
      <c r="B60" s="82">
        <f>B53+B58</f>
        <v>16.676569837059844</v>
      </c>
      <c r="C60" s="83"/>
    </row>
    <row r="61" spans="1:11">
      <c r="A61" t="s">
        <v>115</v>
      </c>
      <c r="B61" s="43">
        <f>SUM(F18,B18,J18,B31,F31,J31,B44,F44,J44,B60,F57,J57)</f>
        <v>286.68959983705986</v>
      </c>
    </row>
  </sheetData>
  <mergeCells count="15">
    <mergeCell ref="J57:K57"/>
    <mergeCell ref="J53:K53"/>
    <mergeCell ref="B60:C60"/>
    <mergeCell ref="F53:G53"/>
    <mergeCell ref="F57:G57"/>
    <mergeCell ref="B9:C9"/>
    <mergeCell ref="B18:C18"/>
    <mergeCell ref="B40:C40"/>
    <mergeCell ref="F40:G40"/>
    <mergeCell ref="B44:C44"/>
    <mergeCell ref="F44:G44"/>
    <mergeCell ref="B27:C27"/>
    <mergeCell ref="F27:G27"/>
    <mergeCell ref="B31:C31"/>
    <mergeCell ref="F31:G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Jacob Whitehouse</cp:lastModifiedBy>
  <cp:revision/>
  <dcterms:created xsi:type="dcterms:W3CDTF">2024-03-04T07:16:19Z</dcterms:created>
  <dcterms:modified xsi:type="dcterms:W3CDTF">2024-04-23T02:23:23Z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2024-03-04T07:22:49Z</vt:lpwstr>
  </property>
  <property fmtid="{D5CDD505-2E9C-101B-9397-08002B2CF9AE}" pid="4" name="MSIP_Label_f7606f69-b0ae-4874-be30-7d43a3c7be10_Method">
    <vt:lpwstr>Privileged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5633bcce-6545-4d8e-bfe3-07e9895d7979</vt:lpwstr>
  </property>
  <property fmtid="{D5CDD505-2E9C-101B-9397-08002B2CF9AE}" pid="8" name="MSIP_Label_f7606f69-b0ae-4874-be30-7d43a3c7be10_ContentBits">
    <vt:lpwstr>0</vt:lpwstr>
  </property>
</Properties>
</file>