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iCost" sheetId="1" state="visible" r:id="rId2"/>
  </sheets>
  <definedNames>
    <definedName function="false" hidden="false" name="BoardQty" vbProcedure="false">KiCost!$I$1</definedName>
    <definedName function="false" hidden="false" name="digikey_part_data" vbProcedure="false">KiCost!$J$5:$O$22</definedName>
    <definedName function="false" hidden="false" name="global_part_data" vbProcedure="false">KiCost!$A$5:$I$22</definedName>
    <definedName function="false" hidden="false" name="mouser_part_data" vbProcedure="false">KiCost!$P$5:$U$22</definedName>
    <definedName function="false" hidden="false" name="newark_part_data" vbProcedure="false">KiCost!$V$5:$AA$22</definedName>
    <definedName function="false" hidden="false" name="TotalCost" vbProcedure="false">KiCost!$I$2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<sst xmlns="http://schemas.openxmlformats.org/spreadsheetml/2006/main" count="155" uniqueCount="103">
  <si>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</si>
  <si>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</si>
  <si>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</si>
  <si>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</si>
  <si>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</si>
  <si>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Mouser</t>
  </si>
  <si>
    <t xml:space="preserve">Newark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</si>
  <si>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</si>
  <si>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</si>
  <si>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</si>
  <si>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</si>
  <si>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</si>
  <si>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</si>
  <si>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</si>
  <si>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</si>
  <si>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</si>
  <si>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</si>
  <si>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</si>
  <si>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</si>
  <si>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</si>
  <si>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P1</t>
  </si>
  <si>
    <t xml:space="preserve">USB_B</t>
  </si>
  <si>
    <t xml:space="preserve">Connect:USB_B</t>
  </si>
  <si>
    <t xml:space="preserve">USB-B1HSW6</t>
  </si>
  <si>
    <t xml:space="preserve">ED2982-ND</t>
  </si>
  <si>
    <t xml:space="preserve">Link</t>
  </si>
  <si>
    <t xml:space="preserve">C1,C2</t>
  </si>
  <si>
    <t xml:space="preserve">47 pF</t>
  </si>
  <si>
    <t xml:space="preserve">Capacitors_SMD:C_0603_HandSoldering</t>
  </si>
  <si>
    <t xml:space="preserve">06031A470FAT2A</t>
  </si>
  <si>
    <t xml:space="preserve">478-3691-2-ND</t>
  </si>
  <si>
    <t xml:space="preserve">581-06031A470FAT2A</t>
  </si>
  <si>
    <t xml:space="preserve">C11,C12</t>
  </si>
  <si>
    <t xml:space="preserve">30 pF</t>
  </si>
  <si>
    <t xml:space="preserve">Capacitors_SMD:C_0402</t>
  </si>
  <si>
    <t xml:space="preserve">GRM1555C1E300JA01D</t>
  </si>
  <si>
    <t xml:space="preserve">490-7752-2-ND</t>
  </si>
  <si>
    <t xml:space="preserve">81-GRM1555C1E300JA1D</t>
  </si>
  <si>
    <t xml:space="preserve">L1</t>
  </si>
  <si>
    <t xml:space="preserve">40-Ohm FB</t>
  </si>
  <si>
    <t xml:space="preserve">Capacitors_SMD:C_0805_HandSoldering</t>
  </si>
  <si>
    <t xml:space="preserve">MI0805K400R-10</t>
  </si>
  <si>
    <t xml:space="preserve">240-2389-2-ND</t>
  </si>
  <si>
    <t xml:space="preserve">875-MI0805K400R-10</t>
  </si>
  <si>
    <t xml:space="preserve">R1,R2</t>
  </si>
  <si>
    <t xml:space="preserve">27</t>
  </si>
  <si>
    <t xml:space="preserve">Resistors_SMD:R_0603_HandSoldering</t>
  </si>
  <si>
    <t xml:space="preserve">RC0603JR-0727RL</t>
  </si>
  <si>
    <t xml:space="preserve">311-27GRTR-ND</t>
  </si>
  <si>
    <t xml:space="preserve">603-RC0603JR-0727RL</t>
  </si>
  <si>
    <t xml:space="preserve">R4</t>
  </si>
  <si>
    <t xml:space="preserve">100</t>
  </si>
  <si>
    <t xml:space="preserve">RC0603FR-07100RL</t>
  </si>
  <si>
    <t xml:space="preserve">311-100HRTR-ND</t>
  </si>
  <si>
    <t xml:space="preserve">603-RC0603FR-07100RL</t>
  </si>
  <si>
    <t xml:space="preserve">C3-C10</t>
  </si>
  <si>
    <t xml:space="preserve">0.1 uF</t>
  </si>
  <si>
    <t xml:space="preserve">GRM188R71E104KA01D</t>
  </si>
  <si>
    <t xml:space="preserve">490-1524-2-ND</t>
  </si>
  <si>
    <t xml:space="preserve">81-GRM39X104K25</t>
  </si>
  <si>
    <t xml:space="preserve">P4</t>
  </si>
  <si>
    <t xml:space="preserve">CONN_01X06</t>
  </si>
  <si>
    <t xml:space="preserve">Pin_Headers:Pin_Header_Straight_1x06</t>
  </si>
  <si>
    <t xml:space="preserve">R3</t>
  </si>
  <si>
    <t xml:space="preserve">10k</t>
  </si>
  <si>
    <t xml:space="preserve">RC0603JR-0710KL</t>
  </si>
  <si>
    <t xml:space="preserve">311-10KGRTR-ND</t>
  </si>
  <si>
    <t xml:space="preserve">603-RC0603JR-0710KL</t>
  </si>
  <si>
    <t xml:space="preserve">P2,P5</t>
  </si>
  <si>
    <t xml:space="preserve">CONN_01X08</t>
  </si>
  <si>
    <t xml:space="preserve">Pin_Headers:Pin_Header_Straight_1x08</t>
  </si>
  <si>
    <t xml:space="preserve">IC1</t>
  </si>
  <si>
    <t xml:space="preserve">ATMEGA328P-P</t>
  </si>
  <si>
    <t xml:space="preserve">Housings_DIP:DIP-28_W7.62mm</t>
  </si>
  <si>
    <t xml:space="preserve">ATMEGA328P-PU</t>
  </si>
  <si>
    <t xml:space="preserve">ATMEGA328P-PU-ND</t>
  </si>
  <si>
    <t xml:space="preserve">556-ATMEGA328P-PU</t>
  </si>
  <si>
    <t xml:space="preserve">P3</t>
  </si>
  <si>
    <t xml:space="preserve">CONN_01X10</t>
  </si>
  <si>
    <t xml:space="preserve">Pin_Headers:Pin_Header_Straight_1x10</t>
  </si>
  <si>
    <t xml:space="preserve">U1</t>
  </si>
  <si>
    <t xml:space="preserve">FT231XS</t>
  </si>
  <si>
    <t xml:space="preserve">smd_tssop:SSOP-20-8.66x3.91_0.635mm</t>
  </si>
  <si>
    <t xml:space="preserve">FT231XS-R</t>
  </si>
  <si>
    <t xml:space="preserve">768-1129-2-ND</t>
  </si>
  <si>
    <t xml:space="preserve">895-FT231XS-R</t>
  </si>
  <si>
    <t xml:space="preserve">D1</t>
  </si>
  <si>
    <t xml:space="preserve">LED</t>
  </si>
  <si>
    <t xml:space="preserve">LEDs:LED-5MM</t>
  </si>
  <si>
    <t xml:space="preserve">C503B-GCN-CY0C0791</t>
  </si>
  <si>
    <t xml:space="preserve">C503B-GCN-CY0C0791-ND</t>
  </si>
  <si>
    <t xml:space="preserve">941-C503BGCNCY0C0791</t>
  </si>
  <si>
    <t xml:space="preserve">Y1</t>
  </si>
  <si>
    <t xml:space="preserve">Crystal</t>
  </si>
  <si>
    <t xml:space="preserve">Crystals:Crystal_HC49-U_Vertical</t>
  </si>
  <si>
    <t xml:space="preserve">9B-16.000MBBK-B</t>
  </si>
  <si>
    <t xml:space="preserve">887-2015-ND</t>
  </si>
  <si>
    <t xml:space="preserve">P6</t>
  </si>
  <si>
    <t xml:space="preserve">CONN_02X03</t>
  </si>
  <si>
    <t xml:space="preserve">Pin_Headers:Pin_Header_Straight_2x03</t>
  </si>
  <si>
    <t xml:space="preserve">M20-9980346</t>
  </si>
  <si>
    <t xml:space="preserve">952-2121-ND</t>
  </si>
  <si>
    <t xml:space="preserve">855-M20-9980346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</si>
</sst>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USB-B1HSW6%20" TargetMode="External"/><Relationship Id="rId3" Type="http://schemas.openxmlformats.org/officeDocument/2006/relationships/hyperlink" Target="http://www.digikey.com/product-detail/en/avx-corporation/06031A470FAT2A/478-3691-2-ND/1116217" TargetMode="External"/><Relationship Id="rId4" Type="http://schemas.openxmlformats.org/officeDocument/2006/relationships/hyperlink" Target="http://www.mouser.com/Search/Refine.aspx?Keyword=06031A470FAT2A%20" TargetMode="External"/><Relationship Id="rId5" Type="http://schemas.openxmlformats.org/officeDocument/2006/relationships/hyperlink" Target="http://www.newark.com/avx/06031a470fat2a/ceramic-capacitor-47pf-100v-c0g/dp/96M1226" TargetMode="External"/><Relationship Id="rId6" Type="http://schemas.openxmlformats.org/officeDocument/2006/relationships/hyperlink" Target="http://www.digikey.com/product-detail/en/murata-electronics-north-america/GRM1555C1E300JA01D/490-7752-2-ND/4358116" TargetMode="External"/><Relationship Id="rId7" Type="http://schemas.openxmlformats.org/officeDocument/2006/relationships/hyperlink" Target="http://www.mouser.com/Search/Refine.aspx?Keyword=GRM1555C1E300JA01D%20" TargetMode="External"/><Relationship Id="rId8" Type="http://schemas.openxmlformats.org/officeDocument/2006/relationships/hyperlink" Target="http://www.newark.com/webapp/wcs/stores/servlet/Search?catalogId=15003&amp;langId=-1&amp;storeId=10194&amp;gs=true&amp;st=GRM1555C1E300JA01D%20" TargetMode="External"/><Relationship Id="rId9" Type="http://schemas.openxmlformats.org/officeDocument/2006/relationships/hyperlink" Target="http://www.digikey.com/product-detail/en/laird-signal-integrity-products/MI0805K400R-10/240-2389-2-ND/806627" TargetMode="External"/><Relationship Id="rId10" Type="http://schemas.openxmlformats.org/officeDocument/2006/relationships/hyperlink" Target="http://www.mouser.com/Search/Refine.aspx?Keyword=MI0805K400R-10%20" TargetMode="External"/><Relationship Id="rId11" Type="http://schemas.openxmlformats.org/officeDocument/2006/relationships/hyperlink" Target="http://www.newark.com/webapp/wcs/stores/servlet/Search?catalogId=15003&amp;langId=-1&amp;storeId=10194&amp;gs=true&amp;st=MI0805K400R-10%20" TargetMode="External"/><Relationship Id="rId12" Type="http://schemas.openxmlformats.org/officeDocument/2006/relationships/hyperlink" Target="http://www.digikey.com/product-detail/en/yageo/RC0603JR-0727RL/311-27GRTR-ND/726751" TargetMode="External"/><Relationship Id="rId13" Type="http://schemas.openxmlformats.org/officeDocument/2006/relationships/hyperlink" Target="http://www.mouser.com/Search/Refine.aspx?Keyword=RC0603JR-0727RL%20" TargetMode="External"/><Relationship Id="rId14" Type="http://schemas.openxmlformats.org/officeDocument/2006/relationships/hyperlink" Target="http://www.newark.com/yageo/rc0603jr-0727rl/res-thick-film-27r-5-0-1w-0603/dp/68R0172" TargetMode="External"/><Relationship Id="rId15" Type="http://schemas.openxmlformats.org/officeDocument/2006/relationships/hyperlink" Target="http://www.digikey.com/product-detail/en/yageo/RC0603FR-07100RL/311-100HRTR-ND/726888" TargetMode="External"/><Relationship Id="rId16" Type="http://schemas.openxmlformats.org/officeDocument/2006/relationships/hyperlink" Target="http://www.mouser.com/Search/Refine.aspx?Keyword=RC0603FR-07100RL%20" TargetMode="External"/><Relationship Id="rId17" Type="http://schemas.openxmlformats.org/officeDocument/2006/relationships/hyperlink" Target="http://www.newark.com/yageo/rc0603fr-07100rl/res-thick-film-100r-1-0-1w-0603/dp/68R0052" TargetMode="External"/><Relationship Id="rId18" Type="http://schemas.openxmlformats.org/officeDocument/2006/relationships/hyperlink" Target="http://www.digikey.com/product-detail/en/murata-electronics-north-america/GRM188R71E104KA01D/490-1524-2-ND/587154" TargetMode="External"/><Relationship Id="rId19" Type="http://schemas.openxmlformats.org/officeDocument/2006/relationships/hyperlink" Target="http://www.mouser.com/Search/Refine.aspx?Keyword=GRM188R71E104KA01D%20" TargetMode="External"/><Relationship Id="rId20" Type="http://schemas.openxmlformats.org/officeDocument/2006/relationships/hyperlink" Target="http://www.newark.com/murata/grm188r71e104ka01d/capacitor-ceramic-0-1uf-10-25v/dp/14T3317" TargetMode="External"/><Relationship Id="rId21" Type="http://schemas.openxmlformats.org/officeDocument/2006/relationships/hyperlink" Target="http://www.digikey.com/product-detail/en/yageo/RC0603JR-0710KL/311-10KGRTR-ND/726700" TargetMode="External"/><Relationship Id="rId22" Type="http://schemas.openxmlformats.org/officeDocument/2006/relationships/hyperlink" Target="http://www.mouser.com/Search/Refine.aspx?Keyword=RC0603JR-0710KL%20" TargetMode="External"/><Relationship Id="rId23" Type="http://schemas.openxmlformats.org/officeDocument/2006/relationships/hyperlink" Target="http://www.newark.com/yageo/rc0603jr-0710kl/res-thick-film-10k-5-0-1w-0603/dp/68R0144" TargetMode="External"/><Relationship Id="rId24" Type="http://schemas.openxmlformats.org/officeDocument/2006/relationships/hyperlink" Target="http://www.digikey.com/scripts/DkSearch/dksus.dll?WT.z_header=search_go&amp;lang=en&amp;keywords=ATMEGA328P-PU%20" TargetMode="External"/><Relationship Id="rId25" Type="http://schemas.openxmlformats.org/officeDocument/2006/relationships/hyperlink" Target="http://www.mouser.com/Search/Refine.aspx?Keyword=ATMEGA328P-PU%20" TargetMode="External"/><Relationship Id="rId26" Type="http://schemas.openxmlformats.org/officeDocument/2006/relationships/hyperlink" Target="http://www.newark.com/webapp/wcs/stores/servlet/Search?catalogId=15003&amp;langId=-1&amp;storeId=10194&amp;gs=true&amp;st=ATMEGA328P-PU%20" TargetMode="External"/><Relationship Id="rId27" Type="http://schemas.openxmlformats.org/officeDocument/2006/relationships/hyperlink" Target="http://www.digikey.com/product-detail/en/ftdi-future-technology-devices-international-ltd/FT231XS-R/768-1129-2-ND/3029139" TargetMode="External"/><Relationship Id="rId28" Type="http://schemas.openxmlformats.org/officeDocument/2006/relationships/hyperlink" Target="http://www.mouser.com/ProductDetail/FTDI/FT231XS-R/?qs=sGAEpiMZZMtv%252bwxsgy%2FhiIaF6qCroMVRDcHPYnLh%2FJY%3D" TargetMode="External"/><Relationship Id="rId29" Type="http://schemas.openxmlformats.org/officeDocument/2006/relationships/hyperlink" Target="http://www.digikey.com/scripts/DkSearch/dksus.dll?WT.z_header=search_go&amp;lang=en&amp;keywords=C503B-GCN-CY0C0791%20" TargetMode="External"/><Relationship Id="rId30" Type="http://schemas.openxmlformats.org/officeDocument/2006/relationships/hyperlink" Target="http://www.mouser.com/Search/Refine.aspx?Keyword=C503B-GCN-CY0C0791%20" TargetMode="External"/><Relationship Id="rId31" Type="http://schemas.openxmlformats.org/officeDocument/2006/relationships/hyperlink" Target="http://www.newark.com/webapp/wcs/stores/servlet/Search?catalogId=15003&amp;langId=-1&amp;storeId=10194&amp;gs=true&amp;st=C503B-GCN-CY0C0791%20" TargetMode="External"/><Relationship Id="rId32" Type="http://schemas.openxmlformats.org/officeDocument/2006/relationships/hyperlink" Target="http://www.digikey.com/scripts/DkSearch/dksus.dll?WT.z_header=search_go&amp;lang=en&amp;keywords=9B-16.000MBBK-B%20" TargetMode="External"/><Relationship Id="rId33" Type="http://schemas.openxmlformats.org/officeDocument/2006/relationships/hyperlink" Target="http://www.mouser.com/Search/Refine.aspx?Keyword=9B-16.000MBBK-B%20" TargetMode="External"/><Relationship Id="rId34" Type="http://schemas.openxmlformats.org/officeDocument/2006/relationships/hyperlink" Target="http://www.newark.com/webapp/wcs/stores/servlet/Search?catalogId=15003&amp;langId=-1&amp;storeId=10194&amp;gs=true&amp;st=9B-16.000MBBK-B%20" TargetMode="External"/><Relationship Id="rId35" Type="http://schemas.openxmlformats.org/officeDocument/2006/relationships/hyperlink" Target="http://www.digikey.com/scripts/DkSearch/dksus.dll?WT.z_header=search_go&amp;lang=en&amp;keywords=M20-9980346%20" TargetMode="External"/><Relationship Id="rId36" Type="http://schemas.openxmlformats.org/officeDocument/2006/relationships/hyperlink" Target="http://www.mouser.com/Search/Refine.aspx?Keyword=M20-9980346%20" TargetMode="External"/><Relationship Id="rId37" Type="http://schemas.openxmlformats.org/officeDocument/2006/relationships/hyperlink" Target="http://www.newark.com/webapp/wcs/stores/servlet/Search?catalogId=15003&amp;langId=-1&amp;storeId=10194&amp;gs=true&amp;st=M20-9980346%20" TargetMode="External"/><Relationship Id="rId3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A1" activeCellId="0" sqref="A1"/>
    </sheetView>
  </sheetViews>
  <sheetFormatPr defaultRowHeight="15"/>
  <cols>
    <col collapsed="false" hidden="false" max="8" min="1" style="0" width="9.10526315789474"/>
    <col collapsed="false" hidden="false" max="9" min="9" style="0" width="15.7449392712551"/>
    <col collapsed="false" hidden="false" max="10" min="10" style="0" width="9.10526315789474"/>
    <col collapsed="false" hidden="false" max="12" min="11" style="0" width="9.10526315789474"/>
    <col collapsed="false" hidden="false" max="13" min="13" style="0" width="15.7449392712551"/>
    <col collapsed="false" hidden="false" max="15" min="14" style="0" width="9.10526315789474"/>
    <col collapsed="false" hidden="false" max="16" min="16" style="0" width="9.10526315789474"/>
    <col collapsed="false" hidden="false" max="18" min="17" style="0" width="9.10526315789474"/>
    <col collapsed="false" hidden="false" max="19" min="19" style="0" width="15.7449392712551"/>
    <col collapsed="false" hidden="false" max="21" min="20" style="0" width="9.10526315789474"/>
    <col collapsed="false" hidden="false" max="22" min="22" style="0" width="9.10526315789474"/>
    <col collapsed="false" hidden="false" max="24" min="23" style="0" width="9.10526315789474"/>
    <col collapsed="false" hidden="false" max="25" min="25" style="0" width="15.7449392712551"/>
    <col collapsed="false" hidden="false" max="27" min="26" style="0" width="9.10526315789474"/>
    <col collapsed="false" hidden="false" max="1025" min="28" style="0" width="8.57085020242915"/>
  </cols>
  <sheetData>
    <row r="1" customFormat="false" ht="15" hidden="false" customHeight="false" outlineLevel="0" collapsed="false">
      <c r="H1" s="1" t="s">
        <v>0</v>
      </c>
      <c r="I1" s="1" t="n">
        <v>10</v>
      </c>
    </row>
    <row r="2" customFormat="false" ht="15" hidden="false" customHeight="false" outlineLevel="0" collapsed="false">
      <c r="H2" s="2" t="s">
        <v>1</v>
      </c>
      <c r="I2" s="3" t="n">
        <f aca="false">SUM(I7:I22)</f>
        <v>62.5852</v>
      </c>
      <c r="M2" s="3" t="n">
        <f aca="false">SUM(M7:M22)</f>
        <v>63.6452</v>
      </c>
      <c r="S2" s="3" t="n">
        <f aca="false">SUM(S7:S22)</f>
        <v>64.75</v>
      </c>
      <c r="Y2" s="3" t="n">
        <f aca="false">SUM(Y7:Y22)</f>
        <v>0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6.25852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</row>
    <row r="6" customFormat="false" ht="15" hidden="false" customHeight="false" outlineLevel="0" collapsed="false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14</v>
      </c>
      <c r="M6" s="9" t="s">
        <v>15</v>
      </c>
      <c r="N6" s="9" t="s">
        <v>18</v>
      </c>
      <c r="O6" s="9" t="s">
        <v>19</v>
      </c>
      <c r="P6" s="9" t="s">
        <v>16</v>
      </c>
      <c r="Q6" s="9" t="s">
        <v>17</v>
      </c>
      <c r="R6" s="9" t="s">
        <v>14</v>
      </c>
      <c r="S6" s="9" t="s">
        <v>15</v>
      </c>
      <c r="T6" s="9" t="s">
        <v>18</v>
      </c>
      <c r="U6" s="9" t="s">
        <v>19</v>
      </c>
      <c r="V6" s="9" t="s">
        <v>16</v>
      </c>
      <c r="W6" s="9" t="s">
        <v>17</v>
      </c>
      <c r="X6" s="9" t="s">
        <v>14</v>
      </c>
      <c r="Y6" s="9" t="s">
        <v>15</v>
      </c>
      <c r="Z6" s="9" t="s">
        <v>18</v>
      </c>
      <c r="AA6" s="9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D7" s="0" t="s">
        <v>22</v>
      </c>
      <c r="F7" s="0" t="s">
        <v>23</v>
      </c>
      <c r="G7" s="0" t="n">
        <f aca="false">BoardQty*1</f>
        <v>10</v>
      </c>
      <c r="H7" s="10" t="n">
        <f aca="true">MINA(INDIRECT(ADDRESS(ROW(),COLUMN(newark_part_data)+2)),INDIRECT(ADDRESS(ROW(),COLUMN(digikey_part_data)+2)),INDIRECT(ADDRESS(ROW(),COLUMN(mouser_part_data)+2)))</f>
        <v>0.546</v>
      </c>
      <c r="I7" s="10" t="n">
        <f aca="false">IFERROR(G7*H7,"")</f>
        <v>5.46</v>
      </c>
      <c r="J7" s="0" t="n">
        <v>0</v>
      </c>
      <c r="L7" s="10" t="n">
        <f aca="false">IFERROR(LOOKUP(IF(K7="",G7,K7),{0,1,10,25,50,100,250,500,1000,2500},{0,0.58,0.546,0.4916,0.4368,0.4186,0.3822,0.364,0.3003,0.273}),"")</f>
        <v>0.546</v>
      </c>
      <c r="M7" s="10" t="n">
        <f aca="false">IFERROR(IF(K7="",G7,K7)*L7,"")</f>
        <v>5.46</v>
      </c>
      <c r="N7" s="0" t="s">
        <v>24</v>
      </c>
      <c r="O7" s="11" t="s">
        <v>25</v>
      </c>
    </row>
    <row r="8" customFormat="false" ht="15" hidden="false" customHeight="false" outlineLevel="0" collapsed="false">
      <c r="A8" s="0" t="s">
        <v>26</v>
      </c>
      <c r="B8" s="0" t="s">
        <v>27</v>
      </c>
      <c r="D8" s="0" t="s">
        <v>28</v>
      </c>
      <c r="F8" s="0" t="s">
        <v>29</v>
      </c>
      <c r="G8" s="0" t="n">
        <f aca="false">BoardQty*2</f>
        <v>20</v>
      </c>
      <c r="H8" s="10" t="n">
        <f aca="true">MINA(INDIRECT(ADDRESS(ROW(),COLUMN(newark_part_data)+2)),INDIRECT(ADDRESS(ROW(),COLUMN(digikey_part_data)+2)),INDIRECT(ADDRESS(ROW(),COLUMN(mouser_part_data)+2)))</f>
        <v>0.0918</v>
      </c>
      <c r="I8" s="10" t="n">
        <f aca="false">IFERROR(G8*H8,"")</f>
        <v>1.836</v>
      </c>
      <c r="J8" s="0" t="n">
        <v>0</v>
      </c>
      <c r="L8" s="10" t="n">
        <f aca="false">IFERROR(LOOKUP(IF(K8="",G8,K8),{0,1,4000,8000,12000,28000,100000},{0,0.0918,0.0918,0.0864,0.0837,0.081,0.0702}),"")</f>
        <v>0.0918</v>
      </c>
      <c r="M8" s="10" t="n">
        <f aca="false">IFERROR(IF(K8="",G8,K8)*L8,"")</f>
        <v>1.836</v>
      </c>
      <c r="N8" s="0" t="s">
        <v>30</v>
      </c>
      <c r="O8" s="11" t="s">
        <v>25</v>
      </c>
      <c r="P8" s="0" t="n">
        <v>0</v>
      </c>
      <c r="R8" s="10" t="n">
        <f aca="false">IFERROR(LOOKUP(IF(Q8="",G8,Q8),{0,1,50,100,500,1000,4000,8000,12000,20000},{0,0.24,0.207,0.147,0.133,0.111,0.09,0.086,0.083,0.082}),"")</f>
        <v>0.24</v>
      </c>
      <c r="S8" s="10" t="n">
        <f aca="false">IFERROR(IF(Q8="",G8,Q8)*R8,"")</f>
        <v>4.8</v>
      </c>
      <c r="T8" s="0" t="s">
        <v>31</v>
      </c>
      <c r="U8" s="11" t="s">
        <v>25</v>
      </c>
      <c r="AA8" s="11" t="s">
        <v>25</v>
      </c>
    </row>
    <row r="9" customFormat="false" ht="15" hidden="false" customHeight="false" outlineLevel="0" collapsed="false">
      <c r="A9" s="0" t="s">
        <v>32</v>
      </c>
      <c r="B9" s="0" t="s">
        <v>33</v>
      </c>
      <c r="D9" s="0" t="s">
        <v>34</v>
      </c>
      <c r="F9" s="0" t="s">
        <v>35</v>
      </c>
      <c r="G9" s="0" t="n">
        <f aca="false">BoardQty*2</f>
        <v>20</v>
      </c>
      <c r="H9" s="10" t="n">
        <f aca="true">MINA(INDIRECT(ADDRESS(ROW(),COLUMN(newark_part_data)+2)),INDIRECT(ADDRESS(ROW(),COLUMN(digikey_part_data)+2)),INDIRECT(ADDRESS(ROW(),COLUMN(mouser_part_data)+2)))</f>
        <v>0.00819</v>
      </c>
      <c r="I9" s="10" t="n">
        <f aca="false">IFERROR(G9*H9,"")</f>
        <v>0.1638</v>
      </c>
      <c r="J9" s="0" t="n">
        <v>0</v>
      </c>
      <c r="L9" s="10" t="n">
        <f aca="false">IFERROR(LOOKUP(IF(K9="",G9,K9),{0,1,10000,20000,30000,50000,100000},{0,0.00819,0.00819,0.0078,0.00741,0.00663,0.00536}),"")</f>
        <v>0.00819</v>
      </c>
      <c r="M9" s="10" t="n">
        <f aca="false">IFERROR(IF(K9="",G9,K9)*L9,"")</f>
        <v>0.1638</v>
      </c>
      <c r="N9" s="0" t="s">
        <v>36</v>
      </c>
      <c r="O9" s="11" t="s">
        <v>25</v>
      </c>
      <c r="P9" s="0" t="n">
        <v>29870</v>
      </c>
      <c r="R9" s="10" t="n">
        <f aca="false">IFERROR(LOOKUP(IF(Q9="",G9,Q9),{0,1,10,100,500,1000,2500,10000,20000,50000},{0,0.099,0.025,0.017,0.015,0.012,0.01,0.008,0.007,0.005}),"")</f>
        <v>0.025</v>
      </c>
      <c r="S9" s="10" t="n">
        <f aca="false">IFERROR(IF(Q9="",G9,Q9)*R9,"")</f>
        <v>0.5</v>
      </c>
      <c r="T9" s="0" t="s">
        <v>37</v>
      </c>
      <c r="U9" s="11" t="s">
        <v>25</v>
      </c>
      <c r="AA9" s="11" t="s">
        <v>25</v>
      </c>
    </row>
    <row r="10" customFormat="false" ht="15" hidden="false" customHeight="false" outlineLevel="0" collapsed="false">
      <c r="A10" s="0" t="s">
        <v>38</v>
      </c>
      <c r="B10" s="0" t="s">
        <v>39</v>
      </c>
      <c r="D10" s="0" t="s">
        <v>40</v>
      </c>
      <c r="F10" s="0" t="s">
        <v>41</v>
      </c>
      <c r="G10" s="0" t="n">
        <f aca="false">BoardQty*1</f>
        <v>10</v>
      </c>
      <c r="H10" s="10" t="n">
        <f aca="true">MINA(INDIRECT(ADDRESS(ROW(),COLUMN(newark_part_data)+2)),INDIRECT(ADDRESS(ROW(),COLUMN(digikey_part_data)+2)),INDIRECT(ADDRESS(ROW(),COLUMN(mouser_part_data)+2)))</f>
        <v>0.02256</v>
      </c>
      <c r="I10" s="10" t="n">
        <f aca="false">IFERROR(G10*H10,"")</f>
        <v>0.2256</v>
      </c>
      <c r="J10" s="0" t="n">
        <v>0</v>
      </c>
      <c r="L10" s="10" t="n">
        <f aca="false">IFERROR(LOOKUP(IF(K10="",G10,K10),{0,1,4000,8000,12000,28000,100000},{0,0.02256,0.02256,0.02045,0.01974,0.01833,0.01812}),"")</f>
        <v>0.02256</v>
      </c>
      <c r="M10" s="10" t="n">
        <f aca="false">IFERROR(IF(K10="",G10,K10)*L10,"")</f>
        <v>0.2256</v>
      </c>
      <c r="N10" s="0" t="s">
        <v>42</v>
      </c>
      <c r="O10" s="11" t="s">
        <v>25</v>
      </c>
      <c r="P10" s="0" t="n">
        <v>0</v>
      </c>
      <c r="R10" s="10" t="n">
        <f aca="false">IFERROR(LOOKUP(IF(Q10="",G10,Q10),{0,1,10,100,1000,4000,8000,24000},{0,0.099,0.066,0.033,0.028,0.02,0.019,0.017}),"")</f>
        <v>0.066</v>
      </c>
      <c r="S10" s="10" t="n">
        <f aca="false">IFERROR(IF(Q10="",G10,Q10)*R10,"")</f>
        <v>0.66</v>
      </c>
      <c r="T10" s="0" t="s">
        <v>43</v>
      </c>
      <c r="U10" s="11" t="s">
        <v>25</v>
      </c>
      <c r="AA10" s="11" t="s">
        <v>25</v>
      </c>
    </row>
    <row r="11" customFormat="false" ht="15" hidden="false" customHeight="false" outlineLevel="0" collapsed="false">
      <c r="A11" s="0" t="s">
        <v>44</v>
      </c>
      <c r="B11" s="0" t="s">
        <v>45</v>
      </c>
      <c r="D11" s="0" t="s">
        <v>46</v>
      </c>
      <c r="F11" s="0" t="s">
        <v>47</v>
      </c>
      <c r="G11" s="0" t="n">
        <f aca="false">BoardQty*2</f>
        <v>20</v>
      </c>
      <c r="H11" s="10" t="n">
        <f aca="true">MINA(INDIRECT(ADDRESS(ROW(),COLUMN(newark_part_data)+2)),INDIRECT(ADDRESS(ROW(),COLUMN(digikey_part_data)+2)),INDIRECT(ADDRESS(ROW(),COLUMN(mouser_part_data)+2)))</f>
        <v>0.00129</v>
      </c>
      <c r="I11" s="10" t="n">
        <f aca="false">IFERROR(G11*H11,"")</f>
        <v>0.0258</v>
      </c>
      <c r="J11" s="0" t="n">
        <v>0</v>
      </c>
      <c r="L11" s="10" t="n">
        <f aca="false">IFERROR(LOOKUP(IF(K11="",G11,K11),{0,1,5000,10000,25000,50000,125000},{0,0.00129,0.00129,0.00112,0.00099,0.0009,0.00089}),"")</f>
        <v>0.00129</v>
      </c>
      <c r="M11" s="10" t="n">
        <f aca="false">IFERROR(IF(K11="",G11,K11)*L11,"")</f>
        <v>0.0258</v>
      </c>
      <c r="N11" s="0" t="s">
        <v>48</v>
      </c>
      <c r="O11" s="11" t="s">
        <v>25</v>
      </c>
      <c r="P11" s="0" t="n">
        <v>29548</v>
      </c>
      <c r="R11" s="10" t="n">
        <f aca="false">IFERROR(LOOKUP(IF(Q11="",G11,Q11),{0,1,10,100,1000,5000},{0,0.099,0.008,0.002,0.001,0.001}),"")</f>
        <v>0.008</v>
      </c>
      <c r="S11" s="10" t="n">
        <f aca="false">IFERROR(IF(Q11="",G11,Q11)*R11,"")</f>
        <v>0.16</v>
      </c>
      <c r="T11" s="0" t="s">
        <v>49</v>
      </c>
      <c r="U11" s="11" t="s">
        <v>25</v>
      </c>
      <c r="AA11" s="11" t="s">
        <v>25</v>
      </c>
    </row>
    <row r="12" customFormat="false" ht="15" hidden="false" customHeight="false" outlineLevel="0" collapsed="false">
      <c r="A12" s="0" t="s">
        <v>50</v>
      </c>
      <c r="B12" s="0" t="s">
        <v>51</v>
      </c>
      <c r="D12" s="0" t="s">
        <v>46</v>
      </c>
      <c r="F12" s="0" t="s">
        <v>52</v>
      </c>
      <c r="G12" s="0" t="n">
        <f aca="false">BoardQty*1</f>
        <v>10</v>
      </c>
      <c r="H12" s="10" t="n">
        <f aca="true">MINA(INDIRECT(ADDRESS(ROW(),COLUMN(newark_part_data)+2)),INDIRECT(ADDRESS(ROW(),COLUMN(digikey_part_data)+2)),INDIRECT(ADDRESS(ROW(),COLUMN(mouser_part_data)+2)))</f>
        <v>0.00167</v>
      </c>
      <c r="I12" s="10" t="n">
        <f aca="false">IFERROR(G12*H12,"")</f>
        <v>0.0167</v>
      </c>
      <c r="J12" s="0" t="n">
        <v>0</v>
      </c>
      <c r="L12" s="10" t="n">
        <f aca="false">IFERROR(LOOKUP(IF(K12="",G12,K12),{0,1,5000,10000,25000,50000,125000},{0,0.00167,0.00167,0.00145,0.00128,0.00117,0.00115}),"")</f>
        <v>0.00167</v>
      </c>
      <c r="M12" s="10" t="n">
        <f aca="false">IFERROR(IF(K12="",G12,K12)*L12,"")</f>
        <v>0.0167</v>
      </c>
      <c r="N12" s="0" t="s">
        <v>53</v>
      </c>
      <c r="O12" s="11" t="s">
        <v>25</v>
      </c>
      <c r="P12" s="0" t="n">
        <v>775671</v>
      </c>
      <c r="R12" s="10" t="n">
        <f aca="false">IFERROR(LOOKUP(IF(Q12="",G12,Q12),{0,1,10,100,1000,5000},{0,0.099,0.01,0.003,0.002,0.001}),"")</f>
        <v>0.01</v>
      </c>
      <c r="S12" s="10" t="n">
        <f aca="false">IFERROR(IF(Q12="",G12,Q12)*R12,"")</f>
        <v>0.1</v>
      </c>
      <c r="T12" s="0" t="s">
        <v>54</v>
      </c>
      <c r="U12" s="11" t="s">
        <v>25</v>
      </c>
      <c r="AA12" s="11" t="s">
        <v>25</v>
      </c>
    </row>
    <row r="13" customFormat="false" ht="15" hidden="false" customHeight="false" outlineLevel="0" collapsed="false">
      <c r="A13" s="0" t="s">
        <v>55</v>
      </c>
      <c r="B13" s="0" t="s">
        <v>56</v>
      </c>
      <c r="D13" s="0" t="s">
        <v>28</v>
      </c>
      <c r="F13" s="0" t="s">
        <v>57</v>
      </c>
      <c r="G13" s="0" t="n">
        <f aca="false">BoardQty*8</f>
        <v>80</v>
      </c>
      <c r="H13" s="10" t="n">
        <f aca="true">MINA(INDIRECT(ADDRESS(ROW(),COLUMN(newark_part_data)+2)),INDIRECT(ADDRESS(ROW(),COLUMN(digikey_part_data)+2)),INDIRECT(ADDRESS(ROW(),COLUMN(mouser_part_data)+2)))</f>
        <v>0.00368</v>
      </c>
      <c r="I13" s="10" t="n">
        <f aca="false">IFERROR(G13*H13,"")</f>
        <v>0.2944</v>
      </c>
      <c r="J13" s="0" t="n">
        <v>0</v>
      </c>
      <c r="L13" s="10" t="n">
        <f aca="false">IFERROR(LOOKUP(IF(K13="",G13,K13),{0,1,4000,8000,12000,28000,100000},{0,0.00368,0.00368,0.00336,0.0032,0.00304,0.0022}),"")</f>
        <v>0.00368</v>
      </c>
      <c r="M13" s="10" t="n">
        <f aca="false">IFERROR(IF(K13="",G13,K13)*L13,"")</f>
        <v>0.2944</v>
      </c>
      <c r="N13" s="0" t="s">
        <v>58</v>
      </c>
      <c r="O13" s="11" t="s">
        <v>25</v>
      </c>
      <c r="P13" s="0" t="n">
        <v>846659</v>
      </c>
      <c r="R13" s="10" t="n">
        <f aca="false">IFERROR(LOOKUP(IF(Q13="",G13,Q13),{0,1,10,1000,4000},{0,0.099,0.01,0.009,0.009}),"")</f>
        <v>0.01</v>
      </c>
      <c r="S13" s="10" t="n">
        <f aca="false">IFERROR(IF(Q13="",G13,Q13)*R13,"")</f>
        <v>0.8</v>
      </c>
      <c r="T13" s="0" t="s">
        <v>59</v>
      </c>
      <c r="U13" s="11" t="s">
        <v>25</v>
      </c>
      <c r="AA13" s="11" t="s">
        <v>25</v>
      </c>
    </row>
    <row r="14" customFormat="false" ht="15" hidden="false" customHeight="false" outlineLevel="0" collapsed="false">
      <c r="A14" s="0" t="s">
        <v>60</v>
      </c>
      <c r="B14" s="0" t="s">
        <v>61</v>
      </c>
      <c r="D14" s="0" t="s">
        <v>62</v>
      </c>
      <c r="G14" s="0" t="n">
        <f aca="false">BoardQty*1</f>
        <v>10</v>
      </c>
      <c r="H14" s="10" t="n">
        <f aca="true">MINA(INDIRECT(ADDRESS(ROW(),COLUMN(newark_part_data)+2)),INDIRECT(ADDRESS(ROW(),COLUMN(digikey_part_data)+2)),INDIRECT(ADDRESS(ROW(),COLUMN(mouser_part_data)+2)))</f>
        <v>0</v>
      </c>
      <c r="I14" s="10" t="n">
        <f aca="false">IFERROR(G14*H14,"")</f>
        <v>0</v>
      </c>
    </row>
    <row r="15" customFormat="false" ht="15" hidden="false" customHeight="false" outlineLevel="0" collapsed="false">
      <c r="A15" s="0" t="s">
        <v>63</v>
      </c>
      <c r="B15" s="0" t="s">
        <v>64</v>
      </c>
      <c r="D15" s="0" t="s">
        <v>46</v>
      </c>
      <c r="F15" s="0" t="s">
        <v>65</v>
      </c>
      <c r="G15" s="0" t="n">
        <f aca="false">BoardQty*1</f>
        <v>10</v>
      </c>
      <c r="H15" s="10" t="n">
        <f aca="true">MINA(INDIRECT(ADDRESS(ROW(),COLUMN(newark_part_data)+2)),INDIRECT(ADDRESS(ROW(),COLUMN(digikey_part_data)+2)),INDIRECT(ADDRESS(ROW(),COLUMN(mouser_part_data)+2)))</f>
        <v>0.00129</v>
      </c>
      <c r="I15" s="10" t="n">
        <f aca="false">IFERROR(G15*H15,"")</f>
        <v>0.0129</v>
      </c>
      <c r="J15" s="0" t="n">
        <v>0</v>
      </c>
      <c r="L15" s="10" t="n">
        <f aca="false">IFERROR(LOOKUP(IF(K15="",G15,K15),{0,1,5000,10000,25000,50000,125000},{0,0.00129,0.00129,0.00112,0.00099,0.0009,0.00089}),"")</f>
        <v>0.00129</v>
      </c>
      <c r="M15" s="10" t="n">
        <f aca="false">IFERROR(IF(K15="",G15,K15)*L15,"")</f>
        <v>0.0129</v>
      </c>
      <c r="N15" s="0" t="s">
        <v>66</v>
      </c>
      <c r="O15" s="11" t="s">
        <v>25</v>
      </c>
      <c r="P15" s="0" t="n">
        <v>891921</v>
      </c>
      <c r="R15" s="10" t="n">
        <f aca="false">IFERROR(LOOKUP(IF(Q15="",G15,Q15),{0,1,10,100,1000,5000},{0,0.099,0.008,0.002,0.001,0.001}),"")</f>
        <v>0.008</v>
      </c>
      <c r="S15" s="10" t="n">
        <f aca="false">IFERROR(IF(Q15="",G15,Q15)*R15,"")</f>
        <v>0.08</v>
      </c>
      <c r="T15" s="0" t="s">
        <v>67</v>
      </c>
      <c r="U15" s="11" t="s">
        <v>25</v>
      </c>
      <c r="AA15" s="11" t="s">
        <v>25</v>
      </c>
    </row>
    <row r="16" customFormat="false" ht="15" hidden="false" customHeight="false" outlineLevel="0" collapsed="false">
      <c r="A16" s="0" t="s">
        <v>68</v>
      </c>
      <c r="B16" s="0" t="s">
        <v>69</v>
      </c>
      <c r="D16" s="0" t="s">
        <v>70</v>
      </c>
      <c r="G16" s="0" t="n">
        <f aca="false">BoardQty*2</f>
        <v>20</v>
      </c>
      <c r="H16" s="10" t="n">
        <f aca="true">MINA(INDIRECT(ADDRESS(ROW(),COLUMN(newark_part_data)+2)),INDIRECT(ADDRESS(ROW(),COLUMN(digikey_part_data)+2)),INDIRECT(ADDRESS(ROW(),COLUMN(mouser_part_data)+2)))</f>
        <v>0</v>
      </c>
      <c r="I16" s="10" t="n">
        <f aca="false">IFERROR(G16*H16,"")</f>
        <v>0</v>
      </c>
    </row>
    <row r="17" customFormat="false" ht="15" hidden="false" customHeight="false" outlineLevel="0" collapsed="false">
      <c r="A17" s="0" t="s">
        <v>71</v>
      </c>
      <c r="B17" s="0" t="s">
        <v>72</v>
      </c>
      <c r="D17" s="0" t="s">
        <v>73</v>
      </c>
      <c r="F17" s="0" t="s">
        <v>74</v>
      </c>
      <c r="G17" s="0" t="n">
        <f aca="false">BoardQty*1</f>
        <v>10</v>
      </c>
      <c r="H17" s="10" t="n">
        <f aca="true">MINA(INDIRECT(ADDRESS(ROW(),COLUMN(newark_part_data)+2)),INDIRECT(ADDRESS(ROW(),COLUMN(digikey_part_data)+2)),INDIRECT(ADDRESS(ROW(),COLUMN(mouser_part_data)+2)))</f>
        <v>3.26</v>
      </c>
      <c r="I17" s="10" t="n">
        <f aca="false">IFERROR(G17*H17,"")</f>
        <v>32.6</v>
      </c>
      <c r="J17" s="0" t="n">
        <v>0</v>
      </c>
      <c r="L17" s="10" t="n">
        <f aca="false">IFERROR(LOOKUP(IF(K17="",G17,K17),{0,1,10,25,100,250,500,1000},{0,3.7,3.305,2.9748,2.7103,2.44588,2.19468,1.85094}),"")</f>
        <v>3.305</v>
      </c>
      <c r="M17" s="10" t="n">
        <f aca="false">IFERROR(IF(K17="",G17,K17)*L17,"")</f>
        <v>33.05</v>
      </c>
      <c r="N17" s="0" t="s">
        <v>75</v>
      </c>
      <c r="O17" s="11" t="s">
        <v>25</v>
      </c>
      <c r="P17" s="0" t="n">
        <v>10118</v>
      </c>
      <c r="R17" s="10" t="n">
        <f aca="false">IFERROR(LOOKUP(IF(Q17="",G17,Q17),{0,1,10,25,50,100,250,500,1000},{0,3.65,3.26,2.93,2.75,2.67,2.41,2.15,1.89}),"")</f>
        <v>3.26</v>
      </c>
      <c r="S17" s="10" t="n">
        <f aca="false">IFERROR(IF(Q17="",G17,Q17)*R17,"")</f>
        <v>32.6</v>
      </c>
      <c r="T17" s="0" t="s">
        <v>76</v>
      </c>
      <c r="U17" s="11" t="s">
        <v>25</v>
      </c>
      <c r="AA17" s="11" t="s">
        <v>25</v>
      </c>
    </row>
    <row r="18" customFormat="false" ht="15" hidden="false" customHeight="false" outlineLevel="0" collapsed="false">
      <c r="A18" s="0" t="s">
        <v>77</v>
      </c>
      <c r="B18" s="0" t="s">
        <v>78</v>
      </c>
      <c r="D18" s="0" t="s">
        <v>79</v>
      </c>
      <c r="G18" s="0" t="n">
        <f aca="false">BoardQty*1</f>
        <v>10</v>
      </c>
      <c r="H18" s="10" t="n">
        <f aca="true">MINA(INDIRECT(ADDRESS(ROW(),COLUMN(newark_part_data)+2)),INDIRECT(ADDRESS(ROW(),COLUMN(digikey_part_data)+2)),INDIRECT(ADDRESS(ROW(),COLUMN(mouser_part_data)+2)))</f>
        <v>0</v>
      </c>
      <c r="I18" s="10" t="n">
        <f aca="false">IFERROR(G18*H18,"")</f>
        <v>0</v>
      </c>
    </row>
    <row r="19" customFormat="false" ht="15" hidden="false" customHeight="false" outlineLevel="0" collapsed="false">
      <c r="A19" s="0" t="s">
        <v>80</v>
      </c>
      <c r="B19" s="0" t="s">
        <v>81</v>
      </c>
      <c r="D19" s="0" t="s">
        <v>82</v>
      </c>
      <c r="F19" s="0" t="s">
        <v>83</v>
      </c>
      <c r="G19" s="0" t="n">
        <f aca="false">BoardQty*1</f>
        <v>10</v>
      </c>
      <c r="H19" s="10" t="n">
        <f aca="true">MINA(INDIRECT(ADDRESS(ROW(),COLUMN(newark_part_data)+2)),INDIRECT(ADDRESS(ROW(),COLUMN(digikey_part_data)+2)),INDIRECT(ADDRESS(ROW(),COLUMN(mouser_part_data)+2)))</f>
        <v>1.55</v>
      </c>
      <c r="I19" s="10" t="n">
        <f aca="false">IFERROR(G19*H19,"")</f>
        <v>15.5</v>
      </c>
      <c r="J19" s="0" t="n">
        <v>0</v>
      </c>
      <c r="L19" s="10" t="n">
        <f aca="false">IFERROR(LOOKUP(IF(K19="",G19,K19),{0,1,2000},{0,1.55,1.55}),"")</f>
        <v>1.55</v>
      </c>
      <c r="M19" s="10" t="n">
        <f aca="false">IFERROR(IF(K19="",G19,K19)*L19,"")</f>
        <v>15.5</v>
      </c>
      <c r="N19" s="0" t="s">
        <v>84</v>
      </c>
      <c r="O19" s="11" t="s">
        <v>25</v>
      </c>
      <c r="P19" s="0" t="n">
        <v>9197</v>
      </c>
      <c r="R19" s="10" t="n">
        <f aca="false">IFERROR(LOOKUP(IF(Q19="",G19,Q19),{0,1,25,100,250,500,1000,2000},{0,2.11,2.04,1.97,1.78,1.59,1.53,1.53}),"")</f>
        <v>2.11</v>
      </c>
      <c r="S19" s="10" t="n">
        <f aca="false">IFERROR(IF(Q19="",G19,Q19)*R19,"")</f>
        <v>21.1</v>
      </c>
      <c r="T19" s="0" t="s">
        <v>85</v>
      </c>
      <c r="U19" s="11" t="s">
        <v>25</v>
      </c>
    </row>
    <row r="20" customFormat="false" ht="15" hidden="false" customHeight="false" outlineLevel="0" collapsed="false">
      <c r="A20" s="0" t="s">
        <v>86</v>
      </c>
      <c r="B20" s="0" t="s">
        <v>87</v>
      </c>
      <c r="D20" s="0" t="s">
        <v>88</v>
      </c>
      <c r="F20" s="0" t="s">
        <v>89</v>
      </c>
      <c r="G20" s="0" t="n">
        <f aca="false">BoardQty*1</f>
        <v>10</v>
      </c>
      <c r="H20" s="10" t="n">
        <f aca="true">MINA(INDIRECT(ADDRESS(ROW(),COLUMN(newark_part_data)+2)),INDIRECT(ADDRESS(ROW(),COLUMN(digikey_part_data)+2)),INDIRECT(ADDRESS(ROW(),COLUMN(mouser_part_data)+2)))</f>
        <v>0.226</v>
      </c>
      <c r="I20" s="10" t="n">
        <f aca="false">IFERROR(G20*H20,"")</f>
        <v>2.26</v>
      </c>
      <c r="J20" s="0" t="n">
        <v>0</v>
      </c>
      <c r="L20" s="10" t="n">
        <f aca="false">IFERROR(LOOKUP(IF(K20="",G20,K20),{0,1,10,100,1000,50000},{0,0.24,0.227,0.21,0.188,0.174}),"")</f>
        <v>0.227</v>
      </c>
      <c r="M20" s="10" t="n">
        <f aca="false">IFERROR(IF(K20="",G20,K20)*L20,"")</f>
        <v>2.27</v>
      </c>
      <c r="N20" s="0" t="s">
        <v>90</v>
      </c>
      <c r="O20" s="11" t="s">
        <v>25</v>
      </c>
      <c r="P20" s="0" t="n">
        <v>8494</v>
      </c>
      <c r="R20" s="10" t="n">
        <f aca="false">IFERROR(LOOKUP(IF(Q20="",G20,Q20),{0,1,10,100,1000,2500,10000,25000,50000},{0,0.24,0.226,0.206,0.187,0.184,0.182,0.168,0.165}),"")</f>
        <v>0.226</v>
      </c>
      <c r="S20" s="10" t="n">
        <f aca="false">IFERROR(IF(Q20="",G20,Q20)*R20,"")</f>
        <v>2.26</v>
      </c>
      <c r="T20" s="0" t="s">
        <v>91</v>
      </c>
      <c r="U20" s="11" t="s">
        <v>25</v>
      </c>
      <c r="AA20" s="11" t="s">
        <v>25</v>
      </c>
    </row>
    <row r="21" customFormat="false" ht="15" hidden="false" customHeight="false" outlineLevel="0" collapsed="false">
      <c r="A21" s="0" t="s">
        <v>92</v>
      </c>
      <c r="B21" s="0" t="s">
        <v>93</v>
      </c>
      <c r="D21" s="0" t="s">
        <v>94</v>
      </c>
      <c r="F21" s="0" t="s">
        <v>95</v>
      </c>
      <c r="G21" s="0" t="n">
        <f aca="false">BoardQty*1</f>
        <v>10</v>
      </c>
      <c r="H21" s="10" t="n">
        <f aca="true">MINA(INDIRECT(ADDRESS(ROW(),COLUMN(newark_part_data)+2)),INDIRECT(ADDRESS(ROW(),COLUMN(digikey_part_data)+2)),INDIRECT(ADDRESS(ROW(),COLUMN(mouser_part_data)+2)))</f>
        <v>0.25</v>
      </c>
      <c r="I21" s="10" t="n">
        <f aca="false">IFERROR(G21*H21,"")</f>
        <v>2.5</v>
      </c>
      <c r="J21" s="0" t="n">
        <v>0</v>
      </c>
      <c r="L21" s="10" t="n">
        <f aca="false">IFERROR(LOOKUP(IF(K21="",G21,K21),{0,1,10,50,100,500,1000,2500,5000,10000},{0,0.3,0.25,0.225,0.2,0.19,0.16,0.15,0.145,0.14}),"")</f>
        <v>0.25</v>
      </c>
      <c r="M21" s="10" t="n">
        <f aca="false">IFERROR(IF(K21="",G21,K21)*L21,"")</f>
        <v>2.5</v>
      </c>
      <c r="N21" s="0" t="s">
        <v>96</v>
      </c>
      <c r="O21" s="11" t="s">
        <v>25</v>
      </c>
      <c r="U21" s="11" t="s">
        <v>25</v>
      </c>
      <c r="AA21" s="11" t="s">
        <v>25</v>
      </c>
    </row>
    <row r="22" customFormat="false" ht="15" hidden="false" customHeight="false" outlineLevel="0" collapsed="false">
      <c r="A22" s="0" t="s">
        <v>97</v>
      </c>
      <c r="B22" s="0" t="s">
        <v>98</v>
      </c>
      <c r="D22" s="0" t="s">
        <v>99</v>
      </c>
      <c r="F22" s="0" t="s">
        <v>100</v>
      </c>
      <c r="G22" s="0" t="n">
        <f aca="false">BoardQty*1</f>
        <v>10</v>
      </c>
      <c r="H22" s="10" t="n">
        <f aca="true">MINA(INDIRECT(ADDRESS(ROW(),COLUMN(newark_part_data)+2)),INDIRECT(ADDRESS(ROW(),COLUMN(digikey_part_data)+2)),INDIRECT(ADDRESS(ROW(),COLUMN(mouser_part_data)+2)))</f>
        <v>0.169</v>
      </c>
      <c r="I22" s="10" t="n">
        <f aca="false">IFERROR(G22*H22,"")</f>
        <v>1.69</v>
      </c>
      <c r="J22" s="0" t="n">
        <v>0</v>
      </c>
      <c r="L22" s="10" t="n">
        <f aca="false">IFERROR(LOOKUP(IF(K22="",G22,K22),{0,1,10,100,500,1000,5000,10000},{0,0.24,0.229,0.1586,0.1342,0.1098,0.0976,0.08845}),"")</f>
        <v>0.229</v>
      </c>
      <c r="M22" s="10" t="n">
        <f aca="false">IFERROR(IF(K22="",G22,K22)*L22,"")</f>
        <v>2.29</v>
      </c>
      <c r="N22" s="0" t="s">
        <v>101</v>
      </c>
      <c r="O22" s="11" t="s">
        <v>25</v>
      </c>
      <c r="P22" s="0" t="n">
        <v>10190</v>
      </c>
      <c r="R22" s="10" t="n">
        <f aca="false">IFERROR(LOOKUP(IF(Q22="",G22,Q22),{0,1,10,100,500,1000,2000,10000},{0,0.237,0.169,0.138,0.132,0.109,0.097,0.096}),"")</f>
        <v>0.169</v>
      </c>
      <c r="S22" s="10" t="n">
        <f aca="false">IFERROR(IF(Q22="",G22,Q22)*R22,"")</f>
        <v>1.69</v>
      </c>
      <c r="T22" s="0" t="s">
        <v>102</v>
      </c>
      <c r="U22" s="11" t="s">
        <v>25</v>
      </c>
      <c r="AA22" s="11" t="s">
        <v>25</v>
      </c>
    </row>
    <row r="24" customFormat="false" ht="15" hidden="false" customHeight="false" outlineLevel="0" collapsed="false">
      <c r="K24" s="0" t="str">
        <f aca="false" t="array" ref="K24:K24">IFERROR(CONCATENATE(TEXT(INDEX($K$7:$K$22,SMALL(IF($N$7:$N$22&lt;&gt;"",IF($K$7:$K$22&lt;&gt;"",ROW($K$7:$K$22)-MIN(ROW($K$7:$K$22))+1,""),""),ROW()-ROW(A$24)+1)),"##0"),","),"")</f>
        <v/>
      </c>
      <c r="L24" s="0" t="str">
        <f aca="false" t="array" ref="L24:L24">IFERROR(CONCATENATE((INDEX($N$7:$N$22,SMALL(IF($N$7:$N$22&lt;&gt;"",IF($K$7:$K$22&lt;&gt;"",ROW($K$7:$K$22)-MIN(ROW($K$7:$K$22))+1,""),""),ROW()-ROW(A$24)+1))),","),"")</f>
        <v/>
      </c>
      <c r="M24" s="0" t="str">
        <f aca="false" t="array" ref="M24:M24">IFERROR(CONCATENATE((INDEX($A$7:$A$22,SMALL(IF($N$7:$N$22&lt;&gt;"",IF($K$7:$K$22&lt;&gt;"",ROW($K$7:$K$22)-MIN(ROW($K$7:$K$22))+1,""),""),ROW()-ROW(A$24)+1))),),"")</f>
        <v/>
      </c>
      <c r="Q24" s="0" t="str">
        <f aca="false" t="array" ref="Q24:Q24">IFERROR(CONCATENATE((INDEX($T$7:$T$22,SMALL(IF($T$7:$T$22&lt;&gt;"",IF($Q$7:$Q$22&lt;&gt;"",ROW($Q$7:$Q$22)-MIN(ROW($Q$7:$Q$22))+1,""),""),ROW()-ROW(A$24)+1)))," "),"")</f>
        <v/>
      </c>
      <c r="R24" s="0" t="str">
        <f aca="false" t="array" ref="R24:R24">IFERROR(CONCATENATE(TEXT(INDEX($Q$7:$Q$22,SMALL(IF($T$7:$T$22&lt;&gt;"",IF($Q$7:$Q$22&lt;&gt;"",ROW($Q$7:$Q$22)-MIN(ROW($Q$7:$Q$22))+1,""),""),ROW()-ROW(A$24)+1)),"##0")," "),"")</f>
        <v/>
      </c>
      <c r="S24" s="0" t="str">
        <f aca="false" t="array" ref="S24:S24">IFERROR(CONCATENATE((INDEX($A$7:$A$22,SMALL(IF($T$7:$T$22&lt;&gt;"",IF($Q$7:$Q$22&lt;&gt;"",ROW($Q$7:$Q$22)-MIN(ROW($Q$7:$Q$22))+1,""),""),ROW()-ROW(A$24)+1))),),"")</f>
        <v/>
      </c>
      <c r="W24" s="0" t="str">
        <f aca="false" t="array" ref="W24:W24">IFERROR(CONCATENATE((INDEX($Z$7:$Z$22,SMALL(IF($Z$7:$Z$22&lt;&gt;"",IF($W$7:$W$22&lt;&gt;"",ROW($W$7:$W$22)-MIN(ROW($W$7:$W$22))+1,""),""),ROW()-ROW(A$24)+1))),","),"")</f>
        <v/>
      </c>
      <c r="X24" s="0" t="str">
        <f aca="false" t="array" ref="X24:X24">IFERROR(CONCATENATE(TEXT(INDEX($W$7:$W$22,SMALL(IF($Z$7:$Z$22&lt;&gt;"",IF($W$7:$W$22&lt;&gt;"",ROW($W$7:$W$22)-MIN(ROW($W$7:$W$22))+1,""),""),ROW()-ROW(A$24)+1)),"##0"),","),"")</f>
        <v/>
      </c>
      <c r="Y24" s="0" t="str">
        <f aca="false" t="array" ref="Y24:Y24">IFERROR(CONCATENATE((INDEX($A$7:$A$22,SMALL(IF($Z$7:$Z$22&lt;&gt;"",IF($W$7:$W$22&lt;&gt;"",ROW($W$7:$W$22)-MIN(ROW($W$7:$W$22))+1,""),""),ROW()-ROW(A$24)+1))),),"")</f>
        <v/>
      </c>
    </row>
    <row r="25" customFormat="false" ht="15" hidden="false" customHeight="false" outlineLevel="0" collapsed="false">
      <c r="K25" s="0" t="str">
        <f aca="false" t="array" ref="K25:K25">IFERROR(CONCATENATE(TEXT(INDEX($K$7:$K$22,SMALL(IF($N$7:$N$22&lt;&gt;"",IF($K$7:$K$22&lt;&gt;"",ROW($K$7:$K$22)-MIN(ROW($K$7:$K$22))+1,""),""),ROW()-ROW(A$24)+1)),"##0"),","),"")</f>
        <v/>
      </c>
      <c r="L25" s="0" t="str">
        <f aca="false" t="array" ref="L25:L25">IFERROR(CONCATENATE((INDEX($N$7:$N$22,SMALL(IF($N$7:$N$22&lt;&gt;"",IF($K$7:$K$22&lt;&gt;"",ROW($K$7:$K$22)-MIN(ROW($K$7:$K$22))+1,""),""),ROW()-ROW(A$24)+1))),","),"")</f>
        <v/>
      </c>
      <c r="M25" s="0" t="str">
        <f aca="false" t="array" ref="M25:M25">IFERROR(CONCATENATE((INDEX($A$7:$A$22,SMALL(IF($N$7:$N$22&lt;&gt;"",IF($K$7:$K$22&lt;&gt;"",ROW($K$7:$K$22)-MIN(ROW($K$7:$K$22))+1,""),""),ROW()-ROW(A$24)+1))),),"")</f>
        <v/>
      </c>
      <c r="Q25" s="0" t="str">
        <f aca="false" t="array" ref="Q25:Q25">IFERROR(CONCATENATE((INDEX($T$7:$T$22,SMALL(IF($T$7:$T$22&lt;&gt;"",IF($Q$7:$Q$22&lt;&gt;"",ROW($Q$7:$Q$22)-MIN(ROW($Q$7:$Q$22))+1,""),""),ROW()-ROW(A$24)+1)))," "),"")</f>
        <v/>
      </c>
      <c r="R25" s="0" t="str">
        <f aca="false" t="array" ref="R25:R25">IFERROR(CONCATENATE(TEXT(INDEX($Q$7:$Q$22,SMALL(IF($T$7:$T$22&lt;&gt;"",IF($Q$7:$Q$22&lt;&gt;"",ROW($Q$7:$Q$22)-MIN(ROW($Q$7:$Q$22))+1,""),""),ROW()-ROW(A$24)+1)),"##0")," "),"")</f>
        <v/>
      </c>
      <c r="S25" s="0" t="str">
        <f aca="false" t="array" ref="S25:S25">IFERROR(CONCATENATE((INDEX($A$7:$A$22,SMALL(IF($T$7:$T$22&lt;&gt;"",IF($Q$7:$Q$22&lt;&gt;"",ROW($Q$7:$Q$22)-MIN(ROW($Q$7:$Q$22))+1,""),""),ROW()-ROW(A$24)+1))),),"")</f>
        <v/>
      </c>
      <c r="W25" s="0" t="str">
        <f aca="false" t="array" ref="W25:W25">IFERROR(CONCATENATE((INDEX($Z$7:$Z$22,SMALL(IF($Z$7:$Z$22&lt;&gt;"",IF($W$7:$W$22&lt;&gt;"",ROW($W$7:$W$22)-MIN(ROW($W$7:$W$22))+1,""),""),ROW()-ROW(A$24)+1))),","),"")</f>
        <v/>
      </c>
      <c r="X25" s="0" t="str">
        <f aca="false" t="array" ref="X25:X25">IFERROR(CONCATENATE(TEXT(INDEX($W$7:$W$22,SMALL(IF($Z$7:$Z$22&lt;&gt;"",IF($W$7:$W$22&lt;&gt;"",ROW($W$7:$W$22)-MIN(ROW($W$7:$W$22))+1,""),""),ROW()-ROW(A$24)+1)),"##0"),","),"")</f>
        <v/>
      </c>
      <c r="Y25" s="0" t="str">
        <f aca="false" t="array" ref="Y25:Y25">IFERROR(CONCATENATE((INDEX($A$7:$A$22,SMALL(IF($Z$7:$Z$22&lt;&gt;"",IF($W$7:$W$22&lt;&gt;"",ROW($W$7:$W$22)-MIN(ROW($W$7:$W$22))+1,""),""),ROW()-ROW(A$24)+1))),),"")</f>
        <v/>
      </c>
    </row>
    <row r="26" customFormat="false" ht="15" hidden="false" customHeight="false" outlineLevel="0" collapsed="false">
      <c r="K26" s="0" t="str">
        <f aca="false" t="array" ref="K26:K26">IFERROR(CONCATENATE(TEXT(INDEX($K$7:$K$22,SMALL(IF($N$7:$N$22&lt;&gt;"",IF($K$7:$K$22&lt;&gt;"",ROW($K$7:$K$22)-MIN(ROW($K$7:$K$22))+1,""),""),ROW()-ROW(A$24)+1)),"##0"),","),"")</f>
        <v/>
      </c>
      <c r="L26" s="0" t="str">
        <f aca="false" t="array" ref="L26:L26">IFERROR(CONCATENATE((INDEX($N$7:$N$22,SMALL(IF($N$7:$N$22&lt;&gt;"",IF($K$7:$K$22&lt;&gt;"",ROW($K$7:$K$22)-MIN(ROW($K$7:$K$22))+1,""),""),ROW()-ROW(A$24)+1))),","),"")</f>
        <v/>
      </c>
      <c r="M26" s="0" t="str">
        <f aca="false" t="array" ref="M26:M26">IFERROR(CONCATENATE((INDEX($A$7:$A$22,SMALL(IF($N$7:$N$22&lt;&gt;"",IF($K$7:$K$22&lt;&gt;"",ROW($K$7:$K$22)-MIN(ROW($K$7:$K$22))+1,""),""),ROW()-ROW(A$24)+1))),),"")</f>
        <v/>
      </c>
      <c r="Q26" s="0" t="str">
        <f aca="false" t="array" ref="Q26:Q26">IFERROR(CONCATENATE((INDEX($T$7:$T$22,SMALL(IF($T$7:$T$22&lt;&gt;"",IF($Q$7:$Q$22&lt;&gt;"",ROW($Q$7:$Q$22)-MIN(ROW($Q$7:$Q$22))+1,""),""),ROW()-ROW(A$24)+1)))," "),"")</f>
        <v/>
      </c>
      <c r="R26" s="0" t="str">
        <f aca="false" t="array" ref="R26:R26">IFERROR(CONCATENATE(TEXT(INDEX($Q$7:$Q$22,SMALL(IF($T$7:$T$22&lt;&gt;"",IF($Q$7:$Q$22&lt;&gt;"",ROW($Q$7:$Q$22)-MIN(ROW($Q$7:$Q$22))+1,""),""),ROW()-ROW(A$24)+1)),"##0")," "),"")</f>
        <v/>
      </c>
      <c r="S26" s="0" t="str">
        <f aca="false" t="array" ref="S26:S26">IFERROR(CONCATENATE((INDEX($A$7:$A$22,SMALL(IF($T$7:$T$22&lt;&gt;"",IF($Q$7:$Q$22&lt;&gt;"",ROW($Q$7:$Q$22)-MIN(ROW($Q$7:$Q$22))+1,""),""),ROW()-ROW(A$24)+1))),),"")</f>
        <v/>
      </c>
      <c r="W26" s="0" t="str">
        <f aca="false" t="array" ref="W26:W26">IFERROR(CONCATENATE((INDEX($Z$7:$Z$22,SMALL(IF($Z$7:$Z$22&lt;&gt;"",IF($W$7:$W$22&lt;&gt;"",ROW($W$7:$W$22)-MIN(ROW($W$7:$W$22))+1,""),""),ROW()-ROW(A$24)+1))),","),"")</f>
        <v/>
      </c>
      <c r="X26" s="0" t="str">
        <f aca="false" t="array" ref="X26:X26">IFERROR(CONCATENATE(TEXT(INDEX($W$7:$W$22,SMALL(IF($Z$7:$Z$22&lt;&gt;"",IF($W$7:$W$22&lt;&gt;"",ROW($W$7:$W$22)-MIN(ROW($W$7:$W$22))+1,""),""),ROW()-ROW(A$24)+1)),"##0"),","),"")</f>
        <v/>
      </c>
      <c r="Y26" s="0" t="str">
        <f aca="false" t="array" ref="Y26:Y26">IFERROR(CONCATENATE((INDEX($A$7:$A$22,SMALL(IF($Z$7:$Z$22&lt;&gt;"",IF($W$7:$W$22&lt;&gt;"",ROW($W$7:$W$22)-MIN(ROW($W$7:$W$22))+1,""),""),ROW()-ROW(A$24)+1))),),"")</f>
        <v/>
      </c>
    </row>
    <row r="27" customFormat="false" ht="15" hidden="false" customHeight="false" outlineLevel="0" collapsed="false">
      <c r="K27" s="0" t="str">
        <f aca="false" t="array" ref="K27:K27">IFERROR(CONCATENATE(TEXT(INDEX($K$7:$K$22,SMALL(IF($N$7:$N$22&lt;&gt;"",IF($K$7:$K$22&lt;&gt;"",ROW($K$7:$K$22)-MIN(ROW($K$7:$K$22))+1,""),""),ROW()-ROW(A$24)+1)),"##0"),","),"")</f>
        <v/>
      </c>
      <c r="L27" s="0" t="str">
        <f aca="false" t="array" ref="L27:L27">IFERROR(CONCATENATE((INDEX($N$7:$N$22,SMALL(IF($N$7:$N$22&lt;&gt;"",IF($K$7:$K$22&lt;&gt;"",ROW($K$7:$K$22)-MIN(ROW($K$7:$K$22))+1,""),""),ROW()-ROW(A$24)+1))),","),"")</f>
        <v/>
      </c>
      <c r="M27" s="0" t="str">
        <f aca="false" t="array" ref="M27:M27">IFERROR(CONCATENATE((INDEX($A$7:$A$22,SMALL(IF($N$7:$N$22&lt;&gt;"",IF($K$7:$K$22&lt;&gt;"",ROW($K$7:$K$22)-MIN(ROW($K$7:$K$22))+1,""),""),ROW()-ROW(A$24)+1))),),"")</f>
        <v/>
      </c>
      <c r="Q27" s="0" t="str">
        <f aca="false" t="array" ref="Q27:Q27">IFERROR(CONCATENATE((INDEX($T$7:$T$22,SMALL(IF($T$7:$T$22&lt;&gt;"",IF($Q$7:$Q$22&lt;&gt;"",ROW($Q$7:$Q$22)-MIN(ROW($Q$7:$Q$22))+1,""),""),ROW()-ROW(A$24)+1)))," "),"")</f>
        <v/>
      </c>
      <c r="R27" s="0" t="str">
        <f aca="false" t="array" ref="R27:R27">IFERROR(CONCATENATE(TEXT(INDEX($Q$7:$Q$22,SMALL(IF($T$7:$T$22&lt;&gt;"",IF($Q$7:$Q$22&lt;&gt;"",ROW($Q$7:$Q$22)-MIN(ROW($Q$7:$Q$22))+1,""),""),ROW()-ROW(A$24)+1)),"##0")," "),"")</f>
        <v/>
      </c>
      <c r="S27" s="0" t="str">
        <f aca="false" t="array" ref="S27:S27">IFERROR(CONCATENATE((INDEX($A$7:$A$22,SMALL(IF($T$7:$T$22&lt;&gt;"",IF($Q$7:$Q$22&lt;&gt;"",ROW($Q$7:$Q$22)-MIN(ROW($Q$7:$Q$22))+1,""),""),ROW()-ROW(A$24)+1))),),"")</f>
        <v/>
      </c>
      <c r="W27" s="0" t="str">
        <f aca="false" t="array" ref="W27:W27">IFERROR(CONCATENATE((INDEX($Z$7:$Z$22,SMALL(IF($Z$7:$Z$22&lt;&gt;"",IF($W$7:$W$22&lt;&gt;"",ROW($W$7:$W$22)-MIN(ROW($W$7:$W$22))+1,""),""),ROW()-ROW(A$24)+1))),","),"")</f>
        <v/>
      </c>
      <c r="X27" s="0" t="str">
        <f aca="false" t="array" ref="X27:X27">IFERROR(CONCATENATE(TEXT(INDEX($W$7:$W$22,SMALL(IF($Z$7:$Z$22&lt;&gt;"",IF($W$7:$W$22&lt;&gt;"",ROW($W$7:$W$22)-MIN(ROW($W$7:$W$22))+1,""),""),ROW()-ROW(A$24)+1)),"##0"),","),"")</f>
        <v/>
      </c>
      <c r="Y27" s="0" t="str">
        <f aca="false" t="array" ref="Y27:Y27">IFERROR(CONCATENATE((INDEX($A$7:$A$22,SMALL(IF($Z$7:$Z$22&lt;&gt;"",IF($W$7:$W$22&lt;&gt;"",ROW($W$7:$W$22)-MIN(ROW($W$7:$W$22))+1,""),""),ROW()-ROW(A$24)+1))),),"")</f>
        <v/>
      </c>
    </row>
    <row r="28" customFormat="false" ht="15" hidden="false" customHeight="false" outlineLevel="0" collapsed="false">
      <c r="K28" s="0" t="str">
        <f aca="false" t="array" ref="K28:K28">IFERROR(CONCATENATE(TEXT(INDEX($K$7:$K$22,SMALL(IF($N$7:$N$22&lt;&gt;"",IF($K$7:$K$22&lt;&gt;"",ROW($K$7:$K$22)-MIN(ROW($K$7:$K$22))+1,""),""),ROW()-ROW(A$24)+1)),"##0"),","),"")</f>
        <v/>
      </c>
      <c r="L28" s="0" t="str">
        <f aca="false" t="array" ref="L28:L28">IFERROR(CONCATENATE((INDEX($N$7:$N$22,SMALL(IF($N$7:$N$22&lt;&gt;"",IF($K$7:$K$22&lt;&gt;"",ROW($K$7:$K$22)-MIN(ROW($K$7:$K$22))+1,""),""),ROW()-ROW(A$24)+1))),","),"")</f>
        <v/>
      </c>
      <c r="M28" s="0" t="str">
        <f aca="false" t="array" ref="M28:M28">IFERROR(CONCATENATE((INDEX($A$7:$A$22,SMALL(IF($N$7:$N$22&lt;&gt;"",IF($K$7:$K$22&lt;&gt;"",ROW($K$7:$K$22)-MIN(ROW($K$7:$K$22))+1,""),""),ROW()-ROW(A$24)+1))),),"")</f>
        <v/>
      </c>
      <c r="Q28" s="0" t="str">
        <f aca="false" t="array" ref="Q28:Q28">IFERROR(CONCATENATE((INDEX($T$7:$T$22,SMALL(IF($T$7:$T$22&lt;&gt;"",IF($Q$7:$Q$22&lt;&gt;"",ROW($Q$7:$Q$22)-MIN(ROW($Q$7:$Q$22))+1,""),""),ROW()-ROW(A$24)+1)))," "),"")</f>
        <v/>
      </c>
      <c r="R28" s="0" t="str">
        <f aca="false" t="array" ref="R28:R28">IFERROR(CONCATENATE(TEXT(INDEX($Q$7:$Q$22,SMALL(IF($T$7:$T$22&lt;&gt;"",IF($Q$7:$Q$22&lt;&gt;"",ROW($Q$7:$Q$22)-MIN(ROW($Q$7:$Q$22))+1,""),""),ROW()-ROW(A$24)+1)),"##0")," "),"")</f>
        <v/>
      </c>
      <c r="S28" s="0" t="str">
        <f aca="false" t="array" ref="S28:S28">IFERROR(CONCATENATE((INDEX($A$7:$A$22,SMALL(IF($T$7:$T$22&lt;&gt;"",IF($Q$7:$Q$22&lt;&gt;"",ROW($Q$7:$Q$22)-MIN(ROW($Q$7:$Q$22))+1,""),""),ROW()-ROW(A$24)+1))),),"")</f>
        <v/>
      </c>
      <c r="W28" s="0" t="str">
        <f aca="false" t="array" ref="W28:W28">IFERROR(CONCATENATE((INDEX($Z$7:$Z$22,SMALL(IF($Z$7:$Z$22&lt;&gt;"",IF($W$7:$W$22&lt;&gt;"",ROW($W$7:$W$22)-MIN(ROW($W$7:$W$22))+1,""),""),ROW()-ROW(A$24)+1))),","),"")</f>
        <v/>
      </c>
      <c r="X28" s="0" t="str">
        <f aca="false" t="array" ref="X28:X28">IFERROR(CONCATENATE(TEXT(INDEX($W$7:$W$22,SMALL(IF($Z$7:$Z$22&lt;&gt;"",IF($W$7:$W$22&lt;&gt;"",ROW($W$7:$W$22)-MIN(ROW($W$7:$W$22))+1,""),""),ROW()-ROW(A$24)+1)),"##0"),","),"")</f>
        <v/>
      </c>
      <c r="Y28" s="0" t="str">
        <f aca="false" t="array" ref="Y28:Y28">IFERROR(CONCATENATE((INDEX($A$7:$A$22,SMALL(IF($Z$7:$Z$22&lt;&gt;"",IF($W$7:$W$22&lt;&gt;"",ROW($W$7:$W$22)-MIN(ROW($W$7:$W$22))+1,""),""),ROW()-ROW(A$24)+1))),),"")</f>
        <v/>
      </c>
    </row>
    <row r="29" customFormat="false" ht="15" hidden="false" customHeight="false" outlineLevel="0" collapsed="false">
      <c r="K29" s="0" t="str">
        <f aca="false" t="array" ref="K29:K29">IFERROR(CONCATENATE(TEXT(INDEX($K$7:$K$22,SMALL(IF($N$7:$N$22&lt;&gt;"",IF($K$7:$K$22&lt;&gt;"",ROW($K$7:$K$22)-MIN(ROW($K$7:$K$22))+1,""),""),ROW()-ROW(A$24)+1)),"##0"),","),"")</f>
        <v/>
      </c>
      <c r="L29" s="0" t="str">
        <f aca="false" t="array" ref="L29:L29">IFERROR(CONCATENATE((INDEX($N$7:$N$22,SMALL(IF($N$7:$N$22&lt;&gt;"",IF($K$7:$K$22&lt;&gt;"",ROW($K$7:$K$22)-MIN(ROW($K$7:$K$22))+1,""),""),ROW()-ROW(A$24)+1))),","),"")</f>
        <v/>
      </c>
      <c r="M29" s="0" t="str">
        <f aca="false" t="array" ref="M29:M29">IFERROR(CONCATENATE((INDEX($A$7:$A$22,SMALL(IF($N$7:$N$22&lt;&gt;"",IF($K$7:$K$22&lt;&gt;"",ROW($K$7:$K$22)-MIN(ROW($K$7:$K$22))+1,""),""),ROW()-ROW(A$24)+1))),),"")</f>
        <v/>
      </c>
      <c r="Q29" s="0" t="str">
        <f aca="false" t="array" ref="Q29:Q29">IFERROR(CONCATENATE((INDEX($T$7:$T$22,SMALL(IF($T$7:$T$22&lt;&gt;"",IF($Q$7:$Q$22&lt;&gt;"",ROW($Q$7:$Q$22)-MIN(ROW($Q$7:$Q$22))+1,""),""),ROW()-ROW(A$24)+1)))," "),"")</f>
        <v/>
      </c>
      <c r="R29" s="0" t="str">
        <f aca="false" t="array" ref="R29:R29">IFERROR(CONCATENATE(TEXT(INDEX($Q$7:$Q$22,SMALL(IF($T$7:$T$22&lt;&gt;"",IF($Q$7:$Q$22&lt;&gt;"",ROW($Q$7:$Q$22)-MIN(ROW($Q$7:$Q$22))+1,""),""),ROW()-ROW(A$24)+1)),"##0")," "),"")</f>
        <v/>
      </c>
      <c r="S29" s="0" t="str">
        <f aca="false" t="array" ref="S29:S29">IFERROR(CONCATENATE((INDEX($A$7:$A$22,SMALL(IF($T$7:$T$22&lt;&gt;"",IF($Q$7:$Q$22&lt;&gt;"",ROW($Q$7:$Q$22)-MIN(ROW($Q$7:$Q$22))+1,""),""),ROW()-ROW(A$24)+1))),),"")</f>
        <v/>
      </c>
      <c r="W29" s="0" t="str">
        <f aca="false" t="array" ref="W29:W29">IFERROR(CONCATENATE((INDEX($Z$7:$Z$22,SMALL(IF($Z$7:$Z$22&lt;&gt;"",IF($W$7:$W$22&lt;&gt;"",ROW($W$7:$W$22)-MIN(ROW($W$7:$W$22))+1,""),""),ROW()-ROW(A$24)+1))),","),"")</f>
        <v/>
      </c>
      <c r="X29" s="0" t="str">
        <f aca="false" t="array" ref="X29:X29">IFERROR(CONCATENATE(TEXT(INDEX($W$7:$W$22,SMALL(IF($Z$7:$Z$22&lt;&gt;"",IF($W$7:$W$22&lt;&gt;"",ROW($W$7:$W$22)-MIN(ROW($W$7:$W$22))+1,""),""),ROW()-ROW(A$24)+1)),"##0"),","),"")</f>
        <v/>
      </c>
      <c r="Y29" s="0" t="str">
        <f aca="false" t="array" ref="Y29:Y29">IFERROR(CONCATENATE((INDEX($A$7:$A$22,SMALL(IF($Z$7:$Z$22&lt;&gt;"",IF($W$7:$W$22&lt;&gt;"",ROW($W$7:$W$22)-MIN(ROW($W$7:$W$22))+1,""),""),ROW()-ROW(A$24)+1))),),"")</f>
        <v/>
      </c>
    </row>
    <row r="30" customFormat="false" ht="15" hidden="false" customHeight="false" outlineLevel="0" collapsed="false">
      <c r="K30" s="0" t="str">
        <f aca="false" t="array" ref="K30:K30">IFERROR(CONCATENATE(TEXT(INDEX($K$7:$K$22,SMALL(IF($N$7:$N$22&lt;&gt;"",IF($K$7:$K$22&lt;&gt;"",ROW($K$7:$K$22)-MIN(ROW($K$7:$K$22))+1,""),""),ROW()-ROW(A$24)+1)),"##0"),","),"")</f>
        <v/>
      </c>
      <c r="L30" s="0" t="str">
        <f aca="false" t="array" ref="L30:L30">IFERROR(CONCATENATE((INDEX($N$7:$N$22,SMALL(IF($N$7:$N$22&lt;&gt;"",IF($K$7:$K$22&lt;&gt;"",ROW($K$7:$K$22)-MIN(ROW($K$7:$K$22))+1,""),""),ROW()-ROW(A$24)+1))),","),"")</f>
        <v/>
      </c>
      <c r="M30" s="0" t="str">
        <f aca="false" t="array" ref="M30:M30">IFERROR(CONCATENATE((INDEX($A$7:$A$22,SMALL(IF($N$7:$N$22&lt;&gt;"",IF($K$7:$K$22&lt;&gt;"",ROW($K$7:$K$22)-MIN(ROW($K$7:$K$22))+1,""),""),ROW()-ROW(A$24)+1))),),"")</f>
        <v/>
      </c>
      <c r="Q30" s="0" t="str">
        <f aca="false" t="array" ref="Q30:Q30">IFERROR(CONCATENATE((INDEX($T$7:$T$22,SMALL(IF($T$7:$T$22&lt;&gt;"",IF($Q$7:$Q$22&lt;&gt;"",ROW($Q$7:$Q$22)-MIN(ROW($Q$7:$Q$22))+1,""),""),ROW()-ROW(A$24)+1)))," "),"")</f>
        <v/>
      </c>
      <c r="R30" s="0" t="str">
        <f aca="false" t="array" ref="R30:R30">IFERROR(CONCATENATE(TEXT(INDEX($Q$7:$Q$22,SMALL(IF($T$7:$T$22&lt;&gt;"",IF($Q$7:$Q$22&lt;&gt;"",ROW($Q$7:$Q$22)-MIN(ROW($Q$7:$Q$22))+1,""),""),ROW()-ROW(A$24)+1)),"##0")," "),"")</f>
        <v/>
      </c>
      <c r="S30" s="0" t="str">
        <f aca="false" t="array" ref="S30:S30">IFERROR(CONCATENATE((INDEX($A$7:$A$22,SMALL(IF($T$7:$T$22&lt;&gt;"",IF($Q$7:$Q$22&lt;&gt;"",ROW($Q$7:$Q$22)-MIN(ROW($Q$7:$Q$22))+1,""),""),ROW()-ROW(A$24)+1))),),"")</f>
        <v/>
      </c>
      <c r="W30" s="0" t="str">
        <f aca="false" t="array" ref="W30:W30">IFERROR(CONCATENATE((INDEX($Z$7:$Z$22,SMALL(IF($Z$7:$Z$22&lt;&gt;"",IF($W$7:$W$22&lt;&gt;"",ROW($W$7:$W$22)-MIN(ROW($W$7:$W$22))+1,""),""),ROW()-ROW(A$24)+1))),","),"")</f>
        <v/>
      </c>
      <c r="X30" s="0" t="str">
        <f aca="false" t="array" ref="X30:X30">IFERROR(CONCATENATE(TEXT(INDEX($W$7:$W$22,SMALL(IF($Z$7:$Z$22&lt;&gt;"",IF($W$7:$W$22&lt;&gt;"",ROW($W$7:$W$22)-MIN(ROW($W$7:$W$22))+1,""),""),ROW()-ROW(A$24)+1)),"##0"),","),"")</f>
        <v/>
      </c>
      <c r="Y30" s="0" t="str">
        <f aca="false" t="array" ref="Y30:Y30">IFERROR(CONCATENATE((INDEX($A$7:$A$22,SMALL(IF($Z$7:$Z$22&lt;&gt;"",IF($W$7:$W$22&lt;&gt;"",ROW($W$7:$W$22)-MIN(ROW($W$7:$W$22))+1,""),""),ROW()-ROW(A$24)+1))),),"")</f>
        <v/>
      </c>
    </row>
    <row r="31" customFormat="false" ht="15" hidden="false" customHeight="false" outlineLevel="0" collapsed="false">
      <c r="K31" s="0" t="str">
        <f aca="false" t="array" ref="K31:K31">IFERROR(CONCATENATE(TEXT(INDEX($K$7:$K$22,SMALL(IF($N$7:$N$22&lt;&gt;"",IF($K$7:$K$22&lt;&gt;"",ROW($K$7:$K$22)-MIN(ROW($K$7:$K$22))+1,""),""),ROW()-ROW(A$24)+1)),"##0"),","),"")</f>
        <v/>
      </c>
      <c r="L31" s="0" t="str">
        <f aca="false" t="array" ref="L31:L31">IFERROR(CONCATENATE((INDEX($N$7:$N$22,SMALL(IF($N$7:$N$22&lt;&gt;"",IF($K$7:$K$22&lt;&gt;"",ROW($K$7:$K$22)-MIN(ROW($K$7:$K$22))+1,""),""),ROW()-ROW(A$24)+1))),","),"")</f>
        <v/>
      </c>
      <c r="M31" s="0" t="str">
        <f aca="false" t="array" ref="M31:M31">IFERROR(CONCATENATE((INDEX($A$7:$A$22,SMALL(IF($N$7:$N$22&lt;&gt;"",IF($K$7:$K$22&lt;&gt;"",ROW($K$7:$K$22)-MIN(ROW($K$7:$K$22))+1,""),""),ROW()-ROW(A$24)+1))),),"")</f>
        <v/>
      </c>
      <c r="Q31" s="0" t="str">
        <f aca="false" t="array" ref="Q31:Q31">IFERROR(CONCATENATE((INDEX($T$7:$T$22,SMALL(IF($T$7:$T$22&lt;&gt;"",IF($Q$7:$Q$22&lt;&gt;"",ROW($Q$7:$Q$22)-MIN(ROW($Q$7:$Q$22))+1,""),""),ROW()-ROW(A$24)+1)))," "),"")</f>
        <v/>
      </c>
      <c r="R31" s="0" t="str">
        <f aca="false" t="array" ref="R31:R31">IFERROR(CONCATENATE(TEXT(INDEX($Q$7:$Q$22,SMALL(IF($T$7:$T$22&lt;&gt;"",IF($Q$7:$Q$22&lt;&gt;"",ROW($Q$7:$Q$22)-MIN(ROW($Q$7:$Q$22))+1,""),""),ROW()-ROW(A$24)+1)),"##0")," "),"")</f>
        <v/>
      </c>
      <c r="S31" s="0" t="str">
        <f aca="false" t="array" ref="S31:S31">IFERROR(CONCATENATE((INDEX($A$7:$A$22,SMALL(IF($T$7:$T$22&lt;&gt;"",IF($Q$7:$Q$22&lt;&gt;"",ROW($Q$7:$Q$22)-MIN(ROW($Q$7:$Q$22))+1,""),""),ROW()-ROW(A$24)+1))),),"")</f>
        <v/>
      </c>
      <c r="W31" s="0" t="str">
        <f aca="false" t="array" ref="W31:W31">IFERROR(CONCATENATE((INDEX($Z$7:$Z$22,SMALL(IF($Z$7:$Z$22&lt;&gt;"",IF($W$7:$W$22&lt;&gt;"",ROW($W$7:$W$22)-MIN(ROW($W$7:$W$22))+1,""),""),ROW()-ROW(A$24)+1))),","),"")</f>
        <v/>
      </c>
      <c r="X31" s="0" t="str">
        <f aca="false" t="array" ref="X31:X31">IFERROR(CONCATENATE(TEXT(INDEX($W$7:$W$22,SMALL(IF($Z$7:$Z$22&lt;&gt;"",IF($W$7:$W$22&lt;&gt;"",ROW($W$7:$W$22)-MIN(ROW($W$7:$W$22))+1,""),""),ROW()-ROW(A$24)+1)),"##0"),","),"")</f>
        <v/>
      </c>
      <c r="Y31" s="0" t="str">
        <f aca="false" t="array" ref="Y31:Y31">IFERROR(CONCATENATE((INDEX($A$7:$A$22,SMALL(IF($Z$7:$Z$22&lt;&gt;"",IF($W$7:$W$22&lt;&gt;"",ROW($W$7:$W$22)-MIN(ROW($W$7:$W$22))+1,""),""),ROW()-ROW(A$24)+1))),),"")</f>
        <v/>
      </c>
    </row>
    <row r="32" customFormat="false" ht="15" hidden="false" customHeight="false" outlineLevel="0" collapsed="false">
      <c r="K32" s="0" t="str">
        <f aca="false" t="array" ref="K32:K32">IFERROR(CONCATENATE(TEXT(INDEX($K$7:$K$22,SMALL(IF($N$7:$N$22&lt;&gt;"",IF($K$7:$K$22&lt;&gt;"",ROW($K$7:$K$22)-MIN(ROW($K$7:$K$22))+1,""),""),ROW()-ROW(A$24)+1)),"##0"),","),"")</f>
        <v/>
      </c>
      <c r="L32" s="0" t="str">
        <f aca="false" t="array" ref="L32:L32">IFERROR(CONCATENATE((INDEX($N$7:$N$22,SMALL(IF($N$7:$N$22&lt;&gt;"",IF($K$7:$K$22&lt;&gt;"",ROW($K$7:$K$22)-MIN(ROW($K$7:$K$22))+1,""),""),ROW()-ROW(A$24)+1))),","),"")</f>
        <v/>
      </c>
      <c r="M32" s="0" t="str">
        <f aca="false" t="array" ref="M32:M32">IFERROR(CONCATENATE((INDEX($A$7:$A$22,SMALL(IF($N$7:$N$22&lt;&gt;"",IF($K$7:$K$22&lt;&gt;"",ROW($K$7:$K$22)-MIN(ROW($K$7:$K$22))+1,""),""),ROW()-ROW(A$24)+1))),),"")</f>
        <v/>
      </c>
      <c r="Q32" s="0" t="str">
        <f aca="false" t="array" ref="Q32:Q32">IFERROR(CONCATENATE((INDEX($T$7:$T$22,SMALL(IF($T$7:$T$22&lt;&gt;"",IF($Q$7:$Q$22&lt;&gt;"",ROW($Q$7:$Q$22)-MIN(ROW($Q$7:$Q$22))+1,""),""),ROW()-ROW(A$24)+1)))," "),"")</f>
        <v/>
      </c>
      <c r="R32" s="0" t="str">
        <f aca="false" t="array" ref="R32:R32">IFERROR(CONCATENATE(TEXT(INDEX($Q$7:$Q$22,SMALL(IF($T$7:$T$22&lt;&gt;"",IF($Q$7:$Q$22&lt;&gt;"",ROW($Q$7:$Q$22)-MIN(ROW($Q$7:$Q$22))+1,""),""),ROW()-ROW(A$24)+1)),"##0")," "),"")</f>
        <v/>
      </c>
      <c r="S32" s="0" t="str">
        <f aca="false" t="array" ref="S32:S32">IFERROR(CONCATENATE((INDEX($A$7:$A$22,SMALL(IF($T$7:$T$22&lt;&gt;"",IF($Q$7:$Q$22&lt;&gt;"",ROW($Q$7:$Q$22)-MIN(ROW($Q$7:$Q$22))+1,""),""),ROW()-ROW(A$24)+1))),),"")</f>
        <v/>
      </c>
      <c r="W32" s="0" t="str">
        <f aca="false" t="array" ref="W32:W32">IFERROR(CONCATENATE((INDEX($Z$7:$Z$22,SMALL(IF($Z$7:$Z$22&lt;&gt;"",IF($W$7:$W$22&lt;&gt;"",ROW($W$7:$W$22)-MIN(ROW($W$7:$W$22))+1,""),""),ROW()-ROW(A$24)+1))),","),"")</f>
        <v/>
      </c>
      <c r="X32" s="0" t="str">
        <f aca="false" t="array" ref="X32:X32">IFERROR(CONCATENATE(TEXT(INDEX($W$7:$W$22,SMALL(IF($Z$7:$Z$22&lt;&gt;"",IF($W$7:$W$22&lt;&gt;"",ROW($W$7:$W$22)-MIN(ROW($W$7:$W$22))+1,""),""),ROW()-ROW(A$24)+1)),"##0"),","),"")</f>
        <v/>
      </c>
      <c r="Y32" s="0" t="str">
        <f aca="false" t="array" ref="Y32:Y32">IFERROR(CONCATENATE((INDEX($A$7:$A$22,SMALL(IF($Z$7:$Z$22&lt;&gt;"",IF($W$7:$W$22&lt;&gt;"",ROW($W$7:$W$22)-MIN(ROW($W$7:$W$22))+1,""),""),ROW()-ROW(A$24)+1))),),"")</f>
        <v/>
      </c>
    </row>
    <row r="33" customFormat="false" ht="15" hidden="false" customHeight="false" outlineLevel="0" collapsed="false">
      <c r="K33" s="0" t="str">
        <f aca="false" t="array" ref="K33:K33">IFERROR(CONCATENATE(TEXT(INDEX($K$7:$K$22,SMALL(IF($N$7:$N$22&lt;&gt;"",IF($K$7:$K$22&lt;&gt;"",ROW($K$7:$K$22)-MIN(ROW($K$7:$K$22))+1,""),""),ROW()-ROW(A$24)+1)),"##0"),","),"")</f>
        <v/>
      </c>
      <c r="L33" s="0" t="str">
        <f aca="false" t="array" ref="L33:L33">IFERROR(CONCATENATE((INDEX($N$7:$N$22,SMALL(IF($N$7:$N$22&lt;&gt;"",IF($K$7:$K$22&lt;&gt;"",ROW($K$7:$K$22)-MIN(ROW($K$7:$K$22))+1,""),""),ROW()-ROW(A$24)+1))),","),"")</f>
        <v/>
      </c>
      <c r="M33" s="0" t="str">
        <f aca="false" t="array" ref="M33:M33">IFERROR(CONCATENATE((INDEX($A$7:$A$22,SMALL(IF($N$7:$N$22&lt;&gt;"",IF($K$7:$K$22&lt;&gt;"",ROW($K$7:$K$22)-MIN(ROW($K$7:$K$22))+1,""),""),ROW()-ROW(A$24)+1))),),"")</f>
        <v/>
      </c>
      <c r="Q33" s="0" t="str">
        <f aca="false" t="array" ref="Q33:Q33">IFERROR(CONCATENATE((INDEX($T$7:$T$22,SMALL(IF($T$7:$T$22&lt;&gt;"",IF($Q$7:$Q$22&lt;&gt;"",ROW($Q$7:$Q$22)-MIN(ROW($Q$7:$Q$22))+1,""),""),ROW()-ROW(A$24)+1)))," "),"")</f>
        <v/>
      </c>
      <c r="R33" s="0" t="str">
        <f aca="false" t="array" ref="R33:R33">IFERROR(CONCATENATE(TEXT(INDEX($Q$7:$Q$22,SMALL(IF($T$7:$T$22&lt;&gt;"",IF($Q$7:$Q$22&lt;&gt;"",ROW($Q$7:$Q$22)-MIN(ROW($Q$7:$Q$22))+1,""),""),ROW()-ROW(A$24)+1)),"##0")," "),"")</f>
        <v/>
      </c>
      <c r="S33" s="0" t="str">
        <f aca="false" t="array" ref="S33:S33">IFERROR(CONCATENATE((INDEX($A$7:$A$22,SMALL(IF($T$7:$T$22&lt;&gt;"",IF($Q$7:$Q$22&lt;&gt;"",ROW($Q$7:$Q$22)-MIN(ROW($Q$7:$Q$22))+1,""),""),ROW()-ROW(A$24)+1))),),"")</f>
        <v/>
      </c>
      <c r="W33" s="0" t="str">
        <f aca="false" t="array" ref="W33:W33">IFERROR(CONCATENATE((INDEX($Z$7:$Z$22,SMALL(IF($Z$7:$Z$22&lt;&gt;"",IF($W$7:$W$22&lt;&gt;"",ROW($W$7:$W$22)-MIN(ROW($W$7:$W$22))+1,""),""),ROW()-ROW(A$24)+1))),","),"")</f>
        <v/>
      </c>
      <c r="X33" s="0" t="str">
        <f aca="false" t="array" ref="X33:X33">IFERROR(CONCATENATE(TEXT(INDEX($W$7:$W$22,SMALL(IF($Z$7:$Z$22&lt;&gt;"",IF($W$7:$W$22&lt;&gt;"",ROW($W$7:$W$22)-MIN(ROW($W$7:$W$22))+1,""),""),ROW()-ROW(A$24)+1)),"##0"),","),"")</f>
        <v/>
      </c>
      <c r="Y33" s="0" t="str">
        <f aca="false" t="array" ref="Y33:Y33">IFERROR(CONCATENATE((INDEX($A$7:$A$22,SMALL(IF($Z$7:$Z$22&lt;&gt;"",IF($W$7:$W$22&lt;&gt;"",ROW($W$7:$W$22)-MIN(ROW($W$7:$W$22))+1,""),""),ROW()-ROW(A$24)+1))),),"")</f>
        <v/>
      </c>
    </row>
    <row r="34" customFormat="false" ht="15" hidden="false" customHeight="false" outlineLevel="0" collapsed="false">
      <c r="K34" s="0" t="str">
        <f aca="false" t="array" ref="K34:K34">IFERROR(CONCATENATE(TEXT(INDEX($K$7:$K$22,SMALL(IF($N$7:$N$22&lt;&gt;"",IF($K$7:$K$22&lt;&gt;"",ROW($K$7:$K$22)-MIN(ROW($K$7:$K$22))+1,""),""),ROW()-ROW(A$24)+1)),"##0"),","),"")</f>
        <v/>
      </c>
      <c r="L34" s="0" t="str">
        <f aca="false" t="array" ref="L34:L34">IFERROR(CONCATENATE((INDEX($N$7:$N$22,SMALL(IF($N$7:$N$22&lt;&gt;"",IF($K$7:$K$22&lt;&gt;"",ROW($K$7:$K$22)-MIN(ROW($K$7:$K$22))+1,""),""),ROW()-ROW(A$24)+1))),","),"")</f>
        <v/>
      </c>
      <c r="M34" s="0" t="str">
        <f aca="false" t="array" ref="M34:M34">IFERROR(CONCATENATE((INDEX($A$7:$A$22,SMALL(IF($N$7:$N$22&lt;&gt;"",IF($K$7:$K$22&lt;&gt;"",ROW($K$7:$K$22)-MIN(ROW($K$7:$K$22))+1,""),""),ROW()-ROW(A$24)+1))),),"")</f>
        <v/>
      </c>
      <c r="Q34" s="0" t="str">
        <f aca="false" t="array" ref="Q34:Q34">IFERROR(CONCATENATE((INDEX($T$7:$T$22,SMALL(IF($T$7:$T$22&lt;&gt;"",IF($Q$7:$Q$22&lt;&gt;"",ROW($Q$7:$Q$22)-MIN(ROW($Q$7:$Q$22))+1,""),""),ROW()-ROW(A$24)+1)))," "),"")</f>
        <v/>
      </c>
      <c r="R34" s="0" t="str">
        <f aca="false" t="array" ref="R34:R34">IFERROR(CONCATENATE(TEXT(INDEX($Q$7:$Q$22,SMALL(IF($T$7:$T$22&lt;&gt;"",IF($Q$7:$Q$22&lt;&gt;"",ROW($Q$7:$Q$22)-MIN(ROW($Q$7:$Q$22))+1,""),""),ROW()-ROW(A$24)+1)),"##0")," "),"")</f>
        <v/>
      </c>
      <c r="S34" s="0" t="str">
        <f aca="false" t="array" ref="S34:S34">IFERROR(CONCATENATE((INDEX($A$7:$A$22,SMALL(IF($T$7:$T$22&lt;&gt;"",IF($Q$7:$Q$22&lt;&gt;"",ROW($Q$7:$Q$22)-MIN(ROW($Q$7:$Q$22))+1,""),""),ROW()-ROW(A$24)+1))),),"")</f>
        <v/>
      </c>
      <c r="W34" s="0" t="str">
        <f aca="false" t="array" ref="W34:W34">IFERROR(CONCATENATE((INDEX($Z$7:$Z$22,SMALL(IF($Z$7:$Z$22&lt;&gt;"",IF($W$7:$W$22&lt;&gt;"",ROW($W$7:$W$22)-MIN(ROW($W$7:$W$22))+1,""),""),ROW()-ROW(A$24)+1))),","),"")</f>
        <v/>
      </c>
      <c r="X34" s="0" t="str">
        <f aca="false" t="array" ref="X34:X34">IFERROR(CONCATENATE(TEXT(INDEX($W$7:$W$22,SMALL(IF($Z$7:$Z$22&lt;&gt;"",IF($W$7:$W$22&lt;&gt;"",ROW($W$7:$W$22)-MIN(ROW($W$7:$W$22))+1,""),""),ROW()-ROW(A$24)+1)),"##0"),","),"")</f>
        <v/>
      </c>
      <c r="Y34" s="0" t="str">
        <f aca="false" t="array" ref="Y34:Y34">IFERROR(CONCATENATE((INDEX($A$7:$A$22,SMALL(IF($Z$7:$Z$22&lt;&gt;"",IF($W$7:$W$22&lt;&gt;"",ROW($W$7:$W$22)-MIN(ROW($W$7:$W$22))+1,""),""),ROW()-ROW(A$24)+1))),),"")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IFERROR(CONCATENATE(TEXT(INDEX($K$7:$K$22,SMALL(IF($N$7:$N$22&lt;&gt;"",IF($K$7:$K$22&lt;&gt;"",ROW($K$7:$K$22)-MIN(ROW($K$7:$K$22))+1,""),""),ROW()-ROW(A$24)+1)),"##0"),","),"")</f>
        <v/>
      </c>
      <c r="L35" s="0" t="str">
        <f aca="false" t="array" ref="L35:L35">IFERROR(CONCATENATE((INDEX($N$7:$N$22,SMALL(IF($N$7:$N$22&lt;&gt;"",IF($K$7:$K$22&lt;&gt;"",ROW($K$7:$K$22)-MIN(ROW($K$7:$K$22))+1,""),""),ROW()-ROW(A$24)+1))),","),"")</f>
        <v/>
      </c>
      <c r="M35" s="0" t="str">
        <f aca="false" t="array" ref="M35:M35">IFERROR(CONCATENATE((INDEX($A$7:$A$22,SMALL(IF($N$7:$N$22&lt;&gt;"",IF($K$7:$K$22&lt;&gt;"",ROW($K$7:$K$22)-MIN(ROW($K$7:$K$22))+1,""),""),ROW()-ROW(A$24)+1))),),"")</f>
        <v/>
      </c>
      <c r="Q35" s="0" t="str">
        <f aca="false" t="array" ref="Q35:Q35">IFERROR(CONCATENATE((INDEX($T$7:$T$22,SMALL(IF($T$7:$T$22&lt;&gt;"",IF($Q$7:$Q$22&lt;&gt;"",ROW($Q$7:$Q$22)-MIN(ROW($Q$7:$Q$22))+1,""),""),ROW()-ROW(A$24)+1)))," "),"")</f>
        <v/>
      </c>
      <c r="R35" s="0" t="str">
        <f aca="false" t="array" ref="R35:R35">IFERROR(CONCATENATE(TEXT(INDEX($Q$7:$Q$22,SMALL(IF($T$7:$T$22&lt;&gt;"",IF($Q$7:$Q$22&lt;&gt;"",ROW($Q$7:$Q$22)-MIN(ROW($Q$7:$Q$22))+1,""),""),ROW()-ROW(A$24)+1)),"##0")," "),"")</f>
        <v/>
      </c>
      <c r="S35" s="0" t="str">
        <f aca="false" t="array" ref="S35:S35">IFERROR(CONCATENATE((INDEX($A$7:$A$22,SMALL(IF($T$7:$T$22&lt;&gt;"",IF($Q$7:$Q$22&lt;&gt;"",ROW($Q$7:$Q$22)-MIN(ROW($Q$7:$Q$22))+1,""),""),ROW()-ROW(A$24)+1))),),"")</f>
        <v/>
      </c>
      <c r="W35" s="0" t="str">
        <f aca="false" t="array" ref="W35:W35">IFERROR(CONCATENATE((INDEX($Z$7:$Z$22,SMALL(IF($Z$7:$Z$22&lt;&gt;"",IF($W$7:$W$22&lt;&gt;"",ROW($W$7:$W$22)-MIN(ROW($W$7:$W$22))+1,""),""),ROW()-ROW(A$24)+1))),","),"")</f>
        <v/>
      </c>
      <c r="X35" s="0" t="str">
        <f aca="false" t="array" ref="X35:X35">IFERROR(CONCATENATE(TEXT(INDEX($W$7:$W$22,SMALL(IF($Z$7:$Z$22&lt;&gt;"",IF($W$7:$W$22&lt;&gt;"",ROW($W$7:$W$22)-MIN(ROW($W$7:$W$22))+1,""),""),ROW()-ROW(A$24)+1)),"##0"),","),"")</f>
        <v/>
      </c>
      <c r="Y35" s="0" t="str">
        <f aca="false" t="array" ref="Y35:Y35">IFERROR(CONCATENATE((INDEX($A$7:$A$22,SMALL(IF($Z$7:$Z$22&lt;&gt;"",IF($W$7:$W$22&lt;&gt;"",ROW($W$7:$W$22)-MIN(ROW($W$7:$W$22))+1,""),""),ROW()-ROW(A$24)+1))),),"")</f>
        <v/>
      </c>
    </row>
    <row r="36" customFormat="false" ht="15" hidden="false" customHeight="false" outlineLevel="0" collapsed="false">
      <c r="K36" s="0" t="str">
        <f aca="false" t="array" ref="K36:K36">IFERROR(CONCATENATE(TEXT(INDEX($K$7:$K$22,SMALL(IF($N$7:$N$22&lt;&gt;"",IF($K$7:$K$22&lt;&gt;"",ROW($K$7:$K$22)-MIN(ROW($K$7:$K$22))+1,""),""),ROW()-ROW(A$24)+1)),"##0"),","),"")</f>
        <v/>
      </c>
      <c r="L36" s="0" t="str">
        <f aca="false" t="array" ref="L36:L36">IFERROR(CONCATENATE((INDEX($N$7:$N$22,SMALL(IF($N$7:$N$22&lt;&gt;"",IF($K$7:$K$22&lt;&gt;"",ROW($K$7:$K$22)-MIN(ROW($K$7:$K$22))+1,""),""),ROW()-ROW(A$24)+1))),","),"")</f>
        <v/>
      </c>
      <c r="M36" s="0" t="str">
        <f aca="false" t="array" ref="M36:M36">IFERROR(CONCATENATE((INDEX($A$7:$A$22,SMALL(IF($N$7:$N$22&lt;&gt;"",IF($K$7:$K$22&lt;&gt;"",ROW($K$7:$K$22)-MIN(ROW($K$7:$K$22))+1,""),""),ROW()-ROW(A$24)+1))),),"")</f>
        <v/>
      </c>
      <c r="Q36" s="0" t="str">
        <f aca="false" t="array" ref="Q36:Q36">IFERROR(CONCATENATE((INDEX($T$7:$T$22,SMALL(IF($T$7:$T$22&lt;&gt;"",IF($Q$7:$Q$22&lt;&gt;"",ROW($Q$7:$Q$22)-MIN(ROW($Q$7:$Q$22))+1,""),""),ROW()-ROW(A$24)+1)))," "),"")</f>
        <v/>
      </c>
      <c r="R36" s="0" t="str">
        <f aca="false" t="array" ref="R36:R36">IFERROR(CONCATENATE(TEXT(INDEX($Q$7:$Q$22,SMALL(IF($T$7:$T$22&lt;&gt;"",IF($Q$7:$Q$22&lt;&gt;"",ROW($Q$7:$Q$22)-MIN(ROW($Q$7:$Q$22))+1,""),""),ROW()-ROW(A$24)+1)),"##0")," "),"")</f>
        <v/>
      </c>
      <c r="S36" s="0" t="str">
        <f aca="false" t="array" ref="S36:S36">IFERROR(CONCATENATE((INDEX($A$7:$A$22,SMALL(IF($T$7:$T$22&lt;&gt;"",IF($Q$7:$Q$22&lt;&gt;"",ROW($Q$7:$Q$22)-MIN(ROW($Q$7:$Q$22))+1,""),""),ROW()-ROW(A$24)+1))),),"")</f>
        <v/>
      </c>
      <c r="W36" s="0" t="str">
        <f aca="false" t="array" ref="W36:W36">IFERROR(CONCATENATE((INDEX($Z$7:$Z$22,SMALL(IF($Z$7:$Z$22&lt;&gt;"",IF($W$7:$W$22&lt;&gt;"",ROW($W$7:$W$22)-MIN(ROW($W$7:$W$22))+1,""),""),ROW()-ROW(A$24)+1))),","),"")</f>
        <v/>
      </c>
      <c r="X36" s="0" t="str">
        <f aca="false" t="array" ref="X36:X36">IFERROR(CONCATENATE(TEXT(INDEX($W$7:$W$22,SMALL(IF($Z$7:$Z$22&lt;&gt;"",IF($W$7:$W$22&lt;&gt;"",ROW($W$7:$W$22)-MIN(ROW($W$7:$W$22))+1,""),""),ROW()-ROW(A$24)+1)),"##0"),","),"")</f>
        <v/>
      </c>
      <c r="Y36" s="0" t="str">
        <f aca="false" t="array" ref="Y36:Y36">IFERROR(CONCATENATE((INDEX($A$7:$A$22,SMALL(IF($Z$7:$Z$22&lt;&gt;"",IF($W$7:$W$22&lt;&gt;"",ROW($W$7:$W$22)-MIN(ROW($W$7:$W$22))+1,""),""),ROW()-ROW(A$24)+1))),),"")</f>
        <v/>
      </c>
    </row>
    <row r="37" customFormat="false" ht="15" hidden="false" customHeight="false" outlineLevel="0" collapsed="false">
      <c r="K37" s="0" t="str">
        <f aca="false" t="array" ref="K37:K37">IFERROR(CONCATENATE(TEXT(INDEX($K$7:$K$22,SMALL(IF($N$7:$N$22&lt;&gt;"",IF($K$7:$K$22&lt;&gt;"",ROW($K$7:$K$22)-MIN(ROW($K$7:$K$22))+1,""),""),ROW()-ROW(A$24)+1)),"##0"),","),"")</f>
        <v/>
      </c>
      <c r="L37" s="0" t="str">
        <f aca="false" t="array" ref="L37:L37">IFERROR(CONCATENATE((INDEX($N$7:$N$22,SMALL(IF($N$7:$N$22&lt;&gt;"",IF($K$7:$K$22&lt;&gt;"",ROW($K$7:$K$22)-MIN(ROW($K$7:$K$22))+1,""),""),ROW()-ROW(A$24)+1))),","),"")</f>
        <v/>
      </c>
      <c r="M37" s="0" t="str">
        <f aca="false" t="array" ref="M37:M37">IFERROR(CONCATENATE((INDEX($A$7:$A$22,SMALL(IF($N$7:$N$22&lt;&gt;"",IF($K$7:$K$22&lt;&gt;"",ROW($K$7:$K$22)-MIN(ROW($K$7:$K$22))+1,""),""),ROW()-ROW(A$24)+1))),),"")</f>
        <v/>
      </c>
      <c r="Q37" s="0" t="str">
        <f aca="false" t="array" ref="Q37:Q37">IFERROR(CONCATENATE((INDEX($T$7:$T$22,SMALL(IF($T$7:$T$22&lt;&gt;"",IF($Q$7:$Q$22&lt;&gt;"",ROW($Q$7:$Q$22)-MIN(ROW($Q$7:$Q$22))+1,""),""),ROW()-ROW(A$24)+1)))," "),"")</f>
        <v/>
      </c>
      <c r="R37" s="0" t="str">
        <f aca="false" t="array" ref="R37:R37">IFERROR(CONCATENATE(TEXT(INDEX($Q$7:$Q$22,SMALL(IF($T$7:$T$22&lt;&gt;"",IF($Q$7:$Q$22&lt;&gt;"",ROW($Q$7:$Q$22)-MIN(ROW($Q$7:$Q$22))+1,""),""),ROW()-ROW(A$24)+1)),"##0")," "),"")</f>
        <v/>
      </c>
      <c r="S37" s="0" t="str">
        <f aca="false" t="array" ref="S37:S37">IFERROR(CONCATENATE((INDEX($A$7:$A$22,SMALL(IF($T$7:$T$22&lt;&gt;"",IF($Q$7:$Q$22&lt;&gt;"",ROW($Q$7:$Q$22)-MIN(ROW($Q$7:$Q$22))+1,""),""),ROW()-ROW(A$24)+1))),),"")</f>
        <v/>
      </c>
      <c r="W37" s="0" t="str">
        <f aca="false" t="array" ref="W37:W37">IFERROR(CONCATENATE((INDEX($Z$7:$Z$22,SMALL(IF($Z$7:$Z$22&lt;&gt;"",IF($W$7:$W$22&lt;&gt;"",ROW($W$7:$W$22)-MIN(ROW($W$7:$W$22))+1,""),""),ROW()-ROW(A$24)+1))),","),"")</f>
        <v/>
      </c>
      <c r="X37" s="0" t="str">
        <f aca="false" t="array" ref="X37:X37">IFERROR(CONCATENATE(TEXT(INDEX($W$7:$W$22,SMALL(IF($Z$7:$Z$22&lt;&gt;"",IF($W$7:$W$22&lt;&gt;"",ROW($W$7:$W$22)-MIN(ROW($W$7:$W$22))+1,""),""),ROW()-ROW(A$24)+1)),"##0"),","),"")</f>
        <v/>
      </c>
      <c r="Y37" s="0" t="str">
        <f aca="false" t="array" ref="Y37:Y37">IFERROR(CONCATENATE((INDEX($A$7:$A$22,SMALL(IF($Z$7:$Z$22&lt;&gt;"",IF($W$7:$W$22&lt;&gt;"",ROW($W$7:$W$22)-MIN(ROW($W$7:$W$22))+1,""),""),ROW()-ROW(A$24)+1))),),"")</f>
        <v/>
      </c>
    </row>
    <row r="38" customFormat="false" ht="15" hidden="false" customHeight="false" outlineLevel="0" collapsed="false">
      <c r="K38" s="0" t="str">
        <f aca="false" t="array" ref="K38:K38">IFERROR(CONCATENATE(TEXT(INDEX($K$7:$K$22,SMALL(IF($N$7:$N$22&lt;&gt;"",IF($K$7:$K$22&lt;&gt;"",ROW($K$7:$K$22)-MIN(ROW($K$7:$K$22))+1,""),""),ROW()-ROW(A$24)+1)),"##0"),","),"")</f>
        <v/>
      </c>
      <c r="L38" s="0" t="str">
        <f aca="false" t="array" ref="L38:L38">IFERROR(CONCATENATE((INDEX($N$7:$N$22,SMALL(IF($N$7:$N$22&lt;&gt;"",IF($K$7:$K$22&lt;&gt;"",ROW($K$7:$K$22)-MIN(ROW($K$7:$K$22))+1,""),""),ROW()-ROW(A$24)+1))),","),"")</f>
        <v/>
      </c>
      <c r="M38" s="0" t="str">
        <f aca="false" t="array" ref="M38:M38">IFERROR(CONCATENATE((INDEX($A$7:$A$22,SMALL(IF($N$7:$N$22&lt;&gt;"",IF($K$7:$K$22&lt;&gt;"",ROW($K$7:$K$22)-MIN(ROW($K$7:$K$22))+1,""),""),ROW()-ROW(A$24)+1))),),"")</f>
        <v/>
      </c>
      <c r="Q38" s="0" t="str">
        <f aca="false" t="array" ref="Q38:Q38">IFERROR(CONCATENATE((INDEX($T$7:$T$22,SMALL(IF($T$7:$T$22&lt;&gt;"",IF($Q$7:$Q$22&lt;&gt;"",ROW($Q$7:$Q$22)-MIN(ROW($Q$7:$Q$22))+1,""),""),ROW()-ROW(A$24)+1)))," "),"")</f>
        <v/>
      </c>
      <c r="R38" s="0" t="str">
        <f aca="false" t="array" ref="R38:R38">IFERROR(CONCATENATE(TEXT(INDEX($Q$7:$Q$22,SMALL(IF($T$7:$T$22&lt;&gt;"",IF($Q$7:$Q$22&lt;&gt;"",ROW($Q$7:$Q$22)-MIN(ROW($Q$7:$Q$22))+1,""),""),ROW()-ROW(A$24)+1)),"##0")," "),"")</f>
        <v/>
      </c>
      <c r="S38" s="0" t="str">
        <f aca="false" t="array" ref="S38:S38">IFERROR(CONCATENATE((INDEX($A$7:$A$22,SMALL(IF($T$7:$T$22&lt;&gt;"",IF($Q$7:$Q$22&lt;&gt;"",ROW($Q$7:$Q$22)-MIN(ROW($Q$7:$Q$22))+1,""),""),ROW()-ROW(A$24)+1))),),"")</f>
        <v/>
      </c>
      <c r="W38" s="0" t="str">
        <f aca="false" t="array" ref="W38:W38">IFERROR(CONCATENATE((INDEX($Z$7:$Z$22,SMALL(IF($Z$7:$Z$22&lt;&gt;"",IF($W$7:$W$22&lt;&gt;"",ROW($W$7:$W$22)-MIN(ROW($W$7:$W$22))+1,""),""),ROW()-ROW(A$24)+1))),","),"")</f>
        <v/>
      </c>
      <c r="X38" s="0" t="str">
        <f aca="false" t="array" ref="X38:X38">IFERROR(CONCATENATE(TEXT(INDEX($W$7:$W$22,SMALL(IF($Z$7:$Z$22&lt;&gt;"",IF($W$7:$W$22&lt;&gt;"",ROW($W$7:$W$22)-MIN(ROW($W$7:$W$22))+1,""),""),ROW()-ROW(A$24)+1)),"##0"),","),"")</f>
        <v/>
      </c>
      <c r="Y38" s="0" t="str">
        <f aca="false" t="array" ref="Y38:Y38">IFERROR(CONCATENATE((INDEX($A$7:$A$22,SMALL(IF($Z$7:$Z$22&lt;&gt;"",IF($W$7:$W$22&lt;&gt;"",ROW($W$7:$W$22)-MIN(ROW($W$7:$W$22))+1,""),""),ROW()-ROW(A$24)+1))),),"")</f>
        <v/>
      </c>
    </row>
    <row r="39" customFormat="false" ht="15" hidden="false" customHeight="false" outlineLevel="0" collapsed="false">
      <c r="K39" s="0" t="str">
        <f aca="false" t="array" ref="K39:K39">IFERROR(CONCATENATE(TEXT(INDEX($K$7:$K$22,SMALL(IF($N$7:$N$22&lt;&gt;"",IF($K$7:$K$22&lt;&gt;"",ROW($K$7:$K$22)-MIN(ROW($K$7:$K$22))+1,""),""),ROW()-ROW(A$24)+1)),"##0"),","),"")</f>
        <v/>
      </c>
      <c r="L39" s="0" t="str">
        <f aca="false" t="array" ref="L39:L39">IFERROR(CONCATENATE((INDEX($N$7:$N$22,SMALL(IF($N$7:$N$22&lt;&gt;"",IF($K$7:$K$22&lt;&gt;"",ROW($K$7:$K$22)-MIN(ROW($K$7:$K$22))+1,""),""),ROW()-ROW(A$24)+1))),","),"")</f>
        <v/>
      </c>
      <c r="M39" s="0" t="str">
        <f aca="false" t="array" ref="M39:M39">IFERROR(CONCATENATE((INDEX($A$7:$A$22,SMALL(IF($N$7:$N$22&lt;&gt;"",IF($K$7:$K$22&lt;&gt;"",ROW($K$7:$K$22)-MIN(ROW($K$7:$K$22))+1,""),""),ROW()-ROW(A$24)+1))),),"")</f>
        <v/>
      </c>
      <c r="Q39" s="0" t="str">
        <f aca="false" t="array" ref="Q39:Q39">IFERROR(CONCATENATE((INDEX($T$7:$T$22,SMALL(IF($T$7:$T$22&lt;&gt;"",IF($Q$7:$Q$22&lt;&gt;"",ROW($Q$7:$Q$22)-MIN(ROW($Q$7:$Q$22))+1,""),""),ROW()-ROW(A$24)+1)))," "),"")</f>
        <v/>
      </c>
      <c r="R39" s="0" t="str">
        <f aca="false" t="array" ref="R39:R39">IFERROR(CONCATENATE(TEXT(INDEX($Q$7:$Q$22,SMALL(IF($T$7:$T$22&lt;&gt;"",IF($Q$7:$Q$22&lt;&gt;"",ROW($Q$7:$Q$22)-MIN(ROW($Q$7:$Q$22))+1,""),""),ROW()-ROW(A$24)+1)),"##0")," "),"")</f>
        <v/>
      </c>
      <c r="S39" s="0" t="str">
        <f aca="false" t="array" ref="S39:S39">IFERROR(CONCATENATE((INDEX($A$7:$A$22,SMALL(IF($T$7:$T$22&lt;&gt;"",IF($Q$7:$Q$22&lt;&gt;"",ROW($Q$7:$Q$22)-MIN(ROW($Q$7:$Q$22))+1,""),""),ROW()-ROW(A$24)+1))),),"")</f>
        <v/>
      </c>
      <c r="W39" s="0" t="str">
        <f aca="false" t="array" ref="W39:W39">IFERROR(CONCATENATE((INDEX($Z$7:$Z$22,SMALL(IF($Z$7:$Z$22&lt;&gt;"",IF($W$7:$W$22&lt;&gt;"",ROW($W$7:$W$22)-MIN(ROW($W$7:$W$22))+1,""),""),ROW()-ROW(A$24)+1))),","),"")</f>
        <v/>
      </c>
      <c r="X39" s="0" t="str">
        <f aca="false" t="array" ref="X39:X39">IFERROR(CONCATENATE(TEXT(INDEX($W$7:$W$22,SMALL(IF($Z$7:$Z$22&lt;&gt;"",IF($W$7:$W$22&lt;&gt;"",ROW($W$7:$W$22)-MIN(ROW($W$7:$W$22))+1,""),""),ROW()-ROW(A$24)+1)),"##0"),","),"")</f>
        <v/>
      </c>
      <c r="Y39" s="0" t="str">
        <f aca="false" t="array" ref="Y39:Y39">IFERROR(CONCATENATE((INDEX($A$7:$A$22,SMALL(IF($Z$7:$Z$22&lt;&gt;"",IF($W$7:$W$22&lt;&gt;"",ROW($W$7:$W$22)-MIN(ROW($W$7:$W$22))+1,""),""),ROW()-ROW(A$24)+1))),),"")</f>
        <v/>
      </c>
    </row>
  </sheetData>
  <mergeCells count="4">
    <mergeCell ref="A5:I5"/>
    <mergeCell ref="J5:O5"/>
    <mergeCell ref="P5:U5"/>
    <mergeCell ref="V5:AA5"/>
  </mergeCells>
  <conditionalFormatting sqref="L10">
    <cfRule type="cellIs" priority="2" operator="lessThanOrEqual" aboveAverage="0" equalAverage="0" bottom="0" percent="0" rank="0" text="" dxfId="0">
      <formula>H10</formula>
    </cfRule>
  </conditionalFormatting>
  <conditionalFormatting sqref="L11">
    <cfRule type="cellIs" priority="3" operator="lessThanOrEqual" aboveAverage="0" equalAverage="0" bottom="0" percent="0" rank="0" text="" dxfId="0">
      <formula>H11</formula>
    </cfRule>
  </conditionalFormatting>
  <conditionalFormatting sqref="L12">
    <cfRule type="cellIs" priority="4" operator="lessThanOrEqual" aboveAverage="0" equalAverage="0" bottom="0" percent="0" rank="0" text="" dxfId="0">
      <formula>H12</formula>
    </cfRule>
  </conditionalFormatting>
  <conditionalFormatting sqref="L13">
    <cfRule type="cellIs" priority="5" operator="lessThanOrEqual" aboveAverage="0" equalAverage="0" bottom="0" percent="0" rank="0" text="" dxfId="0">
      <formula>H13</formula>
    </cfRule>
  </conditionalFormatting>
  <conditionalFormatting sqref="L15">
    <cfRule type="cellIs" priority="6" operator="lessThanOrEqual" aboveAverage="0" equalAverage="0" bottom="0" percent="0" rank="0" text="" dxfId="0">
      <formula>H15</formula>
    </cfRule>
  </conditionalFormatting>
  <conditionalFormatting sqref="L17">
    <cfRule type="cellIs" priority="7" operator="lessThanOrEqual" aboveAverage="0" equalAverage="0" bottom="0" percent="0" rank="0" text="" dxfId="0">
      <formula>H17</formula>
    </cfRule>
  </conditionalFormatting>
  <conditionalFormatting sqref="L19">
    <cfRule type="cellIs" priority="8" operator="lessThanOrEqual" aboveAverage="0" equalAverage="0" bottom="0" percent="0" rank="0" text="" dxfId="0">
      <formula>H19</formula>
    </cfRule>
  </conditionalFormatting>
  <conditionalFormatting sqref="L20">
    <cfRule type="cellIs" priority="9" operator="lessThanOrEqual" aboveAverage="0" equalAverage="0" bottom="0" percent="0" rank="0" text="" dxfId="0">
      <formula>H20</formula>
    </cfRule>
  </conditionalFormatting>
  <conditionalFormatting sqref="L21">
    <cfRule type="cellIs" priority="10" operator="lessThanOrEqual" aboveAverage="0" equalAverage="0" bottom="0" percent="0" rank="0" text="" dxfId="0">
      <formula>H21</formula>
    </cfRule>
  </conditionalFormatting>
  <conditionalFormatting sqref="L22">
    <cfRule type="cellIs" priority="11" operator="lessThanOrEqual" aboveAverage="0" equalAverage="0" bottom="0" percent="0" rank="0" text="" dxfId="0">
      <formula>H22</formula>
    </cfRule>
  </conditionalFormatting>
  <conditionalFormatting sqref="L7">
    <cfRule type="cellIs" priority="12" operator="lessThanOrEqual" aboveAverage="0" equalAverage="0" bottom="0" percent="0" rank="0" text="" dxfId="0">
      <formula>H7</formula>
    </cfRule>
  </conditionalFormatting>
  <conditionalFormatting sqref="L8">
    <cfRule type="cellIs" priority="13" operator="lessThanOrEqual" aboveAverage="0" equalAverage="0" bottom="0" percent="0" rank="0" text="" dxfId="0">
      <formula>H8</formula>
    </cfRule>
  </conditionalFormatting>
  <conditionalFormatting sqref="L9">
    <cfRule type="cellIs" priority="14" operator="lessThanOrEqual" aboveAverage="0" equalAverage="0" bottom="0" percent="0" rank="0" text="" dxfId="0">
      <formula>H9</formula>
    </cfRule>
  </conditionalFormatting>
  <conditionalFormatting sqref="M10">
    <cfRule type="cellIs" priority="15" operator="lessThanOrEqual" aboveAverage="0" equalAverage="0" bottom="0" percent="0" rank="0" text="" dxfId="0">
      <formula>I10</formula>
    </cfRule>
  </conditionalFormatting>
  <conditionalFormatting sqref="M11">
    <cfRule type="cellIs" priority="16" operator="lessThanOrEqual" aboveAverage="0" equalAverage="0" bottom="0" percent="0" rank="0" text="" dxfId="0">
      <formula>I11</formula>
    </cfRule>
  </conditionalFormatting>
  <conditionalFormatting sqref="M12">
    <cfRule type="cellIs" priority="17" operator="lessThanOrEqual" aboveAverage="0" equalAverage="0" bottom="0" percent="0" rank="0" text="" dxfId="0">
      <formula>I12</formula>
    </cfRule>
  </conditionalFormatting>
  <conditionalFormatting sqref="M13">
    <cfRule type="cellIs" priority="18" operator="lessThanOrEqual" aboveAverage="0" equalAverage="0" bottom="0" percent="0" rank="0" text="" dxfId="0">
      <formula>I13</formula>
    </cfRule>
  </conditionalFormatting>
  <conditionalFormatting sqref="M15">
    <cfRule type="cellIs" priority="19" operator="lessThanOrEqual" aboveAverage="0" equalAverage="0" bottom="0" percent="0" rank="0" text="" dxfId="0">
      <formula>I15</formula>
    </cfRule>
  </conditionalFormatting>
  <conditionalFormatting sqref="M17">
    <cfRule type="cellIs" priority="20" operator="lessThanOrEqual" aboveAverage="0" equalAverage="0" bottom="0" percent="0" rank="0" text="" dxfId="0">
      <formula>I17</formula>
    </cfRule>
  </conditionalFormatting>
  <conditionalFormatting sqref="M19">
    <cfRule type="cellIs" priority="21" operator="lessThanOrEqual" aboveAverage="0" equalAverage="0" bottom="0" percent="0" rank="0" text="" dxfId="0">
      <formula>I19</formula>
    </cfRule>
  </conditionalFormatting>
  <conditionalFormatting sqref="M20">
    <cfRule type="cellIs" priority="22" operator="lessThanOrEqual" aboveAverage="0" equalAverage="0" bottom="0" percent="0" rank="0" text="" dxfId="0">
      <formula>I20</formula>
    </cfRule>
  </conditionalFormatting>
  <conditionalFormatting sqref="M21">
    <cfRule type="cellIs" priority="23" operator="lessThanOrEqual" aboveAverage="0" equalAverage="0" bottom="0" percent="0" rank="0" text="" dxfId="0">
      <formula>I21</formula>
    </cfRule>
  </conditionalFormatting>
  <conditionalFormatting sqref="M22">
    <cfRule type="cellIs" priority="24" operator="lessThanOrEqual" aboveAverage="0" equalAverage="0" bottom="0" percent="0" rank="0" text="" dxfId="0">
      <formula>I22</formula>
    </cfRule>
  </conditionalFormatting>
  <conditionalFormatting sqref="M7">
    <cfRule type="cellIs" priority="25" operator="lessThanOrEqual" aboveAverage="0" equalAverage="0" bottom="0" percent="0" rank="0" text="" dxfId="0">
      <formula>I7</formula>
    </cfRule>
  </conditionalFormatting>
  <conditionalFormatting sqref="M8">
    <cfRule type="cellIs" priority="26" operator="lessThanOrEqual" aboveAverage="0" equalAverage="0" bottom="0" percent="0" rank="0" text="" dxfId="0">
      <formula>I8</formula>
    </cfRule>
  </conditionalFormatting>
  <conditionalFormatting sqref="M9">
    <cfRule type="cellIs" priority="27" operator="lessThanOrEqual" aboveAverage="0" equalAverage="0" bottom="0" percent="0" rank="0" text="" dxfId="0">
      <formula>I9</formula>
    </cfRule>
  </conditionalFormatting>
  <conditionalFormatting sqref="R10">
    <cfRule type="cellIs" priority="28" operator="lessThanOrEqual" aboveAverage="0" equalAverage="0" bottom="0" percent="0" rank="0" text="" dxfId="0">
      <formula>H10</formula>
    </cfRule>
  </conditionalFormatting>
  <conditionalFormatting sqref="R11">
    <cfRule type="cellIs" priority="29" operator="lessThanOrEqual" aboveAverage="0" equalAverage="0" bottom="0" percent="0" rank="0" text="" dxfId="0">
      <formula>H11</formula>
    </cfRule>
  </conditionalFormatting>
  <conditionalFormatting sqref="R12">
    <cfRule type="cellIs" priority="30" operator="lessThanOrEqual" aboveAverage="0" equalAverage="0" bottom="0" percent="0" rank="0" text="" dxfId="0">
      <formula>H12</formula>
    </cfRule>
  </conditionalFormatting>
  <conditionalFormatting sqref="R13">
    <cfRule type="cellIs" priority="31" operator="lessThanOrEqual" aboveAverage="0" equalAverage="0" bottom="0" percent="0" rank="0" text="" dxfId="0">
      <formula>H13</formula>
    </cfRule>
  </conditionalFormatting>
  <conditionalFormatting sqref="R15">
    <cfRule type="cellIs" priority="32" operator="lessThanOrEqual" aboveAverage="0" equalAverage="0" bottom="0" percent="0" rank="0" text="" dxfId="0">
      <formula>H15</formula>
    </cfRule>
  </conditionalFormatting>
  <conditionalFormatting sqref="R17">
    <cfRule type="cellIs" priority="33" operator="lessThanOrEqual" aboveAverage="0" equalAverage="0" bottom="0" percent="0" rank="0" text="" dxfId="0">
      <formula>H17</formula>
    </cfRule>
  </conditionalFormatting>
  <conditionalFormatting sqref="R19">
    <cfRule type="cellIs" priority="34" operator="lessThanOrEqual" aboveAverage="0" equalAverage="0" bottom="0" percent="0" rank="0" text="" dxfId="0">
      <formula>H19</formula>
    </cfRule>
  </conditionalFormatting>
  <conditionalFormatting sqref="R20">
    <cfRule type="cellIs" priority="35" operator="lessThanOrEqual" aboveAverage="0" equalAverage="0" bottom="0" percent="0" rank="0" text="" dxfId="0">
      <formula>H20</formula>
    </cfRule>
  </conditionalFormatting>
  <conditionalFormatting sqref="R22">
    <cfRule type="cellIs" priority="36" operator="lessThanOrEqual" aboveAverage="0" equalAverage="0" bottom="0" percent="0" rank="0" text="" dxfId="0">
      <formula>H22</formula>
    </cfRule>
  </conditionalFormatting>
  <conditionalFormatting sqref="R8">
    <cfRule type="cellIs" priority="37" operator="lessThanOrEqual" aboveAverage="0" equalAverage="0" bottom="0" percent="0" rank="0" text="" dxfId="0">
      <formula>H8</formula>
    </cfRule>
  </conditionalFormatting>
  <conditionalFormatting sqref="R9">
    <cfRule type="cellIs" priority="38" operator="lessThanOrEqual" aboveAverage="0" equalAverage="0" bottom="0" percent="0" rank="0" text="" dxfId="0">
      <formula>H9</formula>
    </cfRule>
  </conditionalFormatting>
  <conditionalFormatting sqref="S10">
    <cfRule type="cellIs" priority="39" operator="lessThanOrEqual" aboveAverage="0" equalAverage="0" bottom="0" percent="0" rank="0" text="" dxfId="0">
      <formula>I10</formula>
    </cfRule>
  </conditionalFormatting>
  <conditionalFormatting sqref="S11">
    <cfRule type="cellIs" priority="40" operator="lessThanOrEqual" aboveAverage="0" equalAverage="0" bottom="0" percent="0" rank="0" text="" dxfId="0">
      <formula>I11</formula>
    </cfRule>
  </conditionalFormatting>
  <conditionalFormatting sqref="S12">
    <cfRule type="cellIs" priority="41" operator="lessThanOrEqual" aboveAverage="0" equalAverage="0" bottom="0" percent="0" rank="0" text="" dxfId="0">
      <formula>I12</formula>
    </cfRule>
  </conditionalFormatting>
  <conditionalFormatting sqref="S13">
    <cfRule type="cellIs" priority="42" operator="lessThanOrEqual" aboveAverage="0" equalAverage="0" bottom="0" percent="0" rank="0" text="" dxfId="0">
      <formula>I13</formula>
    </cfRule>
  </conditionalFormatting>
  <conditionalFormatting sqref="S15">
    <cfRule type="cellIs" priority="43" operator="lessThanOrEqual" aboveAverage="0" equalAverage="0" bottom="0" percent="0" rank="0" text="" dxfId="0">
      <formula>I15</formula>
    </cfRule>
  </conditionalFormatting>
  <conditionalFormatting sqref="S17">
    <cfRule type="cellIs" priority="44" operator="lessThanOrEqual" aboveAverage="0" equalAverage="0" bottom="0" percent="0" rank="0" text="" dxfId="0">
      <formula>I17</formula>
    </cfRule>
  </conditionalFormatting>
  <conditionalFormatting sqref="S19">
    <cfRule type="cellIs" priority="45" operator="lessThanOrEqual" aboveAverage="0" equalAverage="0" bottom="0" percent="0" rank="0" text="" dxfId="0">
      <formula>I19</formula>
    </cfRule>
  </conditionalFormatting>
  <conditionalFormatting sqref="S20">
    <cfRule type="cellIs" priority="46" operator="lessThanOrEqual" aboveAverage="0" equalAverage="0" bottom="0" percent="0" rank="0" text="" dxfId="0">
      <formula>I20</formula>
    </cfRule>
  </conditionalFormatting>
  <conditionalFormatting sqref="S22">
    <cfRule type="cellIs" priority="47" operator="lessThanOrEqual" aboveAverage="0" equalAverage="0" bottom="0" percent="0" rank="0" text="" dxfId="0">
      <formula>I22</formula>
    </cfRule>
  </conditionalFormatting>
  <conditionalFormatting sqref="S8">
    <cfRule type="cellIs" priority="48" operator="lessThanOrEqual" aboveAverage="0" equalAverage="0" bottom="0" percent="0" rank="0" text="" dxfId="0">
      <formula>I8</formula>
    </cfRule>
  </conditionalFormatting>
  <conditionalFormatting sqref="S9">
    <cfRule type="cellIs" priority="49" operator="lessThanOrEqual" aboveAverage="0" equalAverage="0" bottom="0" percent="0" rank="0" text="" dxfId="0">
      <formula>I9</formula>
    </cfRule>
  </conditionalFormatting>
  <hyperlinks>
    <hyperlink ref="O7" r:id="rId2" display="Link"/>
    <hyperlink ref="O8" r:id="rId3" display="Link"/>
    <hyperlink ref="U8" r:id="rId4" display="Link"/>
    <hyperlink ref="AA8" r:id="rId5" display="Link"/>
    <hyperlink ref="O9" r:id="rId6" display="Link"/>
    <hyperlink ref="U9" r:id="rId7" display="Link"/>
    <hyperlink ref="AA9" r:id="rId8" display="Link"/>
    <hyperlink ref="O10" r:id="rId9" display="Link"/>
    <hyperlink ref="U10" r:id="rId10" display="Link"/>
    <hyperlink ref="AA10" r:id="rId11" display="Link"/>
    <hyperlink ref="O11" r:id="rId12" display="Link"/>
    <hyperlink ref="U11" r:id="rId13" display="Link"/>
    <hyperlink ref="AA11" r:id="rId14" display="Link"/>
    <hyperlink ref="O12" r:id="rId15" display="Link"/>
    <hyperlink ref="U12" r:id="rId16" display="Link"/>
    <hyperlink ref="AA12" r:id="rId17" display="Link"/>
    <hyperlink ref="O13" r:id="rId18" display="Link"/>
    <hyperlink ref="U13" r:id="rId19" display="Link"/>
    <hyperlink ref="AA13" r:id="rId20" display="Link"/>
    <hyperlink ref="O15" r:id="rId21" display="Link"/>
    <hyperlink ref="U15" r:id="rId22" display="Link"/>
    <hyperlink ref="AA15" r:id="rId23" display="Link"/>
    <hyperlink ref="O17" r:id="rId24" display="Link"/>
    <hyperlink ref="U17" r:id="rId25" display="Link"/>
    <hyperlink ref="AA17" r:id="rId26" display="Link"/>
    <hyperlink ref="O19" r:id="rId27" display="Link"/>
    <hyperlink ref="U19" r:id="rId28" display="Link"/>
    <hyperlink ref="O20" r:id="rId29" display="Link"/>
    <hyperlink ref="U20" r:id="rId30" display="Link"/>
    <hyperlink ref="AA20" r:id="rId31" display="Link"/>
    <hyperlink ref="O21" r:id="rId32" display="Link"/>
    <hyperlink ref="U21" r:id="rId33" display="Link"/>
    <hyperlink ref="AA21" r:id="rId34" display="Link"/>
    <hyperlink ref="O22" r:id="rId35" display="Link"/>
    <hyperlink ref="U22" r:id="rId36" display="Link"/>
    <hyperlink ref="AA22" r:id="rId37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2016-12-02T13:36:51Z</dcterms:created>
  <dc:creator/>
  <dc:description/>
  <dc:language>en-US</dc:language>
  <cp:lastModifiedBy>Abhimanyu </cp:lastModifiedBy>
  <dcterms:modified xsi:type="dcterms:W3CDTF">2016-12-02T08:40:11Z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