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KiCost!$J$5:$O$19</definedName>
    <definedName function="false" hidden="false" name="global_part_data" vbProcedure="false">KiCost!$A$5:$I$19</definedName>
    <definedName function="false" hidden="false" name="mouser_part_data" vbProcedure="false">KiCost!$P$5:$U$19</definedName>
    <definedName function="false" hidden="false" name="newark_part_data" vbProcedure="false">KiCost!$V$5:$AA$19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>Description of each part.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>PCB footprint for each part.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>Manufacturer of each part.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>Manufacturer number for each part.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<sst xmlns="http://schemas.openxmlformats.org/spreadsheetml/2006/main" count="136" uniqueCount="96">
  <si>
    <t>Board Qty:</t>
  </si>
  <si>
    <t>Total Cost:</t>
  </si>
  <si>
    <t>Unit Cost:</t>
  </si>
  <si>
    <t>Global Part Info</t>
  </si>
  <si>
    <t>Digi-Key</t>
  </si>
  <si>
    <t>Mouser</t>
  </si>
  <si>
    <t>Newark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</si>
  <si>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</si>
  <si>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</si>
  <si>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</si>
  <si>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</si>
  <si>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</si>
  <si>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</si>
  <si>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</si>
  <si>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</si>
  <si>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</si>
  <si>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</si>
  <si>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</si>
  <si>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</si>
  <si>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</si>
  <si>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U2</t>
  </si>
  <si>
    <t>HMC5883</t>
  </si>
  <si>
    <t>LCC:LCC16</t>
  </si>
  <si>
    <t>HMC5883L-T</t>
  </si>
  <si>
    <t>342-1082-2-ND</t>
  </si>
  <si>
    <t>TH1</t>
  </si>
  <si>
    <t>PTH</t>
  </si>
  <si>
    <t>Mounting_Holes:MountingHole_3mm</t>
  </si>
  <si>
    <t>R1,R2</t>
  </si>
  <si>
    <t>2.2K</t>
  </si>
  <si>
    <t>Resistors_SMD:R_0603</t>
  </si>
  <si>
    <t>RC0603FR-072K2L</t>
  </si>
  <si>
    <t>311-2.20KHRCT-ND</t>
  </si>
  <si>
    <t>Link</t>
  </si>
  <si>
    <t>603-RC0603FR-072K2L</t>
  </si>
  <si>
    <t>68R0064</t>
  </si>
  <si>
    <t>P1</t>
  </si>
  <si>
    <t>12-04PFFP-SF8001</t>
  </si>
  <si>
    <t>connectors:12-04PFFP-SF8001</t>
  </si>
  <si>
    <t>523-12-04PFFP-SF8001</t>
  </si>
  <si>
    <t>C5</t>
  </si>
  <si>
    <t>4.7 uF</t>
  </si>
  <si>
    <t>Capacitors_SMD:C_1210</t>
  </si>
  <si>
    <t>TCJB475M025R0150</t>
  </si>
  <si>
    <t>478-6630-1-ND</t>
  </si>
  <si>
    <t>581-TCJB475M025R0150</t>
  </si>
  <si>
    <t>24W7738</t>
  </si>
  <si>
    <t>C2</t>
  </si>
  <si>
    <t>10 uF</t>
  </si>
  <si>
    <t>Capacitors_SMD:C_0805</t>
  </si>
  <si>
    <t>GRM21BR61C106KE15K</t>
  </si>
  <si>
    <t>490-6473-1-ND</t>
  </si>
  <si>
    <t>81-GRM21BR61C106KE5K</t>
  </si>
  <si>
    <t>52W9731</t>
  </si>
  <si>
    <t>IC1</t>
  </si>
  <si>
    <t>ATMEGA328P-A</t>
  </si>
  <si>
    <t>Housings_QFP:TQFP-32_7x7mm_Pitch0.8mm</t>
  </si>
  <si>
    <t>ATMEGA328P-AUR</t>
  </si>
  <si>
    <t>ATMEGA328P-AURCT-ND</t>
  </si>
  <si>
    <t>556-ATMEGA328P-AUR</t>
  </si>
  <si>
    <t>87W8111</t>
  </si>
  <si>
    <t>C6</t>
  </si>
  <si>
    <t>0.22 uF</t>
  </si>
  <si>
    <t>Capacitors_SMD:C_0402</t>
  </si>
  <si>
    <t>LMK105BJ224KV-F</t>
  </si>
  <si>
    <t>587-1228-1-ND</t>
  </si>
  <si>
    <t>963-LMK105BJ224KV-F</t>
  </si>
  <si>
    <t>18J0971</t>
  </si>
  <si>
    <t>D1</t>
  </si>
  <si>
    <t>TVS</t>
  </si>
  <si>
    <t>Diodes:TVS_0603</t>
  </si>
  <si>
    <t>CD0603-T12C</t>
  </si>
  <si>
    <t>CD0603-T12CCT-ND</t>
  </si>
  <si>
    <t>652-CD0603-T12C</t>
  </si>
  <si>
    <t>14P5335</t>
  </si>
  <si>
    <t>C1,C3,C4</t>
  </si>
  <si>
    <t>0.1 uF</t>
  </si>
  <si>
    <t>CL05B104KO5NNNC</t>
  </si>
  <si>
    <t>1276-1001-1-ND</t>
  </si>
  <si>
    <t>U1</t>
  </si>
  <si>
    <t>LD1117</t>
  </si>
  <si>
    <t>PowerPackages:SOT-223</t>
  </si>
  <si>
    <t>LD1117S33CTR</t>
  </si>
  <si>
    <t>497-1241-1-ND</t>
  </si>
  <si>
    <t>511-LD1117S33C</t>
  </si>
  <si>
    <t>89K0626</t>
  </si>
  <si>
    <t>P2</t>
  </si>
  <si>
    <t>TC2030-IDC-NL-AVR</t>
  </si>
  <si>
    <t>connectors:TC2030-IDC-NL-AVR</t>
  </si>
  <si>
    <t>TC2030-IDC-NL</t>
  </si>
  <si>
    <t>P3</t>
  </si>
  <si>
    <t>CONN_02X04</t>
  </si>
  <si>
    <t>Socket_Strips:Socket_Strip_Straight_2x04</t>
  </si>
  <si>
    <t>PPTC042LFBN-RC</t>
  </si>
  <si>
    <t>S7072-ND</t>
  </si>
  <si>
    <t>11P9372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</si>
</sst>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yageo/RC0603FR-072K2L/311-2.20KHRCT-ND/729963" TargetMode="External"/><Relationship Id="rId3" Type="http://schemas.openxmlformats.org/officeDocument/2006/relationships/hyperlink" Target="http://www.mouser.com/Search/Refine.aspx?Keyword=RC0603FR-072K2L" TargetMode="External"/><Relationship Id="rId4" Type="http://schemas.openxmlformats.org/officeDocument/2006/relationships/hyperlink" Target="http://www.newark.com/yageo/rc0603fr-072k2l/res-thick-film-2k2-1-0-1w-0603/dp/68R0064/false" TargetMode="External"/><Relationship Id="rId5" Type="http://schemas.openxmlformats.org/officeDocument/2006/relationships/hyperlink" Target="http://www.mouser.com/Search/Refine.aspx?Keyword=12-04PFFP-SF8001" TargetMode="External"/><Relationship Id="rId6" Type="http://schemas.openxmlformats.org/officeDocument/2006/relationships/hyperlink" Target="http://www.digikey.com/product-detail/en/avx-corporation/TCJB475M025R0150/478-6630-1-ND/2676432" TargetMode="External"/><Relationship Id="rId7" Type="http://schemas.openxmlformats.org/officeDocument/2006/relationships/hyperlink" Target="http://www.mouser.com/Search/Refine.aspx?Keyword=TCJB475M025R0150" TargetMode="External"/><Relationship Id="rId8" Type="http://schemas.openxmlformats.org/officeDocument/2006/relationships/hyperlink" Target="http://www.newark.com/webapp/wcs/stores/servlet/Search?catalogId=15003&amp;langId=-1&amp;storeId=10194&amp;gs=true&amp;st=TCJB475M025R0150" TargetMode="External"/><Relationship Id="rId9" Type="http://schemas.openxmlformats.org/officeDocument/2006/relationships/hyperlink" Target="http://www.digikey.com/product-detail/en/murata-electronics-north-america/GRM21BR61C106KE15K/490-6473-1-ND/3845670" TargetMode="External"/><Relationship Id="rId10" Type="http://schemas.openxmlformats.org/officeDocument/2006/relationships/hyperlink" Target="http://www.mouser.com/Search/Refine.aspx?Keyword=GRM21BR61C106KE15K" TargetMode="External"/><Relationship Id="rId11" Type="http://schemas.openxmlformats.org/officeDocument/2006/relationships/hyperlink" Target="http://www.newark.com/tdk/cga4j1x5r1c106k125ac/multilayer-ceramic-capacitor-aec/dp/52W9731/true" TargetMode="External"/><Relationship Id="rId12" Type="http://schemas.openxmlformats.org/officeDocument/2006/relationships/hyperlink" Target="http://www.digikey.com/product-detail/en/atmel/ATMEGA328P-AUR/ATMEGA328P-AURCT-ND/3789455" TargetMode="External"/><Relationship Id="rId13" Type="http://schemas.openxmlformats.org/officeDocument/2006/relationships/hyperlink" Target="http://www.mouser.com/ProductDetail/Atmel/ATMEGA328P-AUR/?qs=sGAEpiMZZMvqv2n3s2xjsduPWajY%252b7cd2Bm%252bhVJS%252bjw%3D" TargetMode="External"/><Relationship Id="rId14" Type="http://schemas.openxmlformats.org/officeDocument/2006/relationships/hyperlink" Target="http://www.newark.com/webapp/wcs/stores/servlet/Search?catalogId=15003&amp;langId=-1&amp;storeId=10194&amp;gs=true&amp;st=ATMEGA328P-AUR" TargetMode="External"/><Relationship Id="rId15" Type="http://schemas.openxmlformats.org/officeDocument/2006/relationships/hyperlink" Target="http://www.digikey.com/product-detail/en/taiyo-yuden/LMK105BJ224KV-F/587-1228-1-ND/931005" TargetMode="External"/><Relationship Id="rId16" Type="http://schemas.openxmlformats.org/officeDocument/2006/relationships/hyperlink" Target="http://www.mouser.com/Search/Refine.aspx?Keyword=LMK105BJ224KV-F" TargetMode="External"/><Relationship Id="rId17" Type="http://schemas.openxmlformats.org/officeDocument/2006/relationships/hyperlink" Target="http://www.newark.com/taiyo-yuden/lmk105bj224kv-f/ceramic-capacitor-0-22uf-10v-x5r/dp/18J0971/false" TargetMode="External"/><Relationship Id="rId18" Type="http://schemas.openxmlformats.org/officeDocument/2006/relationships/hyperlink" Target="http://www.digikey.com/product-detail/en/bourns-inc/CD0603-T12C/CD0603-T12CCT-ND/5355713" TargetMode="External"/><Relationship Id="rId19" Type="http://schemas.openxmlformats.org/officeDocument/2006/relationships/hyperlink" Target="http://www.mouser.com/Search/Refine.aspx?Keyword=CD0603-T12C" TargetMode="External"/><Relationship Id="rId20" Type="http://schemas.openxmlformats.org/officeDocument/2006/relationships/hyperlink" Target="http://www.newark.com/webapp/wcs/stores/servlet/Search?catalogId=15003&amp;langId=-1&amp;storeId=10194&amp;gs=true&amp;st=CD0603-T12C" TargetMode="External"/><Relationship Id="rId21" Type="http://schemas.openxmlformats.org/officeDocument/2006/relationships/hyperlink" Target="http://www.digikey.com/product-detail/en/samsung-electro-mechanics-america-inc/CL05B104KO5NNNC/1276-1001-1-ND/3889087" TargetMode="External"/><Relationship Id="rId22" Type="http://schemas.openxmlformats.org/officeDocument/2006/relationships/hyperlink" Target="http://www.digikey.com/product-detail/en/stmicroelectronics/LD1117S33CTR/497-1241-1-ND/586241" TargetMode="External"/><Relationship Id="rId23" Type="http://schemas.openxmlformats.org/officeDocument/2006/relationships/hyperlink" Target="http://www.mouser.com/Search/Refine.aspx?Keyword=LD1117S33CTR" TargetMode="External"/><Relationship Id="rId24" Type="http://schemas.openxmlformats.org/officeDocument/2006/relationships/hyperlink" Target="http://www.newark.com/stmicroelectronics/ld1117s33ctr/ldo-voltage-regulator-3-3v-0-8a/dp/89K0626/false" TargetMode="External"/><Relationship Id="rId25" Type="http://schemas.openxmlformats.org/officeDocument/2006/relationships/hyperlink" Target="http://www.digikey.com/scripts/DkSearch/dksus.dll?WT.z_header=search_go&amp;lang=en&amp;keywords=PPTC042LFBN-RC" TargetMode="External"/><Relationship Id="rId26" Type="http://schemas.openxmlformats.org/officeDocument/2006/relationships/hyperlink" Target="http://www.newark.com/samtec/ssw-104-01-g-d/board-board-connector-socket-8way/dp/11P9372/true" TargetMode="External"/><Relationship Id="rId2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M8" activeCellId="0" sqref="M8"/>
    </sheetView>
  </sheetViews>
  <sheetFormatPr defaultRowHeight="15"/>
  <cols>
    <col collapsed="false" hidden="false" max="8" min="1" style="0" width="9.96761133603239"/>
    <col collapsed="false" hidden="false" max="9" min="9" style="0" width="17.2105263157895"/>
    <col collapsed="false" hidden="false" max="10" min="10" style="0" width="9.96761133603239"/>
    <col collapsed="false" hidden="false" max="12" min="11" style="0" width="9.96761133603239"/>
    <col collapsed="false" hidden="false" max="13" min="13" style="0" width="17.2105263157895"/>
    <col collapsed="false" hidden="false" max="14" min="14" style="0" width="13.0323886639676"/>
    <col collapsed="false" hidden="false" max="15" min="15" style="0" width="9.96761133603239"/>
    <col collapsed="false" hidden="false" max="16" min="16" style="0" width="9.96761133603239"/>
    <col collapsed="false" hidden="false" max="18" min="17" style="0" width="9.96761133603239"/>
    <col collapsed="false" hidden="false" max="19" min="19" style="0" width="17.2105263157895"/>
    <col collapsed="false" hidden="false" max="21" min="20" style="0" width="9.96761133603239"/>
    <col collapsed="false" hidden="false" max="22" min="22" style="0" width="9.96761133603239"/>
    <col collapsed="false" hidden="false" max="24" min="23" style="0" width="9.96761133603239"/>
    <col collapsed="false" hidden="false" max="25" min="25" style="0" width="17.2105263157895"/>
    <col collapsed="false" hidden="false" max="27" min="26" style="0" width="9.96761133603239"/>
    <col collapsed="false" hidden="false" max="1025" min="28" style="0" width="9.23481781376518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SUM(I7:I19)</f>
        <v>15.781</v>
      </c>
      <c r="M2" s="3" t="n">
        <f aca="false">SUM(M7:M19)</f>
        <v>10.69</v>
      </c>
      <c r="S2" s="3" t="n">
        <f aca="false">SUM(S7:S19)</f>
        <v>13.91</v>
      </c>
      <c r="Y2" s="3" t="n">
        <f aca="false">SUM(Y7:Y19)</f>
        <v>8.926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15.781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4.7" hidden="false" customHeight="tru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1</v>
      </c>
      <c r="H7" s="10" t="n">
        <f aca="true">MINA(INDIRECT(ADDRESS(ROW(),COLUMN(mouser_part_data)+2)),INDIRECT(ADDRESS(ROW(),COLUMN(digikey_part_data)+2)),INDIRECT(ADDRESS(ROW(),COLUMN(newark_part_data)+2)))</f>
        <v>1.89</v>
      </c>
      <c r="I7" s="10" t="n">
        <f aca="false">IFERROR(G7*H7,"")</f>
        <v>1.89</v>
      </c>
      <c r="J7" s="0" t="n">
        <v>4000</v>
      </c>
      <c r="L7" s="0" t="n">
        <v>1.89</v>
      </c>
      <c r="M7" s="10" t="n">
        <f aca="false">IFERROR(IF(K7="",G7,K7)*L7,"")</f>
        <v>1.89</v>
      </c>
      <c r="N7" s="11" t="s">
        <v>24</v>
      </c>
    </row>
    <row r="8" customFormat="false" ht="16.3" hidden="false" customHeight="false" outlineLevel="0" collapsed="false">
      <c r="A8" s="0" t="s">
        <v>25</v>
      </c>
      <c r="B8" s="0" t="s">
        <v>26</v>
      </c>
      <c r="D8" s="0" t="s">
        <v>27</v>
      </c>
      <c r="G8" s="0" t="n">
        <f aca="false">BoardQty*1</f>
        <v>1</v>
      </c>
      <c r="H8" s="10" t="n">
        <f aca="true">MINA(INDIRECT(ADDRESS(ROW(),COLUMN(mouser_part_data)+2)),INDIRECT(ADDRESS(ROW(),COLUMN(digikey_part_data)+2)),INDIRECT(ADDRESS(ROW(),COLUMN(newark_part_data)+2)))</f>
        <v>0</v>
      </c>
      <c r="I8" s="10" t="n">
        <f aca="false">IFERROR(G8*H8,"")</f>
        <v>0</v>
      </c>
      <c r="M8" s="10"/>
    </row>
    <row r="9" customFormat="false" ht="16.3" hidden="false" customHeight="false" outlineLevel="0" collapsed="false">
      <c r="A9" s="0" t="s">
        <v>28</v>
      </c>
      <c r="B9" s="0" t="s">
        <v>29</v>
      </c>
      <c r="D9" s="0" t="s">
        <v>30</v>
      </c>
      <c r="F9" s="0" t="s">
        <v>31</v>
      </c>
      <c r="G9" s="0" t="n">
        <f aca="false">BoardQty*2</f>
        <v>2</v>
      </c>
      <c r="H9" s="10" t="n">
        <f aca="true">MINA(INDIRECT(ADDRESS(ROW(),COLUMN(mouser_part_data)+2)),INDIRECT(ADDRESS(ROW(),COLUMN(digikey_part_data)+2)),INDIRECT(ADDRESS(ROW(),COLUMN(newark_part_data)+2)))</f>
        <v>0.08</v>
      </c>
      <c r="I9" s="10" t="n">
        <f aca="false">IFERROR(G9*H9,"")</f>
        <v>0.16</v>
      </c>
      <c r="J9" s="0" t="n">
        <v>709581</v>
      </c>
      <c r="L9" s="10" t="n">
        <f aca="false">IFERROR(LOOKUP(IF(K9="",G9,K9),{0,1,10,25,100,250,500,1000,2500,5000,10000,25000,50000,125000},{0,0.1,0.014,0.01,0.0057,0.00436,0.00348,0.00257,0.00223,0.00167,0.00145,0.00128,0.00117,0.00115}),"")</f>
        <v>0.1</v>
      </c>
      <c r="M9" s="10" t="n">
        <f aca="false">IFERROR(IF(K9="",G9,K9)*L9,"")</f>
        <v>0.2</v>
      </c>
      <c r="N9" s="0" t="s">
        <v>32</v>
      </c>
      <c r="O9" s="12" t="s">
        <v>33</v>
      </c>
      <c r="P9" s="0" t="n">
        <v>50807</v>
      </c>
      <c r="R9" s="10" t="n">
        <f aca="false">IFERROR(LOOKUP(IF(Q9="",G9,Q9),{0,1,10,100,1000,5000,10000},{0,0.099,0.01,0.003,0.002,0.002,0.001}),"")</f>
        <v>0.099</v>
      </c>
      <c r="S9" s="10" t="n">
        <f aca="false">IFERROR(IF(Q9="",G9,Q9)*R9,"")</f>
        <v>0.198</v>
      </c>
      <c r="T9" s="0" t="s">
        <v>34</v>
      </c>
      <c r="U9" s="12" t="s">
        <v>33</v>
      </c>
      <c r="V9" s="0" t="n">
        <v>3623</v>
      </c>
      <c r="X9" s="10" t="n">
        <f aca="false">IFERROR(LOOKUP(IF(W9="",G9,W9),{0,1,10,25,100,250,1000},{0,0.08,0.014,0.01,0.006,0.004,0.003}),"")</f>
        <v>0.08</v>
      </c>
      <c r="Y9" s="10" t="n">
        <f aca="false">IFERROR(IF(W9="",G9,W9)*X9,"")</f>
        <v>0.16</v>
      </c>
      <c r="Z9" s="0" t="s">
        <v>35</v>
      </c>
      <c r="AA9" s="12" t="s">
        <v>33</v>
      </c>
    </row>
    <row r="10" customFormat="false" ht="15" hidden="false" customHeight="false" outlineLevel="0" collapsed="false">
      <c r="A10" s="0" t="s">
        <v>36</v>
      </c>
      <c r="B10" s="0" t="s">
        <v>37</v>
      </c>
      <c r="D10" s="0" t="s">
        <v>38</v>
      </c>
      <c r="F10" s="0" t="s">
        <v>37</v>
      </c>
      <c r="G10" s="0" t="n">
        <f aca="false">BoardQty*1</f>
        <v>1</v>
      </c>
      <c r="H10" s="10" t="n">
        <f aca="true">MINA(INDIRECT(ADDRESS(ROW(),COLUMN(mouser_part_data)+2)),INDIRECT(ADDRESS(ROW(),COLUMN(digikey_part_data)+2)),INDIRECT(ADDRESS(ROW(),COLUMN(newark_part_data)+2)))</f>
        <v>6.22</v>
      </c>
      <c r="I10" s="10" t="n">
        <f aca="false">IFERROR(G10*H10,"")</f>
        <v>6.22</v>
      </c>
      <c r="P10" s="0" t="n">
        <v>3021</v>
      </c>
      <c r="R10" s="10" t="n">
        <f aca="false">IFERROR(LOOKUP(IF(Q10="",G10,Q10),{0,1,10,100,250,500,1000,2500},{0,6.22,5.85,4.43,3.95,3.77,3.67,3.22}),"")</f>
        <v>6.22</v>
      </c>
      <c r="S10" s="10" t="n">
        <f aca="false">IFERROR(IF(Q10="",G10,Q10)*R10,"")</f>
        <v>6.22</v>
      </c>
      <c r="T10" s="0" t="s">
        <v>39</v>
      </c>
      <c r="U10" s="12" t="s">
        <v>33</v>
      </c>
    </row>
    <row r="11" customFormat="false" ht="15" hidden="false" customHeight="false" outlineLevel="0" collapsed="false">
      <c r="A11" s="0" t="s">
        <v>40</v>
      </c>
      <c r="B11" s="0" t="s">
        <v>41</v>
      </c>
      <c r="D11" s="0" t="s">
        <v>42</v>
      </c>
      <c r="F11" s="0" t="s">
        <v>43</v>
      </c>
      <c r="G11" s="0" t="n">
        <f aca="false">BoardQty*1</f>
        <v>1</v>
      </c>
      <c r="H11" s="10" t="n">
        <f aca="true">MINA(INDIRECT(ADDRESS(ROW(),COLUMN(mouser_part_data)+2)),INDIRECT(ADDRESS(ROW(),COLUMN(digikey_part_data)+2)),INDIRECT(ADDRESS(ROW(),COLUMN(newark_part_data)+2)))</f>
        <v>1.94</v>
      </c>
      <c r="I11" s="10" t="n">
        <f aca="false">IFERROR(G11*H11,"")</f>
        <v>1.94</v>
      </c>
      <c r="J11" s="0" t="n">
        <v>3752</v>
      </c>
      <c r="L11" s="10" t="n">
        <f aca="false">IFERROR(LOOKUP(IF(K11="",G11,K11),{0,1,10,100,250,500,1000,2000,4000,10000,14000,50000,100000},{0,2.48,2.03,1.4355,1.188,1.06426,0.9405,0.693,0.66825,0.6435,0.63113,0.6138,0.594}),"")</f>
        <v>2.48</v>
      </c>
      <c r="M11" s="10" t="n">
        <f aca="false">IFERROR(IF(K11="",G11,K11)*L11,"")</f>
        <v>2.48</v>
      </c>
      <c r="N11" s="0" t="s">
        <v>44</v>
      </c>
      <c r="O11" s="12" t="s">
        <v>33</v>
      </c>
      <c r="P11" s="0" t="n">
        <v>2602</v>
      </c>
      <c r="R11" s="10" t="n">
        <f aca="false">IFERROR(LOOKUP(IF(Q11="",G11,Q11),{0,1,10,100,500,1000,2000,4000,8000,12000},{0,2.47,2.03,1.19,1.07,0.938,0.691,0.667,0.642,0.637}),"")</f>
        <v>2.47</v>
      </c>
      <c r="S11" s="10" t="n">
        <f aca="false">IFERROR(IF(Q11="",G11,Q11)*R11,"")</f>
        <v>2.47</v>
      </c>
      <c r="T11" s="0" t="s">
        <v>45</v>
      </c>
      <c r="U11" s="12" t="s">
        <v>33</v>
      </c>
      <c r="V11" s="0" t="n">
        <v>813</v>
      </c>
      <c r="X11" s="10" t="n">
        <f aca="false">IFERROR(LOOKUP(IF(W11="",G11,W11),{0,1,10,50,100},{0,1.94,1.75,1.53,1.23}),"")</f>
        <v>1.94</v>
      </c>
      <c r="Y11" s="10" t="n">
        <f aca="false">IFERROR(IF(W11="",G11,W11)*X11,"")</f>
        <v>1.94</v>
      </c>
      <c r="Z11" s="0" t="s">
        <v>46</v>
      </c>
      <c r="AA11" s="12" t="s">
        <v>33</v>
      </c>
    </row>
    <row r="12" customFormat="false" ht="15" hidden="false" customHeight="false" outlineLevel="0" collapsed="false">
      <c r="A12" s="0" t="s">
        <v>47</v>
      </c>
      <c r="B12" s="0" t="s">
        <v>48</v>
      </c>
      <c r="D12" s="0" t="s">
        <v>49</v>
      </c>
      <c r="F12" s="0" t="s">
        <v>50</v>
      </c>
      <c r="G12" s="0" t="n">
        <f aca="false">BoardQty*1</f>
        <v>1</v>
      </c>
      <c r="H12" s="10" t="n">
        <f aca="true">MINA(INDIRECT(ADDRESS(ROW(),COLUMN(mouser_part_data)+2)),INDIRECT(ADDRESS(ROW(),COLUMN(digikey_part_data)+2)),INDIRECT(ADDRESS(ROW(),COLUMN(newark_part_data)+2)))</f>
        <v>0.162</v>
      </c>
      <c r="I12" s="10" t="n">
        <f aca="false">IFERROR(G12*H12,"")</f>
        <v>0.162</v>
      </c>
      <c r="J12" s="0" t="n">
        <v>174482</v>
      </c>
      <c r="L12" s="10" t="n">
        <f aca="false">IFERROR(LOOKUP(IF(K12="",G12,K12),{0,1,10,50,100,250,500,1000,5000,10000,20000,30000,50000,100000},{0,0.19,0.13,0.0748,0.0618,0.052,0.04356,0.03575,0.03023,0.026,0.0247,0.0234,0.02145,0.01772}),"")</f>
        <v>0.19</v>
      </c>
      <c r="M12" s="10" t="n">
        <f aca="false">IFERROR(IF(K12="",G12,K12)*L12,"")</f>
        <v>0.19</v>
      </c>
      <c r="N12" s="0" t="s">
        <v>51</v>
      </c>
      <c r="O12" s="12" t="s">
        <v>33</v>
      </c>
      <c r="P12" s="0" t="n">
        <v>11953</v>
      </c>
      <c r="R12" s="10" t="n">
        <f aca="false">IFERROR(LOOKUP(IF(Q12="",G12,Q12),{0,1,10,100,1000,2500,10000,20000,50000,100000},{0,0.197,0.082,0.069,0.046,0.038,0.033,0.027,0.023,0.02}),"")</f>
        <v>0.197</v>
      </c>
      <c r="S12" s="10" t="n">
        <f aca="false">IFERROR(IF(Q12="",G12,Q12)*R12,"")</f>
        <v>0.197</v>
      </c>
      <c r="T12" s="0" t="s">
        <v>52</v>
      </c>
      <c r="U12" s="12" t="s">
        <v>33</v>
      </c>
      <c r="V12" s="0" t="n">
        <v>997</v>
      </c>
      <c r="X12" s="10" t="n">
        <f aca="false">IFERROR(LOOKUP(IF(W12="",G12,W12),{0,1,250,500,1000,5000},{0,0.162,0.122,0.109,0.098,0.089}),"")</f>
        <v>0.162</v>
      </c>
      <c r="Y12" s="10" t="n">
        <f aca="false">IFERROR(IF(W12="",G12,W12)*X12,"")</f>
        <v>0.162</v>
      </c>
      <c r="Z12" s="0" t="s">
        <v>53</v>
      </c>
      <c r="AA12" s="12" t="s">
        <v>33</v>
      </c>
    </row>
    <row r="13" customFormat="false" ht="15" hidden="false" customHeight="false" outlineLevel="0" collapsed="false">
      <c r="A13" s="0" t="s">
        <v>54</v>
      </c>
      <c r="B13" s="0" t="s">
        <v>55</v>
      </c>
      <c r="D13" s="0" t="s">
        <v>56</v>
      </c>
      <c r="F13" s="0" t="s">
        <v>57</v>
      </c>
      <c r="G13" s="0" t="n">
        <f aca="false">BoardQty*1</f>
        <v>1</v>
      </c>
      <c r="H13" s="10" t="n">
        <f aca="true">MINA(INDIRECT(ADDRESS(ROW(),COLUMN(mouser_part_data)+2)),INDIRECT(ADDRESS(ROW(),COLUMN(digikey_part_data)+2)),INDIRECT(ADDRESS(ROW(),COLUMN(newark_part_data)+2)))</f>
        <v>3.65</v>
      </c>
      <c r="I13" s="10" t="n">
        <f aca="false">IFERROR(G13*H13,"")</f>
        <v>3.65</v>
      </c>
      <c r="J13" s="0" t="n">
        <v>15375</v>
      </c>
      <c r="L13" s="10" t="n">
        <f aca="false">IFERROR(LOOKUP(IF(K13="",G13,K13),{0,1,10,25,100,250,500,1000,2000},{0,3.7,3.305,2.9748,2.7103,2.44588,2.19468,1.85094,1.83625}),"")</f>
        <v>3.7</v>
      </c>
      <c r="M13" s="10" t="n">
        <f aca="false">IFERROR(IF(K13="",G13,K13)*L13,"")</f>
        <v>3.7</v>
      </c>
      <c r="N13" s="0" t="s">
        <v>58</v>
      </c>
      <c r="O13" s="12" t="s">
        <v>33</v>
      </c>
      <c r="P13" s="0" t="n">
        <v>0</v>
      </c>
      <c r="R13" s="10" t="n">
        <f aca="false">IFERROR(LOOKUP(IF(Q13="",G13,Q13),{0,1,10,25,50,100,250,500,1000,2000},{0,3.65,3.26,2.93,2.75,2.67,2.41,2.15,1.84,1.84}),"")</f>
        <v>3.65</v>
      </c>
      <c r="S13" s="10" t="n">
        <f aca="false">IFERROR(IF(Q13="",G13,Q13)*R13,"")</f>
        <v>3.65</v>
      </c>
      <c r="T13" s="0" t="s">
        <v>59</v>
      </c>
      <c r="U13" s="12" t="s">
        <v>33</v>
      </c>
      <c r="V13" s="0" t="n">
        <v>1100</v>
      </c>
      <c r="X13" s="10" t="n">
        <f aca="false">IFERROR(LOOKUP(IF(W13="",G13,W13),{0,1,10,25,50,100,250,500,1000},{0,3.72,3.31,2.97,2.8,2.71,2.44,2.18,1.84}),"")</f>
        <v>3.72</v>
      </c>
      <c r="Y13" s="10" t="n">
        <f aca="false">IFERROR(IF(W13="",G13,W13)*X13,"")</f>
        <v>3.72</v>
      </c>
      <c r="Z13" s="0" t="s">
        <v>60</v>
      </c>
      <c r="AA13" s="12" t="s">
        <v>33</v>
      </c>
    </row>
    <row r="14" customFormat="false" ht="15" hidden="false" customHeight="false" outlineLevel="0" collapsed="false">
      <c r="A14" s="0" t="s">
        <v>61</v>
      </c>
      <c r="B14" s="0" t="s">
        <v>62</v>
      </c>
      <c r="D14" s="0" t="s">
        <v>63</v>
      </c>
      <c r="F14" s="0" t="s">
        <v>64</v>
      </c>
      <c r="G14" s="0" t="n">
        <f aca="false">BoardQty*1</f>
        <v>1</v>
      </c>
      <c r="H14" s="10" t="n">
        <f aca="true">MINA(INDIRECT(ADDRESS(ROW(),COLUMN(mouser_part_data)+2)),INDIRECT(ADDRESS(ROW(),COLUMN(digikey_part_data)+2)),INDIRECT(ADDRESS(ROW(),COLUMN(newark_part_data)+2)))</f>
        <v>0.075</v>
      </c>
      <c r="I14" s="10" t="n">
        <f aca="false">IFERROR(G14*H14,"")</f>
        <v>0.075</v>
      </c>
      <c r="J14" s="0" t="n">
        <v>796632</v>
      </c>
      <c r="L14" s="10" t="n">
        <f aca="false">IFERROR(LOOKUP(IF(K14="",G14,K14),{0,1,10,50,100,250,500,1000,5000,10000,20000,30000,50000},{0,0.18,0.113,0.054,0.0405,0.02924,0.0216,0.01463,0.01125,0.00945,0.009,0.00855,0.00765}),"")</f>
        <v>0.18</v>
      </c>
      <c r="M14" s="10" t="n">
        <f aca="false">IFERROR(IF(K14="",G14,K14)*L14,"")</f>
        <v>0.18</v>
      </c>
      <c r="N14" s="0" t="s">
        <v>65</v>
      </c>
      <c r="O14" s="12" t="s">
        <v>33</v>
      </c>
      <c r="P14" s="0" t="n">
        <v>131856</v>
      </c>
      <c r="R14" s="10" t="n">
        <f aca="false">IFERROR(LOOKUP(IF(Q14="",G14,Q14),{0,1,10,100,500,1000,5000,10000,50000},{0,0.256,0.081,0.044,0.033,0.022,0.016,0.014,0.012}),"")</f>
        <v>0.256</v>
      </c>
      <c r="S14" s="10" t="n">
        <f aca="false">IFERROR(IF(Q14="",G14,Q14)*R14,"")</f>
        <v>0.256</v>
      </c>
      <c r="T14" s="0" t="s">
        <v>66</v>
      </c>
      <c r="U14" s="12" t="s">
        <v>33</v>
      </c>
      <c r="V14" s="0" t="n">
        <v>9886</v>
      </c>
      <c r="X14" s="10" t="n">
        <f aca="false">IFERROR(LOOKUP(IF(W14="",G14,W14),{0,1,10,50,100,250,500,1000,5000},{0,0.075,0.049,0.033,0.025,0.021,0.018,0.017,0.014}),"")</f>
        <v>0.075</v>
      </c>
      <c r="Y14" s="10" t="n">
        <f aca="false">IFERROR(IF(W14="",G14,W14)*X14,"")</f>
        <v>0.075</v>
      </c>
      <c r="Z14" s="0" t="s">
        <v>67</v>
      </c>
      <c r="AA14" s="12" t="s">
        <v>33</v>
      </c>
    </row>
    <row r="15" customFormat="false" ht="15" hidden="false" customHeight="false" outlineLevel="0" collapsed="false">
      <c r="A15" s="0" t="s">
        <v>68</v>
      </c>
      <c r="B15" s="0" t="s">
        <v>69</v>
      </c>
      <c r="D15" s="0" t="s">
        <v>70</v>
      </c>
      <c r="F15" s="0" t="s">
        <v>71</v>
      </c>
      <c r="G15" s="0" t="n">
        <f aca="false">BoardQty*1</f>
        <v>1</v>
      </c>
      <c r="H15" s="10" t="n">
        <f aca="true">MINA(INDIRECT(ADDRESS(ROW(),COLUMN(mouser_part_data)+2)),INDIRECT(ADDRESS(ROW(),COLUMN(digikey_part_data)+2)),INDIRECT(ADDRESS(ROW(),COLUMN(newark_part_data)+2)))</f>
        <v>0.12</v>
      </c>
      <c r="I15" s="10" t="n">
        <f aca="false">IFERROR(G15*H15,"")</f>
        <v>0.12</v>
      </c>
      <c r="J15" s="0" t="n">
        <v>196</v>
      </c>
      <c r="L15" s="10" t="n">
        <f aca="false">IFERROR(LOOKUP(IF(K15="",G15,K15),{0,1,10,25,100,250,500,1000,8000},{0,0.46,0.391,0.3428,0.2936,0.2546,0.21566,0.16625,0.13775}),"")</f>
        <v>0.46</v>
      </c>
      <c r="M15" s="10" t="n">
        <f aca="false">IFERROR(IF(K15="",G15,K15)*L15,"")</f>
        <v>0.46</v>
      </c>
      <c r="N15" s="0" t="s">
        <v>72</v>
      </c>
      <c r="O15" s="12" t="s">
        <v>33</v>
      </c>
      <c r="P15" s="0" t="n">
        <v>0</v>
      </c>
      <c r="R15" s="10" t="n">
        <f aca="false">IFERROR(LOOKUP(IF(Q15="",G15,Q15),{0,1,10,100,1000,4000,8000,24000,48000,100000},{0,0.485,0.364,0.229,0.177,0.146,0.143,0.132,0.126,0.121}),"")</f>
        <v>0.485</v>
      </c>
      <c r="S15" s="10" t="n">
        <f aca="false">IFERROR(IF(Q15="",G15,Q15)*R15,"")</f>
        <v>0.485</v>
      </c>
      <c r="T15" s="0" t="s">
        <v>73</v>
      </c>
      <c r="U15" s="12" t="s">
        <v>33</v>
      </c>
      <c r="V15" s="0" t="n">
        <v>0</v>
      </c>
      <c r="X15" s="10" t="n">
        <f aca="false">IFERROR(LOOKUP(IF(W15="",G15,W15),{0,1,8000,12000,20000},{0,0.12,0.12,0.117,0.116}),"")</f>
        <v>0.12</v>
      </c>
      <c r="Y15" s="10" t="n">
        <f aca="false">IFERROR(IF(W15="",G15,W15)*X15,"")</f>
        <v>0.12</v>
      </c>
      <c r="Z15" s="0" t="s">
        <v>74</v>
      </c>
      <c r="AA15" s="12" t="s">
        <v>33</v>
      </c>
    </row>
    <row r="16" customFormat="false" ht="15" hidden="false" customHeight="false" outlineLevel="0" collapsed="false">
      <c r="A16" s="0" t="s">
        <v>75</v>
      </c>
      <c r="B16" s="0" t="s">
        <v>76</v>
      </c>
      <c r="D16" s="0" t="s">
        <v>63</v>
      </c>
      <c r="F16" s="0" t="s">
        <v>77</v>
      </c>
      <c r="G16" s="0" t="n">
        <f aca="false">BoardQty*3</f>
        <v>3</v>
      </c>
      <c r="H16" s="10" t="n">
        <f aca="true">MINA(INDIRECT(ADDRESS(ROW(),COLUMN(mouser_part_data)+2)),INDIRECT(ADDRESS(ROW(),COLUMN(digikey_part_data)+2)),INDIRECT(ADDRESS(ROW(),COLUMN(newark_part_data)+2)))</f>
        <v>0.1</v>
      </c>
      <c r="I16" s="10" t="n">
        <f aca="false">IFERROR(G16*H16,"")</f>
        <v>0.3</v>
      </c>
      <c r="J16" s="0" t="n">
        <v>3225040</v>
      </c>
      <c r="L16" s="10" t="n">
        <f aca="false">IFERROR(LOOKUP(IF(K16="",G16,K16),{0,1,10,25,50,100,500,1000,5000,10000,20000,30000,50000,100000},{0,0.1,0.012,0.0084,0.0064,0.0054,0.00378,0.00294,0.00245,0.00206,0.00196,0.00186,0.00167,0.00135}),"")</f>
        <v>0.1</v>
      </c>
      <c r="M16" s="10" t="n">
        <f aca="false">IFERROR(IF(K16="",G16,K16)*L16,"")</f>
        <v>0.3</v>
      </c>
      <c r="N16" s="0" t="s">
        <v>78</v>
      </c>
      <c r="O16" s="12" t="s">
        <v>33</v>
      </c>
    </row>
    <row r="17" customFormat="false" ht="15" hidden="false" customHeight="false" outlineLevel="0" collapsed="false">
      <c r="A17" s="0" t="s">
        <v>79</v>
      </c>
      <c r="B17" s="0" t="s">
        <v>80</v>
      </c>
      <c r="D17" s="0" t="s">
        <v>81</v>
      </c>
      <c r="F17" s="0" t="s">
        <v>82</v>
      </c>
      <c r="G17" s="0" t="n">
        <f aca="false">BoardQty*1</f>
        <v>1</v>
      </c>
      <c r="H17" s="10" t="n">
        <f aca="true">MINA(INDIRECT(ADDRESS(ROW(),COLUMN(mouser_part_data)+2)),INDIRECT(ADDRESS(ROW(),COLUMN(digikey_part_data)+2)),INDIRECT(ADDRESS(ROW(),COLUMN(newark_part_data)+2)))</f>
        <v>0.434</v>
      </c>
      <c r="I17" s="10" t="n">
        <f aca="false">IFERROR(G17*H17,"")</f>
        <v>0.434</v>
      </c>
      <c r="J17" s="0" t="n">
        <v>71888</v>
      </c>
      <c r="L17" s="10" t="n">
        <f aca="false">IFERROR(LOOKUP(IF(K17="",G17,K17),{0,1,10,100,500,1000,2500,5000,12500,25000,62500,125000},{0,0.46,0.373,0.2541,0.1902,0.14245,0.12705,0.11935,0.11165,0.10241,0.09856,0.09471}),"")</f>
        <v>0.46</v>
      </c>
      <c r="M17" s="10" t="n">
        <f aca="false">IFERROR(IF(K17="",G17,K17)*L17,"")</f>
        <v>0.46</v>
      </c>
      <c r="N17" s="0" t="s">
        <v>83</v>
      </c>
      <c r="O17" s="12" t="s">
        <v>33</v>
      </c>
      <c r="P17" s="0" t="n">
        <v>33825</v>
      </c>
      <c r="R17" s="10" t="n">
        <f aca="false">IFERROR(LOOKUP(IF(Q17="",G17,Q17),{0,1,10,100,1000,2500,10000,25000,50000,100000},{0,0.434,0.337,0.182,0.137,0.118,0.109,0.1,0.097,0.096}),"")</f>
        <v>0.434</v>
      </c>
      <c r="S17" s="10" t="n">
        <f aca="false">IFERROR(IF(Q17="",G17,Q17)*R17,"")</f>
        <v>0.434</v>
      </c>
      <c r="T17" s="0" t="s">
        <v>84</v>
      </c>
      <c r="U17" s="12" t="s">
        <v>33</v>
      </c>
      <c r="V17" s="0" t="n">
        <v>3098</v>
      </c>
      <c r="X17" s="10" t="n">
        <f aca="false">IFERROR(LOOKUP(IF(W17="",G17,W17),{0,1,10,25,100,250,500,1000,2500},{0,0.479,0.383,0.329,0.277,0.232,0.194,0.125,0.121}),"")</f>
        <v>0.479</v>
      </c>
      <c r="Y17" s="10" t="n">
        <f aca="false">IFERROR(IF(W17="",G17,W17)*X17,"")</f>
        <v>0.479</v>
      </c>
      <c r="Z17" s="0" t="s">
        <v>85</v>
      </c>
      <c r="AA17" s="12" t="s">
        <v>33</v>
      </c>
    </row>
    <row r="18" customFormat="false" ht="15" hidden="false" customHeight="false" outlineLevel="0" collapsed="false">
      <c r="A18" s="0" t="s">
        <v>86</v>
      </c>
      <c r="B18" s="0" t="s">
        <v>87</v>
      </c>
      <c r="D18" s="0" t="s">
        <v>88</v>
      </c>
      <c r="F18" s="0" t="s">
        <v>89</v>
      </c>
      <c r="G18" s="0" t="n">
        <f aca="false">BoardQty*1</f>
        <v>1</v>
      </c>
      <c r="H18" s="10" t="n">
        <f aca="true">MINA(INDIRECT(ADDRESS(ROW(),COLUMN(mouser_part_data)+2)),INDIRECT(ADDRESS(ROW(),COLUMN(digikey_part_data)+2)),INDIRECT(ADDRESS(ROW(),COLUMN(newark_part_data)+2)))</f>
        <v>0</v>
      </c>
      <c r="I18" s="10" t="n">
        <f aca="false">IFERROR(G18*H18,"")</f>
        <v>0</v>
      </c>
    </row>
    <row r="19" customFormat="false" ht="15" hidden="false" customHeight="false" outlineLevel="0" collapsed="false">
      <c r="A19" s="0" t="s">
        <v>90</v>
      </c>
      <c r="B19" s="0" t="s">
        <v>91</v>
      </c>
      <c r="D19" s="0" t="s">
        <v>92</v>
      </c>
      <c r="F19" s="0" t="s">
        <v>93</v>
      </c>
      <c r="G19" s="0" t="n">
        <f aca="false">BoardQty*1</f>
        <v>1</v>
      </c>
      <c r="H19" s="10" t="n">
        <f aca="true">MINA(INDIRECT(ADDRESS(ROW(),COLUMN(mouser_part_data)+2)),INDIRECT(ADDRESS(ROW(),COLUMN(digikey_part_data)+2)),INDIRECT(ADDRESS(ROW(),COLUMN(newark_part_data)+2)))</f>
        <v>0.83</v>
      </c>
      <c r="I19" s="10" t="n">
        <f aca="false">IFERROR(G19*H19,"")</f>
        <v>0.83</v>
      </c>
      <c r="J19" s="0" t="n">
        <v>37389</v>
      </c>
      <c r="L19" s="10" t="n">
        <f aca="false">IFERROR(LOOKUP(IF(K19="",G19,K19),{0,1,10,25,50,100,250,500,1000,2500},{0,0.83,0.691,0.64,0.576,0.512,0.448,0.4096,0.3712,0.3328}),"")</f>
        <v>0.83</v>
      </c>
      <c r="M19" s="10" t="n">
        <f aca="false">IFERROR(IF(K19="",G19,K19)*L19,"")</f>
        <v>0.83</v>
      </c>
      <c r="N19" s="0" t="s">
        <v>94</v>
      </c>
      <c r="O19" s="12" t="s">
        <v>33</v>
      </c>
      <c r="V19" s="0" t="n">
        <v>150</v>
      </c>
      <c r="X19" s="10" t="n">
        <f aca="false">IFERROR(LOOKUP(IF(W19="",G19,W19),{0,1,10,100,500,1000,5000,10000},{0,2.27,1.98,1.69,1.39,1.2,1.08,1.03}),"")</f>
        <v>2.27</v>
      </c>
      <c r="Y19" s="10" t="n">
        <f aca="false">IFERROR(IF(W19="",G19,W19)*X19,"")</f>
        <v>2.27</v>
      </c>
      <c r="Z19" s="0" t="s">
        <v>95</v>
      </c>
      <c r="AA19" s="12" t="s">
        <v>33</v>
      </c>
    </row>
    <row r="21" customFormat="false" ht="15" hidden="false" customHeight="false" outlineLevel="0" collapsed="false">
      <c r="K21" s="0" t="str">
        <f aca="false" t="array" ref="K21:K21">IFERROR(CONCATENATE(TEXT(INDEX($K$7:$K$19,SMALL(IF($N$7:$N$19&lt;&gt;"",IF($K$7:$K$19&lt;&gt;"",ROW($K$7:$K$19)-MIN(ROW($K$7:$K$19))+1,""),""),ROW()-ROW(A$21)+1)),"##0"),","),"")</f>
        <v/>
      </c>
      <c r="L21" s="0" t="str">
        <f aca="false" t="array" ref="L21:L21">IFERROR(CONCATENATE((INDEX($N$7:$N$19,SMALL(IF($N$7:$N$19&lt;&gt;"",IF($K$7:$K$19&lt;&gt;"",ROW($K$7:$K$19)-MIN(ROW($K$7:$K$19))+1,""),""),ROW()-ROW(A$21)+1))),","),"")</f>
        <v/>
      </c>
      <c r="M21" s="0" t="str">
        <f aca="false" t="array" ref="M21:M21">IFERROR(CONCATENATE((INDEX($A$7:$A$19,SMALL(IF($N$7:$N$19&lt;&gt;"",IF($K$7:$K$19&lt;&gt;"",ROW($K$7:$K$19)-MIN(ROW($K$7:$K$19))+1,""),""),ROW()-ROW(A$21)+1))),),"")</f>
        <v/>
      </c>
      <c r="Q21" s="0" t="str">
        <f aca="false" t="array" ref="Q21:Q21">IFERROR(CONCATENATE((INDEX($T$7:$T$19,SMALL(IF($T$7:$T$19&lt;&gt;"",IF($Q$7:$Q$19&lt;&gt;"",ROW($Q$7:$Q$19)-MIN(ROW($Q$7:$Q$19))+1,""),""),ROW()-ROW(A$21)+1)))," "),"")</f>
        <v/>
      </c>
      <c r="R21" s="0" t="str">
        <f aca="false" t="array" ref="R21:R21">IFERROR(CONCATENATE(TEXT(INDEX($Q$7:$Q$19,SMALL(IF($T$7:$T$19&lt;&gt;"",IF($Q$7:$Q$19&lt;&gt;"",ROW($Q$7:$Q$19)-MIN(ROW($Q$7:$Q$19))+1,""),""),ROW()-ROW(A$21)+1)),"##0")," "),"")</f>
        <v/>
      </c>
      <c r="S21" s="0" t="str">
        <f aca="false" t="array" ref="S21:S21">IFERROR(CONCATENATE((INDEX($A$7:$A$19,SMALL(IF($T$7:$T$19&lt;&gt;"",IF($Q$7:$Q$19&lt;&gt;"",ROW($Q$7:$Q$19)-MIN(ROW($Q$7:$Q$19))+1,""),""),ROW()-ROW(A$21)+1))),),"")</f>
        <v/>
      </c>
      <c r="W21" s="0" t="str">
        <f aca="false" t="array" ref="W21:W21">IFERROR(CONCATENATE((INDEX($Z$7:$Z$19,SMALL(IF($Z$7:$Z$19&lt;&gt;"",IF($W$7:$W$19&lt;&gt;"",ROW($W$7:$W$19)-MIN(ROW($W$7:$W$19))+1,""),""),ROW()-ROW(A$21)+1))),","),"")</f>
        <v/>
      </c>
      <c r="X21" s="0" t="str">
        <f aca="false" t="array" ref="X21:X21">IFERROR(CONCATENATE(TEXT(INDEX($W$7:$W$19,SMALL(IF($Z$7:$Z$19&lt;&gt;"",IF($W$7:$W$19&lt;&gt;"",ROW($W$7:$W$19)-MIN(ROW($W$7:$W$19))+1,""),""),ROW()-ROW(A$21)+1)),"##0"),","),"")</f>
        <v/>
      </c>
      <c r="Y21" s="0" t="str">
        <f aca="false" t="array" ref="Y21:Y21">IFERROR(CONCATENATE((INDEX($A$7:$A$19,SMALL(IF($Z$7:$Z$19&lt;&gt;"",IF($W$7:$W$19&lt;&gt;"",ROW($W$7:$W$19)-MIN(ROW($W$7:$W$19))+1,""),""),ROW()-ROW(A$21)+1))),),"")</f>
        <v/>
      </c>
    </row>
    <row r="22" customFormat="false" ht="15" hidden="false" customHeight="false" outlineLevel="0" collapsed="false">
      <c r="K22" s="0" t="str">
        <f aca="false" t="array" ref="K22:K22">IFERROR(CONCATENATE(TEXT(INDEX($K$7:$K$19,SMALL(IF($N$7:$N$19&lt;&gt;"",IF($K$7:$K$19&lt;&gt;"",ROW($K$7:$K$19)-MIN(ROW($K$7:$K$19))+1,""),""),ROW()-ROW(A$21)+1)),"##0"),","),"")</f>
        <v/>
      </c>
      <c r="L22" s="0" t="str">
        <f aca="false" t="array" ref="L22:L22">IFERROR(CONCATENATE((INDEX($N$7:$N$19,SMALL(IF($N$7:$N$19&lt;&gt;"",IF($K$7:$K$19&lt;&gt;"",ROW($K$7:$K$19)-MIN(ROW($K$7:$K$19))+1,""),""),ROW()-ROW(A$21)+1))),","),"")</f>
        <v/>
      </c>
      <c r="M22" s="0" t="str">
        <f aca="false" t="array" ref="M22:M22">IFERROR(CONCATENATE((INDEX($A$7:$A$19,SMALL(IF($N$7:$N$19&lt;&gt;"",IF($K$7:$K$19&lt;&gt;"",ROW($K$7:$K$19)-MIN(ROW($K$7:$K$19))+1,""),""),ROW()-ROW(A$21)+1))),),"")</f>
        <v/>
      </c>
      <c r="Q22" s="0" t="str">
        <f aca="false" t="array" ref="Q22:Q22">IFERROR(CONCATENATE((INDEX($T$7:$T$19,SMALL(IF($T$7:$T$19&lt;&gt;"",IF($Q$7:$Q$19&lt;&gt;"",ROW($Q$7:$Q$19)-MIN(ROW($Q$7:$Q$19))+1,""),""),ROW()-ROW(A$21)+1)))," "),"")</f>
        <v/>
      </c>
      <c r="R22" s="0" t="str">
        <f aca="false" t="array" ref="R22:R22">IFERROR(CONCATENATE(TEXT(INDEX($Q$7:$Q$19,SMALL(IF($T$7:$T$19&lt;&gt;"",IF($Q$7:$Q$19&lt;&gt;"",ROW($Q$7:$Q$19)-MIN(ROW($Q$7:$Q$19))+1,""),""),ROW()-ROW(A$21)+1)),"##0")," "),"")</f>
        <v/>
      </c>
      <c r="S22" s="0" t="str">
        <f aca="false" t="array" ref="S22:S22">IFERROR(CONCATENATE((INDEX($A$7:$A$19,SMALL(IF($T$7:$T$19&lt;&gt;"",IF($Q$7:$Q$19&lt;&gt;"",ROW($Q$7:$Q$19)-MIN(ROW($Q$7:$Q$19))+1,""),""),ROW()-ROW(A$21)+1))),),"")</f>
        <v/>
      </c>
      <c r="W22" s="0" t="str">
        <f aca="false" t="array" ref="W22:W22">IFERROR(CONCATENATE((INDEX($Z$7:$Z$19,SMALL(IF($Z$7:$Z$19&lt;&gt;"",IF($W$7:$W$19&lt;&gt;"",ROW($W$7:$W$19)-MIN(ROW($W$7:$W$19))+1,""),""),ROW()-ROW(A$21)+1))),","),"")</f>
        <v/>
      </c>
      <c r="X22" s="0" t="str">
        <f aca="false" t="array" ref="X22:X22">IFERROR(CONCATENATE(TEXT(INDEX($W$7:$W$19,SMALL(IF($Z$7:$Z$19&lt;&gt;"",IF($W$7:$W$19&lt;&gt;"",ROW($W$7:$W$19)-MIN(ROW($W$7:$W$19))+1,""),""),ROW()-ROW(A$21)+1)),"##0"),","),"")</f>
        <v/>
      </c>
      <c r="Y22" s="0" t="str">
        <f aca="false" t="array" ref="Y22:Y22">IFERROR(CONCATENATE((INDEX($A$7:$A$19,SMALL(IF($Z$7:$Z$19&lt;&gt;"",IF($W$7:$W$19&lt;&gt;"",ROW($W$7:$W$19)-MIN(ROW($W$7:$W$19))+1,""),""),ROW()-ROW(A$21)+1))),),"")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IFERROR(CONCATENATE(TEXT(INDEX($K$7:$K$19,SMALL(IF($N$7:$N$19&lt;&gt;"",IF($K$7:$K$19&lt;&gt;"",ROW($K$7:$K$19)-MIN(ROW($K$7:$K$19))+1,""),""),ROW()-ROW(A$21)+1)),"##0"),","),"")</f>
        <v/>
      </c>
      <c r="L23" s="0" t="str">
        <f aca="false" t="array" ref="L23:L23">IFERROR(CONCATENATE((INDEX($N$7:$N$19,SMALL(IF($N$7:$N$19&lt;&gt;"",IF($K$7:$K$19&lt;&gt;"",ROW($K$7:$K$19)-MIN(ROW($K$7:$K$19))+1,""),""),ROW()-ROW(A$21)+1))),","),"")</f>
        <v/>
      </c>
      <c r="M23" s="0" t="str">
        <f aca="false" t="array" ref="M23:M23">IFERROR(CONCATENATE((INDEX($A$7:$A$19,SMALL(IF($N$7:$N$19&lt;&gt;"",IF($K$7:$K$19&lt;&gt;"",ROW($K$7:$K$19)-MIN(ROW($K$7:$K$19))+1,""),""),ROW()-ROW(A$21)+1))),),"")</f>
        <v/>
      </c>
      <c r="Q23" s="0" t="str">
        <f aca="false" t="array" ref="Q23:Q23">IFERROR(CONCATENATE((INDEX($T$7:$T$19,SMALL(IF($T$7:$T$19&lt;&gt;"",IF($Q$7:$Q$19&lt;&gt;"",ROW($Q$7:$Q$19)-MIN(ROW($Q$7:$Q$19))+1,""),""),ROW()-ROW(A$21)+1)))," "),"")</f>
        <v/>
      </c>
      <c r="R23" s="0" t="str">
        <f aca="false" t="array" ref="R23:R23">IFERROR(CONCATENATE(TEXT(INDEX($Q$7:$Q$19,SMALL(IF($T$7:$T$19&lt;&gt;"",IF($Q$7:$Q$19&lt;&gt;"",ROW($Q$7:$Q$19)-MIN(ROW($Q$7:$Q$19))+1,""),""),ROW()-ROW(A$21)+1)),"##0")," "),"")</f>
        <v/>
      </c>
      <c r="S23" s="0" t="str">
        <f aca="false" t="array" ref="S23:S23">IFERROR(CONCATENATE((INDEX($A$7:$A$19,SMALL(IF($T$7:$T$19&lt;&gt;"",IF($Q$7:$Q$19&lt;&gt;"",ROW($Q$7:$Q$19)-MIN(ROW($Q$7:$Q$19))+1,""),""),ROW()-ROW(A$21)+1))),),"")</f>
        <v/>
      </c>
      <c r="W23" s="0" t="str">
        <f aca="false" t="array" ref="W23:W23">IFERROR(CONCATENATE((INDEX($Z$7:$Z$19,SMALL(IF($Z$7:$Z$19&lt;&gt;"",IF($W$7:$W$19&lt;&gt;"",ROW($W$7:$W$19)-MIN(ROW($W$7:$W$19))+1,""),""),ROW()-ROW(A$21)+1))),","),"")</f>
        <v/>
      </c>
      <c r="X23" s="0" t="str">
        <f aca="false" t="array" ref="X23:X23">IFERROR(CONCATENATE(TEXT(INDEX($W$7:$W$19,SMALL(IF($Z$7:$Z$19&lt;&gt;"",IF($W$7:$W$19&lt;&gt;"",ROW($W$7:$W$19)-MIN(ROW($W$7:$W$19))+1,""),""),ROW()-ROW(A$21)+1)),"##0"),","),"")</f>
        <v/>
      </c>
      <c r="Y23" s="0" t="str">
        <f aca="false" t="array" ref="Y23:Y23">IFERROR(CONCATENATE((INDEX($A$7:$A$19,SMALL(IF($Z$7:$Z$19&lt;&gt;"",IF($W$7:$W$19&lt;&gt;"",ROW($W$7:$W$19)-MIN(ROW($W$7:$W$19))+1,""),""),ROW()-ROW(A$21)+1))),),"")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IFERROR(CONCATENATE(TEXT(INDEX($K$7:$K$19,SMALL(IF($N$7:$N$19&lt;&gt;"",IF($K$7:$K$19&lt;&gt;"",ROW($K$7:$K$19)-MIN(ROW($K$7:$K$19))+1,""),""),ROW()-ROW(A$21)+1)),"##0"),","),"")</f>
        <v/>
      </c>
      <c r="L24" s="0" t="str">
        <f aca="false" t="array" ref="L24:L24">IFERROR(CONCATENATE((INDEX($N$7:$N$19,SMALL(IF($N$7:$N$19&lt;&gt;"",IF($K$7:$K$19&lt;&gt;"",ROW($K$7:$K$19)-MIN(ROW($K$7:$K$19))+1,""),""),ROW()-ROW(A$21)+1))),","),"")</f>
        <v/>
      </c>
      <c r="M24" s="0" t="str">
        <f aca="false" t="array" ref="M24:M24">IFERROR(CONCATENATE((INDEX($A$7:$A$19,SMALL(IF($N$7:$N$19&lt;&gt;"",IF($K$7:$K$19&lt;&gt;"",ROW($K$7:$K$19)-MIN(ROW($K$7:$K$19))+1,""),""),ROW()-ROW(A$21)+1))),),"")</f>
        <v/>
      </c>
      <c r="Q24" s="0" t="str">
        <f aca="false" t="array" ref="Q24:Q24">IFERROR(CONCATENATE((INDEX($T$7:$T$19,SMALL(IF($T$7:$T$19&lt;&gt;"",IF($Q$7:$Q$19&lt;&gt;"",ROW($Q$7:$Q$19)-MIN(ROW($Q$7:$Q$19))+1,""),""),ROW()-ROW(A$21)+1)))," "),"")</f>
        <v/>
      </c>
      <c r="R24" s="0" t="str">
        <f aca="false" t="array" ref="R24:R24">IFERROR(CONCATENATE(TEXT(INDEX($Q$7:$Q$19,SMALL(IF($T$7:$T$19&lt;&gt;"",IF($Q$7:$Q$19&lt;&gt;"",ROW($Q$7:$Q$19)-MIN(ROW($Q$7:$Q$19))+1,""),""),ROW()-ROW(A$21)+1)),"##0")," "),"")</f>
        <v/>
      </c>
      <c r="S24" s="0" t="str">
        <f aca="false" t="array" ref="S24:S24">IFERROR(CONCATENATE((INDEX($A$7:$A$19,SMALL(IF($T$7:$T$19&lt;&gt;"",IF($Q$7:$Q$19&lt;&gt;"",ROW($Q$7:$Q$19)-MIN(ROW($Q$7:$Q$19))+1,""),""),ROW()-ROW(A$21)+1))),),"")</f>
        <v/>
      </c>
      <c r="W24" s="0" t="str">
        <f aca="false" t="array" ref="W24:W24">IFERROR(CONCATENATE((INDEX($Z$7:$Z$19,SMALL(IF($Z$7:$Z$19&lt;&gt;"",IF($W$7:$W$19&lt;&gt;"",ROW($W$7:$W$19)-MIN(ROW($W$7:$W$19))+1,""),""),ROW()-ROW(A$21)+1))),","),"")</f>
        <v/>
      </c>
      <c r="X24" s="0" t="str">
        <f aca="false" t="array" ref="X24:X24">IFERROR(CONCATENATE(TEXT(INDEX($W$7:$W$19,SMALL(IF($Z$7:$Z$19&lt;&gt;"",IF($W$7:$W$19&lt;&gt;"",ROW($W$7:$W$19)-MIN(ROW($W$7:$W$19))+1,""),""),ROW()-ROW(A$21)+1)),"##0"),","),"")</f>
        <v/>
      </c>
      <c r="Y24" s="0" t="str">
        <f aca="false" t="array" ref="Y24:Y24">IFERROR(CONCATENATE((INDEX($A$7:$A$19,SMALL(IF($Z$7:$Z$19&lt;&gt;"",IF($W$7:$W$19&lt;&gt;"",ROW($W$7:$W$19)-MIN(ROW($W$7:$W$19))+1,""),""),ROW()-ROW(A$21)+1))),),"")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IFERROR(CONCATENATE(TEXT(INDEX($K$7:$K$19,SMALL(IF($N$7:$N$19&lt;&gt;"",IF($K$7:$K$19&lt;&gt;"",ROW($K$7:$K$19)-MIN(ROW($K$7:$K$19))+1,""),""),ROW()-ROW(A$21)+1)),"##0"),","),"")</f>
        <v/>
      </c>
      <c r="L25" s="0" t="str">
        <f aca="false" t="array" ref="L25:L25">IFERROR(CONCATENATE((INDEX($N$7:$N$19,SMALL(IF($N$7:$N$19&lt;&gt;"",IF($K$7:$K$19&lt;&gt;"",ROW($K$7:$K$19)-MIN(ROW($K$7:$K$19))+1,""),""),ROW()-ROW(A$21)+1))),","),"")</f>
        <v/>
      </c>
      <c r="M25" s="0" t="str">
        <f aca="false" t="array" ref="M25:M25">IFERROR(CONCATENATE((INDEX($A$7:$A$19,SMALL(IF($N$7:$N$19&lt;&gt;"",IF($K$7:$K$19&lt;&gt;"",ROW($K$7:$K$19)-MIN(ROW($K$7:$K$19))+1,""),""),ROW()-ROW(A$21)+1))),),"")</f>
        <v/>
      </c>
      <c r="Q25" s="0" t="str">
        <f aca="false" t="array" ref="Q25:Q25">IFERROR(CONCATENATE((INDEX($T$7:$T$19,SMALL(IF($T$7:$T$19&lt;&gt;"",IF($Q$7:$Q$19&lt;&gt;"",ROW($Q$7:$Q$19)-MIN(ROW($Q$7:$Q$19))+1,""),""),ROW()-ROW(A$21)+1)))," "),"")</f>
        <v/>
      </c>
      <c r="R25" s="0" t="str">
        <f aca="false" t="array" ref="R25:R25">IFERROR(CONCATENATE(TEXT(INDEX($Q$7:$Q$19,SMALL(IF($T$7:$T$19&lt;&gt;"",IF($Q$7:$Q$19&lt;&gt;"",ROW($Q$7:$Q$19)-MIN(ROW($Q$7:$Q$19))+1,""),""),ROW()-ROW(A$21)+1)),"##0")," "),"")</f>
        <v/>
      </c>
      <c r="S25" s="0" t="str">
        <f aca="false" t="array" ref="S25:S25">IFERROR(CONCATENATE((INDEX($A$7:$A$19,SMALL(IF($T$7:$T$19&lt;&gt;"",IF($Q$7:$Q$19&lt;&gt;"",ROW($Q$7:$Q$19)-MIN(ROW($Q$7:$Q$19))+1,""),""),ROW()-ROW(A$21)+1))),),"")</f>
        <v/>
      </c>
      <c r="W25" s="0" t="str">
        <f aca="false" t="array" ref="W25:W25">IFERROR(CONCATENATE((INDEX($Z$7:$Z$19,SMALL(IF($Z$7:$Z$19&lt;&gt;"",IF($W$7:$W$19&lt;&gt;"",ROW($W$7:$W$19)-MIN(ROW($W$7:$W$19))+1,""),""),ROW()-ROW(A$21)+1))),","),"")</f>
        <v/>
      </c>
      <c r="X25" s="0" t="str">
        <f aca="false" t="array" ref="X25:X25">IFERROR(CONCATENATE(TEXT(INDEX($W$7:$W$19,SMALL(IF($Z$7:$Z$19&lt;&gt;"",IF($W$7:$W$19&lt;&gt;"",ROW($W$7:$W$19)-MIN(ROW($W$7:$W$19))+1,""),""),ROW()-ROW(A$21)+1)),"##0"),","),"")</f>
        <v/>
      </c>
      <c r="Y25" s="0" t="str">
        <f aca="false" t="array" ref="Y25:Y25">IFERROR(CONCATENATE((INDEX($A$7:$A$19,SMALL(IF($Z$7:$Z$19&lt;&gt;"",IF($W$7:$W$19&lt;&gt;"",ROW($W$7:$W$19)-MIN(ROW($W$7:$W$19))+1,""),""),ROW()-ROW(A$21)+1))),),"")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IFERROR(CONCATENATE(TEXT(INDEX($K$7:$K$19,SMALL(IF($N$7:$N$19&lt;&gt;"",IF($K$7:$K$19&lt;&gt;"",ROW($K$7:$K$19)-MIN(ROW($K$7:$K$19))+1,""),""),ROW()-ROW(A$21)+1)),"##0"),","),"")</f>
        <v/>
      </c>
      <c r="L26" s="0" t="str">
        <f aca="false" t="array" ref="L26:L26">IFERROR(CONCATENATE((INDEX($N$7:$N$19,SMALL(IF($N$7:$N$19&lt;&gt;"",IF($K$7:$K$19&lt;&gt;"",ROW($K$7:$K$19)-MIN(ROW($K$7:$K$19))+1,""),""),ROW()-ROW(A$21)+1))),","),"")</f>
        <v/>
      </c>
      <c r="M26" s="0" t="str">
        <f aca="false" t="array" ref="M26:M26">IFERROR(CONCATENATE((INDEX($A$7:$A$19,SMALL(IF($N$7:$N$19&lt;&gt;"",IF($K$7:$K$19&lt;&gt;"",ROW($K$7:$K$19)-MIN(ROW($K$7:$K$19))+1,""),""),ROW()-ROW(A$21)+1))),),"")</f>
        <v/>
      </c>
      <c r="Q26" s="0" t="str">
        <f aca="false" t="array" ref="Q26:Q26">IFERROR(CONCATENATE((INDEX($T$7:$T$19,SMALL(IF($T$7:$T$19&lt;&gt;"",IF($Q$7:$Q$19&lt;&gt;"",ROW($Q$7:$Q$19)-MIN(ROW($Q$7:$Q$19))+1,""),""),ROW()-ROW(A$21)+1)))," "),"")</f>
        <v/>
      </c>
      <c r="R26" s="0" t="str">
        <f aca="false" t="array" ref="R26:R26">IFERROR(CONCATENATE(TEXT(INDEX($Q$7:$Q$19,SMALL(IF($T$7:$T$19&lt;&gt;"",IF($Q$7:$Q$19&lt;&gt;"",ROW($Q$7:$Q$19)-MIN(ROW($Q$7:$Q$19))+1,""),""),ROW()-ROW(A$21)+1)),"##0")," "),"")</f>
        <v/>
      </c>
      <c r="S26" s="0" t="str">
        <f aca="false" t="array" ref="S26:S26">IFERROR(CONCATENATE((INDEX($A$7:$A$19,SMALL(IF($T$7:$T$19&lt;&gt;"",IF($Q$7:$Q$19&lt;&gt;"",ROW($Q$7:$Q$19)-MIN(ROW($Q$7:$Q$19))+1,""),""),ROW()-ROW(A$21)+1))),),"")</f>
        <v/>
      </c>
      <c r="W26" s="0" t="str">
        <f aca="false" t="array" ref="W26:W26">IFERROR(CONCATENATE((INDEX($Z$7:$Z$19,SMALL(IF($Z$7:$Z$19&lt;&gt;"",IF($W$7:$W$19&lt;&gt;"",ROW($W$7:$W$19)-MIN(ROW($W$7:$W$19))+1,""),""),ROW()-ROW(A$21)+1))),","),"")</f>
        <v/>
      </c>
      <c r="X26" s="0" t="str">
        <f aca="false" t="array" ref="X26:X26">IFERROR(CONCATENATE(TEXT(INDEX($W$7:$W$19,SMALL(IF($Z$7:$Z$19&lt;&gt;"",IF($W$7:$W$19&lt;&gt;"",ROW($W$7:$W$19)-MIN(ROW($W$7:$W$19))+1,""),""),ROW()-ROW(A$21)+1)),"##0"),","),"")</f>
        <v/>
      </c>
      <c r="Y26" s="0" t="str">
        <f aca="false" t="array" ref="Y26:Y26">IFERROR(CONCATENATE((INDEX($A$7:$A$19,SMALL(IF($Z$7:$Z$19&lt;&gt;"",IF($W$7:$W$19&lt;&gt;"",ROW($W$7:$W$19)-MIN(ROW($W$7:$W$19))+1,""),""),ROW()-ROW(A$21)+1))),),"")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IFERROR(CONCATENATE(TEXT(INDEX($K$7:$K$19,SMALL(IF($N$7:$N$19&lt;&gt;"",IF($K$7:$K$19&lt;&gt;"",ROW($K$7:$K$19)-MIN(ROW($K$7:$K$19))+1,""),""),ROW()-ROW(A$21)+1)),"##0"),","),"")</f>
        <v/>
      </c>
      <c r="L27" s="0" t="str">
        <f aca="false" t="array" ref="L27:L27">IFERROR(CONCATENATE((INDEX($N$7:$N$19,SMALL(IF($N$7:$N$19&lt;&gt;"",IF($K$7:$K$19&lt;&gt;"",ROW($K$7:$K$19)-MIN(ROW($K$7:$K$19))+1,""),""),ROW()-ROW(A$21)+1))),","),"")</f>
        <v/>
      </c>
      <c r="M27" s="0" t="str">
        <f aca="false" t="array" ref="M27:M27">IFERROR(CONCATENATE((INDEX($A$7:$A$19,SMALL(IF($N$7:$N$19&lt;&gt;"",IF($K$7:$K$19&lt;&gt;"",ROW($K$7:$K$19)-MIN(ROW($K$7:$K$19))+1,""),""),ROW()-ROW(A$21)+1))),),"")</f>
        <v/>
      </c>
      <c r="Q27" s="0" t="str">
        <f aca="false" t="array" ref="Q27:Q27">IFERROR(CONCATENATE((INDEX($T$7:$T$19,SMALL(IF($T$7:$T$19&lt;&gt;"",IF($Q$7:$Q$19&lt;&gt;"",ROW($Q$7:$Q$19)-MIN(ROW($Q$7:$Q$19))+1,""),""),ROW()-ROW(A$21)+1)))," "),"")</f>
        <v/>
      </c>
      <c r="R27" s="0" t="str">
        <f aca="false" t="array" ref="R27:R27">IFERROR(CONCATENATE(TEXT(INDEX($Q$7:$Q$19,SMALL(IF($T$7:$T$19&lt;&gt;"",IF($Q$7:$Q$19&lt;&gt;"",ROW($Q$7:$Q$19)-MIN(ROW($Q$7:$Q$19))+1,""),""),ROW()-ROW(A$21)+1)),"##0")," "),"")</f>
        <v/>
      </c>
      <c r="S27" s="0" t="str">
        <f aca="false" t="array" ref="S27:S27">IFERROR(CONCATENATE((INDEX($A$7:$A$19,SMALL(IF($T$7:$T$19&lt;&gt;"",IF($Q$7:$Q$19&lt;&gt;"",ROW($Q$7:$Q$19)-MIN(ROW($Q$7:$Q$19))+1,""),""),ROW()-ROW(A$21)+1))),),"")</f>
        <v/>
      </c>
      <c r="W27" s="0" t="str">
        <f aca="false" t="array" ref="W27:W27">IFERROR(CONCATENATE((INDEX($Z$7:$Z$19,SMALL(IF($Z$7:$Z$19&lt;&gt;"",IF($W$7:$W$19&lt;&gt;"",ROW($W$7:$W$19)-MIN(ROW($W$7:$W$19))+1,""),""),ROW()-ROW(A$21)+1))),","),"")</f>
        <v/>
      </c>
      <c r="X27" s="0" t="str">
        <f aca="false" t="array" ref="X27:X27">IFERROR(CONCATENATE(TEXT(INDEX($W$7:$W$19,SMALL(IF($Z$7:$Z$19&lt;&gt;"",IF($W$7:$W$19&lt;&gt;"",ROW($W$7:$W$19)-MIN(ROW($W$7:$W$19))+1,""),""),ROW()-ROW(A$21)+1)),"##0"),","),"")</f>
        <v/>
      </c>
      <c r="Y27" s="0" t="str">
        <f aca="false" t="array" ref="Y27:Y27">IFERROR(CONCATENATE((INDEX($A$7:$A$19,SMALL(IF($Z$7:$Z$19&lt;&gt;"",IF($W$7:$W$19&lt;&gt;"",ROW($W$7:$W$19)-MIN(ROW($W$7:$W$19))+1,""),""),ROW()-ROW(A$21)+1))),),"")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IFERROR(CONCATENATE(TEXT(INDEX($K$7:$K$19,SMALL(IF($N$7:$N$19&lt;&gt;"",IF($K$7:$K$19&lt;&gt;"",ROW($K$7:$K$19)-MIN(ROW($K$7:$K$19))+1,""),""),ROW()-ROW(A$21)+1)),"##0"),","),"")</f>
        <v/>
      </c>
      <c r="L28" s="0" t="str">
        <f aca="false" t="array" ref="L28:L28">IFERROR(CONCATENATE((INDEX($N$7:$N$19,SMALL(IF($N$7:$N$19&lt;&gt;"",IF($K$7:$K$19&lt;&gt;"",ROW($K$7:$K$19)-MIN(ROW($K$7:$K$19))+1,""),""),ROW()-ROW(A$21)+1))),","),"")</f>
        <v/>
      </c>
      <c r="M28" s="0" t="str">
        <f aca="false" t="array" ref="M28:M28">IFERROR(CONCATENATE((INDEX($A$7:$A$19,SMALL(IF($N$7:$N$19&lt;&gt;"",IF($K$7:$K$19&lt;&gt;"",ROW($K$7:$K$19)-MIN(ROW($K$7:$K$19))+1,""),""),ROW()-ROW(A$21)+1))),),"")</f>
        <v/>
      </c>
      <c r="Q28" s="0" t="str">
        <f aca="false" t="array" ref="Q28:Q28">IFERROR(CONCATENATE((INDEX($T$7:$T$19,SMALL(IF($T$7:$T$19&lt;&gt;"",IF($Q$7:$Q$19&lt;&gt;"",ROW($Q$7:$Q$19)-MIN(ROW($Q$7:$Q$19))+1,""),""),ROW()-ROW(A$21)+1)))," "),"")</f>
        <v/>
      </c>
      <c r="R28" s="0" t="str">
        <f aca="false" t="array" ref="R28:R28">IFERROR(CONCATENATE(TEXT(INDEX($Q$7:$Q$19,SMALL(IF($T$7:$T$19&lt;&gt;"",IF($Q$7:$Q$19&lt;&gt;"",ROW($Q$7:$Q$19)-MIN(ROW($Q$7:$Q$19))+1,""),""),ROW()-ROW(A$21)+1)),"##0")," "),"")</f>
        <v/>
      </c>
      <c r="S28" s="0" t="str">
        <f aca="false" t="array" ref="S28:S28">IFERROR(CONCATENATE((INDEX($A$7:$A$19,SMALL(IF($T$7:$T$19&lt;&gt;"",IF($Q$7:$Q$19&lt;&gt;"",ROW($Q$7:$Q$19)-MIN(ROW($Q$7:$Q$19))+1,""),""),ROW()-ROW(A$21)+1))),),"")</f>
        <v/>
      </c>
      <c r="W28" s="0" t="str">
        <f aca="false" t="array" ref="W28:W28">IFERROR(CONCATENATE((INDEX($Z$7:$Z$19,SMALL(IF($Z$7:$Z$19&lt;&gt;"",IF($W$7:$W$19&lt;&gt;"",ROW($W$7:$W$19)-MIN(ROW($W$7:$W$19))+1,""),""),ROW()-ROW(A$21)+1))),","),"")</f>
        <v/>
      </c>
      <c r="X28" s="0" t="str">
        <f aca="false" t="array" ref="X28:X28">IFERROR(CONCATENATE(TEXT(INDEX($W$7:$W$19,SMALL(IF($Z$7:$Z$19&lt;&gt;"",IF($W$7:$W$19&lt;&gt;"",ROW($W$7:$W$19)-MIN(ROW($W$7:$W$19))+1,""),""),ROW()-ROW(A$21)+1)),"##0"),","),"")</f>
        <v/>
      </c>
      <c r="Y28" s="0" t="str">
        <f aca="false" t="array" ref="Y28:Y28">IFERROR(CONCATENATE((INDEX($A$7:$A$19,SMALL(IF($Z$7:$Z$19&lt;&gt;"",IF($W$7:$W$19&lt;&gt;"",ROW($W$7:$W$19)-MIN(ROW($W$7:$W$19))+1,""),""),ROW()-ROW(A$21)+1))),),"")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IFERROR(CONCATENATE(TEXT(INDEX($K$7:$K$19,SMALL(IF($N$7:$N$19&lt;&gt;"",IF($K$7:$K$19&lt;&gt;"",ROW($K$7:$K$19)-MIN(ROW($K$7:$K$19))+1,""),""),ROW()-ROW(A$21)+1)),"##0"),","),"")</f>
        <v/>
      </c>
      <c r="L29" s="0" t="str">
        <f aca="false" t="array" ref="L29:L29">IFERROR(CONCATENATE((INDEX($N$7:$N$19,SMALL(IF($N$7:$N$19&lt;&gt;"",IF($K$7:$K$19&lt;&gt;"",ROW($K$7:$K$19)-MIN(ROW($K$7:$K$19))+1,""),""),ROW()-ROW(A$21)+1))),","),"")</f>
        <v/>
      </c>
      <c r="M29" s="0" t="str">
        <f aca="false" t="array" ref="M29:M29">IFERROR(CONCATENATE((INDEX($A$7:$A$19,SMALL(IF($N$7:$N$19&lt;&gt;"",IF($K$7:$K$19&lt;&gt;"",ROW($K$7:$K$19)-MIN(ROW($K$7:$K$19))+1,""),""),ROW()-ROW(A$21)+1))),),"")</f>
        <v/>
      </c>
      <c r="Q29" s="0" t="str">
        <f aca="false" t="array" ref="Q29:Q29">IFERROR(CONCATENATE((INDEX($T$7:$T$19,SMALL(IF($T$7:$T$19&lt;&gt;"",IF($Q$7:$Q$19&lt;&gt;"",ROW($Q$7:$Q$19)-MIN(ROW($Q$7:$Q$19))+1,""),""),ROW()-ROW(A$21)+1)))," "),"")</f>
        <v/>
      </c>
      <c r="R29" s="0" t="str">
        <f aca="false" t="array" ref="R29:R29">IFERROR(CONCATENATE(TEXT(INDEX($Q$7:$Q$19,SMALL(IF($T$7:$T$19&lt;&gt;"",IF($Q$7:$Q$19&lt;&gt;"",ROW($Q$7:$Q$19)-MIN(ROW($Q$7:$Q$19))+1,""),""),ROW()-ROW(A$21)+1)),"##0")," "),"")</f>
        <v/>
      </c>
      <c r="S29" s="0" t="str">
        <f aca="false" t="array" ref="S29:S29">IFERROR(CONCATENATE((INDEX($A$7:$A$19,SMALL(IF($T$7:$T$19&lt;&gt;"",IF($Q$7:$Q$19&lt;&gt;"",ROW($Q$7:$Q$19)-MIN(ROW($Q$7:$Q$19))+1,""),""),ROW()-ROW(A$21)+1))),),"")</f>
        <v/>
      </c>
      <c r="W29" s="0" t="str">
        <f aca="false" t="array" ref="W29:W29">IFERROR(CONCATENATE((INDEX($Z$7:$Z$19,SMALL(IF($Z$7:$Z$19&lt;&gt;"",IF($W$7:$W$19&lt;&gt;"",ROW($W$7:$W$19)-MIN(ROW($W$7:$W$19))+1,""),""),ROW()-ROW(A$21)+1))),","),"")</f>
        <v/>
      </c>
      <c r="X29" s="0" t="str">
        <f aca="false" t="array" ref="X29:X29">IFERROR(CONCATENATE(TEXT(INDEX($W$7:$W$19,SMALL(IF($Z$7:$Z$19&lt;&gt;"",IF($W$7:$W$19&lt;&gt;"",ROW($W$7:$W$19)-MIN(ROW($W$7:$W$19))+1,""),""),ROW()-ROW(A$21)+1)),"##0"),","),"")</f>
        <v/>
      </c>
      <c r="Y29" s="0" t="str">
        <f aca="false" t="array" ref="Y29:Y29">IFERROR(CONCATENATE((INDEX($A$7:$A$19,SMALL(IF($Z$7:$Z$19&lt;&gt;"",IF($W$7:$W$19&lt;&gt;"",ROW($W$7:$W$19)-MIN(ROW($W$7:$W$19))+1,""),""),ROW()-ROW(A$21)+1))),),"")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IFERROR(CONCATENATE(TEXT(INDEX($K$7:$K$19,SMALL(IF($N$7:$N$19&lt;&gt;"",IF($K$7:$K$19&lt;&gt;"",ROW($K$7:$K$19)-MIN(ROW($K$7:$K$19))+1,""),""),ROW()-ROW(A$21)+1)),"##0"),","),"")</f>
        <v/>
      </c>
      <c r="L30" s="0" t="str">
        <f aca="false" t="array" ref="L30:L30">IFERROR(CONCATENATE((INDEX($N$7:$N$19,SMALL(IF($N$7:$N$19&lt;&gt;"",IF($K$7:$K$19&lt;&gt;"",ROW($K$7:$K$19)-MIN(ROW($K$7:$K$19))+1,""),""),ROW()-ROW(A$21)+1))),","),"")</f>
        <v/>
      </c>
      <c r="M30" s="0" t="str">
        <f aca="false" t="array" ref="M30:M30">IFERROR(CONCATENATE((INDEX($A$7:$A$19,SMALL(IF($N$7:$N$19&lt;&gt;"",IF($K$7:$K$19&lt;&gt;"",ROW($K$7:$K$19)-MIN(ROW($K$7:$K$19))+1,""),""),ROW()-ROW(A$21)+1))),),"")</f>
        <v/>
      </c>
      <c r="Q30" s="0" t="str">
        <f aca="false" t="array" ref="Q30:Q30">IFERROR(CONCATENATE((INDEX($T$7:$T$19,SMALL(IF($T$7:$T$19&lt;&gt;"",IF($Q$7:$Q$19&lt;&gt;"",ROW($Q$7:$Q$19)-MIN(ROW($Q$7:$Q$19))+1,""),""),ROW()-ROW(A$21)+1)))," "),"")</f>
        <v/>
      </c>
      <c r="R30" s="0" t="str">
        <f aca="false" t="array" ref="R30:R30">IFERROR(CONCATENATE(TEXT(INDEX($Q$7:$Q$19,SMALL(IF($T$7:$T$19&lt;&gt;"",IF($Q$7:$Q$19&lt;&gt;"",ROW($Q$7:$Q$19)-MIN(ROW($Q$7:$Q$19))+1,""),""),ROW()-ROW(A$21)+1)),"##0")," "),"")</f>
        <v/>
      </c>
      <c r="S30" s="0" t="str">
        <f aca="false" t="array" ref="S30:S30">IFERROR(CONCATENATE((INDEX($A$7:$A$19,SMALL(IF($T$7:$T$19&lt;&gt;"",IF($Q$7:$Q$19&lt;&gt;"",ROW($Q$7:$Q$19)-MIN(ROW($Q$7:$Q$19))+1,""),""),ROW()-ROW(A$21)+1))),),"")</f>
        <v/>
      </c>
      <c r="W30" s="0" t="str">
        <f aca="false" t="array" ref="W30:W30">IFERROR(CONCATENATE((INDEX($Z$7:$Z$19,SMALL(IF($Z$7:$Z$19&lt;&gt;"",IF($W$7:$W$19&lt;&gt;"",ROW($W$7:$W$19)-MIN(ROW($W$7:$W$19))+1,""),""),ROW()-ROW(A$21)+1))),","),"")</f>
        <v/>
      </c>
      <c r="X30" s="0" t="str">
        <f aca="false" t="array" ref="X30:X30">IFERROR(CONCATENATE(TEXT(INDEX($W$7:$W$19,SMALL(IF($Z$7:$Z$19&lt;&gt;"",IF($W$7:$W$19&lt;&gt;"",ROW($W$7:$W$19)-MIN(ROW($W$7:$W$19))+1,""),""),ROW()-ROW(A$21)+1)),"##0"),","),"")</f>
        <v/>
      </c>
      <c r="Y30" s="0" t="str">
        <f aca="false" t="array" ref="Y30:Y30">IFERROR(CONCATENATE((INDEX($A$7:$A$19,SMALL(IF($Z$7:$Z$19&lt;&gt;"",IF($W$7:$W$19&lt;&gt;"",ROW($W$7:$W$19)-MIN(ROW($W$7:$W$19))+1,""),""),ROW()-ROW(A$21)+1))),),"")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IFERROR(CONCATENATE(TEXT(INDEX($K$7:$K$19,SMALL(IF($N$7:$N$19&lt;&gt;"",IF($K$7:$K$19&lt;&gt;"",ROW($K$7:$K$19)-MIN(ROW($K$7:$K$19))+1,""),""),ROW()-ROW(A$21)+1)),"##0"),","),"")</f>
        <v/>
      </c>
      <c r="L31" s="0" t="str">
        <f aca="false" t="array" ref="L31:L31">IFERROR(CONCATENATE((INDEX($N$7:$N$19,SMALL(IF($N$7:$N$19&lt;&gt;"",IF($K$7:$K$19&lt;&gt;"",ROW($K$7:$K$19)-MIN(ROW($K$7:$K$19))+1,""),""),ROW()-ROW(A$21)+1))),","),"")</f>
        <v/>
      </c>
      <c r="M31" s="0" t="str">
        <f aca="false" t="array" ref="M31:M31">IFERROR(CONCATENATE((INDEX($A$7:$A$19,SMALL(IF($N$7:$N$19&lt;&gt;"",IF($K$7:$K$19&lt;&gt;"",ROW($K$7:$K$19)-MIN(ROW($K$7:$K$19))+1,""),""),ROW()-ROW(A$21)+1))),),"")</f>
        <v/>
      </c>
      <c r="Q31" s="0" t="str">
        <f aca="false" t="array" ref="Q31:Q31">IFERROR(CONCATENATE((INDEX($T$7:$T$19,SMALL(IF($T$7:$T$19&lt;&gt;"",IF($Q$7:$Q$19&lt;&gt;"",ROW($Q$7:$Q$19)-MIN(ROW($Q$7:$Q$19))+1,""),""),ROW()-ROW(A$21)+1)))," "),"")</f>
        <v/>
      </c>
      <c r="R31" s="0" t="str">
        <f aca="false" t="array" ref="R31:R31">IFERROR(CONCATENATE(TEXT(INDEX($Q$7:$Q$19,SMALL(IF($T$7:$T$19&lt;&gt;"",IF($Q$7:$Q$19&lt;&gt;"",ROW($Q$7:$Q$19)-MIN(ROW($Q$7:$Q$19))+1,""),""),ROW()-ROW(A$21)+1)),"##0")," "),"")</f>
        <v/>
      </c>
      <c r="S31" s="0" t="str">
        <f aca="false" t="array" ref="S31:S31">IFERROR(CONCATENATE((INDEX($A$7:$A$19,SMALL(IF($T$7:$T$19&lt;&gt;"",IF($Q$7:$Q$19&lt;&gt;"",ROW($Q$7:$Q$19)-MIN(ROW($Q$7:$Q$19))+1,""),""),ROW()-ROW(A$21)+1))),),"")</f>
        <v/>
      </c>
      <c r="W31" s="0" t="str">
        <f aca="false" t="array" ref="W31:W31">IFERROR(CONCATENATE((INDEX($Z$7:$Z$19,SMALL(IF($Z$7:$Z$19&lt;&gt;"",IF($W$7:$W$19&lt;&gt;"",ROW($W$7:$W$19)-MIN(ROW($W$7:$W$19))+1,""),""),ROW()-ROW(A$21)+1))),","),"")</f>
        <v/>
      </c>
      <c r="X31" s="0" t="str">
        <f aca="false" t="array" ref="X31:X31">IFERROR(CONCATENATE(TEXT(INDEX($W$7:$W$19,SMALL(IF($Z$7:$Z$19&lt;&gt;"",IF($W$7:$W$19&lt;&gt;"",ROW($W$7:$W$19)-MIN(ROW($W$7:$W$19))+1,""),""),ROW()-ROW(A$21)+1)),"##0"),","),"")</f>
        <v/>
      </c>
      <c r="Y31" s="0" t="str">
        <f aca="false" t="array" ref="Y31:Y31">IFERROR(CONCATENATE((INDEX($A$7:$A$19,SMALL(IF($Z$7:$Z$19&lt;&gt;"",IF($W$7:$W$19&lt;&gt;"",ROW($W$7:$W$19)-MIN(ROW($W$7:$W$19))+1,""),""),ROW()-ROW(A$21)+1))),),"")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IFERROR(CONCATENATE(TEXT(INDEX($K$7:$K$19,SMALL(IF($N$7:$N$19&lt;&gt;"",IF($K$7:$K$19&lt;&gt;"",ROW($K$7:$K$19)-MIN(ROW($K$7:$K$19))+1,""),""),ROW()-ROW(A$21)+1)),"##0"),","),"")</f>
        <v/>
      </c>
      <c r="L32" s="0" t="str">
        <f aca="false" t="array" ref="L32:L32">IFERROR(CONCATENATE((INDEX($N$7:$N$19,SMALL(IF($N$7:$N$19&lt;&gt;"",IF($K$7:$K$19&lt;&gt;"",ROW($K$7:$K$19)-MIN(ROW($K$7:$K$19))+1,""),""),ROW()-ROW(A$21)+1))),","),"")</f>
        <v/>
      </c>
      <c r="M32" s="0" t="str">
        <f aca="false" t="array" ref="M32:M32">IFERROR(CONCATENATE((INDEX($A$7:$A$19,SMALL(IF($N$7:$N$19&lt;&gt;"",IF($K$7:$K$19&lt;&gt;"",ROW($K$7:$K$19)-MIN(ROW($K$7:$K$19))+1,""),""),ROW()-ROW(A$21)+1))),),"")</f>
        <v/>
      </c>
      <c r="Q32" s="0" t="str">
        <f aca="false" t="array" ref="Q32:Q32">IFERROR(CONCATENATE((INDEX($T$7:$T$19,SMALL(IF($T$7:$T$19&lt;&gt;"",IF($Q$7:$Q$19&lt;&gt;"",ROW($Q$7:$Q$19)-MIN(ROW($Q$7:$Q$19))+1,""),""),ROW()-ROW(A$21)+1)))," "),"")</f>
        <v/>
      </c>
      <c r="R32" s="0" t="str">
        <f aca="false" t="array" ref="R32:R32">IFERROR(CONCATENATE(TEXT(INDEX($Q$7:$Q$19,SMALL(IF($T$7:$T$19&lt;&gt;"",IF($Q$7:$Q$19&lt;&gt;"",ROW($Q$7:$Q$19)-MIN(ROW($Q$7:$Q$19))+1,""),""),ROW()-ROW(A$21)+1)),"##0")," "),"")</f>
        <v/>
      </c>
      <c r="S32" s="0" t="str">
        <f aca="false" t="array" ref="S32:S32">IFERROR(CONCATENATE((INDEX($A$7:$A$19,SMALL(IF($T$7:$T$19&lt;&gt;"",IF($Q$7:$Q$19&lt;&gt;"",ROW($Q$7:$Q$19)-MIN(ROW($Q$7:$Q$19))+1,""),""),ROW()-ROW(A$21)+1))),),"")</f>
        <v/>
      </c>
      <c r="W32" s="0" t="str">
        <f aca="false" t="array" ref="W32:W32">IFERROR(CONCATENATE((INDEX($Z$7:$Z$19,SMALL(IF($Z$7:$Z$19&lt;&gt;"",IF($W$7:$W$19&lt;&gt;"",ROW($W$7:$W$19)-MIN(ROW($W$7:$W$19))+1,""),""),ROW()-ROW(A$21)+1))),","),"")</f>
        <v/>
      </c>
      <c r="X32" s="0" t="str">
        <f aca="false" t="array" ref="X32:X32">IFERROR(CONCATENATE(TEXT(INDEX($W$7:$W$19,SMALL(IF($Z$7:$Z$19&lt;&gt;"",IF($W$7:$W$19&lt;&gt;"",ROW($W$7:$W$19)-MIN(ROW($W$7:$W$19))+1,""),""),ROW()-ROW(A$21)+1)),"##0"),","),"")</f>
        <v/>
      </c>
      <c r="Y32" s="0" t="str">
        <f aca="false" t="array" ref="Y32:Y32">IFERROR(CONCATENATE((INDEX($A$7:$A$19,SMALL(IF($Z$7:$Z$19&lt;&gt;"",IF($W$7:$W$19&lt;&gt;"",ROW($W$7:$W$19)-MIN(ROW($W$7:$W$19))+1,""),""),ROW()-ROW(A$21)+1))),),"")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IFERROR(CONCATENATE(TEXT(INDEX($K$7:$K$19,SMALL(IF($N$7:$N$19&lt;&gt;"",IF($K$7:$K$19&lt;&gt;"",ROW($K$7:$K$19)-MIN(ROW($K$7:$K$19))+1,""),""),ROW()-ROW(A$21)+1)),"##0"),","),"")</f>
        <v/>
      </c>
      <c r="L33" s="0" t="str">
        <f aca="false" t="array" ref="L33:L33">IFERROR(CONCATENATE((INDEX($N$7:$N$19,SMALL(IF($N$7:$N$19&lt;&gt;"",IF($K$7:$K$19&lt;&gt;"",ROW($K$7:$K$19)-MIN(ROW($K$7:$K$19))+1,""),""),ROW()-ROW(A$21)+1))),","),"")</f>
        <v/>
      </c>
      <c r="M33" s="0" t="str">
        <f aca="false" t="array" ref="M33:M33">IFERROR(CONCATENATE((INDEX($A$7:$A$19,SMALL(IF($N$7:$N$19&lt;&gt;"",IF($K$7:$K$19&lt;&gt;"",ROW($K$7:$K$19)-MIN(ROW($K$7:$K$19))+1,""),""),ROW()-ROW(A$21)+1))),),"")</f>
        <v/>
      </c>
      <c r="Q33" s="0" t="str">
        <f aca="false" t="array" ref="Q33:Q33">IFERROR(CONCATENATE((INDEX($T$7:$T$19,SMALL(IF($T$7:$T$19&lt;&gt;"",IF($Q$7:$Q$19&lt;&gt;"",ROW($Q$7:$Q$19)-MIN(ROW($Q$7:$Q$19))+1,""),""),ROW()-ROW(A$21)+1)))," "),"")</f>
        <v/>
      </c>
      <c r="R33" s="0" t="str">
        <f aca="false" t="array" ref="R33:R33">IFERROR(CONCATENATE(TEXT(INDEX($Q$7:$Q$19,SMALL(IF($T$7:$T$19&lt;&gt;"",IF($Q$7:$Q$19&lt;&gt;"",ROW($Q$7:$Q$19)-MIN(ROW($Q$7:$Q$19))+1,""),""),ROW()-ROW(A$21)+1)),"##0")," "),"")</f>
        <v/>
      </c>
      <c r="S33" s="0" t="str">
        <f aca="false" t="array" ref="S33:S33">IFERROR(CONCATENATE((INDEX($A$7:$A$19,SMALL(IF($T$7:$T$19&lt;&gt;"",IF($Q$7:$Q$19&lt;&gt;"",ROW($Q$7:$Q$19)-MIN(ROW($Q$7:$Q$19))+1,""),""),ROW()-ROW(A$21)+1))),),"")</f>
        <v/>
      </c>
      <c r="W33" s="0" t="str">
        <f aca="false" t="array" ref="W33:W33">IFERROR(CONCATENATE((INDEX($Z$7:$Z$19,SMALL(IF($Z$7:$Z$19&lt;&gt;"",IF($W$7:$W$19&lt;&gt;"",ROW($W$7:$W$19)-MIN(ROW($W$7:$W$19))+1,""),""),ROW()-ROW(A$21)+1))),","),"")</f>
        <v/>
      </c>
      <c r="X33" s="0" t="str">
        <f aca="false" t="array" ref="X33:X33">IFERROR(CONCATENATE(TEXT(INDEX($W$7:$W$19,SMALL(IF($Z$7:$Z$19&lt;&gt;"",IF($W$7:$W$19&lt;&gt;"",ROW($W$7:$W$19)-MIN(ROW($W$7:$W$19))+1,""),""),ROW()-ROW(A$21)+1)),"##0"),","),"")</f>
        <v/>
      </c>
      <c r="Y33" s="0" t="str">
        <f aca="false" t="array" ref="Y33:Y33">IFERROR(CONCATENATE((INDEX($A$7:$A$19,SMALL(IF($Z$7:$Z$19&lt;&gt;"",IF($W$7:$W$19&lt;&gt;"",ROW($W$7:$W$19)-MIN(ROW($W$7:$W$19))+1,""),""),ROW()-ROW(A$21)+1))),),"")</f>
        <v/>
      </c>
    </row>
  </sheetData>
  <mergeCells count="4">
    <mergeCell ref="A5:I5"/>
    <mergeCell ref="J5:O5"/>
    <mergeCell ref="P5:U5"/>
    <mergeCell ref="V5:AA5"/>
  </mergeCells>
  <conditionalFormatting sqref="L11">
    <cfRule type="cellIs" priority="2" operator="lessThanOrEqual" aboveAverage="0" equalAverage="0" bottom="0" percent="0" rank="0" text="" dxfId="0">
      <formula>H11</formula>
    </cfRule>
  </conditionalFormatting>
  <conditionalFormatting sqref="L12">
    <cfRule type="cellIs" priority="3" operator="lessThanOrEqual" aboveAverage="0" equalAverage="0" bottom="0" percent="0" rank="0" text="" dxfId="0">
      <formula>H12</formula>
    </cfRule>
  </conditionalFormatting>
  <conditionalFormatting sqref="L13">
    <cfRule type="cellIs" priority="4" operator="lessThanOrEqual" aboveAverage="0" equalAverage="0" bottom="0" percent="0" rank="0" text="" dxfId="0">
      <formula>H13</formula>
    </cfRule>
  </conditionalFormatting>
  <conditionalFormatting sqref="L14">
    <cfRule type="cellIs" priority="5" operator="lessThanOrEqual" aboveAverage="0" equalAverage="0" bottom="0" percent="0" rank="0" text="" dxfId="0">
      <formula>H14</formula>
    </cfRule>
  </conditionalFormatting>
  <conditionalFormatting sqref="L15">
    <cfRule type="cellIs" priority="6" operator="lessThanOrEqual" aboveAverage="0" equalAverage="0" bottom="0" percent="0" rank="0" text="" dxfId="0">
      <formula>H15</formula>
    </cfRule>
  </conditionalFormatting>
  <conditionalFormatting sqref="L16">
    <cfRule type="cellIs" priority="7" operator="lessThanOrEqual" aboveAverage="0" equalAverage="0" bottom="0" percent="0" rank="0" text="" dxfId="0">
      <formula>H16</formula>
    </cfRule>
  </conditionalFormatting>
  <conditionalFormatting sqref="L17">
    <cfRule type="cellIs" priority="8" operator="lessThanOrEqual" aboveAverage="0" equalAverage="0" bottom="0" percent="0" rank="0" text="" dxfId="0">
      <formula>H17</formula>
    </cfRule>
  </conditionalFormatting>
  <conditionalFormatting sqref="L19">
    <cfRule type="cellIs" priority="9" operator="lessThanOrEqual" aboveAverage="0" equalAverage="0" bottom="0" percent="0" rank="0" text="" dxfId="0">
      <formula>H19</formula>
    </cfRule>
  </conditionalFormatting>
  <conditionalFormatting sqref="L9">
    <cfRule type="cellIs" priority="10" operator="lessThanOrEqual" aboveAverage="0" equalAverage="0" bottom="0" percent="0" rank="0" text="" dxfId="0">
      <formula>H9</formula>
    </cfRule>
  </conditionalFormatting>
  <conditionalFormatting sqref="M11">
    <cfRule type="cellIs" priority="11" operator="lessThanOrEqual" aboveAverage="0" equalAverage="0" bottom="0" percent="0" rank="0" text="" dxfId="0">
      <formula>I11</formula>
    </cfRule>
  </conditionalFormatting>
  <conditionalFormatting sqref="M12">
    <cfRule type="cellIs" priority="12" operator="lessThanOrEqual" aboveAverage="0" equalAverage="0" bottom="0" percent="0" rank="0" text="" dxfId="0">
      <formula>I12</formula>
    </cfRule>
  </conditionalFormatting>
  <conditionalFormatting sqref="M13">
    <cfRule type="cellIs" priority="13" operator="lessThanOrEqual" aboveAverage="0" equalAverage="0" bottom="0" percent="0" rank="0" text="" dxfId="0">
      <formula>I13</formula>
    </cfRule>
  </conditionalFormatting>
  <conditionalFormatting sqref="M14">
    <cfRule type="cellIs" priority="14" operator="lessThanOrEqual" aboveAverage="0" equalAverage="0" bottom="0" percent="0" rank="0" text="" dxfId="0">
      <formula>I14</formula>
    </cfRule>
  </conditionalFormatting>
  <conditionalFormatting sqref="M15">
    <cfRule type="cellIs" priority="15" operator="lessThanOrEqual" aboveAverage="0" equalAverage="0" bottom="0" percent="0" rank="0" text="" dxfId="0">
      <formula>I15</formula>
    </cfRule>
  </conditionalFormatting>
  <conditionalFormatting sqref="M16">
    <cfRule type="cellIs" priority="16" operator="lessThanOrEqual" aboveAverage="0" equalAverage="0" bottom="0" percent="0" rank="0" text="" dxfId="0">
      <formula>I16</formula>
    </cfRule>
  </conditionalFormatting>
  <conditionalFormatting sqref="M17">
    <cfRule type="cellIs" priority="17" operator="lessThanOrEqual" aboveAverage="0" equalAverage="0" bottom="0" percent="0" rank="0" text="" dxfId="0">
      <formula>I17</formula>
    </cfRule>
  </conditionalFormatting>
  <conditionalFormatting sqref="M19">
    <cfRule type="cellIs" priority="18" operator="lessThanOrEqual" aboveAverage="0" equalAverage="0" bottom="0" percent="0" rank="0" text="" dxfId="0">
      <formula>I19</formula>
    </cfRule>
  </conditionalFormatting>
  <conditionalFormatting sqref="M7:M9">
    <cfRule type="cellIs" priority="19" operator="lessThanOrEqual" aboveAverage="0" equalAverage="0" bottom="0" percent="0" rank="0" text="" dxfId="0">
      <formula>I9</formula>
    </cfRule>
  </conditionalFormatting>
  <conditionalFormatting sqref="R10">
    <cfRule type="cellIs" priority="20" operator="lessThanOrEqual" aboveAverage="0" equalAverage="0" bottom="0" percent="0" rank="0" text="" dxfId="0">
      <formula>H10</formula>
    </cfRule>
  </conditionalFormatting>
  <conditionalFormatting sqref="R11">
    <cfRule type="cellIs" priority="21" operator="lessThanOrEqual" aboveAverage="0" equalAverage="0" bottom="0" percent="0" rank="0" text="" dxfId="0">
      <formula>H11</formula>
    </cfRule>
  </conditionalFormatting>
  <conditionalFormatting sqref="R12">
    <cfRule type="cellIs" priority="22" operator="lessThanOrEqual" aboveAverage="0" equalAverage="0" bottom="0" percent="0" rank="0" text="" dxfId="0">
      <formula>H12</formula>
    </cfRule>
  </conditionalFormatting>
  <conditionalFormatting sqref="R13">
    <cfRule type="cellIs" priority="23" operator="lessThanOrEqual" aboveAverage="0" equalAverage="0" bottom="0" percent="0" rank="0" text="" dxfId="0">
      <formula>H13</formula>
    </cfRule>
  </conditionalFormatting>
  <conditionalFormatting sqref="R14">
    <cfRule type="cellIs" priority="24" operator="lessThanOrEqual" aboveAverage="0" equalAverage="0" bottom="0" percent="0" rank="0" text="" dxfId="0">
      <formula>H14</formula>
    </cfRule>
  </conditionalFormatting>
  <conditionalFormatting sqref="R15">
    <cfRule type="cellIs" priority="25" operator="lessThanOrEqual" aboveAverage="0" equalAverage="0" bottom="0" percent="0" rank="0" text="" dxfId="0">
      <formula>H15</formula>
    </cfRule>
  </conditionalFormatting>
  <conditionalFormatting sqref="R17">
    <cfRule type="cellIs" priority="26" operator="lessThanOrEqual" aboveAverage="0" equalAverage="0" bottom="0" percent="0" rank="0" text="" dxfId="0">
      <formula>H17</formula>
    </cfRule>
  </conditionalFormatting>
  <conditionalFormatting sqref="R9">
    <cfRule type="cellIs" priority="27" operator="lessThanOrEqual" aboveAverage="0" equalAverage="0" bottom="0" percent="0" rank="0" text="" dxfId="0">
      <formula>H9</formula>
    </cfRule>
  </conditionalFormatting>
  <conditionalFormatting sqref="S10">
    <cfRule type="cellIs" priority="28" operator="lessThanOrEqual" aboveAverage="0" equalAverage="0" bottom="0" percent="0" rank="0" text="" dxfId="0">
      <formula>I10</formula>
    </cfRule>
  </conditionalFormatting>
  <conditionalFormatting sqref="S11">
    <cfRule type="cellIs" priority="29" operator="lessThanOrEqual" aboveAverage="0" equalAverage="0" bottom="0" percent="0" rank="0" text="" dxfId="0">
      <formula>I11</formula>
    </cfRule>
  </conditionalFormatting>
  <conditionalFormatting sqref="S12">
    <cfRule type="cellIs" priority="30" operator="lessThanOrEqual" aboveAverage="0" equalAverage="0" bottom="0" percent="0" rank="0" text="" dxfId="0">
      <formula>I12</formula>
    </cfRule>
  </conditionalFormatting>
  <conditionalFormatting sqref="S13">
    <cfRule type="cellIs" priority="31" operator="lessThanOrEqual" aboveAverage="0" equalAverage="0" bottom="0" percent="0" rank="0" text="" dxfId="0">
      <formula>I13</formula>
    </cfRule>
  </conditionalFormatting>
  <conditionalFormatting sqref="S14">
    <cfRule type="cellIs" priority="32" operator="lessThanOrEqual" aboveAverage="0" equalAverage="0" bottom="0" percent="0" rank="0" text="" dxfId="0">
      <formula>I14</formula>
    </cfRule>
  </conditionalFormatting>
  <conditionalFormatting sqref="S15">
    <cfRule type="cellIs" priority="33" operator="lessThanOrEqual" aboveAverage="0" equalAverage="0" bottom="0" percent="0" rank="0" text="" dxfId="0">
      <formula>I15</formula>
    </cfRule>
  </conditionalFormatting>
  <conditionalFormatting sqref="S17">
    <cfRule type="cellIs" priority="34" operator="lessThanOrEqual" aboveAverage="0" equalAverage="0" bottom="0" percent="0" rank="0" text="" dxfId="0">
      <formula>I17</formula>
    </cfRule>
  </conditionalFormatting>
  <conditionalFormatting sqref="S9">
    <cfRule type="cellIs" priority="35" operator="lessThanOrEqual" aboveAverage="0" equalAverage="0" bottom="0" percent="0" rank="0" text="" dxfId="0">
      <formula>I9</formula>
    </cfRule>
  </conditionalFormatting>
  <conditionalFormatting sqref="X11">
    <cfRule type="cellIs" priority="36" operator="lessThanOrEqual" aboveAverage="0" equalAverage="0" bottom="0" percent="0" rank="0" text="" dxfId="0">
      <formula>H11</formula>
    </cfRule>
  </conditionalFormatting>
  <conditionalFormatting sqref="X12">
    <cfRule type="cellIs" priority="37" operator="lessThanOrEqual" aboveAverage="0" equalAverage="0" bottom="0" percent="0" rank="0" text="" dxfId="0">
      <formula>H12</formula>
    </cfRule>
  </conditionalFormatting>
  <conditionalFormatting sqref="X13">
    <cfRule type="cellIs" priority="38" operator="lessThanOrEqual" aboveAverage="0" equalAverage="0" bottom="0" percent="0" rank="0" text="" dxfId="0">
      <formula>H13</formula>
    </cfRule>
  </conditionalFormatting>
  <conditionalFormatting sqref="X14">
    <cfRule type="cellIs" priority="39" operator="lessThanOrEqual" aboveAverage="0" equalAverage="0" bottom="0" percent="0" rank="0" text="" dxfId="0">
      <formula>H14</formula>
    </cfRule>
  </conditionalFormatting>
  <conditionalFormatting sqref="X15">
    <cfRule type="cellIs" priority="40" operator="lessThanOrEqual" aboveAverage="0" equalAverage="0" bottom="0" percent="0" rank="0" text="" dxfId="0">
      <formula>H15</formula>
    </cfRule>
  </conditionalFormatting>
  <conditionalFormatting sqref="X17">
    <cfRule type="cellIs" priority="41" operator="lessThanOrEqual" aboveAverage="0" equalAverage="0" bottom="0" percent="0" rank="0" text="" dxfId="0">
      <formula>H17</formula>
    </cfRule>
  </conditionalFormatting>
  <conditionalFormatting sqref="X19">
    <cfRule type="cellIs" priority="42" operator="lessThanOrEqual" aboveAverage="0" equalAverage="0" bottom="0" percent="0" rank="0" text="" dxfId="0">
      <formula>H19</formula>
    </cfRule>
  </conditionalFormatting>
  <conditionalFormatting sqref="X9">
    <cfRule type="cellIs" priority="43" operator="lessThanOrEqual" aboveAverage="0" equalAverage="0" bottom="0" percent="0" rank="0" text="" dxfId="0">
      <formula>H9</formula>
    </cfRule>
  </conditionalFormatting>
  <conditionalFormatting sqref="Y11">
    <cfRule type="cellIs" priority="44" operator="lessThanOrEqual" aboveAverage="0" equalAverage="0" bottom="0" percent="0" rank="0" text="" dxfId="0">
      <formula>I11</formula>
    </cfRule>
  </conditionalFormatting>
  <conditionalFormatting sqref="Y12">
    <cfRule type="cellIs" priority="45" operator="lessThanOrEqual" aboveAverage="0" equalAverage="0" bottom="0" percent="0" rank="0" text="" dxfId="0">
      <formula>I12</formula>
    </cfRule>
  </conditionalFormatting>
  <conditionalFormatting sqref="Y13">
    <cfRule type="cellIs" priority="46" operator="lessThanOrEqual" aboveAverage="0" equalAverage="0" bottom="0" percent="0" rank="0" text="" dxfId="0">
      <formula>I13</formula>
    </cfRule>
  </conditionalFormatting>
  <conditionalFormatting sqref="Y14">
    <cfRule type="cellIs" priority="47" operator="lessThanOrEqual" aboveAverage="0" equalAverage="0" bottom="0" percent="0" rank="0" text="" dxfId="0">
      <formula>I14</formula>
    </cfRule>
  </conditionalFormatting>
  <conditionalFormatting sqref="Y15">
    <cfRule type="cellIs" priority="48" operator="lessThanOrEqual" aboveAverage="0" equalAverage="0" bottom="0" percent="0" rank="0" text="" dxfId="0">
      <formula>I15</formula>
    </cfRule>
  </conditionalFormatting>
  <conditionalFormatting sqref="Y17">
    <cfRule type="cellIs" priority="49" operator="lessThanOrEqual" aboveAverage="0" equalAverage="0" bottom="0" percent="0" rank="0" text="" dxfId="0">
      <formula>I17</formula>
    </cfRule>
  </conditionalFormatting>
  <conditionalFormatting sqref="Y19">
    <cfRule type="cellIs" priority="50" operator="lessThanOrEqual" aboveAverage="0" equalAverage="0" bottom="0" percent="0" rank="0" text="" dxfId="0">
      <formula>I19</formula>
    </cfRule>
  </conditionalFormatting>
  <conditionalFormatting sqref="Y9">
    <cfRule type="cellIs" priority="51" operator="lessThanOrEqual" aboveAverage="0" equalAverage="0" bottom="0" percent="0" rank="0" text="" dxfId="0">
      <formula>I9</formula>
    </cfRule>
  </conditionalFormatting>
  <hyperlinks>
    <hyperlink ref="O9" r:id="rId2" display="Link"/>
    <hyperlink ref="U9" r:id="rId3" display="Link"/>
    <hyperlink ref="AA9" r:id="rId4" display="Link"/>
    <hyperlink ref="U10" r:id="rId5" display="Link"/>
    <hyperlink ref="O11" r:id="rId6" display="Link"/>
    <hyperlink ref="U11" r:id="rId7" display="Link"/>
    <hyperlink ref="AA11" r:id="rId8" display="Link"/>
    <hyperlink ref="O12" r:id="rId9" display="Link"/>
    <hyperlink ref="U12" r:id="rId10" display="Link"/>
    <hyperlink ref="AA12" r:id="rId11" display="Link"/>
    <hyperlink ref="O13" r:id="rId12" display="Link"/>
    <hyperlink ref="U13" r:id="rId13" display="Link"/>
    <hyperlink ref="AA13" r:id="rId14" display="Link"/>
    <hyperlink ref="O14" r:id="rId15" display="Link"/>
    <hyperlink ref="U14" r:id="rId16" display="Link"/>
    <hyperlink ref="AA14" r:id="rId17" display="Link"/>
    <hyperlink ref="O15" r:id="rId18" display="Link"/>
    <hyperlink ref="U15" r:id="rId19" display="Link"/>
    <hyperlink ref="AA15" r:id="rId20" display="Link"/>
    <hyperlink ref="O16" r:id="rId21" display="Link"/>
    <hyperlink ref="O17" r:id="rId22" display="Link"/>
    <hyperlink ref="U17" r:id="rId23" display="Link"/>
    <hyperlink ref="AA17" r:id="rId24" display="Link"/>
    <hyperlink ref="O19" r:id="rId25" display="Link"/>
    <hyperlink ref="AA19" r:id="rId26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2016-05-04T15:11:44Z</dcterms:created>
  <dc:language>en-US</dc:language>
  <cp:lastModifiedBy>Abhimanyu </cp:lastModifiedBy>
  <dcterms:modified xsi:type="dcterms:W3CDTF">2016-05-04T15:18:41Z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