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KiCost!$J$5:$O$13</definedName>
    <definedName name="global_part_data">KiCost!$A$5:$I$13</definedName>
    <definedName name="mouser_part_data">KiCost!$P$5:$U$13</definedName>
    <definedName name="newark_part_data">KiCost!$V$5:$AA$13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<sst xmlns="http://schemas.openxmlformats.org/spreadsheetml/2006/main" count="100" uniqueCount="68">
  <si>
    <t>Global Part Info</t>
  </si>
  <si>
    <t>Ext$</t>
  </si>
  <si>
    <t>Value</t>
  </si>
  <si>
    <t>Unit$</t>
  </si>
  <si>
    <t>Desc</t>
  </si>
  <si>
    <t>Qty</t>
  </si>
  <si>
    <t>Footprint</t>
  </si>
  <si>
    <t>Refs</t>
  </si>
  <si>
    <t>Manf</t>
  </si>
  <si>
    <t>Manf#</t>
  </si>
  <si>
    <t>R1</t>
  </si>
  <si>
    <t>10K</t>
  </si>
  <si>
    <t>Resistors_SMD:R_0603</t>
  </si>
  <si>
    <t>RC0603FR-0710KL</t>
  </si>
  <si>
    <t>U1</t>
  </si>
  <si>
    <t>FT232RL</t>
  </si>
  <si>
    <t>Housings_SSOP:SSOP-28_5.3x10.2mm_Pitch0.65mm</t>
  </si>
  <si>
    <t>FT232RL-REEL</t>
  </si>
  <si>
    <t>P1</t>
  </si>
  <si>
    <t>USB_OTG</t>
  </si>
  <si>
    <t>Connect:USB_Micro-B</t>
  </si>
  <si>
    <t>10118193-0001LF</t>
  </si>
  <si>
    <t>L1</t>
  </si>
  <si>
    <t>40 Ohm FB</t>
  </si>
  <si>
    <t>Capacitors_SMD:C_0805</t>
  </si>
  <si>
    <t>MI0805K400R-10</t>
  </si>
  <si>
    <t>J1</t>
  </si>
  <si>
    <t>DB9</t>
  </si>
  <si>
    <t>Connect:DB9MC</t>
  </si>
  <si>
    <t>182-009-113R531</t>
  </si>
  <si>
    <t>C1</t>
  </si>
  <si>
    <t>10 nF</t>
  </si>
  <si>
    <t>Capacitors_SMD:C_0402</t>
  </si>
  <si>
    <t>C1005X7R1H103K050BE</t>
  </si>
  <si>
    <t>C2-C4</t>
  </si>
  <si>
    <t>0.1 uF</t>
  </si>
  <si>
    <t>Capacitors_SMD:C_0603</t>
  </si>
  <si>
    <t>GRM188R71E104KA01D</t>
  </si>
  <si>
    <t>Board Qty:</t>
  </si>
  <si>
    <t>Total Cost:</t>
  </si>
  <si>
    <t>Unit Cost:</t>
  </si>
  <si>
    <t>Digi-Key</t>
  </si>
  <si>
    <t>Avail</t>
  </si>
  <si>
    <t>Cat#</t>
  </si>
  <si>
    <t>Purch</t>
  </si>
  <si>
    <t>Doc</t>
  </si>
  <si>
    <t>311-10.0KHRCT-ND</t>
  </si>
  <si>
    <t>Link</t>
  </si>
  <si>
    <t>768-1007-1-ND</t>
  </si>
  <si>
    <t>609-4616-1-ND</t>
  </si>
  <si>
    <t>240-2389-1-ND</t>
  </si>
  <si>
    <t>182-09ME-ND</t>
  </si>
  <si>
    <t>445-173623-1-ND</t>
  </si>
  <si>
    <t>490-1524-1-ND</t>
  </si>
  <si>
    <t>Mouser</t>
  </si>
  <si>
    <t>603-RC0603FR-0710KL</t>
  </si>
  <si>
    <t>895-FT232RL</t>
  </si>
  <si>
    <t>649-10118193-0001LF</t>
  </si>
  <si>
    <t>875-MI0805K400R-10</t>
  </si>
  <si>
    <t>636-182-009-113R531</t>
  </si>
  <si>
    <t>810-C1005X7R1H103KBE</t>
  </si>
  <si>
    <t>81-GRM39X104K25</t>
  </si>
  <si>
    <t>Newark</t>
  </si>
  <si>
    <t>68R0049</t>
  </si>
  <si>
    <t>67T2259</t>
  </si>
  <si>
    <t>67W0066</t>
  </si>
  <si>
    <t>40Y5591</t>
  </si>
  <si>
    <t>14T3317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</si>
</sst>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RC0603FR-0710KL/311-10.0KHRCT-ND/729827" TargetMode="External"/><Relationship Id="rId2" Type="http://schemas.openxmlformats.org/officeDocument/2006/relationships/hyperlink" Target="http://www.mouser.com/Search/Refine.aspx?Keyword=RC0603FR-0710KL" TargetMode="External"/><Relationship Id="rId3" Type="http://schemas.openxmlformats.org/officeDocument/2006/relationships/hyperlink" Target="http://www.newark.com/yageo/rc0603fr-0710kl/res-thick-film-10k-1-0-1w-0603/dp/68R0049/false" TargetMode="External"/><Relationship Id="rId4" Type="http://schemas.openxmlformats.org/officeDocument/2006/relationships/hyperlink" Target="http://www.digikey.com/product-detail/en/ftdi-future-technology-devices-international-ltd/FT232RL-REEL/768-1007-1-ND/1836402" TargetMode="External"/><Relationship Id="rId5" Type="http://schemas.openxmlformats.org/officeDocument/2006/relationships/hyperlink" Target="http://www.mouser.com/Search/../ProductDetail/FTDI/FT232RL-REEL/?qs=sGAEpiMZZMtv%252bwxsgy%2fhiB6Z76KqffMClqcDgIugTZc%3d" TargetMode="External"/><Relationship Id="rId6" Type="http://schemas.openxmlformats.org/officeDocument/2006/relationships/hyperlink" Target="http://www.digikey.com/product-detail/en/amphenol-fci/10118193-0001LF/609-4616-1-ND/2785380" TargetMode="External"/><Relationship Id="rId7" Type="http://schemas.openxmlformats.org/officeDocument/2006/relationships/hyperlink" Target="http://www.mouser.com/Search/Refine.aspx?Keyword=10118193-0001LF" TargetMode="External"/><Relationship Id="rId8" Type="http://schemas.openxmlformats.org/officeDocument/2006/relationships/hyperlink" Target="http://www.newark.com/webapp/wcs/stores/servlet/Search?catalogId=15003&amp;langId=-1&amp;storeId=10194&amp;gs=true&amp;st=10118193-0001LF" TargetMode="External"/><Relationship Id="rId9" Type="http://schemas.openxmlformats.org/officeDocument/2006/relationships/hyperlink" Target="http://www.digikey.com/product-detail/en/laird-signal-integrity-products/MI0805K400R-10/240-2389-1-ND/806749" TargetMode="External"/><Relationship Id="rId10" Type="http://schemas.openxmlformats.org/officeDocument/2006/relationships/hyperlink" Target="http://www.mouser.com/Search/Refine.aspx?Keyword=MI0805K400R-10" TargetMode="External"/><Relationship Id="rId11" Type="http://schemas.openxmlformats.org/officeDocument/2006/relationships/hyperlink" Target="http://www.newark.com/webapp/wcs/stores/servlet/Search?catalogId=15003&amp;langId=-1&amp;storeId=10194&amp;gs=true&amp;st=MI0805K400R-10" TargetMode="External"/><Relationship Id="rId12" Type="http://schemas.openxmlformats.org/officeDocument/2006/relationships/hyperlink" Target="http://www.digikey.com/scripts/DkSearch/dksus.dll?WT.z_header=search_go&amp;lang=en&amp;keywords=182-009-113R531" TargetMode="External"/><Relationship Id="rId13" Type="http://schemas.openxmlformats.org/officeDocument/2006/relationships/hyperlink" Target="http://www.mouser.com/Search/Refine.aspx?Keyword=182-009-113R531" TargetMode="External"/><Relationship Id="rId14" Type="http://schemas.openxmlformats.org/officeDocument/2006/relationships/hyperlink" Target="http://www.newark.com/webapp/wcs/stores/servlet/Search?catalogId=15003&amp;langId=-1&amp;storeId=10194&amp;gs=true&amp;st=182-009-113R531" TargetMode="External"/><Relationship Id="rId15" Type="http://schemas.openxmlformats.org/officeDocument/2006/relationships/hyperlink" Target="http://www.digikey.com/product-detail/en/tdk-corporation/C1005X7R1H103K050BE/445-173623-1-ND/5809694" TargetMode="External"/><Relationship Id="rId16" Type="http://schemas.openxmlformats.org/officeDocument/2006/relationships/hyperlink" Target="http://www.mouser.com/Search/Refine.aspx?Keyword=C1005X7R1H103K050BE" TargetMode="External"/><Relationship Id="rId17" Type="http://schemas.openxmlformats.org/officeDocument/2006/relationships/hyperlink" Target="http://www.digikey.com/product-detail/en/murata-electronics-north-america/GRM188R71E104KA01D/490-1524-1-ND/587865" TargetMode="External"/><Relationship Id="rId18" Type="http://schemas.openxmlformats.org/officeDocument/2006/relationships/hyperlink" Target="http://www.mouser.com/Search/Refine.aspx?Keyword=GRM188R71E104KA01D" TargetMode="External"/><Relationship Id="rId19" Type="http://schemas.openxmlformats.org/officeDocument/2006/relationships/hyperlink" Target="http://www.newark.com/murata/grm188r71e104ka01d/capacitor-ceramic-0-1uf-10-25v/dp/14T3317/false" TargetMode="Externa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38</v>
      </c>
      <c r="I1" s="2">
        <v>100</v>
      </c>
    </row>
    <row r="2" spans="1:27">
      <c r="H2" s="3" t="s">
        <v>39</v>
      </c>
      <c r="I2" s="4">
        <f>sum(I7:I13)</f>
        <v>0</v>
      </c>
      <c r="M2" s="4">
        <f>sum(M7:M13)</f>
        <v>0</v>
      </c>
      <c r="S2" s="4">
        <f>sum(S7:S13)</f>
        <v>0</v>
      </c>
      <c r="Y2" s="4">
        <f>sum(Y7:Y13)</f>
        <v>0</v>
      </c>
    </row>
    <row r="3" spans="1:27">
      <c r="H3" s="3" t="s">
        <v>40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41</v>
      </c>
      <c r="K5" s="7"/>
      <c r="L5" s="7"/>
      <c r="M5" s="7"/>
      <c r="N5" s="7"/>
      <c r="O5" s="7"/>
      <c r="P5" s="8" t="s">
        <v>54</v>
      </c>
      <c r="Q5" s="8"/>
      <c r="R5" s="8"/>
      <c r="S5" s="8"/>
      <c r="T5" s="8"/>
      <c r="U5" s="8"/>
      <c r="V5" s="9" t="s">
        <v>62</v>
      </c>
      <c r="W5" s="9"/>
      <c r="X5" s="9"/>
      <c r="Y5" s="9"/>
      <c r="Z5" s="9"/>
      <c r="AA5" s="9"/>
    </row>
    <row r="6" spans="1:27">
      <c r="A6" s="10" t="s">
        <v>7</v>
      </c>
      <c r="B6" s="10" t="s">
        <v>2</v>
      </c>
      <c r="C6" s="10" t="s">
        <v>4</v>
      </c>
      <c r="D6" s="10" t="s">
        <v>6</v>
      </c>
      <c r="E6" s="10" t="s">
        <v>8</v>
      </c>
      <c r="F6" s="10" t="s">
        <v>9</v>
      </c>
      <c r="G6" s="10" t="s">
        <v>5</v>
      </c>
      <c r="H6" s="10" t="s">
        <v>3</v>
      </c>
      <c r="I6" s="10" t="s">
        <v>1</v>
      </c>
      <c r="J6" s="10" t="s">
        <v>42</v>
      </c>
      <c r="K6" s="10" t="s">
        <v>44</v>
      </c>
      <c r="L6" s="10" t="s">
        <v>3</v>
      </c>
      <c r="M6" s="10" t="s">
        <v>1</v>
      </c>
      <c r="N6" s="10" t="s">
        <v>43</v>
      </c>
      <c r="O6" s="10" t="s">
        <v>45</v>
      </c>
      <c r="P6" s="10" t="s">
        <v>42</v>
      </c>
      <c r="Q6" s="10" t="s">
        <v>44</v>
      </c>
      <c r="R6" s="10" t="s">
        <v>3</v>
      </c>
      <c r="S6" s="10" t="s">
        <v>1</v>
      </c>
      <c r="T6" s="10" t="s">
        <v>43</v>
      </c>
      <c r="U6" s="10" t="s">
        <v>45</v>
      </c>
      <c r="V6" s="10" t="s">
        <v>42</v>
      </c>
      <c r="W6" s="10" t="s">
        <v>44</v>
      </c>
      <c r="X6" s="10" t="s">
        <v>3</v>
      </c>
      <c r="Y6" s="10" t="s">
        <v>1</v>
      </c>
      <c r="Z6" s="10" t="s">
        <v>43</v>
      </c>
      <c r="AA6" s="10" t="s">
        <v>45</v>
      </c>
    </row>
    <row r="7" spans="1:27">
      <c r="A7" t="s">
        <v>10</v>
      </c>
      <c r="B7" t="s">
        <v>11</v>
      </c>
      <c r="D7" t="s">
        <v>12</v>
      </c>
      <c r="F7" t="s">
        <v>13</v>
      </c>
      <c r="G7">
        <f>BoardQty*1</f>
        <v>0</v>
      </c>
      <c r="H7" s="11">
        <f>MINA(INDIRECT(ADDRESS(ROW(),COLUMN(mouser_part_data)+2)),INDIRECT(ADDRESS(ROW(),COLUMN(newark_part_data)+2)),INDIRECT(ADDRESS(ROW(),COLUMN(digikey_part_data)+2)))</f>
        <v>0</v>
      </c>
      <c r="I7" s="11">
        <f>iferror(G7*H7,"")</f>
        <v>0</v>
      </c>
      <c r="J7">
        <v>9121011</v>
      </c>
      <c r="L7" s="11">
        <f>iferror(lookup(if(K7="",G7,K7),{0,1,10,25,100,250,500,1000,2500,5000,10000,25000,50000,125000},{0.0,0.1,0.014,0.01,0.0057,0.00436,0.00348,0.00257,0.00223,0.00167,0.00145,0.00128,0.00117,0.00115}),"")</f>
        <v>0</v>
      </c>
      <c r="M7" s="11">
        <f>iferror(if(K7="",G7,K7)*L7,"")</f>
        <v>0</v>
      </c>
      <c r="N7" t="s">
        <v>46</v>
      </c>
      <c r="O7" s="12" t="s">
        <v>47</v>
      </c>
      <c r="P7">
        <v>619790</v>
      </c>
      <c r="R7" s="11">
        <f>iferror(lookup(if(Q7="",G7,Q7),{0,1,10,100,1000,5000,10000},{0.0,0.099,0.01,0.003,0.002,0.002,0.001}),"")</f>
        <v>0</v>
      </c>
      <c r="S7" s="11">
        <f>iferror(if(Q7="",G7,Q7)*R7,"")</f>
        <v>0</v>
      </c>
      <c r="T7" t="s">
        <v>55</v>
      </c>
      <c r="U7" s="12" t="s">
        <v>47</v>
      </c>
      <c r="V7">
        <v>3382</v>
      </c>
      <c r="X7" s="11">
        <f>iferror(lookup(if(W7="",G7,W7),{0,1,10,25,100,250,1000},{0.0,0.08,0.014,0.01,0.006,0.004,0.003}),"")</f>
        <v>0</v>
      </c>
      <c r="Y7" s="11">
        <f>iferror(if(W7="",G7,W7)*X7,"")</f>
        <v>0</v>
      </c>
      <c r="Z7" t="s">
        <v>63</v>
      </c>
      <c r="AA7" s="12" t="s">
        <v>47</v>
      </c>
    </row>
    <row r="8" spans="1:27">
      <c r="A8" t="s">
        <v>14</v>
      </c>
      <c r="B8" t="s">
        <v>15</v>
      </c>
      <c r="D8" t="s">
        <v>16</v>
      </c>
      <c r="F8" t="s">
        <v>17</v>
      </c>
      <c r="G8">
        <f>BoardQty*1</f>
        <v>0</v>
      </c>
      <c r="H8" s="11">
        <f>MINA(INDIRECT(ADDRESS(ROW(),COLUMN(mouser_part_data)+2)),INDIRECT(ADDRESS(ROW(),COLUMN(newark_part_data)+2)),INDIRECT(ADDRESS(ROW(),COLUMN(digikey_part_data)+2)))</f>
        <v>0</v>
      </c>
      <c r="I8" s="11">
        <f>iferror(G8*H8,"")</f>
        <v>0</v>
      </c>
      <c r="J8">
        <v>155486</v>
      </c>
      <c r="L8" s="11">
        <f>iferror(lookup(if(K8="",G8,K8),{0,1,10,50,100,188,250,500,2000},{0.0,4.5,4.05,3.85,3.65,3.65,3.25,2.85,2.65001}),"")</f>
        <v>0</v>
      </c>
      <c r="M8" s="11">
        <f>iferror(if(K8="",G8,K8)*L8,"")</f>
        <v>0</v>
      </c>
      <c r="N8" t="s">
        <v>48</v>
      </c>
      <c r="O8" s="12" t="s">
        <v>47</v>
      </c>
      <c r="P8">
        <v>132944</v>
      </c>
      <c r="R8" s="11">
        <f>iferror(lookup(if(Q8="",G8,Q8),{0,1,10,50,100,250,500,1000,2000,2500},{0.0,4.49,4.03,3.84,3.64,3.24,2.84,2.64,2.64,2.34}),"")</f>
        <v>0</v>
      </c>
      <c r="S8" s="11">
        <f>iferror(if(Q8="",G8,Q8)*R8,"")</f>
        <v>0</v>
      </c>
      <c r="T8" t="s">
        <v>56</v>
      </c>
      <c r="U8" s="12" t="s">
        <v>47</v>
      </c>
    </row>
    <row r="9" spans="1:27">
      <c r="A9" t="s">
        <v>18</v>
      </c>
      <c r="B9" t="s">
        <v>19</v>
      </c>
      <c r="D9" t="s">
        <v>20</v>
      </c>
      <c r="F9" t="s">
        <v>21</v>
      </c>
      <c r="G9">
        <f>BoardQty*1</f>
        <v>0</v>
      </c>
      <c r="H9" s="11">
        <f>MINA(INDIRECT(ADDRESS(ROW(),COLUMN(mouser_part_data)+2)),INDIRECT(ADDRESS(ROW(),COLUMN(newark_part_data)+2)),INDIRECT(ADDRESS(ROW(),COLUMN(digikey_part_data)+2)))</f>
        <v>0</v>
      </c>
      <c r="I9" s="11">
        <f>iferror(G9*H9,"")</f>
        <v>0</v>
      </c>
      <c r="J9">
        <v>105879</v>
      </c>
      <c r="L9" s="11">
        <f>iferror(lookup(if(K9="",G9,K9),{0,1,10,25,50,100,250,500,1200,2400,6000,8400,12000,30000,60000},{0.0,0.46,0.437,0.3744,0.318,0.3056,0.27444,0.26196,0.19845,0.18144,0.1701,0.15876,0.15309,0.15082,0.14742}),"")</f>
        <v>0</v>
      </c>
      <c r="M9" s="11">
        <f>iferror(if(K9="",G9,K9)*L9,"")</f>
        <v>0</v>
      </c>
      <c r="N9" t="s">
        <v>49</v>
      </c>
      <c r="O9" s="12" t="s">
        <v>47</v>
      </c>
      <c r="P9">
        <v>7901</v>
      </c>
      <c r="R9" s="11">
        <f>iferror(lookup(if(Q9="",G9,Q9),{0,1,10,100,500,1000,2500,5000,9600},{0.0,0.404,0.39,0.275,0.234,0.195,0.179,0.174,0.174}),"")</f>
        <v>0</v>
      </c>
      <c r="S9" s="11">
        <f>iferror(if(Q9="",G9,Q9)*R9,"")</f>
        <v>0</v>
      </c>
      <c r="T9" t="s">
        <v>57</v>
      </c>
      <c r="U9" s="12" t="s">
        <v>47</v>
      </c>
      <c r="V9">
        <v>3605</v>
      </c>
      <c r="X9" s="11">
        <f>iferror(lookup(if(W9="",G9,W9),{0,1,10,25,50,100,250,500,1000},{0.0,0.347,0.313,0.278,0.267,0.244,0.232,0.192,0.174}),"")</f>
        <v>0</v>
      </c>
      <c r="Y9" s="11">
        <f>iferror(if(W9="",G9,W9)*X9,"")</f>
        <v>0</v>
      </c>
      <c r="Z9" t="s">
        <v>64</v>
      </c>
      <c r="AA9" s="12" t="s">
        <v>47</v>
      </c>
    </row>
    <row r="10" spans="1:27">
      <c r="A10" t="s">
        <v>22</v>
      </c>
      <c r="B10" t="s">
        <v>23</v>
      </c>
      <c r="D10" t="s">
        <v>24</v>
      </c>
      <c r="F10" t="s">
        <v>25</v>
      </c>
      <c r="G10">
        <f>BoardQty*1</f>
        <v>0</v>
      </c>
      <c r="H10" s="11">
        <f>MINA(INDIRECT(ADDRESS(ROW(),COLUMN(mouser_part_data)+2)),INDIRECT(ADDRESS(ROW(),COLUMN(newark_part_data)+2)),INDIRECT(ADDRESS(ROW(),COLUMN(digikey_part_data)+2)))</f>
        <v>0</v>
      </c>
      <c r="I10" s="11">
        <f>iferror(G10*H10,"")</f>
        <v>0</v>
      </c>
      <c r="J10">
        <v>182788</v>
      </c>
      <c r="L10" s="11">
        <f>iferror(lookup(if(K10="",G10,K10),{0,1,10,25,50,100,250,500,1000,4000,8000,12000,28000,100000},{0.0,0.1,0.079,0.0716,0.0644,0.0472,0.03432,0.03146,0.02717,0.0208,0.01885,0.0182,0.0169,0.01671}),"")</f>
        <v>0</v>
      </c>
      <c r="M10" s="11">
        <f>iferror(if(K10="",G10,K10)*L10,"")</f>
        <v>0</v>
      </c>
      <c r="N10" t="s">
        <v>50</v>
      </c>
      <c r="O10" s="12" t="s">
        <v>47</v>
      </c>
      <c r="P10">
        <v>0</v>
      </c>
      <c r="R10" s="11">
        <f>iferror(lookup(if(Q10="",G10,Q10),{0,1,10,100,1000,4000,48000},{0.0,0.099,0.062,0.029,0.026,0.017,0.016}),"")</f>
        <v>0</v>
      </c>
      <c r="S10" s="11">
        <f>iferror(if(Q10="",G10,Q10)*R10,"")</f>
        <v>0</v>
      </c>
      <c r="T10" t="s">
        <v>58</v>
      </c>
      <c r="U10" s="12" t="s">
        <v>47</v>
      </c>
      <c r="V10">
        <v>57</v>
      </c>
      <c r="X10" s="11">
        <f>iferror(lookup(if(W10="",G10,W10),{0,1,250,500,1000,5000},{0.0,0.055,0.042,0.037,0.034,0.031}),"")</f>
        <v>0</v>
      </c>
      <c r="Y10" s="11">
        <f>iferror(if(W10="",G10,W10)*X10,"")</f>
        <v>0</v>
      </c>
      <c r="Z10" t="s">
        <v>65</v>
      </c>
      <c r="AA10" s="12" t="s">
        <v>47</v>
      </c>
    </row>
    <row r="11" spans="1:27">
      <c r="A11" t="s">
        <v>26</v>
      </c>
      <c r="B11" t="s">
        <v>27</v>
      </c>
      <c r="D11" t="s">
        <v>28</v>
      </c>
      <c r="F11" t="s">
        <v>29</v>
      </c>
      <c r="G11">
        <f>BoardQty*1</f>
        <v>0</v>
      </c>
      <c r="H11" s="11">
        <f>MINA(INDIRECT(ADDRESS(ROW(),COLUMN(mouser_part_data)+2)),INDIRECT(ADDRESS(ROW(),COLUMN(newark_part_data)+2)),INDIRECT(ADDRESS(ROW(),COLUMN(digikey_part_data)+2)))</f>
        <v>0</v>
      </c>
      <c r="I11" s="11">
        <f>iferror(G11*H11,"")</f>
        <v>0</v>
      </c>
      <c r="J11">
        <v>10790</v>
      </c>
      <c r="L11" s="11">
        <f>iferror(lookup(if(K11="",G11,K11),{0,1,10,100,500,1000,5000,10000},{0.0,1.7,1.544,1.323,1.1025,0.945,0.8379,0.819}),"")</f>
        <v>0</v>
      </c>
      <c r="M11" s="11">
        <f>iferror(if(K11="",G11,K11)*L11,"")</f>
        <v>0</v>
      </c>
      <c r="N11" t="s">
        <v>51</v>
      </c>
      <c r="O11" s="12" t="s">
        <v>47</v>
      </c>
      <c r="P11">
        <v>805</v>
      </c>
      <c r="R11" s="11">
        <f>iferror(lookup(if(Q11="",G11,Q11),{0,1,10,50,100,500,1000,5000,10000},{0.0,1.67,1.52,1.36,1.19,1.09,0.932,0.826,0.808}),"")</f>
        <v>0</v>
      </c>
      <c r="S11" s="11">
        <f>iferror(if(Q11="",G11,Q11)*R11,"")</f>
        <v>0</v>
      </c>
      <c r="T11" t="s">
        <v>59</v>
      </c>
      <c r="U11" s="12" t="s">
        <v>47</v>
      </c>
      <c r="V11">
        <v>439</v>
      </c>
      <c r="X11" s="11">
        <f>iferror(lookup(if(W11="",G11,W11),{0,1,10,100,500,1000,5000,10000},{0.0,1.71,1.55,1.33,1.11,0.945,0.838,0.819}),"")</f>
        <v>0</v>
      </c>
      <c r="Y11" s="11">
        <f>iferror(if(W11="",G11,W11)*X11,"")</f>
        <v>0</v>
      </c>
      <c r="Z11" t="s">
        <v>66</v>
      </c>
      <c r="AA11" s="12" t="s">
        <v>47</v>
      </c>
    </row>
    <row r="12" spans="1:27">
      <c r="A12" t="s">
        <v>30</v>
      </c>
      <c r="B12" t="s">
        <v>31</v>
      </c>
      <c r="D12" t="s">
        <v>32</v>
      </c>
      <c r="F12" t="s">
        <v>33</v>
      </c>
      <c r="G12">
        <f>BoardQty*1</f>
        <v>0</v>
      </c>
      <c r="H12" s="11">
        <f>MINA(INDIRECT(ADDRESS(ROW(),COLUMN(mouser_part_data)+2)),INDIRECT(ADDRESS(ROW(),COLUMN(newark_part_data)+2)),INDIRECT(ADDRESS(ROW(),COLUMN(digikey_part_data)+2)))</f>
        <v>0</v>
      </c>
      <c r="I12" s="11">
        <f>iferror(G12*H12,"")</f>
        <v>0</v>
      </c>
      <c r="J12">
        <v>29535</v>
      </c>
      <c r="L12" s="11">
        <f>iferror(lookup(if(K12="",G12,K12),{0,1,10,100,250,500,1000,5000,10000,20000,30000,50000,100000},{0.0,0.18,0.125,0.0594,0.05,0.04188,0.03438,0.02906,0.025,0.02375,0.0225,0.02063,0.01704}),"")</f>
        <v>0</v>
      </c>
      <c r="M12" s="11">
        <f>iferror(if(K12="",G12,K12)*L12,"")</f>
        <v>0</v>
      </c>
      <c r="N12" t="s">
        <v>52</v>
      </c>
      <c r="O12" s="12" t="s">
        <v>47</v>
      </c>
      <c r="P12">
        <v>7398</v>
      </c>
      <c r="R12" s="11">
        <f>iferror(lookup(if(Q12="",G12,Q12),{0,1,10,100,1000,2500,10000,20000,50000,100000},{0.0,0.168,0.071,0.041,0.034,0.025,0.024,0.022,0.021,0.016}),"")</f>
        <v>0</v>
      </c>
      <c r="S12" s="11">
        <f>iferror(if(Q12="",G12,Q12)*R12,"")</f>
        <v>0</v>
      </c>
      <c r="T12" t="s">
        <v>60</v>
      </c>
      <c r="U12" s="12" t="s">
        <v>47</v>
      </c>
    </row>
    <row r="13" spans="1:27">
      <c r="A13" t="s">
        <v>34</v>
      </c>
      <c r="B13" t="s">
        <v>35</v>
      </c>
      <c r="D13" t="s">
        <v>36</v>
      </c>
      <c r="F13" t="s">
        <v>37</v>
      </c>
      <c r="G13">
        <f>BoardQty*3</f>
        <v>0</v>
      </c>
      <c r="H13" s="11">
        <f>MINA(INDIRECT(ADDRESS(ROW(),COLUMN(mouser_part_data)+2)),INDIRECT(ADDRESS(ROW(),COLUMN(newark_part_data)+2)),INDIRECT(ADDRESS(ROW(),COLUMN(digikey_part_data)+2)))</f>
        <v>0</v>
      </c>
      <c r="I13" s="11">
        <f>iferror(G13*H13,"")</f>
        <v>0</v>
      </c>
      <c r="J13">
        <v>3226309</v>
      </c>
      <c r="L13" s="11">
        <f>iferror(lookup(if(K13="",G13,K13),{0,1,10,50,100,250,500,1000,4000,8000,12000,28000,100000},{0.0,0.1,0.019,0.0104,0.0088,0.0072,0.00616,0.0048,0.00368,0.00336,0.0032,0.00304,0.0022}),"")</f>
        <v>0</v>
      </c>
      <c r="M13" s="11">
        <f>iferror(if(K13="",G13,K13)*L13,"")</f>
        <v>0</v>
      </c>
      <c r="N13" t="s">
        <v>53</v>
      </c>
      <c r="O13" s="12" t="s">
        <v>47</v>
      </c>
      <c r="P13">
        <v>1520130</v>
      </c>
      <c r="R13" s="11">
        <f>iferror(lookup(if(Q13="",G13,Q13),{0,1,10,100,1000,4000,8000,24000,48000,100000},{0.0,0.316,0.039,0.024,0.019,0.015,0.013,0.012,0.011,0.009}),"")</f>
        <v>0</v>
      </c>
      <c r="S13" s="11">
        <f>iferror(if(Q13="",G13,Q13)*R13,"")</f>
        <v>0</v>
      </c>
      <c r="T13" t="s">
        <v>61</v>
      </c>
      <c r="U13" s="12" t="s">
        <v>47</v>
      </c>
      <c r="V13">
        <v>5507</v>
      </c>
      <c r="X13" s="11">
        <f>iferror(lookup(if(W13="",G13,W13),{0,1,250,500,1000,5000},{0.0,0.041,0.037,0.033,0.029,0.02}),"")</f>
        <v>0</v>
      </c>
      <c r="Y13" s="11">
        <f>iferror(if(W13="",G13,W13)*X13,"")</f>
        <v>0</v>
      </c>
      <c r="Z13" t="s">
        <v>67</v>
      </c>
      <c r="AA13" s="12" t="s">
        <v>47</v>
      </c>
    </row>
    <row r="15" spans="1:27">
      <c r="K15">
        <f t="array" ref="K15">IFERROR(CONCATENATE(TEXT(INDEX($K$7:$K$13,SMALL(IF($N$7:$N$13&lt;&gt;"",IF($K$7:$K$13&lt;&gt;"",ROW($K$7:$K$13)-MIN(ROW($K$7:$K$13))+1,""),""),ROW()-ROW(A$15)+1)),"##0"),","),"")</f>
        <v>0</v>
      </c>
      <c r="L15">
        <f t="array" ref="L15">IFERROR(CONCATENATE((INDEX($N$7:$N$13,SMALL(IF($N$7:$N$13&lt;&gt;"",IF($K$7:$K$13&lt;&gt;"",ROW($K$7:$K$13)-MIN(ROW($K$7:$K$13))+1,""),""),ROW()-ROW(A$15)+1))),","),"")</f>
        <v>0</v>
      </c>
      <c r="M15">
        <f t="array" ref="M15">IFERROR(CONCATENATE((INDEX($A$7:$A$13,SMALL(IF($N$7:$N$13&lt;&gt;"",IF($K$7:$K$13&lt;&gt;"",ROW($K$7:$K$13)-MIN(ROW($K$7:$K$13))+1,""),""),ROW()-ROW(A$15)+1))),),"")</f>
        <v>0</v>
      </c>
      <c r="Q15">
        <f t="array" ref="Q15">IFERROR(CONCATENATE((INDEX($T$7:$T$13,SMALL(IF($T$7:$T$13&lt;&gt;"",IF($Q$7:$Q$13&lt;&gt;"",ROW($Q$7:$Q$13)-MIN(ROW($Q$7:$Q$13))+1,""),""),ROW()-ROW(A$15)+1)))," "),"")</f>
        <v>0</v>
      </c>
      <c r="R15">
        <f t="array" ref="R15">IFERROR(CONCATENATE(TEXT(INDEX($Q$7:$Q$13,SMALL(IF($T$7:$T$13&lt;&gt;"",IF($Q$7:$Q$13&lt;&gt;"",ROW($Q$7:$Q$13)-MIN(ROW($Q$7:$Q$13))+1,""),""),ROW()-ROW(A$15)+1)),"##0")," "),"")</f>
        <v>0</v>
      </c>
      <c r="S15">
        <f t="array" ref="S15">IFERROR(CONCATENATE((INDEX($A$7:$A$13,SMALL(IF($T$7:$T$13&lt;&gt;"",IF($Q$7:$Q$13&lt;&gt;"",ROW($Q$7:$Q$13)-MIN(ROW($Q$7:$Q$13))+1,""),""),ROW()-ROW(A$15)+1))),),"")</f>
        <v>0</v>
      </c>
      <c r="W15">
        <f t="array" ref="W15">IFERROR(CONCATENATE((INDEX($Z$7:$Z$13,SMALL(IF($Z$7:$Z$13&lt;&gt;"",IF($W$7:$W$13&lt;&gt;"",ROW($W$7:$W$13)-MIN(ROW($W$7:$W$13))+1,""),""),ROW()-ROW(A$15)+1))),","),"")</f>
        <v>0</v>
      </c>
      <c r="X15">
        <f t="array" ref="X15">IFERROR(CONCATENATE(TEXT(INDEX($W$7:$W$13,SMALL(IF($Z$7:$Z$13&lt;&gt;"",IF($W$7:$W$13&lt;&gt;"",ROW($W$7:$W$13)-MIN(ROW($W$7:$W$13))+1,""),""),ROW()-ROW(A$15)+1)),"##0"),","),"")</f>
        <v>0</v>
      </c>
      <c r="Y15">
        <f t="array" ref="Y15">IFERROR(CONCATENATE((INDEX($A$7:$A$13,SMALL(IF($Z$7:$Z$13&lt;&gt;"",IF($W$7:$W$13&lt;&gt;"",ROW($W$7:$W$13)-MIN(ROW($W$7:$W$13))+1,""),""),ROW()-ROW(A$15)+1))),),"")</f>
        <v>0</v>
      </c>
    </row>
    <row r="16" spans="1:27">
      <c r="K16">
        <f t="array" ref="K16">IFERROR(CONCATENATE(TEXT(INDEX($K$7:$K$13,SMALL(IF($N$7:$N$13&lt;&gt;"",IF($K$7:$K$13&lt;&gt;"",ROW($K$7:$K$13)-MIN(ROW($K$7:$K$13))+1,""),""),ROW()-ROW(A$15)+1)),"##0"),","),"")</f>
        <v>0</v>
      </c>
      <c r="L16">
        <f t="array" ref="L16">IFERROR(CONCATENATE((INDEX($N$7:$N$13,SMALL(IF($N$7:$N$13&lt;&gt;"",IF($K$7:$K$13&lt;&gt;"",ROW($K$7:$K$13)-MIN(ROW($K$7:$K$13))+1,""),""),ROW()-ROW(A$15)+1))),","),"")</f>
        <v>0</v>
      </c>
      <c r="M16">
        <f t="array" ref="M16">IFERROR(CONCATENATE((INDEX($A$7:$A$13,SMALL(IF($N$7:$N$13&lt;&gt;"",IF($K$7:$K$13&lt;&gt;"",ROW($K$7:$K$13)-MIN(ROW($K$7:$K$13))+1,""),""),ROW()-ROW(A$15)+1))),),"")</f>
        <v>0</v>
      </c>
      <c r="Q16">
        <f t="array" ref="Q16">IFERROR(CONCATENATE((INDEX($T$7:$T$13,SMALL(IF($T$7:$T$13&lt;&gt;"",IF($Q$7:$Q$13&lt;&gt;"",ROW($Q$7:$Q$13)-MIN(ROW($Q$7:$Q$13))+1,""),""),ROW()-ROW(A$15)+1)))," "),"")</f>
        <v>0</v>
      </c>
      <c r="R16">
        <f t="array" ref="R16">IFERROR(CONCATENATE(TEXT(INDEX($Q$7:$Q$13,SMALL(IF($T$7:$T$13&lt;&gt;"",IF($Q$7:$Q$13&lt;&gt;"",ROW($Q$7:$Q$13)-MIN(ROW($Q$7:$Q$13))+1,""),""),ROW()-ROW(A$15)+1)),"##0")," "),"")</f>
        <v>0</v>
      </c>
      <c r="S16">
        <f t="array" ref="S16">IFERROR(CONCATENATE((INDEX($A$7:$A$13,SMALL(IF($T$7:$T$13&lt;&gt;"",IF($Q$7:$Q$13&lt;&gt;"",ROW($Q$7:$Q$13)-MIN(ROW($Q$7:$Q$13))+1,""),""),ROW()-ROW(A$15)+1))),),"")</f>
        <v>0</v>
      </c>
      <c r="W16">
        <f t="array" ref="W16">IFERROR(CONCATENATE((INDEX($Z$7:$Z$13,SMALL(IF($Z$7:$Z$13&lt;&gt;"",IF($W$7:$W$13&lt;&gt;"",ROW($W$7:$W$13)-MIN(ROW($W$7:$W$13))+1,""),""),ROW()-ROW(A$15)+1))),","),"")</f>
        <v>0</v>
      </c>
      <c r="X16">
        <f t="array" ref="X16">IFERROR(CONCATENATE(TEXT(INDEX($W$7:$W$13,SMALL(IF($Z$7:$Z$13&lt;&gt;"",IF($W$7:$W$13&lt;&gt;"",ROW($W$7:$W$13)-MIN(ROW($W$7:$W$13))+1,""),""),ROW()-ROW(A$15)+1)),"##0"),","),"")</f>
        <v>0</v>
      </c>
      <c r="Y16">
        <f t="array" ref="Y16">IFERROR(CONCATENATE((INDEX($A$7:$A$13,SMALL(IF($Z$7:$Z$13&lt;&gt;"",IF($W$7:$W$13&lt;&gt;"",ROW($W$7:$W$13)-MIN(ROW($W$7:$W$13))+1,""),""),ROW()-ROW(A$15)+1))),),"")</f>
        <v>0</v>
      </c>
    </row>
    <row r="17" spans="11:25">
      <c r="K17">
        <f t="array" ref="K17">IFERROR(CONCATENATE(TEXT(INDEX($K$7:$K$13,SMALL(IF($N$7:$N$13&lt;&gt;"",IF($K$7:$K$13&lt;&gt;"",ROW($K$7:$K$13)-MIN(ROW($K$7:$K$13))+1,""),""),ROW()-ROW(A$15)+1)),"##0"),","),"")</f>
        <v>0</v>
      </c>
      <c r="L17">
        <f t="array" ref="L17">IFERROR(CONCATENATE((INDEX($N$7:$N$13,SMALL(IF($N$7:$N$13&lt;&gt;"",IF($K$7:$K$13&lt;&gt;"",ROW($K$7:$K$13)-MIN(ROW($K$7:$K$13))+1,""),""),ROW()-ROW(A$15)+1))),","),"")</f>
        <v>0</v>
      </c>
      <c r="M17">
        <f t="array" ref="M17">IFERROR(CONCATENATE((INDEX($A$7:$A$13,SMALL(IF($N$7:$N$13&lt;&gt;"",IF($K$7:$K$13&lt;&gt;"",ROW($K$7:$K$13)-MIN(ROW($K$7:$K$13))+1,""),""),ROW()-ROW(A$15)+1))),),"")</f>
        <v>0</v>
      </c>
      <c r="Q17">
        <f t="array" ref="Q17">IFERROR(CONCATENATE((INDEX($T$7:$T$13,SMALL(IF($T$7:$T$13&lt;&gt;"",IF($Q$7:$Q$13&lt;&gt;"",ROW($Q$7:$Q$13)-MIN(ROW($Q$7:$Q$13))+1,""),""),ROW()-ROW(A$15)+1)))," "),"")</f>
        <v>0</v>
      </c>
      <c r="R17">
        <f t="array" ref="R17">IFERROR(CONCATENATE(TEXT(INDEX($Q$7:$Q$13,SMALL(IF($T$7:$T$13&lt;&gt;"",IF($Q$7:$Q$13&lt;&gt;"",ROW($Q$7:$Q$13)-MIN(ROW($Q$7:$Q$13))+1,""),""),ROW()-ROW(A$15)+1)),"##0")," "),"")</f>
        <v>0</v>
      </c>
      <c r="S17">
        <f t="array" ref="S17">IFERROR(CONCATENATE((INDEX($A$7:$A$13,SMALL(IF($T$7:$T$13&lt;&gt;"",IF($Q$7:$Q$13&lt;&gt;"",ROW($Q$7:$Q$13)-MIN(ROW($Q$7:$Q$13))+1,""),""),ROW()-ROW(A$15)+1))),),"")</f>
        <v>0</v>
      </c>
      <c r="W17">
        <f t="array" ref="W17">IFERROR(CONCATENATE((INDEX($Z$7:$Z$13,SMALL(IF($Z$7:$Z$13&lt;&gt;"",IF($W$7:$W$13&lt;&gt;"",ROW($W$7:$W$13)-MIN(ROW($W$7:$W$13))+1,""),""),ROW()-ROW(A$15)+1))),","),"")</f>
        <v>0</v>
      </c>
      <c r="X17">
        <f t="array" ref="X17">IFERROR(CONCATENATE(TEXT(INDEX($W$7:$W$13,SMALL(IF($Z$7:$Z$13&lt;&gt;"",IF($W$7:$W$13&lt;&gt;"",ROW($W$7:$W$13)-MIN(ROW($W$7:$W$13))+1,""),""),ROW()-ROW(A$15)+1)),"##0"),","),"")</f>
        <v>0</v>
      </c>
      <c r="Y17">
        <f t="array" ref="Y17">IFERROR(CONCATENATE((INDEX($A$7:$A$13,SMALL(IF($Z$7:$Z$13&lt;&gt;"",IF($W$7:$W$13&lt;&gt;"",ROW($W$7:$W$13)-MIN(ROW($W$7:$W$13))+1,""),""),ROW()-ROW(A$15)+1))),),"")</f>
        <v>0</v>
      </c>
    </row>
    <row r="18" spans="11:25">
      <c r="K18">
        <f t="array" ref="K18">IFERROR(CONCATENATE(TEXT(INDEX($K$7:$K$13,SMALL(IF($N$7:$N$13&lt;&gt;"",IF($K$7:$K$13&lt;&gt;"",ROW($K$7:$K$13)-MIN(ROW($K$7:$K$13))+1,""),""),ROW()-ROW(A$15)+1)),"##0"),","),"")</f>
        <v>0</v>
      </c>
      <c r="L18">
        <f t="array" ref="L18">IFERROR(CONCATENATE((INDEX($N$7:$N$13,SMALL(IF($N$7:$N$13&lt;&gt;"",IF($K$7:$K$13&lt;&gt;"",ROW($K$7:$K$13)-MIN(ROW($K$7:$K$13))+1,""),""),ROW()-ROW(A$15)+1))),","),"")</f>
        <v>0</v>
      </c>
      <c r="M18">
        <f t="array" ref="M18">IFERROR(CONCATENATE((INDEX($A$7:$A$13,SMALL(IF($N$7:$N$13&lt;&gt;"",IF($K$7:$K$13&lt;&gt;"",ROW($K$7:$K$13)-MIN(ROW($K$7:$K$13))+1,""),""),ROW()-ROW(A$15)+1))),),"")</f>
        <v>0</v>
      </c>
      <c r="Q18">
        <f t="array" ref="Q18">IFERROR(CONCATENATE((INDEX($T$7:$T$13,SMALL(IF($T$7:$T$13&lt;&gt;"",IF($Q$7:$Q$13&lt;&gt;"",ROW($Q$7:$Q$13)-MIN(ROW($Q$7:$Q$13))+1,""),""),ROW()-ROW(A$15)+1)))," "),"")</f>
        <v>0</v>
      </c>
      <c r="R18">
        <f t="array" ref="R18">IFERROR(CONCATENATE(TEXT(INDEX($Q$7:$Q$13,SMALL(IF($T$7:$T$13&lt;&gt;"",IF($Q$7:$Q$13&lt;&gt;"",ROW($Q$7:$Q$13)-MIN(ROW($Q$7:$Q$13))+1,""),""),ROW()-ROW(A$15)+1)),"##0")," "),"")</f>
        <v>0</v>
      </c>
      <c r="S18">
        <f t="array" ref="S18">IFERROR(CONCATENATE((INDEX($A$7:$A$13,SMALL(IF($T$7:$T$13&lt;&gt;"",IF($Q$7:$Q$13&lt;&gt;"",ROW($Q$7:$Q$13)-MIN(ROW($Q$7:$Q$13))+1,""),""),ROW()-ROW(A$15)+1))),),"")</f>
        <v>0</v>
      </c>
      <c r="W18">
        <f t="array" ref="W18">IFERROR(CONCATENATE((INDEX($Z$7:$Z$13,SMALL(IF($Z$7:$Z$13&lt;&gt;"",IF($W$7:$W$13&lt;&gt;"",ROW($W$7:$W$13)-MIN(ROW($W$7:$W$13))+1,""),""),ROW()-ROW(A$15)+1))),","),"")</f>
        <v>0</v>
      </c>
      <c r="X18">
        <f t="array" ref="X18">IFERROR(CONCATENATE(TEXT(INDEX($W$7:$W$13,SMALL(IF($Z$7:$Z$13&lt;&gt;"",IF($W$7:$W$13&lt;&gt;"",ROW($W$7:$W$13)-MIN(ROW($W$7:$W$13))+1,""),""),ROW()-ROW(A$15)+1)),"##0"),","),"")</f>
        <v>0</v>
      </c>
      <c r="Y18">
        <f t="array" ref="Y18">IFERROR(CONCATENATE((INDEX($A$7:$A$13,SMALL(IF($Z$7:$Z$13&lt;&gt;"",IF($W$7:$W$13&lt;&gt;"",ROW($W$7:$W$13)-MIN(ROW($W$7:$W$13))+1,""),""),ROW()-ROW(A$15)+1))),),"")</f>
        <v>0</v>
      </c>
    </row>
    <row r="19" spans="11:25">
      <c r="K19">
        <f t="array" ref="K19">IFERROR(CONCATENATE(TEXT(INDEX($K$7:$K$13,SMALL(IF($N$7:$N$13&lt;&gt;"",IF($K$7:$K$13&lt;&gt;"",ROW($K$7:$K$13)-MIN(ROW($K$7:$K$13))+1,""),""),ROW()-ROW(A$15)+1)),"##0"),","),"")</f>
        <v>0</v>
      </c>
      <c r="L19">
        <f t="array" ref="L19">IFERROR(CONCATENATE((INDEX($N$7:$N$13,SMALL(IF($N$7:$N$13&lt;&gt;"",IF($K$7:$K$13&lt;&gt;"",ROW($K$7:$K$13)-MIN(ROW($K$7:$K$13))+1,""),""),ROW()-ROW(A$15)+1))),","),"")</f>
        <v>0</v>
      </c>
      <c r="M19">
        <f t="array" ref="M19">IFERROR(CONCATENATE((INDEX($A$7:$A$13,SMALL(IF($N$7:$N$13&lt;&gt;"",IF($K$7:$K$13&lt;&gt;"",ROW($K$7:$K$13)-MIN(ROW($K$7:$K$13))+1,""),""),ROW()-ROW(A$15)+1))),),"")</f>
        <v>0</v>
      </c>
      <c r="Q19">
        <f t="array" ref="Q19">IFERROR(CONCATENATE((INDEX($T$7:$T$13,SMALL(IF($T$7:$T$13&lt;&gt;"",IF($Q$7:$Q$13&lt;&gt;"",ROW($Q$7:$Q$13)-MIN(ROW($Q$7:$Q$13))+1,""),""),ROW()-ROW(A$15)+1)))," "),"")</f>
        <v>0</v>
      </c>
      <c r="R19">
        <f t="array" ref="R19">IFERROR(CONCATENATE(TEXT(INDEX($Q$7:$Q$13,SMALL(IF($T$7:$T$13&lt;&gt;"",IF($Q$7:$Q$13&lt;&gt;"",ROW($Q$7:$Q$13)-MIN(ROW($Q$7:$Q$13))+1,""),""),ROW()-ROW(A$15)+1)),"##0")," "),"")</f>
        <v>0</v>
      </c>
      <c r="S19">
        <f t="array" ref="S19">IFERROR(CONCATENATE((INDEX($A$7:$A$13,SMALL(IF($T$7:$T$13&lt;&gt;"",IF($Q$7:$Q$13&lt;&gt;"",ROW($Q$7:$Q$13)-MIN(ROW($Q$7:$Q$13))+1,""),""),ROW()-ROW(A$15)+1))),),"")</f>
        <v>0</v>
      </c>
      <c r="W19">
        <f t="array" ref="W19">IFERROR(CONCATENATE((INDEX($Z$7:$Z$13,SMALL(IF($Z$7:$Z$13&lt;&gt;"",IF($W$7:$W$13&lt;&gt;"",ROW($W$7:$W$13)-MIN(ROW($W$7:$W$13))+1,""),""),ROW()-ROW(A$15)+1))),","),"")</f>
        <v>0</v>
      </c>
      <c r="X19">
        <f t="array" ref="X19">IFERROR(CONCATENATE(TEXT(INDEX($W$7:$W$13,SMALL(IF($Z$7:$Z$13&lt;&gt;"",IF($W$7:$W$13&lt;&gt;"",ROW($W$7:$W$13)-MIN(ROW($W$7:$W$13))+1,""),""),ROW()-ROW(A$15)+1)),"##0"),","),"")</f>
        <v>0</v>
      </c>
      <c r="Y19">
        <f t="array" ref="Y19">IFERROR(CONCATENATE((INDEX($A$7:$A$13,SMALL(IF($Z$7:$Z$13&lt;&gt;"",IF($W$7:$W$13&lt;&gt;"",ROW($W$7:$W$13)-MIN(ROW($W$7:$W$13))+1,""),""),ROW()-ROW(A$15)+1))),),"")</f>
        <v>0</v>
      </c>
    </row>
    <row r="20" spans="11:25">
      <c r="K20">
        <f t="array" ref="K20">IFERROR(CONCATENATE(TEXT(INDEX($K$7:$K$13,SMALL(IF($N$7:$N$13&lt;&gt;"",IF($K$7:$K$13&lt;&gt;"",ROW($K$7:$K$13)-MIN(ROW($K$7:$K$13))+1,""),""),ROW()-ROW(A$15)+1)),"##0"),","),"")</f>
        <v>0</v>
      </c>
      <c r="L20">
        <f t="array" ref="L20">IFERROR(CONCATENATE((INDEX($N$7:$N$13,SMALL(IF($N$7:$N$13&lt;&gt;"",IF($K$7:$K$13&lt;&gt;"",ROW($K$7:$K$13)-MIN(ROW($K$7:$K$13))+1,""),""),ROW()-ROW(A$15)+1))),","),"")</f>
        <v>0</v>
      </c>
      <c r="M20">
        <f t="array" ref="M20">IFERROR(CONCATENATE((INDEX($A$7:$A$13,SMALL(IF($N$7:$N$13&lt;&gt;"",IF($K$7:$K$13&lt;&gt;"",ROW($K$7:$K$13)-MIN(ROW($K$7:$K$13))+1,""),""),ROW()-ROW(A$15)+1))),),"")</f>
        <v>0</v>
      </c>
      <c r="Q20">
        <f t="array" ref="Q20">IFERROR(CONCATENATE((INDEX($T$7:$T$13,SMALL(IF($T$7:$T$13&lt;&gt;"",IF($Q$7:$Q$13&lt;&gt;"",ROW($Q$7:$Q$13)-MIN(ROW($Q$7:$Q$13))+1,""),""),ROW()-ROW(A$15)+1)))," "),"")</f>
        <v>0</v>
      </c>
      <c r="R20">
        <f t="array" ref="R20">IFERROR(CONCATENATE(TEXT(INDEX($Q$7:$Q$13,SMALL(IF($T$7:$T$13&lt;&gt;"",IF($Q$7:$Q$13&lt;&gt;"",ROW($Q$7:$Q$13)-MIN(ROW($Q$7:$Q$13))+1,""),""),ROW()-ROW(A$15)+1)),"##0")," "),"")</f>
        <v>0</v>
      </c>
      <c r="S20">
        <f t="array" ref="S20">IFERROR(CONCATENATE((INDEX($A$7:$A$13,SMALL(IF($T$7:$T$13&lt;&gt;"",IF($Q$7:$Q$13&lt;&gt;"",ROW($Q$7:$Q$13)-MIN(ROW($Q$7:$Q$13))+1,""),""),ROW()-ROW(A$15)+1))),),"")</f>
        <v>0</v>
      </c>
      <c r="W20">
        <f t="array" ref="W20">IFERROR(CONCATENATE((INDEX($Z$7:$Z$13,SMALL(IF($Z$7:$Z$13&lt;&gt;"",IF($W$7:$W$13&lt;&gt;"",ROW($W$7:$W$13)-MIN(ROW($W$7:$W$13))+1,""),""),ROW()-ROW(A$15)+1))),","),"")</f>
        <v>0</v>
      </c>
      <c r="X20">
        <f t="array" ref="X20">IFERROR(CONCATENATE(TEXT(INDEX($W$7:$W$13,SMALL(IF($Z$7:$Z$13&lt;&gt;"",IF($W$7:$W$13&lt;&gt;"",ROW($W$7:$W$13)-MIN(ROW($W$7:$W$13))+1,""),""),ROW()-ROW(A$15)+1)),"##0"),","),"")</f>
        <v>0</v>
      </c>
      <c r="Y20">
        <f t="array" ref="Y20">IFERROR(CONCATENATE((INDEX($A$7:$A$13,SMALL(IF($Z$7:$Z$13&lt;&gt;"",IF($W$7:$W$13&lt;&gt;"",ROW($W$7:$W$13)-MIN(ROW($W$7:$W$13))+1,""),""),ROW()-ROW(A$15)+1))),),"")</f>
        <v>0</v>
      </c>
    </row>
    <row r="21" spans="11:25">
      <c r="K21">
        <f t="array" ref="K21">IFERROR(CONCATENATE(TEXT(INDEX($K$7:$K$13,SMALL(IF($N$7:$N$13&lt;&gt;"",IF($K$7:$K$13&lt;&gt;"",ROW($K$7:$K$13)-MIN(ROW($K$7:$K$13))+1,""),""),ROW()-ROW(A$15)+1)),"##0"),","),"")</f>
        <v>0</v>
      </c>
      <c r="L21">
        <f t="array" ref="L21">IFERROR(CONCATENATE((INDEX($N$7:$N$13,SMALL(IF($N$7:$N$13&lt;&gt;"",IF($K$7:$K$13&lt;&gt;"",ROW($K$7:$K$13)-MIN(ROW($K$7:$K$13))+1,""),""),ROW()-ROW(A$15)+1))),","),"")</f>
        <v>0</v>
      </c>
      <c r="M21">
        <f t="array" ref="M21">IFERROR(CONCATENATE((INDEX($A$7:$A$13,SMALL(IF($N$7:$N$13&lt;&gt;"",IF($K$7:$K$13&lt;&gt;"",ROW($K$7:$K$13)-MIN(ROW($K$7:$K$13))+1,""),""),ROW()-ROW(A$15)+1))),),"")</f>
        <v>0</v>
      </c>
      <c r="Q21">
        <f t="array" ref="Q21">IFERROR(CONCATENATE((INDEX($T$7:$T$13,SMALL(IF($T$7:$T$13&lt;&gt;"",IF($Q$7:$Q$13&lt;&gt;"",ROW($Q$7:$Q$13)-MIN(ROW($Q$7:$Q$13))+1,""),""),ROW()-ROW(A$15)+1)))," "),"")</f>
        <v>0</v>
      </c>
      <c r="R21">
        <f t="array" ref="R21">IFERROR(CONCATENATE(TEXT(INDEX($Q$7:$Q$13,SMALL(IF($T$7:$T$13&lt;&gt;"",IF($Q$7:$Q$13&lt;&gt;"",ROW($Q$7:$Q$13)-MIN(ROW($Q$7:$Q$13))+1,""),""),ROW()-ROW(A$15)+1)),"##0")," "),"")</f>
        <v>0</v>
      </c>
      <c r="S21">
        <f t="array" ref="S21">IFERROR(CONCATENATE((INDEX($A$7:$A$13,SMALL(IF($T$7:$T$13&lt;&gt;"",IF($Q$7:$Q$13&lt;&gt;"",ROW($Q$7:$Q$13)-MIN(ROW($Q$7:$Q$13))+1,""),""),ROW()-ROW(A$15)+1))),),"")</f>
        <v>0</v>
      </c>
      <c r="W21">
        <f t="array" ref="W21">IFERROR(CONCATENATE((INDEX($Z$7:$Z$13,SMALL(IF($Z$7:$Z$13&lt;&gt;"",IF($W$7:$W$13&lt;&gt;"",ROW($W$7:$W$13)-MIN(ROW($W$7:$W$13))+1,""),""),ROW()-ROW(A$15)+1))),","),"")</f>
        <v>0</v>
      </c>
      <c r="X21">
        <f t="array" ref="X21">IFERROR(CONCATENATE(TEXT(INDEX($W$7:$W$13,SMALL(IF($Z$7:$Z$13&lt;&gt;"",IF($W$7:$W$13&lt;&gt;"",ROW($W$7:$W$13)-MIN(ROW($W$7:$W$13))+1,""),""),ROW()-ROW(A$15)+1)),"##0"),","),"")</f>
        <v>0</v>
      </c>
      <c r="Y21">
        <f t="array" ref="Y21">IFERROR(CONCATENATE((INDEX($A$7:$A$13,SMALL(IF($Z$7:$Z$13&lt;&gt;"",IF($W$7:$W$13&lt;&gt;"",ROW($W$7:$W$13)-MIN(ROW($W$7:$W$13))+1,""),""),ROW()-ROW(A$15)+1))),),"")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7" operator="lessThanOrEqual">
      <formula>H10</formula>
    </cfRule>
  </conditionalFormatting>
  <conditionalFormatting sqref="L11">
    <cfRule type="cellIs" dxfId="0" priority="9" operator="lessThanOrEqual">
      <formula>H11</formula>
    </cfRule>
  </conditionalFormatting>
  <conditionalFormatting sqref="L12">
    <cfRule type="cellIs" dxfId="0" priority="11" operator="lessThanOrEqual">
      <formula>H12</formula>
    </cfRule>
  </conditionalFormatting>
  <conditionalFormatting sqref="L13">
    <cfRule type="cellIs" dxfId="0" priority="13" operator="lessThanOrEqual">
      <formula>H13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1">
    <cfRule type="cellIs" dxfId="0" priority="10" operator="lessThanOrEqual">
      <formula>I11</formula>
    </cfRule>
  </conditionalFormatting>
  <conditionalFormatting sqref="M12">
    <cfRule type="cellIs" dxfId="0" priority="12" operator="lessThanOrEqual">
      <formula>I12</formula>
    </cfRule>
  </conditionalFormatting>
  <conditionalFormatting sqref="M13">
    <cfRule type="cellIs" dxfId="0" priority="14" operator="lessThanOrEqual">
      <formula>I13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0">
    <cfRule type="cellIs" dxfId="0" priority="21" operator="lessThanOrEqual">
      <formula>H10</formula>
    </cfRule>
  </conditionalFormatting>
  <conditionalFormatting sqref="R11">
    <cfRule type="cellIs" dxfId="0" priority="23" operator="lessThanOrEqual">
      <formula>H11</formula>
    </cfRule>
  </conditionalFormatting>
  <conditionalFormatting sqref="R12">
    <cfRule type="cellIs" dxfId="0" priority="25" operator="lessThanOrEqual">
      <formula>H12</formula>
    </cfRule>
  </conditionalFormatting>
  <conditionalFormatting sqref="R13">
    <cfRule type="cellIs" dxfId="0" priority="27" operator="lessThanOrEqual">
      <formula>H13</formula>
    </cfRule>
  </conditionalFormatting>
  <conditionalFormatting sqref="R7">
    <cfRule type="cellIs" dxfId="0" priority="15" operator="lessThanOrEqual">
      <formula>H7</formula>
    </cfRule>
  </conditionalFormatting>
  <conditionalFormatting sqref="R8">
    <cfRule type="cellIs" dxfId="0" priority="17" operator="lessThanOrEqual">
      <formula>H8</formula>
    </cfRule>
  </conditionalFormatting>
  <conditionalFormatting sqref="R9">
    <cfRule type="cellIs" dxfId="0" priority="19" operator="lessThanOrEqual">
      <formula>H9</formula>
    </cfRule>
  </conditionalFormatting>
  <conditionalFormatting sqref="S10">
    <cfRule type="cellIs" dxfId="0" priority="22" operator="lessThanOrEqual">
      <formula>I10</formula>
    </cfRule>
  </conditionalFormatting>
  <conditionalFormatting sqref="S11">
    <cfRule type="cellIs" dxfId="0" priority="24" operator="lessThanOrEqual">
      <formula>I11</formula>
    </cfRule>
  </conditionalFormatting>
  <conditionalFormatting sqref="S12">
    <cfRule type="cellIs" dxfId="0" priority="26" operator="lessThanOrEqual">
      <formula>I12</formula>
    </cfRule>
  </conditionalFormatting>
  <conditionalFormatting sqref="S13">
    <cfRule type="cellIs" dxfId="0" priority="28" operator="lessThanOrEqual">
      <formula>I13</formula>
    </cfRule>
  </conditionalFormatting>
  <conditionalFormatting sqref="S7">
    <cfRule type="cellIs" dxfId="0" priority="16" operator="lessThanOrEqual">
      <formula>I7</formula>
    </cfRule>
  </conditionalFormatting>
  <conditionalFormatting sqref="S8">
    <cfRule type="cellIs" dxfId="0" priority="18" operator="lessThanOrEqual">
      <formula>I8</formula>
    </cfRule>
  </conditionalFormatting>
  <conditionalFormatting sqref="S9">
    <cfRule type="cellIs" dxfId="0" priority="20" operator="lessThanOrEqual">
      <formula>I9</formula>
    </cfRule>
  </conditionalFormatting>
  <conditionalFormatting sqref="X10">
    <cfRule type="cellIs" dxfId="0" priority="33" operator="lessThanOrEqual">
      <formula>H10</formula>
    </cfRule>
  </conditionalFormatting>
  <conditionalFormatting sqref="X11">
    <cfRule type="cellIs" dxfId="0" priority="35" operator="lessThanOrEqual">
      <formula>H11</formula>
    </cfRule>
  </conditionalFormatting>
  <conditionalFormatting sqref="X13">
    <cfRule type="cellIs" dxfId="0" priority="37" operator="lessThanOrEqual">
      <formula>H13</formula>
    </cfRule>
  </conditionalFormatting>
  <conditionalFormatting sqref="X7">
    <cfRule type="cellIs" dxfId="0" priority="29" operator="lessThanOrEqual">
      <formula>H7</formula>
    </cfRule>
  </conditionalFormatting>
  <conditionalFormatting sqref="X9">
    <cfRule type="cellIs" dxfId="0" priority="31" operator="lessThanOrEqual">
      <formula>H9</formula>
    </cfRule>
  </conditionalFormatting>
  <conditionalFormatting sqref="Y10">
    <cfRule type="cellIs" dxfId="0" priority="34" operator="lessThanOrEqual">
      <formula>I10</formula>
    </cfRule>
  </conditionalFormatting>
  <conditionalFormatting sqref="Y11">
    <cfRule type="cellIs" dxfId="0" priority="36" operator="lessThanOrEqual">
      <formula>I11</formula>
    </cfRule>
  </conditionalFormatting>
  <conditionalFormatting sqref="Y13">
    <cfRule type="cellIs" dxfId="0" priority="38" operator="lessThanOrEqual">
      <formula>I13</formula>
    </cfRule>
  </conditionalFormatting>
  <conditionalFormatting sqref="Y7">
    <cfRule type="cellIs" dxfId="0" priority="30" operator="lessThanOrEqual">
      <formula>I7</formula>
    </cfRule>
  </conditionalFormatting>
  <conditionalFormatting sqref="Y9">
    <cfRule type="cellIs" dxfId="0" priority="32" operator="lessThanOrEqual">
      <formula>I9</formula>
    </cfRule>
  </conditionalFormatting>
  <hyperlinks>
    <hyperlink ref="O7" r:id="rId1"/>
    <hyperlink ref="U7" r:id="rId2"/>
    <hyperlink ref="AA7" r:id="rId3"/>
    <hyperlink ref="O8" r:id="rId4"/>
    <hyperlink ref="U8" r:id="rId5"/>
    <hyperlink ref="O9" r:id="rId6"/>
    <hyperlink ref="U9" r:id="rId7"/>
    <hyperlink ref="AA9" r:id="rId8"/>
    <hyperlink ref="O10" r:id="rId9"/>
    <hyperlink ref="U10" r:id="rId10"/>
    <hyperlink ref="AA10" r:id="rId11"/>
    <hyperlink ref="O11" r:id="rId12"/>
    <hyperlink ref="U11" r:id="rId13"/>
    <hyperlink ref="AA11" r:id="rId14"/>
    <hyperlink ref="O12" r:id="rId15"/>
    <hyperlink ref="U12" r:id="rId16"/>
    <hyperlink ref="O13" r:id="rId17"/>
    <hyperlink ref="U13" r:id="rId18"/>
    <hyperlink ref="AA13" r:id="rId19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2016-05-04T15:01:39Z</dcterms:created>
  <dcterms:modified xsi:type="dcterms:W3CDTF">2016-05-04T15:01:39Z</dcterms:modified>
</cp:coreProperties>
</file>